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updateLinks="never" codeName="ThisWorkbook"/>
  <mc:AlternateContent xmlns:mc="http://schemas.openxmlformats.org/markup-compatibility/2006">
    <mc:Choice Requires="x15">
      <x15ac:absPath xmlns:x15ac="http://schemas.microsoft.com/office/spreadsheetml/2010/11/ac" url="N:\FMS\Illustrative Financials\2025 Illustrated Financial Statements\City of Dogwood\Final for Website\"/>
    </mc:Choice>
  </mc:AlternateContent>
  <xr:revisionPtr revIDLastSave="0" documentId="13_ncr:1_{C3C5B408-A383-44A8-ACE5-3003AEB3667B}" xr6:coauthVersionLast="47" xr6:coauthVersionMax="47" xr10:uidLastSave="{00000000-0000-0000-0000-000000000000}"/>
  <bookViews>
    <workbookView xWindow="3315" yWindow="105" windowWidth="25095" windowHeight="14970" activeTab="2" xr2:uid="{AAF23E6B-3399-43DE-92DD-ACA1882F142C}"/>
  </bookViews>
  <sheets>
    <sheet name="General Instructions" sheetId="16" r:id="rId1"/>
    <sheet name="Conversion Worksheet" sheetId="1" r:id="rId2"/>
    <sheet name="A. Revenue by function" sheetId="2" r:id="rId3"/>
    <sheet name="B.  Property Taxes" sheetId="6" r:id="rId4"/>
    <sheet name="C. Other Revenues" sheetId="11" r:id="rId5"/>
    <sheet name="D. Depreciation" sheetId="5" r:id="rId6"/>
    <sheet name="E. Capital Outlay" sheetId="3" r:id="rId7"/>
    <sheet name="F.  Other Cap Asset Entries" sheetId="4" r:id="rId8"/>
    <sheet name="G. Debt Service" sheetId="12" r:id="rId9"/>
    <sheet name="H. Debt Issues" sheetId="13" r:id="rId10"/>
    <sheet name="I.  Other Asset Entries" sheetId="14" r:id="rId11"/>
    <sheet name="J. Other Liability &amp; Expenses" sheetId="15" r:id="rId12"/>
    <sheet name="K.1  Int. Service Fd Allocation" sheetId="18" r:id="rId13"/>
    <sheet name="K.2  Int. Service Fd Alloca" sheetId="23" r:id="rId14"/>
    <sheet name="K.3 Int. Service Fd Alloca" sheetId="24" r:id="rId15"/>
    <sheet name="L. Eliminations-Consolidations" sheetId="19" r:id="rId16"/>
    <sheet name="M. Net Position Calculation" sheetId="22" r:id="rId17"/>
    <sheet name="N.1a LGERS Data CY" sheetId="30" state="hidden" r:id="rId18"/>
    <sheet name="N.1b LGERS Data PY" sheetId="28" state="hidden" r:id="rId19"/>
    <sheet name="N.1a 2019 summary" sheetId="42" state="hidden" r:id="rId20"/>
    <sheet name="N.1a 2018 summary" sheetId="33" state="hidden" r:id="rId21"/>
    <sheet name="N.1 GASB 68 LGERS" sheetId="25" r:id="rId22"/>
    <sheet name="N.1b 2017 summary" sheetId="34" state="hidden" r:id="rId23"/>
    <sheet name="N.1c LGERS Contributions FY2018" sheetId="43" state="hidden" r:id="rId24"/>
    <sheet name="N.1c LGERS Contributions FY2017" sheetId="35" state="hidden" r:id="rId25"/>
    <sheet name="N.2 GASB 68 FRSWPF" sheetId="27" r:id="rId26"/>
    <sheet name="O. GASB 73 LEO Entries" sheetId="31" r:id="rId27"/>
    <sheet name="P. GASB 75 OPEB 1 Entries" sheetId="38" r:id="rId28"/>
    <sheet name="P. GASB 75 OPEB 2 Entries " sheetId="40" r:id="rId29"/>
    <sheet name="P. GASB 75 3 OPEB Entries " sheetId="41" r:id="rId30"/>
    <sheet name="Q. GASB 87 Lease Entries" sheetId="45" r:id="rId31"/>
    <sheet name="R. GASB 96 Subscription Entries" sheetId="46" r:id="rId32"/>
  </sheets>
  <externalReferences>
    <externalReference r:id="rId33"/>
    <externalReference r:id="rId34"/>
    <externalReference r:id="rId35"/>
  </externalReferences>
  <definedNames>
    <definedName name="_xlnm._FilterDatabase" localSheetId="18" hidden="1">'N.1b LGERS Data PY'!$A$2:$U$897</definedName>
    <definedName name="aa0">'N.1b 2017 summary'!$K$5</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19">#REF!</definedName>
    <definedName name="AgencyCode" localSheetId="17">#REF!</definedName>
    <definedName name="AgencyCode" localSheetId="22">#REF!</definedName>
    <definedName name="AgencyCode" localSheetId="18">#REF!</definedName>
    <definedName name="AgencyCode" localSheetId="24">#REF!</definedName>
    <definedName name="AgencyCode" localSheetId="23">#REF!</definedName>
    <definedName name="AgencyCode" localSheetId="29">#REF!</definedName>
    <definedName name="AgencyCode" localSheetId="28">#REF!</definedName>
    <definedName name="AgencyCode">#REF!</definedName>
    <definedName name="AgencyCode1" localSheetId="19">#REF!</definedName>
    <definedName name="AgencyCode1" localSheetId="24">#REF!</definedName>
    <definedName name="AgencyCode1" localSheetId="23">#REF!</definedName>
    <definedName name="AgencyCode1" localSheetId="29">#REF!</definedName>
    <definedName name="AgencyCode1" localSheetId="28">#REF!</definedName>
    <definedName name="AgencyCode1">#REF!</definedName>
    <definedName name="AnalystGASB">[1]DeveloperInfo!$D$20</definedName>
    <definedName name="Annuity" localSheetId="19">#REF!</definedName>
    <definedName name="Annuity" localSheetId="17">#REF!</definedName>
    <definedName name="Annuity" localSheetId="22">#REF!</definedName>
    <definedName name="Annuity" localSheetId="18">'[2]Assets Input'!$L$37:$L$56</definedName>
    <definedName name="Annuity" localSheetId="24">#REF!</definedName>
    <definedName name="Annuity" localSheetId="23">#REF!</definedName>
    <definedName name="Annuity" localSheetId="29">#REF!</definedName>
    <definedName name="Annuity" localSheetId="28">#REF!</definedName>
    <definedName name="Annuity">#REF!</definedName>
    <definedName name="Annuity1" localSheetId="19">#REF!</definedName>
    <definedName name="Annuity1" localSheetId="24">#REF!</definedName>
    <definedName name="Annuity1" localSheetId="23">#REF!</definedName>
    <definedName name="Annuity1" localSheetId="29">#REF!</definedName>
    <definedName name="Annuity1" localSheetId="28">#REF!</definedName>
    <definedName name="Annuity1">#REF!</definedName>
    <definedName name="AnnuityLY" localSheetId="19">#REF!</definedName>
    <definedName name="AnnuityLY" localSheetId="17">#REF!</definedName>
    <definedName name="AnnuityLY" localSheetId="22">#REF!</definedName>
    <definedName name="AnnuityLY" localSheetId="24">#REF!</definedName>
    <definedName name="AnnuityLY" localSheetId="23">#REF!</definedName>
    <definedName name="AnnuityLY" localSheetId="29">#REF!</definedName>
    <definedName name="AnnuityLY" localSheetId="28">#REF!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19">#REF!</definedName>
    <definedName name="EmployerRates" localSheetId="17">#REF!</definedName>
    <definedName name="EmployerRates" localSheetId="22">#REF!</definedName>
    <definedName name="EmployerRates" localSheetId="18">#REF!</definedName>
    <definedName name="EmployerRates" localSheetId="24">#REF!</definedName>
    <definedName name="EmployerRates" localSheetId="23">#REF!</definedName>
    <definedName name="EmployerRates" localSheetId="29">#REF!</definedName>
    <definedName name="EmployerRates" localSheetId="28">#REF!</definedName>
    <definedName name="EmployerRates">#REF!</definedName>
    <definedName name="EmployerRates1" localSheetId="19">#REF!</definedName>
    <definedName name="EmployerRates1" localSheetId="24">#REF!</definedName>
    <definedName name="EmployerRates1" localSheetId="23">#REF!</definedName>
    <definedName name="EmployerRates1" localSheetId="29">#REF!</definedName>
    <definedName name="EmployerRates1" localSheetId="28">#REF!</definedName>
    <definedName name="EmployerRates1">#REF!</definedName>
    <definedName name="EmployerRatesLEO" localSheetId="19">#REF!</definedName>
    <definedName name="EmployerRatesLEO" localSheetId="17">#REF!</definedName>
    <definedName name="EmployerRatesLEO" localSheetId="22">#REF!</definedName>
    <definedName name="EmployerRatesLEO" localSheetId="18">#REF!</definedName>
    <definedName name="EmployerRatesLEO" localSheetId="24">#REF!</definedName>
    <definedName name="EmployerRatesLEO" localSheetId="23">#REF!</definedName>
    <definedName name="EmployerRatesLEO" localSheetId="29">#REF!</definedName>
    <definedName name="EmployerRatesLEO" localSheetId="28">#REF!</definedName>
    <definedName name="EmployerRatesLEO">#REF!</definedName>
    <definedName name="EmployerRatesLEO1" localSheetId="19">#REF!</definedName>
    <definedName name="EmployerRatesLEO1" localSheetId="24">#REF!</definedName>
    <definedName name="EmployerRatesLEO1" localSheetId="23">#REF!</definedName>
    <definedName name="EmployerRatesLEO1" localSheetId="29">#REF!</definedName>
    <definedName name="EmployerRatesLEO1" localSheetId="28">#REF!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9i09">'N.1a 2018 summary'!$I$5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19">#REF!</definedName>
    <definedName name="Pension" localSheetId="17">#REF!</definedName>
    <definedName name="Pension" localSheetId="22">#REF!</definedName>
    <definedName name="Pension" localSheetId="18">'[2]Assets Input'!$L$60:$L$95</definedName>
    <definedName name="Pension" localSheetId="24">#REF!</definedName>
    <definedName name="Pension" localSheetId="23">#REF!</definedName>
    <definedName name="Pension" localSheetId="29">#REF!</definedName>
    <definedName name="Pension" localSheetId="28">#REF!</definedName>
    <definedName name="Pension">#REF!</definedName>
    <definedName name="Pension1" localSheetId="19">#REF!</definedName>
    <definedName name="Pension1" localSheetId="24">#REF!</definedName>
    <definedName name="Pension1" localSheetId="23">#REF!</definedName>
    <definedName name="Pension1" localSheetId="29">#REF!</definedName>
    <definedName name="Pension1" localSheetId="28">#REF!</definedName>
    <definedName name="Pension1">#REF!</definedName>
    <definedName name="PensionLY" localSheetId="19">#REF!</definedName>
    <definedName name="PensionLY" localSheetId="17">#REF!</definedName>
    <definedName name="PensionLY" localSheetId="22">#REF!</definedName>
    <definedName name="PensionLY" localSheetId="24">#REF!</definedName>
    <definedName name="PensionLY" localSheetId="23">#REF!</definedName>
    <definedName name="PensionLY" localSheetId="29">#REF!</definedName>
    <definedName name="PensionLY" localSheetId="28">#REF!</definedName>
    <definedName name="PensionLY">#REF!</definedName>
    <definedName name="PlanNameLongGASB">[1]DeveloperInfo!$D$7</definedName>
    <definedName name="PlanNameShortGASB">[1]DeveloperInfo!$D$8</definedName>
    <definedName name="_xlnm.Print_Area" localSheetId="2">'A. Revenue by function'!$A$1:$P$141</definedName>
    <definedName name="_xlnm.Print_Area" localSheetId="3">'B.  Property Taxes'!$A$1:$P$63</definedName>
    <definedName name="_xlnm.Print_Area" localSheetId="4">'C. Other Revenues'!$B$1:$P$245</definedName>
    <definedName name="_xlnm.Print_Area" localSheetId="1">'Conversion Worksheet'!$A$1:$BA$396</definedName>
    <definedName name="_xlnm.Print_Area" localSheetId="5">'D. Depreciation'!$A$1:$P$73</definedName>
    <definedName name="_xlnm.Print_Area" localSheetId="6">'E. Capital Outlay'!$A$1:$Q$73</definedName>
    <definedName name="_xlnm.Print_Area" localSheetId="7">'F.  Other Cap Asset Entries'!$A$1:$T$289</definedName>
    <definedName name="_xlnm.Print_Area" localSheetId="8">'G. Debt Service'!$A$1:$P$60</definedName>
    <definedName name="_xlnm.Print_Area" localSheetId="0">'General Instructions'!$A$1:$L$125</definedName>
    <definedName name="_xlnm.Print_Area" localSheetId="9">'H. Debt Issues'!$A$1:$Q$99</definedName>
    <definedName name="_xlnm.Print_Area" localSheetId="10">'I.  Other Asset Entries'!$A$1:$Q$121</definedName>
    <definedName name="_xlnm.Print_Area" localSheetId="11">'J. Other Liability &amp; Expenses'!$A$1:$P$204</definedName>
    <definedName name="_xlnm.Print_Area" localSheetId="12">'K.1  Int. Service Fd Allocation'!$A$1:$I$230</definedName>
    <definedName name="_xlnm.Print_Area" localSheetId="13">'K.2  Int. Service Fd Alloca'!$A$1:$I$223</definedName>
    <definedName name="_xlnm.Print_Area" localSheetId="14">'K.3 Int. Service Fd Alloca'!$A$1:$I$223</definedName>
    <definedName name="_xlnm.Print_Area" localSheetId="15">'L. Eliminations-Consolidations'!$A$1:$P$300</definedName>
    <definedName name="_xlnm.Print_Area" localSheetId="16">'M. Net Position Calculation'!$A$1:$I$106</definedName>
    <definedName name="_xlnm.Print_Area" localSheetId="18">'N.1b LGERS Data PY'!$B$5:$S$904</definedName>
    <definedName name="_xlnm.Print_Area" localSheetId="29">'P. GASB 75 3 OPEB Entries '!$A$5:$L$134</definedName>
    <definedName name="_xlnm.Print_Area" localSheetId="27">'P. GASB 75 OPEB 1 Entries'!$A$5:$L$134</definedName>
    <definedName name="_xlnm.Print_Area" localSheetId="28">'P. GASB 75 OPEB 2 Entries '!$A$5:$L$134</definedName>
    <definedName name="_xlnm.Print_Titles" localSheetId="2">'A. Revenue by function'!$1:$3</definedName>
    <definedName name="_xlnm.Print_Titles" localSheetId="4">'C. Other Revenues'!$1:$3</definedName>
    <definedName name="_xlnm.Print_Titles" localSheetId="1">'Conversion Worksheet'!$1:$5</definedName>
    <definedName name="_xlnm.Print_Titles" localSheetId="6">'E. Capital Outlay'!$1:$3</definedName>
    <definedName name="_xlnm.Print_Titles" localSheetId="7">'F.  Other Cap Asset Entries'!$1:$2</definedName>
    <definedName name="_xlnm.Print_Titles" localSheetId="8">'G. Debt Service'!$1:$3</definedName>
    <definedName name="_xlnm.Print_Titles" localSheetId="9">'H. Debt Issues'!$1:$3</definedName>
    <definedName name="_xlnm.Print_Titles" localSheetId="10">'I.  Other Asset Entries'!$1:$3</definedName>
    <definedName name="_xlnm.Print_Titles" localSheetId="11">'J. Other Liability &amp; Expenses'!$1:$3</definedName>
    <definedName name="_xlnm.Print_Titles" localSheetId="16">'M. Net Position Calculation'!$1:$2</definedName>
    <definedName name="_xlnm.Print_Titles" localSheetId="17">'N.1a LGERS Data CY'!$1:$2</definedName>
    <definedName name="_xlnm.Print_Titles" localSheetId="22">'N.1b 2017 summary'!$4:$5</definedName>
    <definedName name="_xlnm.Print_Titles" localSheetId="18">'N.1b LGERS Data PY'!$5:$6</definedName>
    <definedName name="ProjDisc?">[1]DeveloperInfo!$D$65</definedName>
    <definedName name="ProValResults" localSheetId="19">#REF!</definedName>
    <definedName name="ProValResults" localSheetId="17">#REF!</definedName>
    <definedName name="ProValResults" localSheetId="22">#REF!</definedName>
    <definedName name="ProValResults" localSheetId="18">#REF!</definedName>
    <definedName name="ProValResults" localSheetId="24">#REF!</definedName>
    <definedName name="ProValResults" localSheetId="23">#REF!</definedName>
    <definedName name="ProValResults" localSheetId="29">#REF!</definedName>
    <definedName name="ProValResults" localSheetId="28">#REF!</definedName>
    <definedName name="ProValResults">#REF!</definedName>
    <definedName name="ProValResults1" localSheetId="19">#REF!</definedName>
    <definedName name="ProValResults1" localSheetId="24">#REF!</definedName>
    <definedName name="ProValResults1" localSheetId="23">#REF!</definedName>
    <definedName name="ProValResults1" localSheetId="29">#REF!</definedName>
    <definedName name="ProValResults1" localSheetId="28">#REF!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19">#REF!</definedName>
    <definedName name="TableData" localSheetId="17">#REF!</definedName>
    <definedName name="TableData" localSheetId="22">#REF!</definedName>
    <definedName name="TableData" localSheetId="18">#REF!</definedName>
    <definedName name="TableData" localSheetId="24">#REF!</definedName>
    <definedName name="TableData" localSheetId="23">#REF!</definedName>
    <definedName name="TableData" localSheetId="29">#REF!</definedName>
    <definedName name="TableData" localSheetId="28">#REF!</definedName>
    <definedName name="TableData">#REF!</definedName>
    <definedName name="TableData1" localSheetId="19">#REF!</definedName>
    <definedName name="TableData1" localSheetId="24">#REF!</definedName>
    <definedName name="TableData1" localSheetId="23">#REF!</definedName>
    <definedName name="TableData1" localSheetId="29">#REF!</definedName>
    <definedName name="TableData1" localSheetId="28">#REF!</definedName>
    <definedName name="TableData1">#REF!</definedName>
    <definedName name="Type" localSheetId="19">#REF!</definedName>
    <definedName name="Type" localSheetId="17">#REF!</definedName>
    <definedName name="Type" localSheetId="22">#REF!</definedName>
    <definedName name="Type" localSheetId="24">#REF!</definedName>
    <definedName name="Type" localSheetId="23">#REF!</definedName>
    <definedName name="Type" localSheetId="29">#REF!</definedName>
    <definedName name="Type" localSheetId="28">#REF!</definedName>
    <definedName name="Type">#REF!</definedName>
    <definedName name="TypeAnnuity" localSheetId="19">#REF!</definedName>
    <definedName name="TypeAnnuity" localSheetId="17">#REF!</definedName>
    <definedName name="TypeAnnuity" localSheetId="22">#REF!</definedName>
    <definedName name="TypeAnnuity" localSheetId="18">'[2]Assets Input'!$K$37:$K$56</definedName>
    <definedName name="TypeAnnuity" localSheetId="24">#REF!</definedName>
    <definedName name="TypeAnnuity" localSheetId="23">#REF!</definedName>
    <definedName name="TypeAnnuity" localSheetId="29">#REF!</definedName>
    <definedName name="TypeAnnuity" localSheetId="28">#REF!</definedName>
    <definedName name="TypeAnnuity">#REF!</definedName>
    <definedName name="TypeAnnuity1" localSheetId="19">#REF!</definedName>
    <definedName name="TypeAnnuity1" localSheetId="24">#REF!</definedName>
    <definedName name="TypeAnnuity1" localSheetId="23">#REF!</definedName>
    <definedName name="TypeAnnuity1" localSheetId="29">#REF!</definedName>
    <definedName name="TypeAnnuity1" localSheetId="28">#REF!</definedName>
    <definedName name="TypeAnnuity1">#REF!</definedName>
    <definedName name="TypePension" localSheetId="19">#REF!</definedName>
    <definedName name="TypePension" localSheetId="17">#REF!</definedName>
    <definedName name="TypePension" localSheetId="22">#REF!</definedName>
    <definedName name="TypePension" localSheetId="18">'[2]Assets Input'!$K$60:$K$95</definedName>
    <definedName name="TypePension" localSheetId="24">#REF!</definedName>
    <definedName name="TypePension" localSheetId="23">#REF!</definedName>
    <definedName name="TypePension" localSheetId="29">#REF!</definedName>
    <definedName name="TypePension" localSheetId="28">#REF!</definedName>
    <definedName name="TypePension">#REF!</definedName>
    <definedName name="TypePension1" localSheetId="19">#REF!</definedName>
    <definedName name="TypePension1" localSheetId="24">#REF!</definedName>
    <definedName name="TypePension1" localSheetId="23">#REF!</definedName>
    <definedName name="TypePension1" localSheetId="29">#REF!</definedName>
    <definedName name="TypePension1" localSheetId="28">#REF!</definedName>
    <definedName name="TypePension1">#REF!</definedName>
    <definedName name="UnfundedData" localSheetId="19">#REF!</definedName>
    <definedName name="UnfundedData" localSheetId="17">#REF!</definedName>
    <definedName name="UnfundedData" localSheetId="22">#REF!</definedName>
    <definedName name="UnfundedData" localSheetId="18">#REF!</definedName>
    <definedName name="UnfundedData" localSheetId="24">#REF!</definedName>
    <definedName name="UnfundedData" localSheetId="23">#REF!</definedName>
    <definedName name="UnfundedData" localSheetId="29">#REF!</definedName>
    <definedName name="UnfundedData" localSheetId="28">#REF!</definedName>
    <definedName name="UnfundedData">#REF!</definedName>
    <definedName name="UnfundedData1" localSheetId="19">#REF!</definedName>
    <definedName name="UnfundedData1" localSheetId="24">#REF!</definedName>
    <definedName name="UnfundedData1" localSheetId="23">#REF!</definedName>
    <definedName name="UnfundedData1" localSheetId="29">#REF!</definedName>
    <definedName name="UnfundedData1" localSheetId="28">#REF!</definedName>
    <definedName name="UnfundedData1">#REF!</definedName>
    <definedName name="UnfundedLY" localSheetId="19">#REF!</definedName>
    <definedName name="UnfundedLY" localSheetId="17">#REF!</definedName>
    <definedName name="UnfundedLY" localSheetId="22">#REF!</definedName>
    <definedName name="UnfundedLY" localSheetId="18">#REF!</definedName>
    <definedName name="UnfundedLY" localSheetId="24">#REF!</definedName>
    <definedName name="UnfundedLY" localSheetId="23">#REF!</definedName>
    <definedName name="UnfundedLY" localSheetId="29">#REF!</definedName>
    <definedName name="UnfundedLY" localSheetId="28">#REF!</definedName>
    <definedName name="UnfundedLY">#REF!</definedName>
    <definedName name="UnfundedLY1" localSheetId="19">#REF!</definedName>
    <definedName name="UnfundedLY1" localSheetId="24">#REF!</definedName>
    <definedName name="UnfundedLY1" localSheetId="23">#REF!</definedName>
    <definedName name="UnfundedLY1" localSheetId="29">#REF!</definedName>
    <definedName name="UnfundedLY1" localSheetId="28">#REF!</definedName>
    <definedName name="UnfundedLY1">#REF!</definedName>
    <definedName name="UnfundedLYLEO1" localSheetId="19">#REF!</definedName>
    <definedName name="UnfundedLYLEO1" localSheetId="24">#REF!</definedName>
    <definedName name="UnfundedLYLEO1" localSheetId="23">#REF!</definedName>
    <definedName name="UnfundedLYLEO1" localSheetId="29">#REF!</definedName>
    <definedName name="UnfundedLYLEO1" localSheetId="28">#REF!</definedName>
    <definedName name="UnfundedLYLEO1">#REF!</definedName>
    <definedName name="UnfunedLYLEO" localSheetId="19">#REF!</definedName>
    <definedName name="UnfunedLYLEO" localSheetId="17">#REF!</definedName>
    <definedName name="UnfunedLYLEO" localSheetId="22">#REF!</definedName>
    <definedName name="UnfunedLYLEO" localSheetId="18">#REF!</definedName>
    <definedName name="UnfunedLYLEO" localSheetId="24">#REF!</definedName>
    <definedName name="UnfunedLYLEO" localSheetId="23">#REF!</definedName>
    <definedName name="UnfunedLYLEO" localSheetId="29">#REF!</definedName>
    <definedName name="UnfunedLYLEO" localSheetId="28">#REF!</definedName>
    <definedName name="UnfunedLYLEO">#REF!</definedName>
    <definedName name="VersionGASB">[1]DeveloperInfo!$D$4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70" i="1" l="1"/>
  <c r="AK72" i="1"/>
  <c r="M218" i="4"/>
  <c r="M219" i="4"/>
  <c r="O218" i="4"/>
  <c r="O219" i="4"/>
  <c r="L302" i="4"/>
  <c r="L303" i="4"/>
  <c r="L304" i="4"/>
  <c r="L305" i="4"/>
  <c r="O304" i="4"/>
  <c r="O305" i="4"/>
  <c r="O306" i="4"/>
  <c r="Q304" i="4"/>
  <c r="Q305" i="4"/>
  <c r="S304" i="4"/>
  <c r="S305" i="4"/>
  <c r="AC304" i="4"/>
  <c r="AC305" i="4"/>
  <c r="AN72" i="1"/>
  <c r="AN70" i="1"/>
  <c r="AN71" i="1"/>
  <c r="L69" i="5"/>
  <c r="L70" i="5"/>
  <c r="L61" i="3"/>
  <c r="L60" i="3"/>
  <c r="AK67" i="1" s="1"/>
  <c r="AK71" i="1"/>
  <c r="AK324" i="1"/>
  <c r="AN326" i="1"/>
  <c r="AK322" i="1"/>
  <c r="AN321" i="1"/>
  <c r="AK313" i="1"/>
  <c r="AN312" i="1"/>
  <c r="AK304" i="1"/>
  <c r="AN303" i="1"/>
  <c r="AK295" i="1"/>
  <c r="AN294" i="1"/>
  <c r="AK286" i="1"/>
  <c r="AN285" i="1"/>
  <c r="AK277" i="1"/>
  <c r="AN276" i="1"/>
  <c r="AK268" i="1"/>
  <c r="AN267" i="1"/>
  <c r="AK257" i="1"/>
  <c r="AN256" i="1"/>
  <c r="AK267" i="1"/>
  <c r="AK276" i="1"/>
  <c r="AK285" i="1"/>
  <c r="AJ76" i="1"/>
  <c r="AC76" i="1"/>
  <c r="AE76" i="1" s="1"/>
  <c r="AB76" i="1"/>
  <c r="AD76" i="1" s="1"/>
  <c r="AJ75" i="1"/>
  <c r="AC75" i="1"/>
  <c r="AE75" i="1" s="1"/>
  <c r="AW75" i="1" s="1"/>
  <c r="AB75" i="1"/>
  <c r="AD75" i="1" s="1"/>
  <c r="AJ74" i="1"/>
  <c r="AC74" i="1"/>
  <c r="AE74" i="1" s="1"/>
  <c r="AB74" i="1"/>
  <c r="AD74" i="1" s="1"/>
  <c r="AM73" i="1"/>
  <c r="AC73" i="1"/>
  <c r="AE73" i="1" s="1"/>
  <c r="AB73" i="1"/>
  <c r="AD73" i="1" s="1"/>
  <c r="AM72" i="1"/>
  <c r="AJ72" i="1"/>
  <c r="AC72" i="1"/>
  <c r="AE72" i="1" s="1"/>
  <c r="AB72" i="1"/>
  <c r="AD72" i="1" s="1"/>
  <c r="AM71" i="1"/>
  <c r="AJ71" i="1"/>
  <c r="AC71" i="1"/>
  <c r="AE71" i="1" s="1"/>
  <c r="AB71" i="1"/>
  <c r="AD71" i="1" s="1"/>
  <c r="AN138" i="1"/>
  <c r="AN40" i="1"/>
  <c r="AK39" i="1"/>
  <c r="AK138" i="1"/>
  <c r="AK139" i="1"/>
  <c r="N96" i="13"/>
  <c r="R126" i="13"/>
  <c r="K126" i="13"/>
  <c r="S126" i="13" s="1"/>
  <c r="N97" i="13" s="1"/>
  <c r="R125" i="13"/>
  <c r="K125" i="13"/>
  <c r="S125" i="13" s="1"/>
  <c r="S107" i="13"/>
  <c r="J107" i="13"/>
  <c r="R107" i="13" s="1"/>
  <c r="N51" i="12"/>
  <c r="L51" i="12"/>
  <c r="J229" i="19"/>
  <c r="AP138" i="1" s="1"/>
  <c r="L238" i="19"/>
  <c r="AS126" i="1" s="1"/>
  <c r="AB138" i="1"/>
  <c r="AD138" i="1" s="1"/>
  <c r="AC138" i="1"/>
  <c r="AE138" i="1" s="1"/>
  <c r="AO138" i="1"/>
  <c r="AM138" i="1"/>
  <c r="AJ138" i="1"/>
  <c r="AR126" i="1"/>
  <c r="AC126" i="1"/>
  <c r="AE126" i="1" s="1"/>
  <c r="AB126" i="1"/>
  <c r="AD126" i="1" s="1"/>
  <c r="AV126" i="1" s="1"/>
  <c r="AB39" i="1"/>
  <c r="AD39" i="1" s="1"/>
  <c r="AC39" i="1"/>
  <c r="AE39" i="1" s="1"/>
  <c r="AW39" i="1" s="1"/>
  <c r="AB40" i="1"/>
  <c r="AD40" i="1" s="1"/>
  <c r="AV40" i="1" s="1"/>
  <c r="AC40" i="1"/>
  <c r="AE40" i="1" s="1"/>
  <c r="AC20" i="1"/>
  <c r="AE20" i="1" s="1"/>
  <c r="AW20" i="1" s="1"/>
  <c r="AB20" i="1"/>
  <c r="AD20" i="1" s="1"/>
  <c r="AV20" i="1" s="1"/>
  <c r="M76" i="46"/>
  <c r="M75" i="46"/>
  <c r="M74" i="46"/>
  <c r="M73" i="46"/>
  <c r="M72" i="46"/>
  <c r="M71" i="46"/>
  <c r="M70" i="46"/>
  <c r="M69" i="46"/>
  <c r="M68" i="46"/>
  <c r="M80" i="46" s="1"/>
  <c r="H61" i="46"/>
  <c r="O77" i="46" s="1"/>
  <c r="O80" i="46" s="1"/>
  <c r="O40" i="46"/>
  <c r="O39" i="46"/>
  <c r="O38" i="46"/>
  <c r="O37" i="46"/>
  <c r="O36" i="46"/>
  <c r="O35" i="46"/>
  <c r="O34" i="46"/>
  <c r="O33" i="46"/>
  <c r="O32" i="46"/>
  <c r="H24" i="46"/>
  <c r="M31" i="46" s="1"/>
  <c r="M41" i="46" s="1"/>
  <c r="C30" i="25"/>
  <c r="E30" i="25" s="1"/>
  <c r="D30" i="25"/>
  <c r="F30" i="25"/>
  <c r="G30" i="25"/>
  <c r="H30" i="25"/>
  <c r="J30" i="25"/>
  <c r="K30" i="25"/>
  <c r="L30" i="25"/>
  <c r="M30" i="25"/>
  <c r="O30" i="25"/>
  <c r="Q30" i="25"/>
  <c r="R30" i="25"/>
  <c r="T30" i="25"/>
  <c r="U30" i="25"/>
  <c r="V30" i="25"/>
  <c r="C39" i="25"/>
  <c r="E39" i="25" s="1"/>
  <c r="D39" i="25"/>
  <c r="F39" i="25"/>
  <c r="G39" i="25"/>
  <c r="H39" i="25"/>
  <c r="J39" i="25"/>
  <c r="K39" i="25"/>
  <c r="L39" i="25"/>
  <c r="M39" i="25"/>
  <c r="O39" i="25"/>
  <c r="P39" i="25"/>
  <c r="Q39" i="25"/>
  <c r="R39" i="25"/>
  <c r="T39" i="25"/>
  <c r="U39" i="25"/>
  <c r="V39" i="25"/>
  <c r="AF85" i="1"/>
  <c r="AW322" i="1"/>
  <c r="AW313" i="1"/>
  <c r="AW304" i="1"/>
  <c r="AW295" i="1"/>
  <c r="AW286" i="1"/>
  <c r="AW277" i="1"/>
  <c r="AW268" i="1"/>
  <c r="AW257" i="1"/>
  <c r="AC38" i="1"/>
  <c r="AE38" i="1" s="1"/>
  <c r="AB38" i="1"/>
  <c r="AD38" i="1" s="1"/>
  <c r="AV38" i="1" s="1"/>
  <c r="AC37" i="1"/>
  <c r="AE37" i="1" s="1"/>
  <c r="AW37" i="1" s="1"/>
  <c r="AB37" i="1"/>
  <c r="AD37" i="1" s="1"/>
  <c r="M76" i="45"/>
  <c r="AK321" i="1" s="1"/>
  <c r="AV322" i="1" s="1"/>
  <c r="M75" i="45"/>
  <c r="AK312" i="1" s="1"/>
  <c r="AV313" i="1" s="1"/>
  <c r="M74" i="45"/>
  <c r="M73" i="45"/>
  <c r="AK303" i="1" s="1"/>
  <c r="AV304" i="1" s="1"/>
  <c r="M72" i="45"/>
  <c r="AK294" i="1" s="1"/>
  <c r="AV295" i="1" s="1"/>
  <c r="M71" i="45"/>
  <c r="AV286" i="1" s="1"/>
  <c r="M70" i="45"/>
  <c r="M69" i="45"/>
  <c r="M68" i="45"/>
  <c r="AK256" i="1" s="1"/>
  <c r="AV257" i="1" s="1"/>
  <c r="H61" i="45"/>
  <c r="O77" i="45" s="1"/>
  <c r="O80" i="45" s="1"/>
  <c r="AB305" i="4" l="1"/>
  <c r="AB304" i="4"/>
  <c r="AV277" i="1"/>
  <c r="AV268" i="1"/>
  <c r="AV72" i="1"/>
  <c r="AV71" i="1"/>
  <c r="AZ71" i="1" s="1"/>
  <c r="C65" i="22" s="1"/>
  <c r="AW72" i="1"/>
  <c r="AW71" i="1"/>
  <c r="AW126" i="1"/>
  <c r="BA126" i="1" s="1"/>
  <c r="AV138" i="1"/>
  <c r="AW40" i="1"/>
  <c r="AZ40" i="1" s="1"/>
  <c r="O41" i="46"/>
  <c r="AV39" i="1"/>
  <c r="BA20" i="1"/>
  <c r="AZ20" i="1"/>
  <c r="AN38" i="1"/>
  <c r="AW38" i="1" s="1"/>
  <c r="M80" i="45"/>
  <c r="O40" i="45"/>
  <c r="AN320" i="1" s="1"/>
  <c r="AW320" i="1" s="1"/>
  <c r="O39" i="45"/>
  <c r="AN311" i="1" s="1"/>
  <c r="AW311" i="1" s="1"/>
  <c r="O38" i="45"/>
  <c r="O37" i="45"/>
  <c r="AN302" i="1" s="1"/>
  <c r="AW302" i="1" s="1"/>
  <c r="O36" i="45"/>
  <c r="AN293" i="1" s="1"/>
  <c r="AW293" i="1" s="1"/>
  <c r="O35" i="45"/>
  <c r="AN284" i="1" s="1"/>
  <c r="AW284" i="1" s="1"/>
  <c r="O34" i="45"/>
  <c r="AN275" i="1" s="1"/>
  <c r="AW275" i="1" s="1"/>
  <c r="O33" i="45"/>
  <c r="AN266" i="1" s="1"/>
  <c r="AW266" i="1" s="1"/>
  <c r="H24" i="45"/>
  <c r="M31" i="45" s="1"/>
  <c r="AK37" i="1" s="1"/>
  <c r="AV37" i="1" s="1"/>
  <c r="BA37" i="1" s="1"/>
  <c r="BA72" i="1" l="1"/>
  <c r="D65" i="22" s="1"/>
  <c r="BA40" i="1"/>
  <c r="AZ39" i="1"/>
  <c r="BA39" i="1"/>
  <c r="AZ38" i="1"/>
  <c r="BA38" i="1"/>
  <c r="AZ37" i="1"/>
  <c r="O32" i="45"/>
  <c r="M41" i="45"/>
  <c r="O41" i="45" l="1"/>
  <c r="AN255" i="1"/>
  <c r="AC152" i="1"/>
  <c r="AE152" i="1" s="1"/>
  <c r="AW152" i="1" s="1"/>
  <c r="AB152" i="1"/>
  <c r="AD152" i="1" s="1"/>
  <c r="AV152" i="1" s="1"/>
  <c r="AC19" i="1"/>
  <c r="AE19" i="1" s="1"/>
  <c r="AW19" i="1" s="1"/>
  <c r="AB19" i="1"/>
  <c r="AD19" i="1" s="1"/>
  <c r="AV19" i="1" s="1"/>
  <c r="BA19" i="1" l="1"/>
  <c r="AZ19" i="1"/>
  <c r="BA152" i="1"/>
  <c r="AZ152" i="1"/>
  <c r="A37" i="25"/>
  <c r="A35" i="25"/>
  <c r="A28" i="25"/>
  <c r="A26" i="25"/>
  <c r="D9" i="31" l="1"/>
  <c r="K56" i="31" l="1"/>
  <c r="K52" i="31"/>
  <c r="K46" i="31"/>
  <c r="AG165" i="1" l="1"/>
  <c r="C904" i="43" l="1"/>
  <c r="C666" i="43"/>
  <c r="P923" i="42"/>
  <c r="K923" i="42"/>
  <c r="P922" i="42"/>
  <c r="K922" i="42"/>
  <c r="P921" i="42"/>
  <c r="K921" i="42"/>
  <c r="P920" i="42"/>
  <c r="K920" i="42"/>
  <c r="P919" i="42"/>
  <c r="K919" i="42"/>
  <c r="P918" i="42"/>
  <c r="K918" i="42"/>
  <c r="P917" i="42"/>
  <c r="K917" i="42"/>
  <c r="P916" i="42"/>
  <c r="K916" i="42"/>
  <c r="P915" i="42"/>
  <c r="K915" i="42"/>
  <c r="P914" i="42"/>
  <c r="K914" i="42"/>
  <c r="P913" i="42"/>
  <c r="K913" i="42"/>
  <c r="P912" i="42"/>
  <c r="K912" i="42"/>
  <c r="P911" i="42"/>
  <c r="K911" i="42"/>
  <c r="P910" i="42"/>
  <c r="K910" i="42"/>
  <c r="P909" i="42"/>
  <c r="K909" i="42"/>
  <c r="P908" i="42"/>
  <c r="K908" i="42"/>
  <c r="P907" i="42"/>
  <c r="K907" i="42"/>
  <c r="P906" i="42"/>
  <c r="K906" i="42"/>
  <c r="P905" i="42"/>
  <c r="K905" i="42"/>
  <c r="P904" i="42"/>
  <c r="K904" i="42"/>
  <c r="P903" i="42"/>
  <c r="K903" i="42"/>
  <c r="P902" i="42"/>
  <c r="K902" i="42"/>
  <c r="P901" i="42"/>
  <c r="K901" i="42"/>
  <c r="P900" i="42"/>
  <c r="K900" i="42"/>
  <c r="P899" i="42"/>
  <c r="K899" i="42"/>
  <c r="P898" i="42"/>
  <c r="K898" i="42"/>
  <c r="P897" i="42"/>
  <c r="K897" i="42"/>
  <c r="P896" i="42"/>
  <c r="K896" i="42"/>
  <c r="P895" i="42"/>
  <c r="K895" i="42"/>
  <c r="P894" i="42"/>
  <c r="K894" i="42"/>
  <c r="P893" i="42"/>
  <c r="K893" i="42"/>
  <c r="P892" i="42"/>
  <c r="K892" i="42"/>
  <c r="P891" i="42"/>
  <c r="K891" i="42"/>
  <c r="P890" i="42"/>
  <c r="K890" i="42"/>
  <c r="P889" i="42"/>
  <c r="K889" i="42"/>
  <c r="P888" i="42"/>
  <c r="K888" i="42"/>
  <c r="P887" i="42"/>
  <c r="K887" i="42"/>
  <c r="P886" i="42"/>
  <c r="K886" i="42"/>
  <c r="P885" i="42"/>
  <c r="K885" i="42"/>
  <c r="P884" i="42"/>
  <c r="K884" i="42"/>
  <c r="P883" i="42"/>
  <c r="K883" i="42"/>
  <c r="P882" i="42"/>
  <c r="K882" i="42"/>
  <c r="P881" i="42"/>
  <c r="K881" i="42"/>
  <c r="P880" i="42"/>
  <c r="K880" i="42"/>
  <c r="P879" i="42"/>
  <c r="K879" i="42"/>
  <c r="P878" i="42"/>
  <c r="K878" i="42"/>
  <c r="P877" i="42"/>
  <c r="K877" i="42"/>
  <c r="P876" i="42"/>
  <c r="K876" i="42"/>
  <c r="P875" i="42"/>
  <c r="K875" i="42"/>
  <c r="P874" i="42"/>
  <c r="K874" i="42"/>
  <c r="P873" i="42"/>
  <c r="K873" i="42"/>
  <c r="P872" i="42"/>
  <c r="K872" i="42"/>
  <c r="P871" i="42"/>
  <c r="K871" i="42"/>
  <c r="P870" i="42"/>
  <c r="K870" i="42"/>
  <c r="P869" i="42"/>
  <c r="K869" i="42"/>
  <c r="P868" i="42"/>
  <c r="K868" i="42"/>
  <c r="P867" i="42"/>
  <c r="K867" i="42"/>
  <c r="P866" i="42"/>
  <c r="K866" i="42"/>
  <c r="P865" i="42"/>
  <c r="K865" i="42"/>
  <c r="P864" i="42"/>
  <c r="K864" i="42"/>
  <c r="P863" i="42"/>
  <c r="K863" i="42"/>
  <c r="P862" i="42"/>
  <c r="K862" i="42"/>
  <c r="P861" i="42"/>
  <c r="K861" i="42"/>
  <c r="P860" i="42"/>
  <c r="K860" i="42"/>
  <c r="P859" i="42"/>
  <c r="K859" i="42"/>
  <c r="P858" i="42"/>
  <c r="K858" i="42"/>
  <c r="P857" i="42"/>
  <c r="K857" i="42"/>
  <c r="P856" i="42"/>
  <c r="K856" i="42"/>
  <c r="P855" i="42"/>
  <c r="K855" i="42"/>
  <c r="P854" i="42"/>
  <c r="K854" i="42"/>
  <c r="P853" i="42"/>
  <c r="K853" i="42"/>
  <c r="P852" i="42"/>
  <c r="K852" i="42"/>
  <c r="P851" i="42"/>
  <c r="K851" i="42"/>
  <c r="P850" i="42"/>
  <c r="K850" i="42"/>
  <c r="P849" i="42"/>
  <c r="K849" i="42"/>
  <c r="P848" i="42"/>
  <c r="K848" i="42"/>
  <c r="P847" i="42"/>
  <c r="K847" i="42"/>
  <c r="P846" i="42"/>
  <c r="K846" i="42"/>
  <c r="P845" i="42"/>
  <c r="K845" i="42"/>
  <c r="P844" i="42"/>
  <c r="K844" i="42"/>
  <c r="P843" i="42"/>
  <c r="K843" i="42"/>
  <c r="P842" i="42"/>
  <c r="K842" i="42"/>
  <c r="P841" i="42"/>
  <c r="K841" i="42"/>
  <c r="P840" i="42"/>
  <c r="K840" i="42"/>
  <c r="P839" i="42"/>
  <c r="K839" i="42"/>
  <c r="P838" i="42"/>
  <c r="K838" i="42"/>
  <c r="P837" i="42"/>
  <c r="K837" i="42"/>
  <c r="P836" i="42"/>
  <c r="K836" i="42"/>
  <c r="P835" i="42"/>
  <c r="K835" i="42"/>
  <c r="P834" i="42"/>
  <c r="K834" i="42"/>
  <c r="P833" i="42"/>
  <c r="K833" i="42"/>
  <c r="P832" i="42"/>
  <c r="K832" i="42"/>
  <c r="P831" i="42"/>
  <c r="K831" i="42"/>
  <c r="P830" i="42"/>
  <c r="K830" i="42"/>
  <c r="P829" i="42"/>
  <c r="K829" i="42"/>
  <c r="P828" i="42"/>
  <c r="K828" i="42"/>
  <c r="P827" i="42"/>
  <c r="K827" i="42"/>
  <c r="P826" i="42"/>
  <c r="K826" i="42"/>
  <c r="P825" i="42"/>
  <c r="K825" i="42"/>
  <c r="P824" i="42"/>
  <c r="K824" i="42"/>
  <c r="P823" i="42"/>
  <c r="K823" i="42"/>
  <c r="P822" i="42"/>
  <c r="K822" i="42"/>
  <c r="P821" i="42"/>
  <c r="K821" i="42"/>
  <c r="P820" i="42"/>
  <c r="K820" i="42"/>
  <c r="P819" i="42"/>
  <c r="K819" i="42"/>
  <c r="P818" i="42"/>
  <c r="K818" i="42"/>
  <c r="P817" i="42"/>
  <c r="K817" i="42"/>
  <c r="P816" i="42"/>
  <c r="K816" i="42"/>
  <c r="P815" i="42"/>
  <c r="K815" i="42"/>
  <c r="P814" i="42"/>
  <c r="K814" i="42"/>
  <c r="P813" i="42"/>
  <c r="K813" i="42"/>
  <c r="P812" i="42"/>
  <c r="K812" i="42"/>
  <c r="P811" i="42"/>
  <c r="K811" i="42"/>
  <c r="P810" i="42"/>
  <c r="K810" i="42"/>
  <c r="P809" i="42"/>
  <c r="K809" i="42"/>
  <c r="T808" i="42"/>
  <c r="S808" i="42"/>
  <c r="R808" i="42"/>
  <c r="O808" i="42"/>
  <c r="N808" i="42"/>
  <c r="M808" i="42"/>
  <c r="J808" i="42"/>
  <c r="I808" i="42"/>
  <c r="H808" i="42"/>
  <c r="G808" i="42"/>
  <c r="E808" i="42"/>
  <c r="D808" i="42"/>
  <c r="C808" i="42"/>
  <c r="P807" i="42"/>
  <c r="K807" i="42"/>
  <c r="P806" i="42"/>
  <c r="K806" i="42"/>
  <c r="K808" i="42" s="1"/>
  <c r="P805" i="42"/>
  <c r="K805" i="42"/>
  <c r="P804" i="42"/>
  <c r="K804" i="42"/>
  <c r="P803" i="42"/>
  <c r="K803" i="42"/>
  <c r="P802" i="42"/>
  <c r="K802" i="42"/>
  <c r="P801" i="42"/>
  <c r="K801" i="42"/>
  <c r="P800" i="42"/>
  <c r="K800" i="42"/>
  <c r="P799" i="42"/>
  <c r="K799" i="42"/>
  <c r="P798" i="42"/>
  <c r="K798" i="42"/>
  <c r="P797" i="42"/>
  <c r="K797" i="42"/>
  <c r="P796" i="42"/>
  <c r="K796" i="42"/>
  <c r="P795" i="42"/>
  <c r="K795" i="42"/>
  <c r="P794" i="42"/>
  <c r="K794" i="42"/>
  <c r="P793" i="42"/>
  <c r="K793" i="42"/>
  <c r="T792" i="42"/>
  <c r="S792" i="42"/>
  <c r="R792" i="42"/>
  <c r="O792" i="42"/>
  <c r="N792" i="42"/>
  <c r="M792" i="42"/>
  <c r="J792" i="42"/>
  <c r="I792" i="42"/>
  <c r="H792" i="42"/>
  <c r="G792" i="42"/>
  <c r="E792" i="42"/>
  <c r="D792" i="42"/>
  <c r="C792" i="42"/>
  <c r="P790" i="42"/>
  <c r="P792" i="42" s="1"/>
  <c r="K790" i="42"/>
  <c r="K792" i="42" s="1"/>
  <c r="P789" i="42"/>
  <c r="K789" i="42"/>
  <c r="P788" i="42"/>
  <c r="K788" i="42"/>
  <c r="P787" i="42"/>
  <c r="K787" i="42"/>
  <c r="P786" i="42"/>
  <c r="K786" i="42"/>
  <c r="P785" i="42"/>
  <c r="K785" i="42"/>
  <c r="P784" i="42"/>
  <c r="K784" i="42"/>
  <c r="P783" i="42"/>
  <c r="K783" i="42"/>
  <c r="P782" i="42"/>
  <c r="K782" i="42"/>
  <c r="P781" i="42"/>
  <c r="K781" i="42"/>
  <c r="P780" i="42"/>
  <c r="K780" i="42"/>
  <c r="P779" i="42"/>
  <c r="K779" i="42"/>
  <c r="P778" i="42"/>
  <c r="K778" i="42"/>
  <c r="P777" i="42"/>
  <c r="K777" i="42"/>
  <c r="P776" i="42"/>
  <c r="K776" i="42"/>
  <c r="P775" i="42"/>
  <c r="K775" i="42"/>
  <c r="P774" i="42"/>
  <c r="K774" i="42"/>
  <c r="P773" i="42"/>
  <c r="K773" i="42"/>
  <c r="P772" i="42"/>
  <c r="K772" i="42"/>
  <c r="P771" i="42"/>
  <c r="K771" i="42"/>
  <c r="P770" i="42"/>
  <c r="K770" i="42"/>
  <c r="P769" i="42"/>
  <c r="K769" i="42"/>
  <c r="P768" i="42"/>
  <c r="K768" i="42"/>
  <c r="P767" i="42"/>
  <c r="K767" i="42"/>
  <c r="P766" i="42"/>
  <c r="K766" i="42"/>
  <c r="P765" i="42"/>
  <c r="K765" i="42"/>
  <c r="P764" i="42"/>
  <c r="K764" i="42"/>
  <c r="P763" i="42"/>
  <c r="K763" i="42"/>
  <c r="P762" i="42"/>
  <c r="K762" i="42"/>
  <c r="P761" i="42"/>
  <c r="K761" i="42"/>
  <c r="P760" i="42"/>
  <c r="K760" i="42"/>
  <c r="P759" i="42"/>
  <c r="K759" i="42"/>
  <c r="P758" i="42"/>
  <c r="K758" i="42"/>
  <c r="P757" i="42"/>
  <c r="K757" i="42"/>
  <c r="P756" i="42"/>
  <c r="K756" i="42"/>
  <c r="P755" i="42"/>
  <c r="K755" i="42"/>
  <c r="P754" i="42"/>
  <c r="K754" i="42"/>
  <c r="P753" i="42"/>
  <c r="K753" i="42"/>
  <c r="P752" i="42"/>
  <c r="K752" i="42"/>
  <c r="P751" i="42"/>
  <c r="K751" i="42"/>
  <c r="P750" i="42"/>
  <c r="K750" i="42"/>
  <c r="P749" i="42"/>
  <c r="K749" i="42"/>
  <c r="P748" i="42"/>
  <c r="K748" i="42"/>
  <c r="P747" i="42"/>
  <c r="K747" i="42"/>
  <c r="P746" i="42"/>
  <c r="K746" i="42"/>
  <c r="P745" i="42"/>
  <c r="K745" i="42"/>
  <c r="P744" i="42"/>
  <c r="K744" i="42"/>
  <c r="P743" i="42"/>
  <c r="K743" i="42"/>
  <c r="P742" i="42"/>
  <c r="K742" i="42"/>
  <c r="P741" i="42"/>
  <c r="K741" i="42"/>
  <c r="P740" i="42"/>
  <c r="K740" i="42"/>
  <c r="P739" i="42"/>
  <c r="K739" i="42"/>
  <c r="P738" i="42"/>
  <c r="K738" i="42"/>
  <c r="P737" i="42"/>
  <c r="K737" i="42"/>
  <c r="P736" i="42"/>
  <c r="K736" i="42"/>
  <c r="P735" i="42"/>
  <c r="K735" i="42"/>
  <c r="P734" i="42"/>
  <c r="K734" i="42"/>
  <c r="P733" i="42"/>
  <c r="K733" i="42"/>
  <c r="P732" i="42"/>
  <c r="K732" i="42"/>
  <c r="P731" i="42"/>
  <c r="K731" i="42"/>
  <c r="P730" i="42"/>
  <c r="K730" i="42"/>
  <c r="P729" i="42"/>
  <c r="K729" i="42"/>
  <c r="P728" i="42"/>
  <c r="K728" i="42"/>
  <c r="P727" i="42"/>
  <c r="K727" i="42"/>
  <c r="P726" i="42"/>
  <c r="K726" i="42"/>
  <c r="P725" i="42"/>
  <c r="K725" i="42"/>
  <c r="P724" i="42"/>
  <c r="K724" i="42"/>
  <c r="P723" i="42"/>
  <c r="K723" i="42"/>
  <c r="P722" i="42"/>
  <c r="K722" i="42"/>
  <c r="P721" i="42"/>
  <c r="K721" i="42"/>
  <c r="P720" i="42"/>
  <c r="K720" i="42"/>
  <c r="P719" i="42"/>
  <c r="K719" i="42"/>
  <c r="P718" i="42"/>
  <c r="K718" i="42"/>
  <c r="P717" i="42"/>
  <c r="K717" i="42"/>
  <c r="P716" i="42"/>
  <c r="K716" i="42"/>
  <c r="P715" i="42"/>
  <c r="K715" i="42"/>
  <c r="P714" i="42"/>
  <c r="K714" i="42"/>
  <c r="P713" i="42"/>
  <c r="K713" i="42"/>
  <c r="P712" i="42"/>
  <c r="K712" i="42"/>
  <c r="P711" i="42"/>
  <c r="K711" i="42"/>
  <c r="P710" i="42"/>
  <c r="K710" i="42"/>
  <c r="P709" i="42"/>
  <c r="K709" i="42"/>
  <c r="P708" i="42"/>
  <c r="K708" i="42"/>
  <c r="P707" i="42"/>
  <c r="K707" i="42"/>
  <c r="P706" i="42"/>
  <c r="K706" i="42"/>
  <c r="P705" i="42"/>
  <c r="K705" i="42"/>
  <c r="P704" i="42"/>
  <c r="K704" i="42"/>
  <c r="P703" i="42"/>
  <c r="K703" i="42"/>
  <c r="P702" i="42"/>
  <c r="K702" i="42"/>
  <c r="P701" i="42"/>
  <c r="K701" i="42"/>
  <c r="P700" i="42"/>
  <c r="K700" i="42"/>
  <c r="P699" i="42"/>
  <c r="K699" i="42"/>
  <c r="P698" i="42"/>
  <c r="K698" i="42"/>
  <c r="P697" i="42"/>
  <c r="K697" i="42"/>
  <c r="P696" i="42"/>
  <c r="K696" i="42"/>
  <c r="P695" i="42"/>
  <c r="K695" i="42"/>
  <c r="P694" i="42"/>
  <c r="K694" i="42"/>
  <c r="P693" i="42"/>
  <c r="K693" i="42"/>
  <c r="P692" i="42"/>
  <c r="K692" i="42"/>
  <c r="P691" i="42"/>
  <c r="K691" i="42"/>
  <c r="P690" i="42"/>
  <c r="K690" i="42"/>
  <c r="P689" i="42"/>
  <c r="K689" i="42"/>
  <c r="P688" i="42"/>
  <c r="K688" i="42"/>
  <c r="P687" i="42"/>
  <c r="K687" i="42"/>
  <c r="P686" i="42"/>
  <c r="K686" i="42"/>
  <c r="P685" i="42"/>
  <c r="K685" i="42"/>
  <c r="P684" i="42"/>
  <c r="K684" i="42"/>
  <c r="P683" i="42"/>
  <c r="K683" i="42"/>
  <c r="T682" i="42"/>
  <c r="S682" i="42"/>
  <c r="R682" i="42"/>
  <c r="O682" i="42"/>
  <c r="N682" i="42"/>
  <c r="M682" i="42"/>
  <c r="J682" i="42"/>
  <c r="I682" i="42"/>
  <c r="H682" i="42"/>
  <c r="G682" i="42"/>
  <c r="E682" i="42"/>
  <c r="D682" i="42"/>
  <c r="C682" i="42"/>
  <c r="P681" i="42"/>
  <c r="K681" i="42"/>
  <c r="P680" i="42"/>
  <c r="P682" i="42" s="1"/>
  <c r="K680" i="42"/>
  <c r="P679" i="42"/>
  <c r="K679" i="42"/>
  <c r="P678" i="42"/>
  <c r="K678" i="42"/>
  <c r="P677" i="42"/>
  <c r="K677" i="42"/>
  <c r="P676" i="42"/>
  <c r="K676" i="42"/>
  <c r="P675" i="42"/>
  <c r="K675" i="42"/>
  <c r="P674" i="42"/>
  <c r="K674" i="42"/>
  <c r="P673" i="42"/>
  <c r="K673" i="42"/>
  <c r="P672" i="42"/>
  <c r="K672" i="42"/>
  <c r="P671" i="42"/>
  <c r="K671" i="42"/>
  <c r="P670" i="42"/>
  <c r="K670" i="42"/>
  <c r="P669" i="42"/>
  <c r="K669" i="42"/>
  <c r="P668" i="42"/>
  <c r="K668" i="42"/>
  <c r="P667" i="42"/>
  <c r="K667" i="42"/>
  <c r="P666" i="42"/>
  <c r="K666" i="42"/>
  <c r="P665" i="42"/>
  <c r="K665" i="42"/>
  <c r="P664" i="42"/>
  <c r="K664" i="42"/>
  <c r="P663" i="42"/>
  <c r="K663" i="42"/>
  <c r="P662" i="42"/>
  <c r="K662" i="42"/>
  <c r="P661" i="42"/>
  <c r="K661" i="42"/>
  <c r="P660" i="42"/>
  <c r="K660" i="42"/>
  <c r="P659" i="42"/>
  <c r="K659" i="42"/>
  <c r="P658" i="42"/>
  <c r="K658" i="42"/>
  <c r="P657" i="42"/>
  <c r="K657" i="42"/>
  <c r="P656" i="42"/>
  <c r="K656" i="42"/>
  <c r="P655" i="42"/>
  <c r="K655" i="42"/>
  <c r="P654" i="42"/>
  <c r="K654" i="42"/>
  <c r="P653" i="42"/>
  <c r="K653" i="42"/>
  <c r="P652" i="42"/>
  <c r="K652" i="42"/>
  <c r="P651" i="42"/>
  <c r="K651" i="42"/>
  <c r="P650" i="42"/>
  <c r="K650" i="42"/>
  <c r="P649" i="42"/>
  <c r="K649" i="42"/>
  <c r="P648" i="42"/>
  <c r="K648" i="42"/>
  <c r="P647" i="42"/>
  <c r="K647" i="42"/>
  <c r="P646" i="42"/>
  <c r="K646" i="42"/>
  <c r="P645" i="42"/>
  <c r="K645" i="42"/>
  <c r="P644" i="42"/>
  <c r="K644" i="42"/>
  <c r="P643" i="42"/>
  <c r="K643" i="42"/>
  <c r="P642" i="42"/>
  <c r="K642" i="42"/>
  <c r="P641" i="42"/>
  <c r="K641" i="42"/>
  <c r="P640" i="42"/>
  <c r="K640" i="42"/>
  <c r="P639" i="42"/>
  <c r="K639" i="42"/>
  <c r="P638" i="42"/>
  <c r="K638" i="42"/>
  <c r="P637" i="42"/>
  <c r="K637" i="42"/>
  <c r="P636" i="42"/>
  <c r="K636" i="42"/>
  <c r="P635" i="42"/>
  <c r="K635" i="42"/>
  <c r="P634" i="42"/>
  <c r="K634" i="42"/>
  <c r="P633" i="42"/>
  <c r="K633" i="42"/>
  <c r="P632" i="42"/>
  <c r="K632" i="42"/>
  <c r="P631" i="42"/>
  <c r="K631" i="42"/>
  <c r="P630" i="42"/>
  <c r="K630" i="42"/>
  <c r="P629" i="42"/>
  <c r="K629" i="42"/>
  <c r="P628" i="42"/>
  <c r="K628" i="42"/>
  <c r="P627" i="42"/>
  <c r="K627" i="42"/>
  <c r="P626" i="42"/>
  <c r="K626" i="42"/>
  <c r="P625" i="42"/>
  <c r="K625" i="42"/>
  <c r="P624" i="42"/>
  <c r="K624" i="42"/>
  <c r="P623" i="42"/>
  <c r="K623" i="42"/>
  <c r="P622" i="42"/>
  <c r="K622" i="42"/>
  <c r="P621" i="42"/>
  <c r="K621" i="42"/>
  <c r="P620" i="42"/>
  <c r="K620" i="42"/>
  <c r="P619" i="42"/>
  <c r="K619" i="42"/>
  <c r="P618" i="42"/>
  <c r="K618" i="42"/>
  <c r="P617" i="42"/>
  <c r="K617" i="42"/>
  <c r="P616" i="42"/>
  <c r="K616" i="42"/>
  <c r="P615" i="42"/>
  <c r="K615" i="42"/>
  <c r="P614" i="42"/>
  <c r="K614" i="42"/>
  <c r="P613" i="42"/>
  <c r="K613" i="42"/>
  <c r="P612" i="42"/>
  <c r="K612" i="42"/>
  <c r="P611" i="42"/>
  <c r="K611" i="42"/>
  <c r="P610" i="42"/>
  <c r="K610" i="42"/>
  <c r="P608" i="42"/>
  <c r="K608" i="42"/>
  <c r="P607" i="42"/>
  <c r="K607" i="42"/>
  <c r="P606" i="42"/>
  <c r="K606" i="42"/>
  <c r="P605" i="42"/>
  <c r="K605" i="42"/>
  <c r="P604" i="42"/>
  <c r="K604" i="42"/>
  <c r="P603" i="42"/>
  <c r="K603" i="42"/>
  <c r="P602" i="42"/>
  <c r="K602" i="42"/>
  <c r="P601" i="42"/>
  <c r="K601" i="42"/>
  <c r="P600" i="42"/>
  <c r="K600" i="42"/>
  <c r="P599" i="42"/>
  <c r="K599" i="42"/>
  <c r="P598" i="42"/>
  <c r="K598" i="42"/>
  <c r="P597" i="42"/>
  <c r="K597" i="42"/>
  <c r="P596" i="42"/>
  <c r="K596" i="42"/>
  <c r="P595" i="42"/>
  <c r="K595" i="42"/>
  <c r="P594" i="42"/>
  <c r="K594" i="42"/>
  <c r="P593" i="42"/>
  <c r="K593" i="42"/>
  <c r="P592" i="42"/>
  <c r="K592" i="42"/>
  <c r="P591" i="42"/>
  <c r="K591" i="42"/>
  <c r="P590" i="42"/>
  <c r="K590" i="42"/>
  <c r="P589" i="42"/>
  <c r="K589" i="42"/>
  <c r="P588" i="42"/>
  <c r="K588" i="42"/>
  <c r="P587" i="42"/>
  <c r="K587" i="42"/>
  <c r="P586" i="42"/>
  <c r="K586" i="42"/>
  <c r="P585" i="42"/>
  <c r="K585" i="42"/>
  <c r="P584" i="42"/>
  <c r="K584" i="42"/>
  <c r="P583" i="42"/>
  <c r="K583" i="42"/>
  <c r="P582" i="42"/>
  <c r="K582" i="42"/>
  <c r="P581" i="42"/>
  <c r="K581" i="42"/>
  <c r="P580" i="42"/>
  <c r="K580" i="42"/>
  <c r="P579" i="42"/>
  <c r="K579" i="42"/>
  <c r="P578" i="42"/>
  <c r="K578" i="42"/>
  <c r="P577" i="42"/>
  <c r="K577" i="42"/>
  <c r="P576" i="42"/>
  <c r="K576" i="42"/>
  <c r="P575" i="42"/>
  <c r="K575" i="42"/>
  <c r="P574" i="42"/>
  <c r="K574" i="42"/>
  <c r="P573" i="42"/>
  <c r="K573" i="42"/>
  <c r="P572" i="42"/>
  <c r="K572" i="42"/>
  <c r="P571" i="42"/>
  <c r="K571" i="42"/>
  <c r="P570" i="42"/>
  <c r="K570" i="42"/>
  <c r="P569" i="42"/>
  <c r="K569" i="42"/>
  <c r="P568" i="42"/>
  <c r="K568" i="42"/>
  <c r="P567" i="42"/>
  <c r="K567" i="42"/>
  <c r="P566" i="42"/>
  <c r="K566" i="42"/>
  <c r="P565" i="42"/>
  <c r="K565" i="42"/>
  <c r="P564" i="42"/>
  <c r="K564" i="42"/>
  <c r="P563" i="42"/>
  <c r="K563" i="42"/>
  <c r="P562" i="42"/>
  <c r="K562" i="42"/>
  <c r="P561" i="42"/>
  <c r="K561" i="42"/>
  <c r="P560" i="42"/>
  <c r="K560" i="42"/>
  <c r="P559" i="42"/>
  <c r="K559" i="42"/>
  <c r="P558" i="42"/>
  <c r="K558" i="42"/>
  <c r="P557" i="42"/>
  <c r="K557" i="42"/>
  <c r="P556" i="42"/>
  <c r="K556" i="42"/>
  <c r="P555" i="42"/>
  <c r="K555" i="42"/>
  <c r="P554" i="42"/>
  <c r="K554" i="42"/>
  <c r="P553" i="42"/>
  <c r="K553" i="42"/>
  <c r="P552" i="42"/>
  <c r="K552" i="42"/>
  <c r="P551" i="42"/>
  <c r="K551" i="42"/>
  <c r="P550" i="42"/>
  <c r="K550" i="42"/>
  <c r="P549" i="42"/>
  <c r="K549" i="42"/>
  <c r="P548" i="42"/>
  <c r="K548" i="42"/>
  <c r="P547" i="42"/>
  <c r="K547" i="42"/>
  <c r="P546" i="42"/>
  <c r="K546" i="42"/>
  <c r="P545" i="42"/>
  <c r="K545" i="42"/>
  <c r="P544" i="42"/>
  <c r="K544" i="42"/>
  <c r="P543" i="42"/>
  <c r="K543" i="42"/>
  <c r="P542" i="42"/>
  <c r="K542" i="42"/>
  <c r="P541" i="42"/>
  <c r="K541" i="42"/>
  <c r="P540" i="42"/>
  <c r="K540" i="42"/>
  <c r="P539" i="42"/>
  <c r="K539" i="42"/>
  <c r="P538" i="42"/>
  <c r="K538" i="42"/>
  <c r="P537" i="42"/>
  <c r="K537" i="42"/>
  <c r="P536" i="42"/>
  <c r="K536" i="42"/>
  <c r="P535" i="42"/>
  <c r="K535" i="42"/>
  <c r="P534" i="42"/>
  <c r="K534" i="42"/>
  <c r="P533" i="42"/>
  <c r="K533" i="42"/>
  <c r="P532" i="42"/>
  <c r="K532" i="42"/>
  <c r="P531" i="42"/>
  <c r="K531" i="42"/>
  <c r="P530" i="42"/>
  <c r="K530" i="42"/>
  <c r="P529" i="42"/>
  <c r="K529" i="42"/>
  <c r="P528" i="42"/>
  <c r="K528" i="42"/>
  <c r="P527" i="42"/>
  <c r="K527" i="42"/>
  <c r="P526" i="42"/>
  <c r="K526" i="42"/>
  <c r="P525" i="42"/>
  <c r="K525" i="42"/>
  <c r="P524" i="42"/>
  <c r="K524" i="42"/>
  <c r="P523" i="42"/>
  <c r="K523" i="42"/>
  <c r="P522" i="42"/>
  <c r="K522" i="42"/>
  <c r="P521" i="42"/>
  <c r="K521" i="42"/>
  <c r="P520" i="42"/>
  <c r="K520" i="42"/>
  <c r="P519" i="42"/>
  <c r="K519" i="42"/>
  <c r="P518" i="42"/>
  <c r="K518" i="42"/>
  <c r="P517" i="42"/>
  <c r="K517" i="42"/>
  <c r="P516" i="42"/>
  <c r="K516" i="42"/>
  <c r="P515" i="42"/>
  <c r="K515" i="42"/>
  <c r="P514" i="42"/>
  <c r="K514" i="42"/>
  <c r="P513" i="42"/>
  <c r="K513" i="42"/>
  <c r="P512" i="42"/>
  <c r="K512" i="42"/>
  <c r="P511" i="42"/>
  <c r="K511" i="42"/>
  <c r="P510" i="42"/>
  <c r="K510" i="42"/>
  <c r="P509" i="42"/>
  <c r="K509" i="42"/>
  <c r="P508" i="42"/>
  <c r="K508" i="42"/>
  <c r="P507" i="42"/>
  <c r="K507" i="42"/>
  <c r="P506" i="42"/>
  <c r="K506" i="42"/>
  <c r="P505" i="42"/>
  <c r="K505" i="42"/>
  <c r="P504" i="42"/>
  <c r="K504" i="42"/>
  <c r="P503" i="42"/>
  <c r="K503" i="42"/>
  <c r="P502" i="42"/>
  <c r="K502" i="42"/>
  <c r="P501" i="42"/>
  <c r="K501" i="42"/>
  <c r="P500" i="42"/>
  <c r="K500" i="42"/>
  <c r="P499" i="42"/>
  <c r="K499" i="42"/>
  <c r="P498" i="42"/>
  <c r="K498" i="42"/>
  <c r="P497" i="42"/>
  <c r="K497" i="42"/>
  <c r="P496" i="42"/>
  <c r="K496" i="42"/>
  <c r="P495" i="42"/>
  <c r="K495" i="42"/>
  <c r="P494" i="42"/>
  <c r="K494" i="42"/>
  <c r="P493" i="42"/>
  <c r="K493" i="42"/>
  <c r="P492" i="42"/>
  <c r="K492" i="42"/>
  <c r="P491" i="42"/>
  <c r="K491" i="42"/>
  <c r="P490" i="42"/>
  <c r="K490" i="42"/>
  <c r="P489" i="42"/>
  <c r="K489" i="42"/>
  <c r="P488" i="42"/>
  <c r="K488" i="42"/>
  <c r="P487" i="42"/>
  <c r="K487" i="42"/>
  <c r="P486" i="42"/>
  <c r="K486" i="42"/>
  <c r="P485" i="42"/>
  <c r="K485" i="42"/>
  <c r="P484" i="42"/>
  <c r="K484" i="42"/>
  <c r="P483" i="42"/>
  <c r="K483" i="42"/>
  <c r="P482" i="42"/>
  <c r="K482" i="42"/>
  <c r="P481" i="42"/>
  <c r="K481" i="42"/>
  <c r="P480" i="42"/>
  <c r="K480" i="42"/>
  <c r="P479" i="42"/>
  <c r="K479" i="42"/>
  <c r="P478" i="42"/>
  <c r="K478" i="42"/>
  <c r="P476" i="42"/>
  <c r="K476" i="42"/>
  <c r="P474" i="42"/>
  <c r="K474" i="42"/>
  <c r="P473" i="42"/>
  <c r="K473" i="42"/>
  <c r="P472" i="42"/>
  <c r="K472" i="42"/>
  <c r="P471" i="42"/>
  <c r="K471" i="42"/>
  <c r="P470" i="42"/>
  <c r="K470" i="42"/>
  <c r="P469" i="42"/>
  <c r="K469" i="42"/>
  <c r="P468" i="42"/>
  <c r="K468" i="42"/>
  <c r="P467" i="42"/>
  <c r="K467" i="42"/>
  <c r="P466" i="42"/>
  <c r="K466" i="42"/>
  <c r="P465" i="42"/>
  <c r="K465" i="42"/>
  <c r="P464" i="42"/>
  <c r="K464" i="42"/>
  <c r="P463" i="42"/>
  <c r="K463" i="42"/>
  <c r="P462" i="42"/>
  <c r="K462" i="42"/>
  <c r="P461" i="42"/>
  <c r="K461" i="42"/>
  <c r="P460" i="42"/>
  <c r="K460" i="42"/>
  <c r="P459" i="42"/>
  <c r="K459" i="42"/>
  <c r="P458" i="42"/>
  <c r="K458" i="42"/>
  <c r="P457" i="42"/>
  <c r="K457" i="42"/>
  <c r="P456" i="42"/>
  <c r="K456" i="42"/>
  <c r="P455" i="42"/>
  <c r="K455" i="42"/>
  <c r="P454" i="42"/>
  <c r="K454" i="42"/>
  <c r="P453" i="42"/>
  <c r="K453" i="42"/>
  <c r="P452" i="42"/>
  <c r="K452" i="42"/>
  <c r="P451" i="42"/>
  <c r="K451" i="42"/>
  <c r="P450" i="42"/>
  <c r="K450" i="42"/>
  <c r="P449" i="42"/>
  <c r="K449" i="42"/>
  <c r="P448" i="42"/>
  <c r="K448" i="42"/>
  <c r="P447" i="42"/>
  <c r="K447" i="42"/>
  <c r="P446" i="42"/>
  <c r="K446" i="42"/>
  <c r="P445" i="42"/>
  <c r="K445" i="42"/>
  <c r="P444" i="42"/>
  <c r="K444" i="42"/>
  <c r="P443" i="42"/>
  <c r="K443" i="42"/>
  <c r="P442" i="42"/>
  <c r="K442" i="42"/>
  <c r="P441" i="42"/>
  <c r="K441" i="42"/>
  <c r="P440" i="42"/>
  <c r="K440" i="42"/>
  <c r="P439" i="42"/>
  <c r="K439" i="42"/>
  <c r="P438" i="42"/>
  <c r="K438" i="42"/>
  <c r="P437" i="42"/>
  <c r="K437" i="42"/>
  <c r="P436" i="42"/>
  <c r="K436" i="42"/>
  <c r="P435" i="42"/>
  <c r="K435" i="42"/>
  <c r="P434" i="42"/>
  <c r="K434" i="42"/>
  <c r="P433" i="42"/>
  <c r="K433" i="42"/>
  <c r="P432" i="42"/>
  <c r="K432" i="42"/>
  <c r="P431" i="42"/>
  <c r="K431" i="42"/>
  <c r="P430" i="42"/>
  <c r="K430" i="42"/>
  <c r="P429" i="42"/>
  <c r="K429" i="42"/>
  <c r="P428" i="42"/>
  <c r="K428" i="42"/>
  <c r="P427" i="42"/>
  <c r="K427" i="42"/>
  <c r="P426" i="42"/>
  <c r="K426" i="42"/>
  <c r="P425" i="42"/>
  <c r="K425" i="42"/>
  <c r="P424" i="42"/>
  <c r="K424" i="42"/>
  <c r="P423" i="42"/>
  <c r="K423" i="42"/>
  <c r="P422" i="42"/>
  <c r="K422" i="42"/>
  <c r="P421" i="42"/>
  <c r="K421" i="42"/>
  <c r="P420" i="42"/>
  <c r="K420" i="42"/>
  <c r="P419" i="42"/>
  <c r="K419" i="42"/>
  <c r="P418" i="42"/>
  <c r="K418" i="42"/>
  <c r="P417" i="42"/>
  <c r="K417" i="42"/>
  <c r="P416" i="42"/>
  <c r="K416" i="42"/>
  <c r="P415" i="42"/>
  <c r="K415" i="42"/>
  <c r="P414" i="42"/>
  <c r="K414" i="42"/>
  <c r="P413" i="42"/>
  <c r="K413" i="42"/>
  <c r="P412" i="42"/>
  <c r="K412" i="42"/>
  <c r="P411" i="42"/>
  <c r="K411" i="42"/>
  <c r="P410" i="42"/>
  <c r="K410" i="42"/>
  <c r="P409" i="42"/>
  <c r="K409" i="42"/>
  <c r="P408" i="42"/>
  <c r="K408" i="42"/>
  <c r="P407" i="42"/>
  <c r="K407" i="42"/>
  <c r="P406" i="42"/>
  <c r="K406" i="42"/>
  <c r="P405" i="42"/>
  <c r="K405" i="42"/>
  <c r="P404" i="42"/>
  <c r="K404" i="42"/>
  <c r="P403" i="42"/>
  <c r="K403" i="42"/>
  <c r="P402" i="42"/>
  <c r="K402" i="42"/>
  <c r="P401" i="42"/>
  <c r="K401" i="42"/>
  <c r="P400" i="42"/>
  <c r="K400" i="42"/>
  <c r="P399" i="42"/>
  <c r="K399" i="42"/>
  <c r="P398" i="42"/>
  <c r="K398" i="42"/>
  <c r="P397" i="42"/>
  <c r="K397" i="42"/>
  <c r="P396" i="42"/>
  <c r="K396" i="42"/>
  <c r="P395" i="42"/>
  <c r="K395" i="42"/>
  <c r="P394" i="42"/>
  <c r="K394" i="42"/>
  <c r="P393" i="42"/>
  <c r="K393" i="42"/>
  <c r="P392" i="42"/>
  <c r="K392" i="42"/>
  <c r="P391" i="42"/>
  <c r="K391" i="42"/>
  <c r="P390" i="42"/>
  <c r="K390" i="42"/>
  <c r="P389" i="42"/>
  <c r="K389" i="42"/>
  <c r="P388" i="42"/>
  <c r="K388" i="42"/>
  <c r="P387" i="42"/>
  <c r="K387" i="42"/>
  <c r="P386" i="42"/>
  <c r="K386" i="42"/>
  <c r="P385" i="42"/>
  <c r="K385" i="42"/>
  <c r="P384" i="42"/>
  <c r="K384" i="42"/>
  <c r="P383" i="42"/>
  <c r="K383" i="42"/>
  <c r="P382" i="42"/>
  <c r="K382" i="42"/>
  <c r="P381" i="42"/>
  <c r="K381" i="42"/>
  <c r="P380" i="42"/>
  <c r="K380" i="42"/>
  <c r="P379" i="42"/>
  <c r="K379" i="42"/>
  <c r="P378" i="42"/>
  <c r="K378" i="42"/>
  <c r="P377" i="42"/>
  <c r="K377" i="42"/>
  <c r="P376" i="42"/>
  <c r="K376" i="42"/>
  <c r="P375" i="42"/>
  <c r="K375" i="42"/>
  <c r="P374" i="42"/>
  <c r="K374" i="42"/>
  <c r="P373" i="42"/>
  <c r="K373" i="42"/>
  <c r="P372" i="42"/>
  <c r="K372" i="42"/>
  <c r="P371" i="42"/>
  <c r="K371" i="42"/>
  <c r="P370" i="42"/>
  <c r="K370" i="42"/>
  <c r="P369" i="42"/>
  <c r="K369" i="42"/>
  <c r="P368" i="42"/>
  <c r="K368" i="42"/>
  <c r="P367" i="42"/>
  <c r="K367" i="42"/>
  <c r="P366" i="42"/>
  <c r="K366" i="42"/>
  <c r="P365" i="42"/>
  <c r="K365" i="42"/>
  <c r="P364" i="42"/>
  <c r="K364" i="42"/>
  <c r="P363" i="42"/>
  <c r="K363" i="42"/>
  <c r="P362" i="42"/>
  <c r="K362" i="42"/>
  <c r="P361" i="42"/>
  <c r="K361" i="42"/>
  <c r="P360" i="42"/>
  <c r="K360" i="42"/>
  <c r="P359" i="42"/>
  <c r="K359" i="42"/>
  <c r="P358" i="42"/>
  <c r="K358" i="42"/>
  <c r="P357" i="42"/>
  <c r="K357" i="42"/>
  <c r="P356" i="42"/>
  <c r="K356" i="42"/>
  <c r="P355" i="42"/>
  <c r="K355" i="42"/>
  <c r="P354" i="42"/>
  <c r="K354" i="42"/>
  <c r="P353" i="42"/>
  <c r="K353" i="42"/>
  <c r="P352" i="42"/>
  <c r="K352" i="42"/>
  <c r="P351" i="42"/>
  <c r="K351" i="42"/>
  <c r="P350" i="42"/>
  <c r="K350" i="42"/>
  <c r="P349" i="42"/>
  <c r="K349" i="42"/>
  <c r="P348" i="42"/>
  <c r="K348" i="42"/>
  <c r="P347" i="42"/>
  <c r="K347" i="42"/>
  <c r="P346" i="42"/>
  <c r="K346" i="42"/>
  <c r="P345" i="42"/>
  <c r="K345" i="42"/>
  <c r="P344" i="42"/>
  <c r="K344" i="42"/>
  <c r="P343" i="42"/>
  <c r="K343" i="42"/>
  <c r="P342" i="42"/>
  <c r="K342" i="42"/>
  <c r="P341" i="42"/>
  <c r="K341" i="42"/>
  <c r="P340" i="42"/>
  <c r="K340" i="42"/>
  <c r="P339" i="42"/>
  <c r="K339" i="42"/>
  <c r="P338" i="42"/>
  <c r="K338" i="42"/>
  <c r="P337" i="42"/>
  <c r="K337" i="42"/>
  <c r="P336" i="42"/>
  <c r="K336" i="42"/>
  <c r="P335" i="42"/>
  <c r="K335" i="42"/>
  <c r="P334" i="42"/>
  <c r="K334" i="42"/>
  <c r="P333" i="42"/>
  <c r="K333" i="42"/>
  <c r="P332" i="42"/>
  <c r="K332" i="42"/>
  <c r="P331" i="42"/>
  <c r="K331" i="42"/>
  <c r="P330" i="42"/>
  <c r="K330" i="42"/>
  <c r="P329" i="42"/>
  <c r="K329" i="42"/>
  <c r="P328" i="42"/>
  <c r="K328" i="42"/>
  <c r="P327" i="42"/>
  <c r="K327" i="42"/>
  <c r="P326" i="42"/>
  <c r="K326" i="42"/>
  <c r="P325" i="42"/>
  <c r="K325" i="42"/>
  <c r="P324" i="42"/>
  <c r="K324" i="42"/>
  <c r="P323" i="42"/>
  <c r="K323" i="42"/>
  <c r="P322" i="42"/>
  <c r="K322" i="42"/>
  <c r="P321" i="42"/>
  <c r="K321" i="42"/>
  <c r="P320" i="42"/>
  <c r="K320" i="42"/>
  <c r="P319" i="42"/>
  <c r="K319" i="42"/>
  <c r="P318" i="42"/>
  <c r="K318" i="42"/>
  <c r="P317" i="42"/>
  <c r="K317" i="42"/>
  <c r="P316" i="42"/>
  <c r="K316" i="42"/>
  <c r="P315" i="42"/>
  <c r="K315" i="42"/>
  <c r="P314" i="42"/>
  <c r="K314" i="42"/>
  <c r="P313" i="42"/>
  <c r="K313" i="42"/>
  <c r="P312" i="42"/>
  <c r="K312" i="42"/>
  <c r="P311" i="42"/>
  <c r="K311" i="42"/>
  <c r="P310" i="42"/>
  <c r="K310" i="42"/>
  <c r="P309" i="42"/>
  <c r="K309" i="42"/>
  <c r="P308" i="42"/>
  <c r="K308" i="42"/>
  <c r="P307" i="42"/>
  <c r="K307" i="42"/>
  <c r="P306" i="42"/>
  <c r="K306" i="42"/>
  <c r="P305" i="42"/>
  <c r="K305" i="42"/>
  <c r="P304" i="42"/>
  <c r="K304" i="42"/>
  <c r="P303" i="42"/>
  <c r="K303" i="42"/>
  <c r="P302" i="42"/>
  <c r="K302" i="42"/>
  <c r="P301" i="42"/>
  <c r="K301" i="42"/>
  <c r="P300" i="42"/>
  <c r="K300" i="42"/>
  <c r="P299" i="42"/>
  <c r="K299" i="42"/>
  <c r="P298" i="42"/>
  <c r="K298" i="42"/>
  <c r="P297" i="42"/>
  <c r="K297" i="42"/>
  <c r="P296" i="42"/>
  <c r="K296" i="42"/>
  <c r="P295" i="42"/>
  <c r="K295" i="42"/>
  <c r="P294" i="42"/>
  <c r="K294" i="42"/>
  <c r="P293" i="42"/>
  <c r="K293" i="42"/>
  <c r="P292" i="42"/>
  <c r="K292" i="42"/>
  <c r="P291" i="42"/>
  <c r="K291" i="42"/>
  <c r="P290" i="42"/>
  <c r="K290" i="42"/>
  <c r="P289" i="42"/>
  <c r="K289" i="42"/>
  <c r="P288" i="42"/>
  <c r="K288" i="42"/>
  <c r="P287" i="42"/>
  <c r="K287" i="42"/>
  <c r="P286" i="42"/>
  <c r="K286" i="42"/>
  <c r="P285" i="42"/>
  <c r="K285" i="42"/>
  <c r="P284" i="42"/>
  <c r="K284" i="42"/>
  <c r="P283" i="42"/>
  <c r="K283" i="42"/>
  <c r="P282" i="42"/>
  <c r="K282" i="42"/>
  <c r="P281" i="42"/>
  <c r="K281" i="42"/>
  <c r="P280" i="42"/>
  <c r="K280" i="42"/>
  <c r="P279" i="42"/>
  <c r="K279" i="42"/>
  <c r="P278" i="42"/>
  <c r="K278" i="42"/>
  <c r="P277" i="42"/>
  <c r="K277" i="42"/>
  <c r="P276" i="42"/>
  <c r="K276" i="42"/>
  <c r="P275" i="42"/>
  <c r="K275" i="42"/>
  <c r="P274" i="42"/>
  <c r="K274" i="42"/>
  <c r="P273" i="42"/>
  <c r="K273" i="42"/>
  <c r="P272" i="42"/>
  <c r="K272" i="42"/>
  <c r="P271" i="42"/>
  <c r="K271" i="42"/>
  <c r="P270" i="42"/>
  <c r="K270" i="42"/>
  <c r="P269" i="42"/>
  <c r="K269" i="42"/>
  <c r="P268" i="42"/>
  <c r="K268" i="42"/>
  <c r="P267" i="42"/>
  <c r="K267" i="42"/>
  <c r="P266" i="42"/>
  <c r="K266" i="42"/>
  <c r="P265" i="42"/>
  <c r="K265" i="42"/>
  <c r="P264" i="42"/>
  <c r="K264" i="42"/>
  <c r="P263" i="42"/>
  <c r="K263" i="42"/>
  <c r="P262" i="42"/>
  <c r="K262" i="42"/>
  <c r="P261" i="42"/>
  <c r="K261" i="42"/>
  <c r="P260" i="42"/>
  <c r="K260" i="42"/>
  <c r="P259" i="42"/>
  <c r="K259" i="42"/>
  <c r="P258" i="42"/>
  <c r="K258" i="42"/>
  <c r="P257" i="42"/>
  <c r="K257" i="42"/>
  <c r="P256" i="42"/>
  <c r="K256" i="42"/>
  <c r="P255" i="42"/>
  <c r="K255" i="42"/>
  <c r="P254" i="42"/>
  <c r="K254" i="42"/>
  <c r="P253" i="42"/>
  <c r="K253" i="42"/>
  <c r="P252" i="42"/>
  <c r="K252" i="42"/>
  <c r="T251" i="42"/>
  <c r="S251" i="42"/>
  <c r="S925" i="42" s="1"/>
  <c r="R251" i="42"/>
  <c r="R925" i="42" s="1"/>
  <c r="O251" i="42"/>
  <c r="O925" i="42" s="1"/>
  <c r="N251" i="42"/>
  <c r="N925" i="42" s="1"/>
  <c r="M251" i="42"/>
  <c r="J251" i="42"/>
  <c r="J925" i="42" s="1"/>
  <c r="I251" i="42"/>
  <c r="H251" i="42"/>
  <c r="G251" i="42"/>
  <c r="G925" i="42" s="1"/>
  <c r="E251" i="42"/>
  <c r="E925" i="42" s="1"/>
  <c r="D251" i="42"/>
  <c r="D925" i="42" s="1"/>
  <c r="C251" i="42"/>
  <c r="C925" i="42" s="1"/>
  <c r="P250" i="42"/>
  <c r="K250" i="42"/>
  <c r="P249" i="42"/>
  <c r="K249" i="42"/>
  <c r="P248" i="42"/>
  <c r="P251" i="42" s="1"/>
  <c r="K248" i="42"/>
  <c r="K251" i="42" s="1"/>
  <c r="P247" i="42"/>
  <c r="K247" i="42"/>
  <c r="P246" i="42"/>
  <c r="K246" i="42"/>
  <c r="P245" i="42"/>
  <c r="K245" i="42"/>
  <c r="P244" i="42"/>
  <c r="K244" i="42"/>
  <c r="P243" i="42"/>
  <c r="K243" i="42"/>
  <c r="P242" i="42"/>
  <c r="K242" i="42"/>
  <c r="P241" i="42"/>
  <c r="K241" i="42"/>
  <c r="P240" i="42"/>
  <c r="K240" i="42"/>
  <c r="P239" i="42"/>
  <c r="K239" i="42"/>
  <c r="P238" i="42"/>
  <c r="K238" i="42"/>
  <c r="P237" i="42"/>
  <c r="K237" i="42"/>
  <c r="P236" i="42"/>
  <c r="K236" i="42"/>
  <c r="P235" i="42"/>
  <c r="K235" i="42"/>
  <c r="P234" i="42"/>
  <c r="K234" i="42"/>
  <c r="P233" i="42"/>
  <c r="K233" i="42"/>
  <c r="P232" i="42"/>
  <c r="K232" i="42"/>
  <c r="P231" i="42"/>
  <c r="K231" i="42"/>
  <c r="P230" i="42"/>
  <c r="K230" i="42"/>
  <c r="P229" i="42"/>
  <c r="K229" i="42"/>
  <c r="P228" i="42"/>
  <c r="K228" i="42"/>
  <c r="P227" i="42"/>
  <c r="K227" i="42"/>
  <c r="P226" i="42"/>
  <c r="K226" i="42"/>
  <c r="P225" i="42"/>
  <c r="K225" i="42"/>
  <c r="P224" i="42"/>
  <c r="K224" i="42"/>
  <c r="P223" i="42"/>
  <c r="K223" i="42"/>
  <c r="P222" i="42"/>
  <c r="K222" i="42"/>
  <c r="P221" i="42"/>
  <c r="K221" i="42"/>
  <c r="P220" i="42"/>
  <c r="K220" i="42"/>
  <c r="P219" i="42"/>
  <c r="K219" i="42"/>
  <c r="P218" i="42"/>
  <c r="K218" i="42"/>
  <c r="P217" i="42"/>
  <c r="K217" i="42"/>
  <c r="P216" i="42"/>
  <c r="K216" i="42"/>
  <c r="P215" i="42"/>
  <c r="K215" i="42"/>
  <c r="P214" i="42"/>
  <c r="K214" i="42"/>
  <c r="P213" i="42"/>
  <c r="K213" i="42"/>
  <c r="P212" i="42"/>
  <c r="K212" i="42"/>
  <c r="P211" i="42"/>
  <c r="K211" i="42"/>
  <c r="P210" i="42"/>
  <c r="K210" i="42"/>
  <c r="P209" i="42"/>
  <c r="K209" i="42"/>
  <c r="P208" i="42"/>
  <c r="K208" i="42"/>
  <c r="P207" i="42"/>
  <c r="K207" i="42"/>
  <c r="P206" i="42"/>
  <c r="K206" i="42"/>
  <c r="P205" i="42"/>
  <c r="K205" i="42"/>
  <c r="P204" i="42"/>
  <c r="K204" i="42"/>
  <c r="P203" i="42"/>
  <c r="K203" i="42"/>
  <c r="P202" i="42"/>
  <c r="K202" i="42"/>
  <c r="P201" i="42"/>
  <c r="K201" i="42"/>
  <c r="P200" i="42"/>
  <c r="K200" i="42"/>
  <c r="P199" i="42"/>
  <c r="K199" i="42"/>
  <c r="P198" i="42"/>
  <c r="K198" i="42"/>
  <c r="P197" i="42"/>
  <c r="K197" i="42"/>
  <c r="P196" i="42"/>
  <c r="K196" i="42"/>
  <c r="P195" i="42"/>
  <c r="K195" i="42"/>
  <c r="P194" i="42"/>
  <c r="K194" i="42"/>
  <c r="P193" i="42"/>
  <c r="K193" i="42"/>
  <c r="P192" i="42"/>
  <c r="K192" i="42"/>
  <c r="P191" i="42"/>
  <c r="K191" i="42"/>
  <c r="P190" i="42"/>
  <c r="K190" i="42"/>
  <c r="P189" i="42"/>
  <c r="K189" i="42"/>
  <c r="P188" i="42"/>
  <c r="K188" i="42"/>
  <c r="P187" i="42"/>
  <c r="K187" i="42"/>
  <c r="P186" i="42"/>
  <c r="K186" i="42"/>
  <c r="P185" i="42"/>
  <c r="K185" i="42"/>
  <c r="P184" i="42"/>
  <c r="K184" i="42"/>
  <c r="P183" i="42"/>
  <c r="K183" i="42"/>
  <c r="P182" i="42"/>
  <c r="K182" i="42"/>
  <c r="P181" i="42"/>
  <c r="K181" i="42"/>
  <c r="P180" i="42"/>
  <c r="K180" i="42"/>
  <c r="P179" i="42"/>
  <c r="K179" i="42"/>
  <c r="P178" i="42"/>
  <c r="K178" i="42"/>
  <c r="P177" i="42"/>
  <c r="K177" i="42"/>
  <c r="P176" i="42"/>
  <c r="K176" i="42"/>
  <c r="P175" i="42"/>
  <c r="K175" i="42"/>
  <c r="P174" i="42"/>
  <c r="K174" i="42"/>
  <c r="P173" i="42"/>
  <c r="K173" i="42"/>
  <c r="P172" i="42"/>
  <c r="K172" i="42"/>
  <c r="P171" i="42"/>
  <c r="K171" i="42"/>
  <c r="P170" i="42"/>
  <c r="K170" i="42"/>
  <c r="P169" i="42"/>
  <c r="K169" i="42"/>
  <c r="P168" i="42"/>
  <c r="K168" i="42"/>
  <c r="P167" i="42"/>
  <c r="K167" i="42"/>
  <c r="P166" i="42"/>
  <c r="K166" i="42"/>
  <c r="P165" i="42"/>
  <c r="K165" i="42"/>
  <c r="P164" i="42"/>
  <c r="K164" i="42"/>
  <c r="P163" i="42"/>
  <c r="K163" i="42"/>
  <c r="P162" i="42"/>
  <c r="K162" i="42"/>
  <c r="P161" i="42"/>
  <c r="K161" i="42"/>
  <c r="P160" i="42"/>
  <c r="K160" i="42"/>
  <c r="P159" i="42"/>
  <c r="K159" i="42"/>
  <c r="P158" i="42"/>
  <c r="K158" i="42"/>
  <c r="P157" i="42"/>
  <c r="K157" i="42"/>
  <c r="P156" i="42"/>
  <c r="K156" i="42"/>
  <c r="P155" i="42"/>
  <c r="K155" i="42"/>
  <c r="P154" i="42"/>
  <c r="K154" i="42"/>
  <c r="P153" i="42"/>
  <c r="K153" i="42"/>
  <c r="P152" i="42"/>
  <c r="K152" i="42"/>
  <c r="P151" i="42"/>
  <c r="K151" i="42"/>
  <c r="P150" i="42"/>
  <c r="K150" i="42"/>
  <c r="P149" i="42"/>
  <c r="K149" i="42"/>
  <c r="P148" i="42"/>
  <c r="K148" i="42"/>
  <c r="P147" i="42"/>
  <c r="K147" i="42"/>
  <c r="P146" i="42"/>
  <c r="K146" i="42"/>
  <c r="P145" i="42"/>
  <c r="K145" i="42"/>
  <c r="P144" i="42"/>
  <c r="K144" i="42"/>
  <c r="P143" i="42"/>
  <c r="K143" i="42"/>
  <c r="P142" i="42"/>
  <c r="K142" i="42"/>
  <c r="P141" i="42"/>
  <c r="K141" i="42"/>
  <c r="P140" i="42"/>
  <c r="K140" i="42"/>
  <c r="P139" i="42"/>
  <c r="K139" i="42"/>
  <c r="P138" i="42"/>
  <c r="K138" i="42"/>
  <c r="P137" i="42"/>
  <c r="K137" i="42"/>
  <c r="P136" i="42"/>
  <c r="K136" i="42"/>
  <c r="P135" i="42"/>
  <c r="K135" i="42"/>
  <c r="P134" i="42"/>
  <c r="K134" i="42"/>
  <c r="P133" i="42"/>
  <c r="K133" i="42"/>
  <c r="P132" i="42"/>
  <c r="K132" i="42"/>
  <c r="P131" i="42"/>
  <c r="K131" i="42"/>
  <c r="P130" i="42"/>
  <c r="K130" i="42"/>
  <c r="P129" i="42"/>
  <c r="K129" i="42"/>
  <c r="P128" i="42"/>
  <c r="K128" i="42"/>
  <c r="P127" i="42"/>
  <c r="K127" i="42"/>
  <c r="P126" i="42"/>
  <c r="K126" i="42"/>
  <c r="P125" i="42"/>
  <c r="K125" i="42"/>
  <c r="P124" i="42"/>
  <c r="K124" i="42"/>
  <c r="P123" i="42"/>
  <c r="K123" i="42"/>
  <c r="P122" i="42"/>
  <c r="K122" i="42"/>
  <c r="P121" i="42"/>
  <c r="K121" i="42"/>
  <c r="P120" i="42"/>
  <c r="K120" i="42"/>
  <c r="P119" i="42"/>
  <c r="K119" i="42"/>
  <c r="P118" i="42"/>
  <c r="K118" i="42"/>
  <c r="P117" i="42"/>
  <c r="K117" i="42"/>
  <c r="P116" i="42"/>
  <c r="K116" i="42"/>
  <c r="P115" i="42"/>
  <c r="K115" i="42"/>
  <c r="P114" i="42"/>
  <c r="K114" i="42"/>
  <c r="P113" i="42"/>
  <c r="K113" i="42"/>
  <c r="P112" i="42"/>
  <c r="K112" i="42"/>
  <c r="P111" i="42"/>
  <c r="K111" i="42"/>
  <c r="P110" i="42"/>
  <c r="K110" i="42"/>
  <c r="P109" i="42"/>
  <c r="K109" i="42"/>
  <c r="P108" i="42"/>
  <c r="K108" i="42"/>
  <c r="P107" i="42"/>
  <c r="K107" i="42"/>
  <c r="P106" i="42"/>
  <c r="K106" i="42"/>
  <c r="P105" i="42"/>
  <c r="K105" i="42"/>
  <c r="P104" i="42"/>
  <c r="K104" i="42"/>
  <c r="P103" i="42"/>
  <c r="K103" i="42"/>
  <c r="P102" i="42"/>
  <c r="K102" i="42"/>
  <c r="P101" i="42"/>
  <c r="K101" i="42"/>
  <c r="P100" i="42"/>
  <c r="K100" i="42"/>
  <c r="P99" i="42"/>
  <c r="K99" i="42"/>
  <c r="P98" i="42"/>
  <c r="K98" i="42"/>
  <c r="P97" i="42"/>
  <c r="K97" i="42"/>
  <c r="P96" i="42"/>
  <c r="K96" i="42"/>
  <c r="P95" i="42"/>
  <c r="K95" i="42"/>
  <c r="P94" i="42"/>
  <c r="K94" i="42"/>
  <c r="P93" i="42"/>
  <c r="K93" i="42"/>
  <c r="P92" i="42"/>
  <c r="K92" i="42"/>
  <c r="P91" i="42"/>
  <c r="K91" i="42"/>
  <c r="P90" i="42"/>
  <c r="K90" i="42"/>
  <c r="P89" i="42"/>
  <c r="K89" i="42"/>
  <c r="P88" i="42"/>
  <c r="K88" i="42"/>
  <c r="P87" i="42"/>
  <c r="K87" i="42"/>
  <c r="P86" i="42"/>
  <c r="K86" i="42"/>
  <c r="P85" i="42"/>
  <c r="K85" i="42"/>
  <c r="P84" i="42"/>
  <c r="K84" i="42"/>
  <c r="P83" i="42"/>
  <c r="K83" i="42"/>
  <c r="P82" i="42"/>
  <c r="K82" i="42"/>
  <c r="P81" i="42"/>
  <c r="K81" i="42"/>
  <c r="P80" i="42"/>
  <c r="K80" i="42"/>
  <c r="P79" i="42"/>
  <c r="K79" i="42"/>
  <c r="P78" i="42"/>
  <c r="K78" i="42"/>
  <c r="P77" i="42"/>
  <c r="K77" i="42"/>
  <c r="P76" i="42"/>
  <c r="K76" i="42"/>
  <c r="P75" i="42"/>
  <c r="K75" i="42"/>
  <c r="P74" i="42"/>
  <c r="K74" i="42"/>
  <c r="P73" i="42"/>
  <c r="K73" i="42"/>
  <c r="P72" i="42"/>
  <c r="K72" i="42"/>
  <c r="P71" i="42"/>
  <c r="K71" i="42"/>
  <c r="P70" i="42"/>
  <c r="K70" i="42"/>
  <c r="P69" i="42"/>
  <c r="K69" i="42"/>
  <c r="P68" i="42"/>
  <c r="K68" i="42"/>
  <c r="P67" i="42"/>
  <c r="K67" i="42"/>
  <c r="P66" i="42"/>
  <c r="K66" i="42"/>
  <c r="P65" i="42"/>
  <c r="K65" i="42"/>
  <c r="P64" i="42"/>
  <c r="K64" i="42"/>
  <c r="P63" i="42"/>
  <c r="K63" i="42"/>
  <c r="P62" i="42"/>
  <c r="K62" i="42"/>
  <c r="P61" i="42"/>
  <c r="K61" i="42"/>
  <c r="P60" i="42"/>
  <c r="K60" i="42"/>
  <c r="P59" i="42"/>
  <c r="K59" i="42"/>
  <c r="P58" i="42"/>
  <c r="K58" i="42"/>
  <c r="P57" i="42"/>
  <c r="K57" i="42"/>
  <c r="P56" i="42"/>
  <c r="K56" i="42"/>
  <c r="P55" i="42"/>
  <c r="K55" i="42"/>
  <c r="P54" i="42"/>
  <c r="K54" i="42"/>
  <c r="P53" i="42"/>
  <c r="K53" i="42"/>
  <c r="P52" i="42"/>
  <c r="K52" i="42"/>
  <c r="P51" i="42"/>
  <c r="K51" i="42"/>
  <c r="P50" i="42"/>
  <c r="K50" i="42"/>
  <c r="P49" i="42"/>
  <c r="K49" i="42"/>
  <c r="P48" i="42"/>
  <c r="K48" i="42"/>
  <c r="P47" i="42"/>
  <c r="K47" i="42"/>
  <c r="P46" i="42"/>
  <c r="K46" i="42"/>
  <c r="P45" i="42"/>
  <c r="K45" i="42"/>
  <c r="P44" i="42"/>
  <c r="K44" i="42"/>
  <c r="P43" i="42"/>
  <c r="K43" i="42"/>
  <c r="P42" i="42"/>
  <c r="K42" i="42"/>
  <c r="P41" i="42"/>
  <c r="K41" i="42"/>
  <c r="P40" i="42"/>
  <c r="K40" i="42"/>
  <c r="P39" i="42"/>
  <c r="K39" i="42"/>
  <c r="P38" i="42"/>
  <c r="K38" i="42"/>
  <c r="P37" i="42"/>
  <c r="K37" i="42"/>
  <c r="P36" i="42"/>
  <c r="K36" i="42"/>
  <c r="P35" i="42"/>
  <c r="K35" i="42"/>
  <c r="P34" i="42"/>
  <c r="K34" i="42"/>
  <c r="P33" i="42"/>
  <c r="K33" i="42"/>
  <c r="P32" i="42"/>
  <c r="K32" i="42"/>
  <c r="P31" i="42"/>
  <c r="K31" i="42"/>
  <c r="P30" i="42"/>
  <c r="K30" i="42"/>
  <c r="P29" i="42"/>
  <c r="K29" i="42"/>
  <c r="P28" i="42"/>
  <c r="K28" i="42"/>
  <c r="P27" i="42"/>
  <c r="K27" i="42"/>
  <c r="P26" i="42"/>
  <c r="K26" i="42"/>
  <c r="P25" i="42"/>
  <c r="K25" i="42"/>
  <c r="P24" i="42"/>
  <c r="K24" i="42"/>
  <c r="P23" i="42"/>
  <c r="K23" i="42"/>
  <c r="P22" i="42"/>
  <c r="K22" i="42"/>
  <c r="P21" i="42"/>
  <c r="K21" i="42"/>
  <c r="P20" i="42"/>
  <c r="K20" i="42"/>
  <c r="P19" i="42"/>
  <c r="K19" i="42"/>
  <c r="P18" i="42"/>
  <c r="K18" i="42"/>
  <c r="P17" i="42"/>
  <c r="K17" i="42"/>
  <c r="P16" i="42"/>
  <c r="K16" i="42"/>
  <c r="P15" i="42"/>
  <c r="K15" i="42"/>
  <c r="P14" i="42"/>
  <c r="K14" i="42"/>
  <c r="P13" i="42"/>
  <c r="K13" i="42"/>
  <c r="P12" i="42"/>
  <c r="K12" i="42"/>
  <c r="P11" i="42"/>
  <c r="K11" i="42"/>
  <c r="P10" i="42"/>
  <c r="K10" i="42"/>
  <c r="P9" i="42"/>
  <c r="K9" i="42"/>
  <c r="P8" i="42"/>
  <c r="K8" i="42"/>
  <c r="P7" i="42"/>
  <c r="K7" i="42"/>
  <c r="P925" i="42" l="1"/>
  <c r="K682" i="42"/>
  <c r="P808" i="42"/>
  <c r="H925" i="42"/>
  <c r="T925" i="42"/>
  <c r="I925" i="42"/>
  <c r="K925" i="42"/>
  <c r="M925" i="42"/>
  <c r="E113" i="41"/>
  <c r="H113" i="41" s="1"/>
  <c r="D112" i="41"/>
  <c r="E112" i="41" s="1"/>
  <c r="D111" i="41"/>
  <c r="E111" i="41" s="1"/>
  <c r="C110" i="41"/>
  <c r="E110" i="41" s="1"/>
  <c r="D108" i="41"/>
  <c r="D107" i="41"/>
  <c r="D106" i="41"/>
  <c r="D105" i="41"/>
  <c r="C105" i="41"/>
  <c r="D104" i="41"/>
  <c r="D103" i="41"/>
  <c r="D102" i="41"/>
  <c r="C102" i="41"/>
  <c r="D101" i="41"/>
  <c r="D100" i="41"/>
  <c r="C100" i="41"/>
  <c r="D99" i="41"/>
  <c r="C53" i="41"/>
  <c r="D130" i="41" s="1"/>
  <c r="E130" i="41" s="1"/>
  <c r="C52" i="41"/>
  <c r="D129" i="41" s="1"/>
  <c r="C51" i="41"/>
  <c r="D128" i="41" s="1"/>
  <c r="C50" i="41"/>
  <c r="D119" i="41" s="1"/>
  <c r="E119" i="41" s="1"/>
  <c r="C49" i="41"/>
  <c r="D126" i="41" s="1"/>
  <c r="C48" i="41"/>
  <c r="C103" i="41" s="1"/>
  <c r="C47" i="41"/>
  <c r="D124" i="41" s="1"/>
  <c r="C46" i="41"/>
  <c r="C42" i="41"/>
  <c r="C41" i="41"/>
  <c r="C40" i="41"/>
  <c r="C114" i="41" s="1"/>
  <c r="E114" i="41" s="1"/>
  <c r="E113" i="40"/>
  <c r="H113" i="40" s="1"/>
  <c r="D111" i="40"/>
  <c r="E111" i="40" s="1"/>
  <c r="C110" i="40"/>
  <c r="E110" i="40" s="1"/>
  <c r="H110" i="40" s="1"/>
  <c r="D67" i="40" s="1"/>
  <c r="C109" i="40"/>
  <c r="E109" i="40" s="1"/>
  <c r="D108" i="40"/>
  <c r="D107" i="40"/>
  <c r="C107" i="40"/>
  <c r="E107" i="40" s="1"/>
  <c r="H107" i="40" s="1"/>
  <c r="D64" i="40" s="1"/>
  <c r="D106" i="40"/>
  <c r="D105" i="40"/>
  <c r="C105" i="40"/>
  <c r="D104" i="40"/>
  <c r="D103" i="40"/>
  <c r="D102" i="40"/>
  <c r="C102" i="40"/>
  <c r="D101" i="40"/>
  <c r="C100" i="40"/>
  <c r="D99" i="40"/>
  <c r="C99" i="40"/>
  <c r="C53" i="40"/>
  <c r="D130" i="40" s="1"/>
  <c r="E130" i="40" s="1"/>
  <c r="C52" i="40"/>
  <c r="D129" i="40" s="1"/>
  <c r="C51" i="40"/>
  <c r="C106" i="40" s="1"/>
  <c r="C50" i="40"/>
  <c r="D127" i="40" s="1"/>
  <c r="C49" i="40"/>
  <c r="C104" i="40" s="1"/>
  <c r="C48" i="40"/>
  <c r="C103" i="40" s="1"/>
  <c r="C47" i="40"/>
  <c r="D116" i="40" s="1"/>
  <c r="E116" i="40" s="1"/>
  <c r="C46" i="40"/>
  <c r="C42" i="40"/>
  <c r="C41" i="40"/>
  <c r="C40" i="40"/>
  <c r="D112" i="40" s="1"/>
  <c r="E112" i="40" s="1"/>
  <c r="E105" i="40" l="1"/>
  <c r="H105" i="40" s="1"/>
  <c r="D62" i="40" s="1"/>
  <c r="C114" i="40"/>
  <c r="E114" i="40" s="1"/>
  <c r="E106" i="40"/>
  <c r="D118" i="40"/>
  <c r="E118" i="40" s="1"/>
  <c r="G118" i="40" s="1"/>
  <c r="C75" i="40" s="1"/>
  <c r="D124" i="40"/>
  <c r="C43" i="40"/>
  <c r="D43" i="40" s="1"/>
  <c r="D126" i="40"/>
  <c r="E126" i="40" s="1"/>
  <c r="G126" i="40" s="1"/>
  <c r="C83" i="40" s="1"/>
  <c r="E102" i="41"/>
  <c r="G102" i="41" s="1"/>
  <c r="C59" i="41" s="1"/>
  <c r="C101" i="40"/>
  <c r="E101" i="40" s="1"/>
  <c r="D123" i="40"/>
  <c r="C101" i="41"/>
  <c r="E101" i="41" s="1"/>
  <c r="G101" i="41" s="1"/>
  <c r="C58" i="41" s="1"/>
  <c r="D123" i="41"/>
  <c r="E105" i="41"/>
  <c r="H105" i="41" s="1"/>
  <c r="D62" i="41" s="1"/>
  <c r="E99" i="40"/>
  <c r="H99" i="40" s="1"/>
  <c r="D56" i="40" s="1"/>
  <c r="E103" i="40"/>
  <c r="H103" i="40" s="1"/>
  <c r="D60" i="40" s="1"/>
  <c r="E104" i="40"/>
  <c r="H104" i="40" s="1"/>
  <c r="D61" i="40" s="1"/>
  <c r="E102" i="40"/>
  <c r="E103" i="41"/>
  <c r="G103" i="41" s="1"/>
  <c r="C60" i="41" s="1"/>
  <c r="D125" i="41"/>
  <c r="E125" i="41" s="1"/>
  <c r="C43" i="41"/>
  <c r="D43" i="41" s="1"/>
  <c r="C109" i="41"/>
  <c r="E109" i="41" s="1"/>
  <c r="H109" i="41" s="1"/>
  <c r="D66" i="41" s="1"/>
  <c r="D127" i="41"/>
  <c r="E127" i="41" s="1"/>
  <c r="G127" i="41" s="1"/>
  <c r="C84" i="41" s="1"/>
  <c r="E100" i="41"/>
  <c r="H100" i="41" s="1"/>
  <c r="D57" i="41" s="1"/>
  <c r="C99" i="41"/>
  <c r="E99" i="41" s="1"/>
  <c r="G99" i="41" s="1"/>
  <c r="C104" i="41"/>
  <c r="E104" i="41" s="1"/>
  <c r="G104" i="41" s="1"/>
  <c r="C61" i="41" s="1"/>
  <c r="D117" i="41"/>
  <c r="E117" i="41" s="1"/>
  <c r="H117" i="41" s="1"/>
  <c r="D74" i="41" s="1"/>
  <c r="G130" i="41"/>
  <c r="C87" i="41" s="1"/>
  <c r="H130" i="41"/>
  <c r="D87" i="41" s="1"/>
  <c r="H127" i="41"/>
  <c r="D84" i="41" s="1"/>
  <c r="H110" i="41"/>
  <c r="D67" i="41" s="1"/>
  <c r="G110" i="41"/>
  <c r="C67" i="41" s="1"/>
  <c r="H111" i="41"/>
  <c r="D69" i="41" s="1"/>
  <c r="G111" i="41"/>
  <c r="C69" i="41" s="1"/>
  <c r="H112" i="41"/>
  <c r="D70" i="41" s="1"/>
  <c r="G112" i="41"/>
  <c r="C70" i="41" s="1"/>
  <c r="E126" i="41"/>
  <c r="H114" i="41"/>
  <c r="D71" i="41" s="1"/>
  <c r="G114" i="41"/>
  <c r="C71" i="41" s="1"/>
  <c r="H102" i="41"/>
  <c r="D59" i="41" s="1"/>
  <c r="H119" i="41"/>
  <c r="D76" i="41" s="1"/>
  <c r="G119" i="41"/>
  <c r="C76" i="41" s="1"/>
  <c r="E124" i="41"/>
  <c r="E128" i="41"/>
  <c r="E129" i="41"/>
  <c r="C107" i="41"/>
  <c r="E107" i="41" s="1"/>
  <c r="D115" i="41"/>
  <c r="E115" i="41" s="1"/>
  <c r="D121" i="41"/>
  <c r="E121" i="41" s="1"/>
  <c r="C106" i="41"/>
  <c r="E106" i="41" s="1"/>
  <c r="G113" i="41"/>
  <c r="C54" i="41"/>
  <c r="D54" i="41" s="1"/>
  <c r="C108" i="41"/>
  <c r="E108" i="41" s="1"/>
  <c r="D116" i="41"/>
  <c r="E116" i="41" s="1"/>
  <c r="D118" i="41"/>
  <c r="E118" i="41" s="1"/>
  <c r="D120" i="41"/>
  <c r="E120" i="41" s="1"/>
  <c r="D122" i="41"/>
  <c r="E122" i="41" s="1"/>
  <c r="G111" i="40"/>
  <c r="C69" i="40" s="1"/>
  <c r="H111" i="40"/>
  <c r="D69" i="40" s="1"/>
  <c r="E127" i="40"/>
  <c r="H112" i="40"/>
  <c r="D70" i="40" s="1"/>
  <c r="G112" i="40"/>
  <c r="C70" i="40" s="1"/>
  <c r="H106" i="40"/>
  <c r="D63" i="40" s="1"/>
  <c r="G106" i="40"/>
  <c r="C63" i="40" s="1"/>
  <c r="H102" i="40"/>
  <c r="D59" i="40" s="1"/>
  <c r="G102" i="40"/>
  <c r="C59" i="40" s="1"/>
  <c r="G114" i="40"/>
  <c r="C71" i="40" s="1"/>
  <c r="H114" i="40"/>
  <c r="D71" i="40" s="1"/>
  <c r="E129" i="40"/>
  <c r="H116" i="40"/>
  <c r="D73" i="40" s="1"/>
  <c r="G116" i="40"/>
  <c r="C73" i="40" s="1"/>
  <c r="G103" i="40"/>
  <c r="C60" i="40" s="1"/>
  <c r="G105" i="40"/>
  <c r="C62" i="40" s="1"/>
  <c r="H130" i="40"/>
  <c r="D87" i="40" s="1"/>
  <c r="G130" i="40"/>
  <c r="C87" i="40" s="1"/>
  <c r="H101" i="40"/>
  <c r="D58" i="40" s="1"/>
  <c r="G101" i="40"/>
  <c r="C58" i="40" s="1"/>
  <c r="G109" i="40"/>
  <c r="C66" i="40" s="1"/>
  <c r="H109" i="40"/>
  <c r="D66" i="40" s="1"/>
  <c r="C108" i="40"/>
  <c r="E108" i="40" s="1"/>
  <c r="D120" i="40"/>
  <c r="E120" i="40" s="1"/>
  <c r="D122" i="40"/>
  <c r="E122" i="40" s="1"/>
  <c r="D128" i="40"/>
  <c r="D100" i="40"/>
  <c r="E124" i="40"/>
  <c r="C54" i="40"/>
  <c r="D54" i="40" s="1"/>
  <c r="G110" i="40"/>
  <c r="C67" i="40" s="1"/>
  <c r="D115" i="40"/>
  <c r="E115" i="40" s="1"/>
  <c r="D117" i="40"/>
  <c r="E117" i="40" s="1"/>
  <c r="D119" i="40"/>
  <c r="E119" i="40" s="1"/>
  <c r="D121" i="40"/>
  <c r="E121" i="40" s="1"/>
  <c r="D125" i="40"/>
  <c r="G107" i="40"/>
  <c r="C64" i="40" s="1"/>
  <c r="G113" i="40"/>
  <c r="G190" i="23"/>
  <c r="G189" i="23"/>
  <c r="G183" i="23"/>
  <c r="E172" i="23"/>
  <c r="E173" i="23"/>
  <c r="E171" i="23"/>
  <c r="G190" i="24"/>
  <c r="G189" i="24"/>
  <c r="G183" i="24"/>
  <c r="E172" i="24"/>
  <c r="E173" i="24"/>
  <c r="E171" i="24"/>
  <c r="G104" i="40" l="1"/>
  <c r="C61" i="40" s="1"/>
  <c r="H118" i="40"/>
  <c r="D75" i="40" s="1"/>
  <c r="G99" i="40"/>
  <c r="C56" i="40" s="1"/>
  <c r="H126" i="40"/>
  <c r="D83" i="40" s="1"/>
  <c r="G105" i="41"/>
  <c r="C62" i="41" s="1"/>
  <c r="G109" i="41"/>
  <c r="C66" i="41" s="1"/>
  <c r="H103" i="41"/>
  <c r="D60" i="41" s="1"/>
  <c r="G117" i="41"/>
  <c r="C74" i="41" s="1"/>
  <c r="H99" i="41"/>
  <c r="G100" i="41"/>
  <c r="C57" i="41" s="1"/>
  <c r="H104" i="41"/>
  <c r="D61" i="41" s="1"/>
  <c r="H101" i="41"/>
  <c r="D58" i="41" s="1"/>
  <c r="H106" i="41"/>
  <c r="D63" i="41" s="1"/>
  <c r="G106" i="41"/>
  <c r="C63" i="41" s="1"/>
  <c r="G124" i="41"/>
  <c r="C81" i="41" s="1"/>
  <c r="H124" i="41"/>
  <c r="D81" i="41" s="1"/>
  <c r="C131" i="41"/>
  <c r="H118" i="41"/>
  <c r="D75" i="41" s="1"/>
  <c r="G118" i="41"/>
  <c r="C75" i="41" s="1"/>
  <c r="H121" i="41"/>
  <c r="D78" i="41" s="1"/>
  <c r="G121" i="41"/>
  <c r="C78" i="41" s="1"/>
  <c r="H125" i="41"/>
  <c r="D82" i="41" s="1"/>
  <c r="G125" i="41"/>
  <c r="C82" i="41" s="1"/>
  <c r="H107" i="41"/>
  <c r="D64" i="41" s="1"/>
  <c r="G107" i="41"/>
  <c r="C64" i="41" s="1"/>
  <c r="H126" i="41"/>
  <c r="D83" i="41" s="1"/>
  <c r="G126" i="41"/>
  <c r="C83" i="41" s="1"/>
  <c r="H122" i="41"/>
  <c r="D79" i="41" s="1"/>
  <c r="G122" i="41"/>
  <c r="C79" i="41" s="1"/>
  <c r="G120" i="41"/>
  <c r="C77" i="41" s="1"/>
  <c r="H120" i="41"/>
  <c r="D77" i="41" s="1"/>
  <c r="G116" i="41"/>
  <c r="C73" i="41" s="1"/>
  <c r="H116" i="41"/>
  <c r="D73" i="41" s="1"/>
  <c r="G108" i="41"/>
  <c r="C65" i="41" s="1"/>
  <c r="H108" i="41"/>
  <c r="D65" i="41" s="1"/>
  <c r="D131" i="41"/>
  <c r="H129" i="41"/>
  <c r="D86" i="41" s="1"/>
  <c r="G129" i="41"/>
  <c r="C86" i="41" s="1"/>
  <c r="H128" i="41"/>
  <c r="D85" i="41" s="1"/>
  <c r="G128" i="41"/>
  <c r="C85" i="41" s="1"/>
  <c r="D56" i="41"/>
  <c r="E123" i="41"/>
  <c r="E131" i="41" s="1"/>
  <c r="H115" i="41"/>
  <c r="D72" i="41" s="1"/>
  <c r="G115" i="41"/>
  <c r="C72" i="41" s="1"/>
  <c r="C56" i="41"/>
  <c r="D131" i="40"/>
  <c r="E100" i="40"/>
  <c r="H119" i="40"/>
  <c r="D76" i="40" s="1"/>
  <c r="G119" i="40"/>
  <c r="C76" i="40" s="1"/>
  <c r="H117" i="40"/>
  <c r="D74" i="40" s="1"/>
  <c r="G117" i="40"/>
  <c r="C74" i="40" s="1"/>
  <c r="E128" i="40"/>
  <c r="G122" i="40"/>
  <c r="C79" i="40" s="1"/>
  <c r="H122" i="40"/>
  <c r="D79" i="40" s="1"/>
  <c r="H120" i="40"/>
  <c r="D77" i="40" s="1"/>
  <c r="G120" i="40"/>
  <c r="C77" i="40" s="1"/>
  <c r="H115" i="40"/>
  <c r="D72" i="40" s="1"/>
  <c r="G115" i="40"/>
  <c r="C72" i="40" s="1"/>
  <c r="E123" i="40"/>
  <c r="H121" i="40"/>
  <c r="D78" i="40" s="1"/>
  <c r="G121" i="40"/>
  <c r="C78" i="40" s="1"/>
  <c r="H127" i="40"/>
  <c r="D84" i="40" s="1"/>
  <c r="G127" i="40"/>
  <c r="C84" i="40" s="1"/>
  <c r="H108" i="40"/>
  <c r="D65" i="40" s="1"/>
  <c r="G108" i="40"/>
  <c r="C65" i="40" s="1"/>
  <c r="E125" i="40"/>
  <c r="H124" i="40"/>
  <c r="D81" i="40" s="1"/>
  <c r="G124" i="40"/>
  <c r="C81" i="40" s="1"/>
  <c r="C131" i="40"/>
  <c r="H129" i="40"/>
  <c r="D86" i="40" s="1"/>
  <c r="G129" i="40"/>
  <c r="C86" i="40" s="1"/>
  <c r="N109" i="15"/>
  <c r="H123" i="41" l="1"/>
  <c r="D80" i="41" s="1"/>
  <c r="G123" i="41"/>
  <c r="C80" i="41" s="1"/>
  <c r="C89" i="41" s="1"/>
  <c r="H125" i="40"/>
  <c r="D82" i="40" s="1"/>
  <c r="G125" i="40"/>
  <c r="C82" i="40" s="1"/>
  <c r="H123" i="40"/>
  <c r="D80" i="40" s="1"/>
  <c r="G123" i="40"/>
  <c r="C80" i="40" s="1"/>
  <c r="H100" i="40"/>
  <c r="G100" i="40"/>
  <c r="E131" i="40"/>
  <c r="G128" i="40"/>
  <c r="C85" i="40" s="1"/>
  <c r="H128" i="40"/>
  <c r="D85" i="40" s="1"/>
  <c r="D96" i="31"/>
  <c r="D97" i="31"/>
  <c r="H131" i="41" l="1"/>
  <c r="G131" i="41"/>
  <c r="D89" i="41"/>
  <c r="C57" i="40"/>
  <c r="C89" i="40" s="1"/>
  <c r="G131" i="40"/>
  <c r="D57" i="40"/>
  <c r="D89" i="40" s="1"/>
  <c r="H131" i="40"/>
  <c r="C95" i="31"/>
  <c r="D111" i="38" l="1"/>
  <c r="C110" i="38"/>
  <c r="D99" i="38"/>
  <c r="C100" i="38"/>
  <c r="D102" i="38"/>
  <c r="D103" i="38"/>
  <c r="D104" i="38"/>
  <c r="D105" i="38"/>
  <c r="D106" i="38"/>
  <c r="D107" i="38"/>
  <c r="D108" i="38"/>
  <c r="D101" i="38"/>
  <c r="C52" i="38" l="1"/>
  <c r="D129" i="38" s="1"/>
  <c r="C53" i="38"/>
  <c r="D130" i="38" s="1"/>
  <c r="E130" i="38" s="1"/>
  <c r="C47" i="38"/>
  <c r="D124" i="38" s="1"/>
  <c r="C48" i="38"/>
  <c r="D125" i="38" s="1"/>
  <c r="C49" i="38"/>
  <c r="D126" i="38" s="1"/>
  <c r="C50" i="38"/>
  <c r="D127" i="38" s="1"/>
  <c r="C51" i="38"/>
  <c r="D128" i="38" s="1"/>
  <c r="C46" i="38"/>
  <c r="D123" i="38" s="1"/>
  <c r="C41" i="38"/>
  <c r="C42" i="38"/>
  <c r="C40" i="38"/>
  <c r="R228" i="15"/>
  <c r="T232" i="15"/>
  <c r="Y232" i="15" s="1"/>
  <c r="E97" i="31"/>
  <c r="H97" i="31" s="1"/>
  <c r="E96" i="31"/>
  <c r="G96" i="31" s="1"/>
  <c r="D95" i="31"/>
  <c r="E94" i="31"/>
  <c r="G94" i="31" s="1"/>
  <c r="C87" i="31"/>
  <c r="AA232" i="15" l="1"/>
  <c r="N203" i="15" s="1"/>
  <c r="AN168" i="1" s="1"/>
  <c r="Z232" i="15"/>
  <c r="L203" i="15" s="1"/>
  <c r="E95" i="31"/>
  <c r="H95" i="31" s="1"/>
  <c r="E128" i="38"/>
  <c r="G128" i="38" s="1"/>
  <c r="C85" i="38" s="1"/>
  <c r="E127" i="38"/>
  <c r="G127" i="38" s="1"/>
  <c r="C84" i="38" s="1"/>
  <c r="E126" i="38"/>
  <c r="H126" i="38" s="1"/>
  <c r="D83" i="38" s="1"/>
  <c r="AN283" i="1" s="1"/>
  <c r="E125" i="38"/>
  <c r="H125" i="38" s="1"/>
  <c r="D82" i="38" s="1"/>
  <c r="AN274" i="1" s="1"/>
  <c r="E124" i="38"/>
  <c r="G124" i="38" s="1"/>
  <c r="C81" i="38" s="1"/>
  <c r="E129" i="38"/>
  <c r="H129" i="38" s="1"/>
  <c r="D86" i="38" s="1"/>
  <c r="AN310" i="1" s="1"/>
  <c r="G130" i="38"/>
  <c r="C87" i="38" s="1"/>
  <c r="H130" i="38"/>
  <c r="D87" i="38" s="1"/>
  <c r="AN319" i="1" s="1"/>
  <c r="C106" i="38"/>
  <c r="E106" i="38" s="1"/>
  <c r="G106" i="38" s="1"/>
  <c r="C63" i="38" s="1"/>
  <c r="AK302" i="1" s="1"/>
  <c r="AV302" i="1" s="1"/>
  <c r="D120" i="38"/>
  <c r="E120" i="38" s="1"/>
  <c r="C104" i="38"/>
  <c r="E104" i="38" s="1"/>
  <c r="G104" i="38" s="1"/>
  <c r="C61" i="38" s="1"/>
  <c r="AK284" i="1" s="1"/>
  <c r="AV284" i="1" s="1"/>
  <c r="D118" i="38"/>
  <c r="E118" i="38" s="1"/>
  <c r="C103" i="38"/>
  <c r="E103" i="38" s="1"/>
  <c r="H103" i="38" s="1"/>
  <c r="D60" i="38" s="1"/>
  <c r="D117" i="38"/>
  <c r="E117" i="38" s="1"/>
  <c r="C101" i="38"/>
  <c r="D115" i="38"/>
  <c r="C105" i="38"/>
  <c r="E105" i="38" s="1"/>
  <c r="H105" i="38" s="1"/>
  <c r="D62" i="38" s="1"/>
  <c r="D119" i="38"/>
  <c r="E119" i="38" s="1"/>
  <c r="C102" i="38"/>
  <c r="E102" i="38" s="1"/>
  <c r="G102" i="38" s="1"/>
  <c r="C59" i="38" s="1"/>
  <c r="AK266" i="1" s="1"/>
  <c r="AV266" i="1" s="1"/>
  <c r="D116" i="38"/>
  <c r="E116" i="38" s="1"/>
  <c r="C108" i="38"/>
  <c r="E108" i="38" s="1"/>
  <c r="G108" i="38" s="1"/>
  <c r="C65" i="38" s="1"/>
  <c r="AK320" i="1" s="1"/>
  <c r="AV320" i="1" s="1"/>
  <c r="D122" i="38"/>
  <c r="E122" i="38" s="1"/>
  <c r="C107" i="38"/>
  <c r="E107" i="38" s="1"/>
  <c r="H107" i="38" s="1"/>
  <c r="D64" i="38" s="1"/>
  <c r="D121" i="38"/>
  <c r="E121" i="38" s="1"/>
  <c r="C43" i="38"/>
  <c r="D43" i="38" s="1"/>
  <c r="C114" i="38"/>
  <c r="C99" i="38"/>
  <c r="D112" i="38"/>
  <c r="C109" i="38"/>
  <c r="D100" i="38"/>
  <c r="C54" i="38"/>
  <c r="D54" i="38" s="1"/>
  <c r="H94" i="31"/>
  <c r="G97" i="31"/>
  <c r="E87" i="31"/>
  <c r="H96" i="31"/>
  <c r="G126" i="38" l="1"/>
  <c r="C83" i="38" s="1"/>
  <c r="G95" i="31"/>
  <c r="H127" i="38"/>
  <c r="D84" i="38" s="1"/>
  <c r="AN292" i="1" s="1"/>
  <c r="H128" i="38"/>
  <c r="D85" i="38" s="1"/>
  <c r="AN301" i="1" s="1"/>
  <c r="H124" i="38"/>
  <c r="D81" i="38" s="1"/>
  <c r="AN265" i="1" s="1"/>
  <c r="G129" i="38"/>
  <c r="C86" i="38" s="1"/>
  <c r="G125" i="38"/>
  <c r="C82" i="38" s="1"/>
  <c r="H104" i="38"/>
  <c r="D61" i="38" s="1"/>
  <c r="H102" i="38"/>
  <c r="D59" i="38" s="1"/>
  <c r="G119" i="38"/>
  <c r="C76" i="38" s="1"/>
  <c r="H119" i="38"/>
  <c r="D76" i="38" s="1"/>
  <c r="G121" i="38"/>
  <c r="C78" i="38" s="1"/>
  <c r="H121" i="38"/>
  <c r="D78" i="38" s="1"/>
  <c r="G105" i="38"/>
  <c r="C62" i="38" s="1"/>
  <c r="AK293" i="1" s="1"/>
  <c r="AV293" i="1" s="1"/>
  <c r="E101" i="38"/>
  <c r="H101" i="38" s="1"/>
  <c r="D58" i="38" s="1"/>
  <c r="H122" i="38"/>
  <c r="D79" i="38" s="1"/>
  <c r="G122" i="38"/>
  <c r="C79" i="38" s="1"/>
  <c r="G117" i="38"/>
  <c r="C74" i="38" s="1"/>
  <c r="H117" i="38"/>
  <c r="D74" i="38" s="1"/>
  <c r="G116" i="38"/>
  <c r="C73" i="38" s="1"/>
  <c r="H116" i="38"/>
  <c r="D73" i="38" s="1"/>
  <c r="H118" i="38"/>
  <c r="D75" i="38" s="1"/>
  <c r="G118" i="38"/>
  <c r="C75" i="38" s="1"/>
  <c r="G120" i="38"/>
  <c r="C77" i="38" s="1"/>
  <c r="H120" i="38"/>
  <c r="D77" i="38" s="1"/>
  <c r="H108" i="38"/>
  <c r="D65" i="38" s="1"/>
  <c r="H106" i="38"/>
  <c r="D63" i="38" s="1"/>
  <c r="G107" i="38"/>
  <c r="C64" i="38" s="1"/>
  <c r="AK311" i="1" s="1"/>
  <c r="AV311" i="1" s="1"/>
  <c r="G103" i="38"/>
  <c r="C60" i="38" s="1"/>
  <c r="AK275" i="1" s="1"/>
  <c r="AV275" i="1" s="1"/>
  <c r="H87" i="31"/>
  <c r="G87" i="31"/>
  <c r="G101" i="38" l="1"/>
  <c r="C58" i="38" s="1"/>
  <c r="AK255" i="1" s="1"/>
  <c r="AF86" i="1"/>
  <c r="AF89" i="1"/>
  <c r="AV147" i="1"/>
  <c r="AW171" i="1"/>
  <c r="AG170" i="1" l="1"/>
  <c r="AW170" i="1" s="1"/>
  <c r="D131" i="38"/>
  <c r="E123" i="38" l="1"/>
  <c r="E115" i="38"/>
  <c r="E114" i="38"/>
  <c r="E113" i="38"/>
  <c r="E112" i="38"/>
  <c r="E111" i="38"/>
  <c r="G111" i="38" s="1"/>
  <c r="C69" i="38" s="1"/>
  <c r="E110" i="38"/>
  <c r="E109" i="38"/>
  <c r="C131" i="38"/>
  <c r="E100" i="38"/>
  <c r="E99" i="38"/>
  <c r="H112" i="38" l="1"/>
  <c r="D70" i="38" s="1"/>
  <c r="AN160" i="1" s="1"/>
  <c r="G112" i="38"/>
  <c r="C70" i="38" s="1"/>
  <c r="H109" i="38"/>
  <c r="D66" i="38" s="1"/>
  <c r="G109" i="38"/>
  <c r="C66" i="38" s="1"/>
  <c r="AK96" i="1" s="1"/>
  <c r="G113" i="38"/>
  <c r="H113" i="38"/>
  <c r="H100" i="38"/>
  <c r="D57" i="38" s="1"/>
  <c r="G100" i="38"/>
  <c r="C57" i="38" s="1"/>
  <c r="G123" i="38"/>
  <c r="C80" i="38" s="1"/>
  <c r="H123" i="38"/>
  <c r="D80" i="38" s="1"/>
  <c r="AN254" i="1" s="1"/>
  <c r="H110" i="38"/>
  <c r="D67" i="38" s="1"/>
  <c r="G110" i="38"/>
  <c r="C67" i="38" s="1"/>
  <c r="AK98" i="1" s="1"/>
  <c r="H114" i="38"/>
  <c r="D71" i="38" s="1"/>
  <c r="G114" i="38"/>
  <c r="C71" i="38" s="1"/>
  <c r="AK94" i="1" s="1"/>
  <c r="H115" i="38"/>
  <c r="G115" i="38"/>
  <c r="G99" i="38"/>
  <c r="H99" i="38"/>
  <c r="D56" i="38" s="1"/>
  <c r="H111" i="38"/>
  <c r="D69" i="38" s="1"/>
  <c r="AN159" i="1" s="1"/>
  <c r="AN147" i="1" l="1"/>
  <c r="AW147" i="1" s="1"/>
  <c r="C72" i="38"/>
  <c r="D72" i="38"/>
  <c r="E131" i="38"/>
  <c r="C56" i="38"/>
  <c r="AK171" i="1" s="1"/>
  <c r="AN253" i="1" l="1"/>
  <c r="AN239" i="38"/>
  <c r="AV171" i="1"/>
  <c r="G131" i="38"/>
  <c r="C89" i="38" l="1"/>
  <c r="D89" i="38"/>
  <c r="H131" i="38"/>
  <c r="C76" i="31" l="1"/>
  <c r="D76" i="31"/>
  <c r="AN264" i="1" s="1"/>
  <c r="D75" i="31"/>
  <c r="C75" i="31"/>
  <c r="AF170" i="1" l="1"/>
  <c r="AV170" i="1" s="1"/>
  <c r="AN263" i="1"/>
  <c r="AW263" i="1" s="1"/>
  <c r="AW94" i="1" l="1"/>
  <c r="AV95" i="1"/>
  <c r="AW95" i="1"/>
  <c r="AW96" i="1"/>
  <c r="AV97" i="1"/>
  <c r="AW97" i="1"/>
  <c r="AW98" i="1"/>
  <c r="AV99" i="1"/>
  <c r="AW99" i="1"/>
  <c r="AV159" i="1"/>
  <c r="AV160" i="1"/>
  <c r="AZ95" i="1" l="1"/>
  <c r="BA95" i="1"/>
  <c r="AZ97" i="1"/>
  <c r="BA97" i="1"/>
  <c r="AZ99" i="1"/>
  <c r="BA99" i="1"/>
  <c r="G197" i="18"/>
  <c r="G196" i="18"/>
  <c r="E180" i="18"/>
  <c r="E179" i="18"/>
  <c r="E178" i="18"/>
  <c r="AS159" i="1" l="1"/>
  <c r="AW159" i="1" s="1"/>
  <c r="BA159" i="1" s="1"/>
  <c r="AP96" i="1"/>
  <c r="AV96" i="1" s="1"/>
  <c r="AS160" i="1"/>
  <c r="AW160" i="1" s="1"/>
  <c r="BA160" i="1" s="1"/>
  <c r="AP94" i="1"/>
  <c r="AV94" i="1" s="1"/>
  <c r="AP98" i="1"/>
  <c r="AV98" i="1" s="1"/>
  <c r="AZ98" i="1" s="1"/>
  <c r="BA94" i="1" l="1"/>
  <c r="AZ94" i="1"/>
  <c r="AZ96" i="1"/>
  <c r="BA96" i="1"/>
  <c r="BA98" i="1"/>
  <c r="AV93" i="1"/>
  <c r="D71" i="31" l="1"/>
  <c r="AW93" i="1" l="1"/>
  <c r="AZ93" i="1" s="1"/>
  <c r="BA93" i="1" l="1"/>
  <c r="J35" i="34" l="1"/>
  <c r="R906" i="34" l="1"/>
  <c r="C898" i="35" l="1"/>
  <c r="P907" i="33"/>
  <c r="K907" i="33"/>
  <c r="V908" i="34" l="1"/>
  <c r="U908" i="34"/>
  <c r="T908" i="34"/>
  <c r="Q908" i="34"/>
  <c r="P908" i="34"/>
  <c r="O908" i="34"/>
  <c r="N908" i="34"/>
  <c r="L908" i="34"/>
  <c r="K908" i="34"/>
  <c r="J908" i="34"/>
  <c r="I908" i="34"/>
  <c r="G908" i="34"/>
  <c r="F908" i="34"/>
  <c r="E908" i="34"/>
  <c r="D908" i="34"/>
  <c r="C908" i="34"/>
  <c r="R905" i="34"/>
  <c r="R904" i="34"/>
  <c r="R903" i="34"/>
  <c r="R902" i="34"/>
  <c r="R901" i="34"/>
  <c r="R900" i="34"/>
  <c r="R899" i="34"/>
  <c r="R898" i="34"/>
  <c r="R897" i="34"/>
  <c r="R896" i="34"/>
  <c r="R895" i="34"/>
  <c r="R894" i="34"/>
  <c r="R893" i="34"/>
  <c r="R892" i="34"/>
  <c r="R891" i="34"/>
  <c r="R890" i="34"/>
  <c r="R889" i="34"/>
  <c r="R888" i="34"/>
  <c r="R887" i="34"/>
  <c r="R886" i="34"/>
  <c r="R885" i="34"/>
  <c r="R884" i="34"/>
  <c r="R883" i="34"/>
  <c r="R882" i="34"/>
  <c r="R881" i="34"/>
  <c r="R880" i="34"/>
  <c r="R879" i="34"/>
  <c r="R878" i="34"/>
  <c r="R877" i="34"/>
  <c r="R876" i="34"/>
  <c r="R875" i="34"/>
  <c r="R874" i="34"/>
  <c r="R873" i="34"/>
  <c r="R872" i="34"/>
  <c r="R871" i="34"/>
  <c r="R870" i="34"/>
  <c r="R869" i="34"/>
  <c r="R868" i="34"/>
  <c r="R867" i="34"/>
  <c r="R866" i="34"/>
  <c r="R865" i="34"/>
  <c r="R864" i="34"/>
  <c r="R863" i="34"/>
  <c r="R862" i="34"/>
  <c r="R861" i="34"/>
  <c r="R860" i="34"/>
  <c r="R859" i="34"/>
  <c r="R858" i="34"/>
  <c r="R857" i="34"/>
  <c r="R856" i="34"/>
  <c r="R855" i="34"/>
  <c r="R854" i="34"/>
  <c r="R853" i="34"/>
  <c r="R852" i="34"/>
  <c r="R851" i="34"/>
  <c r="R850" i="34"/>
  <c r="R849" i="34"/>
  <c r="R848" i="34"/>
  <c r="R847" i="34"/>
  <c r="R846" i="34"/>
  <c r="R845" i="34"/>
  <c r="R844" i="34"/>
  <c r="R843" i="34"/>
  <c r="R842" i="34"/>
  <c r="R841" i="34"/>
  <c r="R840" i="34"/>
  <c r="R839" i="34"/>
  <c r="R838" i="34"/>
  <c r="R837" i="34"/>
  <c r="R836" i="34"/>
  <c r="R835" i="34"/>
  <c r="R834" i="34"/>
  <c r="R833" i="34"/>
  <c r="R832" i="34"/>
  <c r="R831" i="34"/>
  <c r="R830" i="34"/>
  <c r="R829" i="34"/>
  <c r="R828" i="34"/>
  <c r="R827" i="34"/>
  <c r="R826" i="34"/>
  <c r="R825" i="34"/>
  <c r="R824" i="34"/>
  <c r="R823" i="34"/>
  <c r="R822" i="34"/>
  <c r="R821" i="34"/>
  <c r="R820" i="34"/>
  <c r="R819" i="34"/>
  <c r="R818" i="34"/>
  <c r="R817" i="34"/>
  <c r="R816" i="34"/>
  <c r="R815" i="34"/>
  <c r="R814" i="34"/>
  <c r="R813" i="34"/>
  <c r="R812" i="34"/>
  <c r="R811" i="34"/>
  <c r="R810" i="34"/>
  <c r="R809" i="34"/>
  <c r="R808" i="34"/>
  <c r="R807" i="34"/>
  <c r="R806" i="34"/>
  <c r="R805" i="34"/>
  <c r="R804" i="34"/>
  <c r="R803" i="34"/>
  <c r="R802" i="34"/>
  <c r="R801" i="34"/>
  <c r="R800" i="34"/>
  <c r="R799" i="34"/>
  <c r="R798" i="34"/>
  <c r="R797" i="34"/>
  <c r="R796" i="34"/>
  <c r="R795" i="34"/>
  <c r="R794" i="34"/>
  <c r="R793" i="34"/>
  <c r="R792" i="34"/>
  <c r="R791" i="34"/>
  <c r="R790" i="34"/>
  <c r="R789" i="34"/>
  <c r="R788" i="34"/>
  <c r="R787" i="34"/>
  <c r="R786" i="34"/>
  <c r="R785" i="34"/>
  <c r="R784" i="34"/>
  <c r="R783" i="34"/>
  <c r="R782" i="34"/>
  <c r="R781" i="34"/>
  <c r="R780" i="34"/>
  <c r="R779" i="34"/>
  <c r="R778" i="34"/>
  <c r="R777" i="34"/>
  <c r="R776" i="34"/>
  <c r="R775" i="34"/>
  <c r="R774" i="34"/>
  <c r="R773" i="34"/>
  <c r="R772" i="34"/>
  <c r="R771" i="34"/>
  <c r="R770" i="34"/>
  <c r="R769" i="34"/>
  <c r="R768" i="34"/>
  <c r="R767" i="34"/>
  <c r="R766" i="34"/>
  <c r="R765" i="34"/>
  <c r="R764" i="34"/>
  <c r="R763" i="34"/>
  <c r="R762" i="34"/>
  <c r="R761" i="34"/>
  <c r="R760" i="34"/>
  <c r="R759" i="34"/>
  <c r="R758" i="34"/>
  <c r="R757" i="34"/>
  <c r="R756" i="34"/>
  <c r="R755" i="34"/>
  <c r="R754" i="34"/>
  <c r="R753" i="34"/>
  <c r="R752" i="34"/>
  <c r="R751" i="34"/>
  <c r="R750" i="34"/>
  <c r="R749" i="34"/>
  <c r="R748" i="34"/>
  <c r="R747" i="34"/>
  <c r="R746" i="34"/>
  <c r="R745" i="34"/>
  <c r="R744" i="34"/>
  <c r="R743" i="34"/>
  <c r="R742" i="34"/>
  <c r="R741" i="34"/>
  <c r="R740" i="34"/>
  <c r="R739" i="34"/>
  <c r="R738" i="34"/>
  <c r="R737" i="34"/>
  <c r="R736" i="34"/>
  <c r="R735" i="34"/>
  <c r="R734" i="34"/>
  <c r="R733" i="34"/>
  <c r="R732" i="34"/>
  <c r="R731" i="34"/>
  <c r="R730" i="34"/>
  <c r="R729" i="34"/>
  <c r="R728" i="34"/>
  <c r="R727" i="34"/>
  <c r="R726" i="34"/>
  <c r="R725" i="34"/>
  <c r="R724" i="34"/>
  <c r="R723" i="34"/>
  <c r="R722" i="34"/>
  <c r="R721" i="34"/>
  <c r="R720" i="34"/>
  <c r="R719" i="34"/>
  <c r="R718" i="34"/>
  <c r="R717" i="34"/>
  <c r="R716" i="34"/>
  <c r="R715" i="34"/>
  <c r="R714" i="34"/>
  <c r="R713" i="34"/>
  <c r="R712" i="34"/>
  <c r="R711" i="34"/>
  <c r="R710" i="34"/>
  <c r="R709" i="34"/>
  <c r="R708" i="34"/>
  <c r="R707" i="34"/>
  <c r="R706" i="34"/>
  <c r="R705" i="34"/>
  <c r="R704" i="34"/>
  <c r="R703" i="34"/>
  <c r="R702" i="34"/>
  <c r="R701" i="34"/>
  <c r="R700" i="34"/>
  <c r="R699" i="34"/>
  <c r="R698" i="34"/>
  <c r="R697" i="34"/>
  <c r="R696" i="34"/>
  <c r="R695" i="34"/>
  <c r="R694" i="34"/>
  <c r="R693" i="34"/>
  <c r="R692" i="34"/>
  <c r="R691" i="34"/>
  <c r="R690" i="34"/>
  <c r="R689" i="34"/>
  <c r="R688" i="34"/>
  <c r="R687" i="34"/>
  <c r="R686" i="34"/>
  <c r="R685" i="34"/>
  <c r="R684" i="34"/>
  <c r="R683" i="34"/>
  <c r="R682" i="34"/>
  <c r="R681" i="34"/>
  <c r="R680" i="34"/>
  <c r="R679" i="34"/>
  <c r="R678" i="34"/>
  <c r="R677" i="34"/>
  <c r="R676" i="34"/>
  <c r="R675" i="34"/>
  <c r="R674" i="34"/>
  <c r="R673" i="34"/>
  <c r="R672" i="34"/>
  <c r="R671" i="34"/>
  <c r="R670" i="34"/>
  <c r="R669" i="34"/>
  <c r="R668" i="34"/>
  <c r="R667" i="34"/>
  <c r="R666" i="34"/>
  <c r="R665" i="34"/>
  <c r="R664" i="34"/>
  <c r="R663" i="34"/>
  <c r="R662" i="34"/>
  <c r="R661" i="34"/>
  <c r="R660" i="34"/>
  <c r="R659" i="34"/>
  <c r="R658" i="34"/>
  <c r="R657" i="34"/>
  <c r="R656" i="34"/>
  <c r="R655" i="34"/>
  <c r="R654" i="34"/>
  <c r="R653" i="34"/>
  <c r="R652" i="34"/>
  <c r="R651" i="34"/>
  <c r="R650" i="34"/>
  <c r="R649" i="34"/>
  <c r="R648" i="34"/>
  <c r="R647" i="34"/>
  <c r="R646" i="34"/>
  <c r="R645" i="34"/>
  <c r="R644" i="34"/>
  <c r="R643" i="34"/>
  <c r="R642" i="34"/>
  <c r="R641" i="34"/>
  <c r="R640" i="34"/>
  <c r="R639" i="34"/>
  <c r="R638" i="34"/>
  <c r="R637" i="34"/>
  <c r="R636" i="34"/>
  <c r="R635" i="34"/>
  <c r="R634" i="34"/>
  <c r="R633" i="34"/>
  <c r="R632" i="34"/>
  <c r="R631" i="34"/>
  <c r="R630" i="34"/>
  <c r="R629" i="34"/>
  <c r="R628" i="34"/>
  <c r="R627" i="34"/>
  <c r="R626" i="34"/>
  <c r="R625" i="34"/>
  <c r="R624" i="34"/>
  <c r="R623" i="34"/>
  <c r="R622" i="34"/>
  <c r="R621" i="34"/>
  <c r="R620" i="34"/>
  <c r="R619" i="34"/>
  <c r="R618" i="34"/>
  <c r="R617" i="34"/>
  <c r="R616" i="34"/>
  <c r="R615" i="34"/>
  <c r="R614" i="34"/>
  <c r="R613" i="34"/>
  <c r="R612" i="34"/>
  <c r="R611" i="34"/>
  <c r="R610" i="34"/>
  <c r="R609" i="34"/>
  <c r="R608" i="34"/>
  <c r="R607" i="34"/>
  <c r="R606" i="34"/>
  <c r="R605" i="34"/>
  <c r="R604" i="34"/>
  <c r="R603" i="34"/>
  <c r="R602" i="34"/>
  <c r="R601" i="34"/>
  <c r="R600" i="34"/>
  <c r="R599" i="34"/>
  <c r="R598" i="34"/>
  <c r="R597" i="34"/>
  <c r="R596" i="34"/>
  <c r="R595" i="34"/>
  <c r="R594" i="34"/>
  <c r="R593" i="34"/>
  <c r="R592" i="34"/>
  <c r="R591" i="34"/>
  <c r="R590" i="34"/>
  <c r="R589" i="34"/>
  <c r="R588" i="34"/>
  <c r="R587" i="34"/>
  <c r="R586" i="34"/>
  <c r="R585" i="34"/>
  <c r="R584" i="34"/>
  <c r="R583" i="34"/>
  <c r="R582" i="34"/>
  <c r="R581" i="34"/>
  <c r="R580" i="34"/>
  <c r="R579" i="34"/>
  <c r="R578" i="34"/>
  <c r="R577" i="34"/>
  <c r="R576" i="34"/>
  <c r="R575" i="34"/>
  <c r="R574" i="34"/>
  <c r="R573" i="34"/>
  <c r="R572" i="34"/>
  <c r="R571" i="34"/>
  <c r="R570" i="34"/>
  <c r="R569" i="34"/>
  <c r="R568" i="34"/>
  <c r="R567" i="34"/>
  <c r="R566" i="34"/>
  <c r="R565" i="34"/>
  <c r="R564" i="34"/>
  <c r="R563" i="34"/>
  <c r="R562" i="34"/>
  <c r="R561" i="34"/>
  <c r="R560" i="34"/>
  <c r="R559" i="34"/>
  <c r="R558" i="34"/>
  <c r="R557" i="34"/>
  <c r="R556" i="34"/>
  <c r="R555" i="34"/>
  <c r="R554" i="34"/>
  <c r="R553" i="34"/>
  <c r="R552" i="34"/>
  <c r="R551" i="34"/>
  <c r="R550" i="34"/>
  <c r="R549" i="34"/>
  <c r="R548" i="34"/>
  <c r="R547" i="34"/>
  <c r="R546" i="34"/>
  <c r="R545" i="34"/>
  <c r="R544" i="34"/>
  <c r="R543" i="34"/>
  <c r="R542" i="34"/>
  <c r="R541" i="34"/>
  <c r="R540" i="34"/>
  <c r="R539" i="34"/>
  <c r="R538" i="34"/>
  <c r="R537" i="34"/>
  <c r="R536" i="34"/>
  <c r="R535" i="34"/>
  <c r="R534" i="34"/>
  <c r="R533" i="34"/>
  <c r="R532" i="34"/>
  <c r="R531" i="34"/>
  <c r="R530" i="34"/>
  <c r="R529" i="34"/>
  <c r="R528" i="34"/>
  <c r="R527" i="34"/>
  <c r="R526" i="34"/>
  <c r="R525" i="34"/>
  <c r="R524" i="34"/>
  <c r="R523" i="34"/>
  <c r="R522" i="34"/>
  <c r="R521" i="34"/>
  <c r="R520" i="34"/>
  <c r="R519" i="34"/>
  <c r="R518" i="34"/>
  <c r="R517" i="34"/>
  <c r="R516" i="34"/>
  <c r="R515" i="34"/>
  <c r="R514" i="34"/>
  <c r="R513" i="34"/>
  <c r="R512" i="34"/>
  <c r="R511" i="34"/>
  <c r="R510" i="34"/>
  <c r="R509" i="34"/>
  <c r="R508" i="34"/>
  <c r="R507" i="34"/>
  <c r="R506" i="34"/>
  <c r="R505" i="34"/>
  <c r="R504" i="34"/>
  <c r="R503" i="34"/>
  <c r="R502" i="34"/>
  <c r="R501" i="34"/>
  <c r="R500" i="34"/>
  <c r="R499" i="34"/>
  <c r="R498" i="34"/>
  <c r="R497" i="34"/>
  <c r="R496" i="34"/>
  <c r="R495" i="34"/>
  <c r="R494" i="34"/>
  <c r="R493" i="34"/>
  <c r="R492" i="34"/>
  <c r="R491" i="34"/>
  <c r="R490" i="34"/>
  <c r="R489" i="34"/>
  <c r="R488" i="34"/>
  <c r="R487" i="34"/>
  <c r="R486" i="34"/>
  <c r="R485" i="34"/>
  <c r="R484" i="34"/>
  <c r="R483" i="34"/>
  <c r="R482" i="34"/>
  <c r="R481" i="34"/>
  <c r="R480" i="34"/>
  <c r="R479" i="34"/>
  <c r="R478" i="34"/>
  <c r="R477" i="34"/>
  <c r="R476" i="34"/>
  <c r="R475" i="34"/>
  <c r="R474" i="34"/>
  <c r="R473" i="34"/>
  <c r="R472" i="34"/>
  <c r="R471" i="34"/>
  <c r="R470" i="34"/>
  <c r="R469" i="34"/>
  <c r="R468" i="34"/>
  <c r="R467" i="34"/>
  <c r="R466" i="34"/>
  <c r="R465" i="34"/>
  <c r="R464" i="34"/>
  <c r="R463" i="34"/>
  <c r="R462" i="34"/>
  <c r="R461" i="34"/>
  <c r="R460" i="34"/>
  <c r="R459" i="34"/>
  <c r="R458" i="34"/>
  <c r="R457" i="34"/>
  <c r="R456" i="34"/>
  <c r="R455" i="34"/>
  <c r="R454" i="34"/>
  <c r="R453" i="34"/>
  <c r="R452" i="34"/>
  <c r="R451" i="34"/>
  <c r="R450" i="34"/>
  <c r="R449" i="34"/>
  <c r="R448" i="34"/>
  <c r="R447" i="34"/>
  <c r="R446" i="34"/>
  <c r="R445" i="34"/>
  <c r="R444" i="34"/>
  <c r="R443" i="34"/>
  <c r="R442" i="34"/>
  <c r="R441" i="34"/>
  <c r="R440" i="34"/>
  <c r="R439" i="34"/>
  <c r="R438" i="34"/>
  <c r="R437" i="34"/>
  <c r="R436" i="34"/>
  <c r="R435" i="34"/>
  <c r="R434" i="34"/>
  <c r="R433" i="34"/>
  <c r="R432" i="34"/>
  <c r="R431" i="34"/>
  <c r="R430" i="34"/>
  <c r="R429" i="34"/>
  <c r="R428" i="34"/>
  <c r="R427" i="34"/>
  <c r="R426" i="34"/>
  <c r="R425" i="34"/>
  <c r="R424" i="34"/>
  <c r="R423" i="34"/>
  <c r="R422" i="34"/>
  <c r="R421" i="34"/>
  <c r="R420" i="34"/>
  <c r="R419" i="34"/>
  <c r="R418" i="34"/>
  <c r="R417" i="34"/>
  <c r="R416" i="34"/>
  <c r="R415" i="34"/>
  <c r="R414" i="34"/>
  <c r="R413" i="34"/>
  <c r="R412" i="34"/>
  <c r="R411" i="34"/>
  <c r="R410" i="34"/>
  <c r="R409" i="34"/>
  <c r="R408" i="34"/>
  <c r="R407" i="34"/>
  <c r="R406" i="34"/>
  <c r="R405" i="34"/>
  <c r="R404" i="34"/>
  <c r="R403" i="34"/>
  <c r="R402" i="34"/>
  <c r="R401" i="34"/>
  <c r="R400" i="34"/>
  <c r="R399" i="34"/>
  <c r="R398" i="34"/>
  <c r="R397" i="34"/>
  <c r="R396" i="34"/>
  <c r="R395" i="34"/>
  <c r="R394" i="34"/>
  <c r="R393" i="34"/>
  <c r="R392" i="34"/>
  <c r="R391" i="34"/>
  <c r="R390" i="34"/>
  <c r="R389" i="34"/>
  <c r="R388" i="34"/>
  <c r="R387" i="34"/>
  <c r="R386" i="34"/>
  <c r="R385" i="34"/>
  <c r="R384" i="34"/>
  <c r="R383" i="34"/>
  <c r="R382" i="34"/>
  <c r="R381" i="34"/>
  <c r="R380" i="34"/>
  <c r="R379" i="34"/>
  <c r="R378" i="34"/>
  <c r="R377" i="34"/>
  <c r="R376" i="34"/>
  <c r="R375" i="34"/>
  <c r="R374" i="34"/>
  <c r="R373" i="34"/>
  <c r="R372" i="34"/>
  <c r="R371" i="34"/>
  <c r="R370" i="34"/>
  <c r="R369" i="34"/>
  <c r="R368" i="34"/>
  <c r="R367" i="34"/>
  <c r="R366" i="34"/>
  <c r="R365" i="34"/>
  <c r="R364" i="34"/>
  <c r="R363" i="34"/>
  <c r="R362" i="34"/>
  <c r="R361" i="34"/>
  <c r="R360" i="34"/>
  <c r="R359" i="34"/>
  <c r="R358" i="34"/>
  <c r="R357" i="34"/>
  <c r="R356" i="34"/>
  <c r="R355" i="34"/>
  <c r="R354" i="34"/>
  <c r="R353" i="34"/>
  <c r="R352" i="34"/>
  <c r="R351" i="34"/>
  <c r="R350" i="34"/>
  <c r="R349" i="34"/>
  <c r="R348" i="34"/>
  <c r="R347" i="34"/>
  <c r="R346" i="34"/>
  <c r="R345" i="34"/>
  <c r="R344" i="34"/>
  <c r="R343" i="34"/>
  <c r="R342" i="34"/>
  <c r="R341" i="34"/>
  <c r="R340" i="34"/>
  <c r="R339" i="34"/>
  <c r="R338" i="34"/>
  <c r="R337" i="34"/>
  <c r="R336" i="34"/>
  <c r="R335" i="34"/>
  <c r="R334" i="34"/>
  <c r="R333" i="34"/>
  <c r="R332" i="34"/>
  <c r="R331" i="34"/>
  <c r="R330" i="34"/>
  <c r="R329" i="34"/>
  <c r="R328" i="34"/>
  <c r="R327" i="34"/>
  <c r="R326" i="34"/>
  <c r="R325" i="34"/>
  <c r="R324" i="34"/>
  <c r="R323" i="34"/>
  <c r="R322" i="34"/>
  <c r="R321" i="34"/>
  <c r="R320" i="34"/>
  <c r="R319" i="34"/>
  <c r="R318" i="34"/>
  <c r="R317" i="34"/>
  <c r="R316" i="34"/>
  <c r="R315" i="34"/>
  <c r="R314" i="34"/>
  <c r="R313" i="34"/>
  <c r="R312" i="34"/>
  <c r="R311" i="34"/>
  <c r="R310" i="34"/>
  <c r="R309" i="34"/>
  <c r="R308" i="34"/>
  <c r="R307" i="34"/>
  <c r="R306" i="34"/>
  <c r="R305" i="34"/>
  <c r="R304" i="34"/>
  <c r="R303" i="34"/>
  <c r="R302" i="34"/>
  <c r="R301" i="34"/>
  <c r="R300" i="34"/>
  <c r="R299" i="34"/>
  <c r="R298" i="34"/>
  <c r="R297" i="34"/>
  <c r="R296" i="34"/>
  <c r="R295" i="34"/>
  <c r="R294" i="34"/>
  <c r="R293" i="34"/>
  <c r="R292" i="34"/>
  <c r="R291" i="34"/>
  <c r="R290" i="34"/>
  <c r="R289" i="34"/>
  <c r="R288" i="34"/>
  <c r="R287" i="34"/>
  <c r="R286" i="34"/>
  <c r="R285" i="34"/>
  <c r="R284" i="34"/>
  <c r="R283" i="34"/>
  <c r="R282" i="34"/>
  <c r="R281" i="34"/>
  <c r="R280" i="34"/>
  <c r="R279" i="34"/>
  <c r="R278" i="34"/>
  <c r="R277" i="34"/>
  <c r="R276" i="34"/>
  <c r="R275" i="34"/>
  <c r="R274" i="34"/>
  <c r="R273" i="34"/>
  <c r="R272" i="34"/>
  <c r="R271" i="34"/>
  <c r="R270" i="34"/>
  <c r="R269" i="34"/>
  <c r="R268" i="34"/>
  <c r="R267" i="34"/>
  <c r="R266" i="34"/>
  <c r="R265" i="34"/>
  <c r="R264" i="34"/>
  <c r="R263" i="34"/>
  <c r="R262" i="34"/>
  <c r="R261" i="34"/>
  <c r="R260" i="34"/>
  <c r="R259" i="34"/>
  <c r="R258" i="34"/>
  <c r="R257" i="34"/>
  <c r="R256" i="34"/>
  <c r="R255" i="34"/>
  <c r="R254" i="34"/>
  <c r="R253" i="34"/>
  <c r="R252" i="34"/>
  <c r="R251" i="34"/>
  <c r="R250" i="34"/>
  <c r="R249" i="34"/>
  <c r="R248" i="34"/>
  <c r="R247" i="34"/>
  <c r="R246" i="34"/>
  <c r="R245" i="34"/>
  <c r="R244" i="34"/>
  <c r="R243" i="34"/>
  <c r="R242" i="34"/>
  <c r="R241" i="34"/>
  <c r="R240" i="34"/>
  <c r="R239" i="34"/>
  <c r="R238" i="34"/>
  <c r="R237" i="34"/>
  <c r="R236" i="34"/>
  <c r="R235" i="34"/>
  <c r="R234" i="34"/>
  <c r="R233" i="34"/>
  <c r="R232" i="34"/>
  <c r="R231" i="34"/>
  <c r="R230" i="34"/>
  <c r="R229" i="34"/>
  <c r="R228" i="34"/>
  <c r="R227" i="34"/>
  <c r="R226" i="34"/>
  <c r="R225" i="34"/>
  <c r="R224" i="34"/>
  <c r="R223" i="34"/>
  <c r="R222" i="34"/>
  <c r="R221" i="34"/>
  <c r="R220" i="34"/>
  <c r="R219" i="34"/>
  <c r="R218" i="34"/>
  <c r="R217" i="34"/>
  <c r="R216" i="34"/>
  <c r="R215" i="34"/>
  <c r="R214" i="34"/>
  <c r="R213" i="34"/>
  <c r="R212" i="34"/>
  <c r="R211" i="34"/>
  <c r="R210" i="34"/>
  <c r="R209" i="34"/>
  <c r="R208" i="34"/>
  <c r="R207" i="34"/>
  <c r="R206" i="34"/>
  <c r="R205" i="34"/>
  <c r="R204" i="34"/>
  <c r="R203" i="34"/>
  <c r="R202" i="34"/>
  <c r="R201" i="34"/>
  <c r="R200" i="34"/>
  <c r="R199" i="34"/>
  <c r="R198" i="34"/>
  <c r="R197" i="34"/>
  <c r="R196" i="34"/>
  <c r="R195" i="34"/>
  <c r="R194" i="34"/>
  <c r="R193" i="34"/>
  <c r="R192" i="34"/>
  <c r="R191" i="34"/>
  <c r="R190" i="34"/>
  <c r="R189" i="34"/>
  <c r="R188" i="34"/>
  <c r="R187" i="34"/>
  <c r="R186" i="34"/>
  <c r="R185" i="34"/>
  <c r="R184" i="34"/>
  <c r="R183" i="34"/>
  <c r="R182" i="34"/>
  <c r="R181" i="34"/>
  <c r="R180" i="34"/>
  <c r="R179" i="34"/>
  <c r="R178" i="34"/>
  <c r="R177" i="34"/>
  <c r="R176" i="34"/>
  <c r="R175" i="34"/>
  <c r="R174" i="34"/>
  <c r="R173" i="34"/>
  <c r="R172" i="34"/>
  <c r="R171" i="34"/>
  <c r="R170" i="34"/>
  <c r="R169" i="34"/>
  <c r="R168" i="34"/>
  <c r="R167" i="34"/>
  <c r="R166" i="34"/>
  <c r="R165" i="34"/>
  <c r="R164" i="34"/>
  <c r="R163" i="34"/>
  <c r="R162" i="34"/>
  <c r="R161" i="34"/>
  <c r="R160" i="34"/>
  <c r="R159" i="34"/>
  <c r="R158" i="34"/>
  <c r="R157" i="34"/>
  <c r="R156" i="34"/>
  <c r="R155" i="34"/>
  <c r="R154" i="34"/>
  <c r="R153" i="34"/>
  <c r="R152" i="34"/>
  <c r="R151" i="34"/>
  <c r="R150" i="34"/>
  <c r="R149" i="34"/>
  <c r="R148" i="34"/>
  <c r="R147" i="34"/>
  <c r="R146" i="34"/>
  <c r="R145" i="34"/>
  <c r="R144" i="34"/>
  <c r="R143" i="34"/>
  <c r="R142" i="34"/>
  <c r="R141" i="34"/>
  <c r="R140" i="34"/>
  <c r="R139" i="34"/>
  <c r="R138" i="34"/>
  <c r="R137" i="34"/>
  <c r="R136" i="34"/>
  <c r="R135" i="34"/>
  <c r="R134" i="34"/>
  <c r="R133" i="34"/>
  <c r="R132" i="34"/>
  <c r="R131" i="34"/>
  <c r="R130" i="34"/>
  <c r="R129" i="34"/>
  <c r="R128" i="34"/>
  <c r="R127" i="34"/>
  <c r="R126" i="34"/>
  <c r="R125" i="34"/>
  <c r="R124" i="34"/>
  <c r="R123" i="34"/>
  <c r="R122" i="34"/>
  <c r="R121" i="34"/>
  <c r="R120" i="34"/>
  <c r="R119" i="34"/>
  <c r="R118" i="34"/>
  <c r="R117" i="34"/>
  <c r="R116" i="34"/>
  <c r="R115" i="34"/>
  <c r="R114" i="34"/>
  <c r="R113" i="34"/>
  <c r="R112" i="34"/>
  <c r="R111" i="34"/>
  <c r="R110" i="34"/>
  <c r="R109" i="34"/>
  <c r="R108" i="34"/>
  <c r="R107" i="34"/>
  <c r="R106" i="34"/>
  <c r="R105" i="34"/>
  <c r="R104" i="34"/>
  <c r="R103" i="34"/>
  <c r="R102" i="34"/>
  <c r="R101" i="34"/>
  <c r="R100" i="34"/>
  <c r="R99" i="34"/>
  <c r="R98" i="34"/>
  <c r="R97" i="34"/>
  <c r="R96" i="34"/>
  <c r="R95" i="34"/>
  <c r="R94" i="34"/>
  <c r="R93" i="34"/>
  <c r="R92" i="34"/>
  <c r="R91" i="34"/>
  <c r="R90" i="34"/>
  <c r="R89" i="34"/>
  <c r="R88" i="34"/>
  <c r="R87" i="34"/>
  <c r="R86" i="34"/>
  <c r="R85" i="34"/>
  <c r="R84" i="34"/>
  <c r="R83" i="34"/>
  <c r="R82" i="34"/>
  <c r="R81" i="34"/>
  <c r="R80" i="34"/>
  <c r="R79" i="34"/>
  <c r="R78" i="34"/>
  <c r="R77" i="34"/>
  <c r="R76" i="34"/>
  <c r="R75" i="34"/>
  <c r="R74" i="34"/>
  <c r="R73" i="34"/>
  <c r="R72" i="34"/>
  <c r="R71" i="34"/>
  <c r="R70" i="34"/>
  <c r="R69" i="34"/>
  <c r="R68" i="34"/>
  <c r="R67" i="34"/>
  <c r="R66" i="34"/>
  <c r="R65" i="34"/>
  <c r="R64" i="34"/>
  <c r="R63" i="34"/>
  <c r="R62" i="34"/>
  <c r="R61" i="34"/>
  <c r="R60" i="34"/>
  <c r="R59" i="34"/>
  <c r="R58" i="34"/>
  <c r="R57" i="34"/>
  <c r="R56" i="34"/>
  <c r="R55" i="34"/>
  <c r="R54" i="34"/>
  <c r="R53" i="34"/>
  <c r="R52" i="34"/>
  <c r="R51" i="34"/>
  <c r="R50" i="34"/>
  <c r="R49" i="34"/>
  <c r="R48" i="34"/>
  <c r="R47" i="34"/>
  <c r="R46" i="34"/>
  <c r="R45" i="34"/>
  <c r="R44" i="34"/>
  <c r="R43" i="34"/>
  <c r="R42" i="34"/>
  <c r="R41" i="34"/>
  <c r="R40" i="34"/>
  <c r="R39" i="34"/>
  <c r="R38" i="34"/>
  <c r="R37" i="34"/>
  <c r="R36" i="34"/>
  <c r="R35" i="34"/>
  <c r="R34" i="34"/>
  <c r="R33" i="34"/>
  <c r="R32" i="34"/>
  <c r="R31" i="34"/>
  <c r="R30" i="34"/>
  <c r="R29" i="34"/>
  <c r="R28" i="34"/>
  <c r="R27" i="34"/>
  <c r="R26" i="34"/>
  <c r="R25" i="34"/>
  <c r="R24" i="34"/>
  <c r="R23" i="34"/>
  <c r="R22" i="34"/>
  <c r="R21" i="34"/>
  <c r="R20" i="34"/>
  <c r="R19" i="34"/>
  <c r="R18" i="34"/>
  <c r="R17" i="34"/>
  <c r="R16" i="34"/>
  <c r="R15" i="34"/>
  <c r="R14" i="34"/>
  <c r="R13" i="34"/>
  <c r="R12" i="34"/>
  <c r="R11" i="34"/>
  <c r="R10" i="34"/>
  <c r="R9" i="34"/>
  <c r="R8" i="34"/>
  <c r="R7" i="34"/>
  <c r="R6" i="34"/>
  <c r="N909" i="33"/>
  <c r="P906" i="33"/>
  <c r="K906" i="33"/>
  <c r="P905" i="33"/>
  <c r="K905" i="33"/>
  <c r="T904" i="33"/>
  <c r="P904" i="33"/>
  <c r="K904" i="33"/>
  <c r="P903" i="33"/>
  <c r="K903" i="33"/>
  <c r="P902" i="33"/>
  <c r="K902" i="33"/>
  <c r="P901" i="33"/>
  <c r="K901" i="33"/>
  <c r="P900" i="33"/>
  <c r="K900" i="33"/>
  <c r="P899" i="33"/>
  <c r="K899" i="33"/>
  <c r="P898" i="33"/>
  <c r="K898" i="33"/>
  <c r="T897" i="33"/>
  <c r="P897" i="33"/>
  <c r="K897" i="33"/>
  <c r="P896" i="33"/>
  <c r="K896" i="33"/>
  <c r="P895" i="33"/>
  <c r="K895" i="33"/>
  <c r="P894" i="33"/>
  <c r="K894" i="33"/>
  <c r="T893" i="33"/>
  <c r="P893" i="33"/>
  <c r="K893" i="33"/>
  <c r="P892" i="33"/>
  <c r="K892" i="33"/>
  <c r="P891" i="33"/>
  <c r="K891" i="33"/>
  <c r="T890" i="33"/>
  <c r="P890" i="33"/>
  <c r="K890" i="33"/>
  <c r="P889" i="33"/>
  <c r="K889" i="33"/>
  <c r="P888" i="33"/>
  <c r="K888" i="33"/>
  <c r="P887" i="33"/>
  <c r="K887" i="33"/>
  <c r="P886" i="33"/>
  <c r="K886" i="33"/>
  <c r="P885" i="33"/>
  <c r="K885" i="33"/>
  <c r="T884" i="33"/>
  <c r="P884" i="33"/>
  <c r="K884" i="33"/>
  <c r="P883" i="33"/>
  <c r="K883" i="33"/>
  <c r="P882" i="33"/>
  <c r="K882" i="33"/>
  <c r="T881" i="33"/>
  <c r="P881" i="33"/>
  <c r="K881" i="33"/>
  <c r="T880" i="33"/>
  <c r="P880" i="33"/>
  <c r="K880" i="33"/>
  <c r="P879" i="33"/>
  <c r="K879" i="33"/>
  <c r="P878" i="33"/>
  <c r="K878" i="33"/>
  <c r="P877" i="33"/>
  <c r="K877" i="33"/>
  <c r="P876" i="33"/>
  <c r="K876" i="33"/>
  <c r="P875" i="33"/>
  <c r="K875" i="33"/>
  <c r="P874" i="33"/>
  <c r="K874" i="33"/>
  <c r="P873" i="33"/>
  <c r="K873" i="33"/>
  <c r="P872" i="33"/>
  <c r="K872" i="33"/>
  <c r="T871" i="33"/>
  <c r="P871" i="33"/>
  <c r="K871" i="33"/>
  <c r="P870" i="33"/>
  <c r="K870" i="33"/>
  <c r="P869" i="33"/>
  <c r="K869" i="33"/>
  <c r="P868" i="33"/>
  <c r="K868" i="33"/>
  <c r="P867" i="33"/>
  <c r="K867" i="33"/>
  <c r="P866" i="33"/>
  <c r="K866" i="33"/>
  <c r="P865" i="33"/>
  <c r="K865" i="33"/>
  <c r="P864" i="33"/>
  <c r="K864" i="33"/>
  <c r="T863" i="33"/>
  <c r="P863" i="33"/>
  <c r="K863" i="33"/>
  <c r="P862" i="33"/>
  <c r="K862" i="33"/>
  <c r="P861" i="33"/>
  <c r="K861" i="33"/>
  <c r="P860" i="33"/>
  <c r="K860" i="33"/>
  <c r="P859" i="33"/>
  <c r="K859" i="33"/>
  <c r="T858" i="33"/>
  <c r="P858" i="33"/>
  <c r="K858" i="33"/>
  <c r="P857" i="33"/>
  <c r="K857" i="33"/>
  <c r="P856" i="33"/>
  <c r="K856" i="33"/>
  <c r="P855" i="33"/>
  <c r="K855" i="33"/>
  <c r="P854" i="33"/>
  <c r="K854" i="33"/>
  <c r="T853" i="33"/>
  <c r="P853" i="33"/>
  <c r="K853" i="33"/>
  <c r="T852" i="33"/>
  <c r="P852" i="33"/>
  <c r="K852" i="33"/>
  <c r="P851" i="33"/>
  <c r="K851" i="33"/>
  <c r="P850" i="33"/>
  <c r="K850" i="33"/>
  <c r="P849" i="33"/>
  <c r="K849" i="33"/>
  <c r="P848" i="33"/>
  <c r="K848" i="33"/>
  <c r="P847" i="33"/>
  <c r="K847" i="33"/>
  <c r="P846" i="33"/>
  <c r="K846" i="33"/>
  <c r="T845" i="33"/>
  <c r="P845" i="33"/>
  <c r="K845" i="33"/>
  <c r="P844" i="33"/>
  <c r="K844" i="33"/>
  <c r="P843" i="33"/>
  <c r="K843" i="33"/>
  <c r="P842" i="33"/>
  <c r="K842" i="33"/>
  <c r="P841" i="33"/>
  <c r="K841" i="33"/>
  <c r="T840" i="33"/>
  <c r="P840" i="33"/>
  <c r="K840" i="33"/>
  <c r="P839" i="33"/>
  <c r="K839" i="33"/>
  <c r="T838" i="33"/>
  <c r="P838" i="33"/>
  <c r="K838" i="33"/>
  <c r="T837" i="33"/>
  <c r="P837" i="33"/>
  <c r="K837" i="33"/>
  <c r="P836" i="33"/>
  <c r="K836" i="33"/>
  <c r="P835" i="33"/>
  <c r="K835" i="33"/>
  <c r="T834" i="33"/>
  <c r="P834" i="33"/>
  <c r="K834" i="33"/>
  <c r="P833" i="33"/>
  <c r="K833" i="33"/>
  <c r="P832" i="33"/>
  <c r="K832" i="33"/>
  <c r="P831" i="33"/>
  <c r="K831" i="33"/>
  <c r="P830" i="33"/>
  <c r="K830" i="33"/>
  <c r="P829" i="33"/>
  <c r="K829" i="33"/>
  <c r="P828" i="33"/>
  <c r="K828" i="33"/>
  <c r="T827" i="33"/>
  <c r="P827" i="33"/>
  <c r="K827" i="33"/>
  <c r="T826" i="33"/>
  <c r="P826" i="33"/>
  <c r="K826" i="33"/>
  <c r="P825" i="33"/>
  <c r="K825" i="33"/>
  <c r="T824" i="33"/>
  <c r="P824" i="33"/>
  <c r="K824" i="33"/>
  <c r="T823" i="33"/>
  <c r="P823" i="33"/>
  <c r="K823" i="33"/>
  <c r="P822" i="33"/>
  <c r="K822" i="33"/>
  <c r="P821" i="33"/>
  <c r="K821" i="33"/>
  <c r="T820" i="33"/>
  <c r="P820" i="33"/>
  <c r="K820" i="33"/>
  <c r="T819" i="33"/>
  <c r="P819" i="33"/>
  <c r="K819" i="33"/>
  <c r="P818" i="33"/>
  <c r="K818" i="33"/>
  <c r="P817" i="33"/>
  <c r="K817" i="33"/>
  <c r="P816" i="33"/>
  <c r="K816" i="33"/>
  <c r="T815" i="33"/>
  <c r="P815" i="33"/>
  <c r="K815" i="33"/>
  <c r="P814" i="33"/>
  <c r="K814" i="33"/>
  <c r="P813" i="33"/>
  <c r="K813" i="33"/>
  <c r="T812" i="33"/>
  <c r="P812" i="33"/>
  <c r="K812" i="33"/>
  <c r="P811" i="33"/>
  <c r="K811" i="33"/>
  <c r="P810" i="33"/>
  <c r="K810" i="33"/>
  <c r="P809" i="33"/>
  <c r="K809" i="33"/>
  <c r="T808" i="33"/>
  <c r="P808" i="33"/>
  <c r="K808" i="33"/>
  <c r="P807" i="33"/>
  <c r="K807" i="33"/>
  <c r="P806" i="33"/>
  <c r="K806" i="33"/>
  <c r="T805" i="33"/>
  <c r="P805" i="33"/>
  <c r="K805" i="33"/>
  <c r="P804" i="33"/>
  <c r="K804" i="33"/>
  <c r="P803" i="33"/>
  <c r="K803" i="33"/>
  <c r="P802" i="33"/>
  <c r="K802" i="33"/>
  <c r="P801" i="33"/>
  <c r="K801" i="33"/>
  <c r="P800" i="33"/>
  <c r="K800" i="33"/>
  <c r="T799" i="33"/>
  <c r="P799" i="33"/>
  <c r="K799" i="33"/>
  <c r="P798" i="33"/>
  <c r="K798" i="33"/>
  <c r="P797" i="33"/>
  <c r="K797" i="33"/>
  <c r="T796" i="33"/>
  <c r="P796" i="33"/>
  <c r="K796" i="33"/>
  <c r="T795" i="33"/>
  <c r="P795" i="33"/>
  <c r="K795" i="33"/>
  <c r="P794" i="33"/>
  <c r="K794" i="33"/>
  <c r="P793" i="33"/>
  <c r="K793" i="33"/>
  <c r="T792" i="33"/>
  <c r="S792" i="33"/>
  <c r="O792" i="33"/>
  <c r="P792" i="33" s="1"/>
  <c r="J792" i="33"/>
  <c r="K792" i="33" s="1"/>
  <c r="P791" i="33"/>
  <c r="K791" i="33"/>
  <c r="P790" i="33"/>
  <c r="K790" i="33"/>
  <c r="P789" i="33"/>
  <c r="K789" i="33"/>
  <c r="T788" i="33"/>
  <c r="P788" i="33"/>
  <c r="K788" i="33"/>
  <c r="P787" i="33"/>
  <c r="K787" i="33"/>
  <c r="T786" i="33"/>
  <c r="P786" i="33"/>
  <c r="K786" i="33"/>
  <c r="P785" i="33"/>
  <c r="K785" i="33"/>
  <c r="P784" i="33"/>
  <c r="K784" i="33"/>
  <c r="T783" i="33"/>
  <c r="P783" i="33"/>
  <c r="K783" i="33"/>
  <c r="T782" i="33"/>
  <c r="P782" i="33"/>
  <c r="K782" i="33"/>
  <c r="P781" i="33"/>
  <c r="K781" i="33"/>
  <c r="P780" i="33"/>
  <c r="K780" i="33"/>
  <c r="T779" i="33"/>
  <c r="S779" i="33"/>
  <c r="R779" i="33"/>
  <c r="R909" i="33" s="1"/>
  <c r="O779" i="33"/>
  <c r="M779" i="33"/>
  <c r="P779" i="33" s="1"/>
  <c r="I779" i="33"/>
  <c r="I909" i="33" s="1"/>
  <c r="G779" i="33"/>
  <c r="E779" i="33"/>
  <c r="E909" i="33" s="1"/>
  <c r="C779" i="33"/>
  <c r="P778" i="33"/>
  <c r="K778" i="33"/>
  <c r="T777" i="33"/>
  <c r="P777" i="33"/>
  <c r="K777" i="33"/>
  <c r="P776" i="33"/>
  <c r="K776" i="33"/>
  <c r="T775" i="33"/>
  <c r="P775" i="33"/>
  <c r="K775" i="33"/>
  <c r="P774" i="33"/>
  <c r="K774" i="33"/>
  <c r="P773" i="33"/>
  <c r="K773" i="33"/>
  <c r="T772" i="33"/>
  <c r="P772" i="33"/>
  <c r="K772" i="33"/>
  <c r="P771" i="33"/>
  <c r="K771" i="33"/>
  <c r="T770" i="33"/>
  <c r="P770" i="33"/>
  <c r="K770" i="33"/>
  <c r="P769" i="33"/>
  <c r="K769" i="33"/>
  <c r="T768" i="33"/>
  <c r="P768" i="33"/>
  <c r="K768" i="33"/>
  <c r="P767" i="33"/>
  <c r="K767" i="33"/>
  <c r="P766" i="33"/>
  <c r="K766" i="33"/>
  <c r="T765" i="33"/>
  <c r="P765" i="33"/>
  <c r="K765" i="33"/>
  <c r="P764" i="33"/>
  <c r="K764" i="33"/>
  <c r="P763" i="33"/>
  <c r="K763" i="33"/>
  <c r="P762" i="33"/>
  <c r="K762" i="33"/>
  <c r="P761" i="33"/>
  <c r="K761" i="33"/>
  <c r="P760" i="33"/>
  <c r="K760" i="33"/>
  <c r="T759" i="33"/>
  <c r="P759" i="33"/>
  <c r="K759" i="33"/>
  <c r="P758" i="33"/>
  <c r="K758" i="33"/>
  <c r="P757" i="33"/>
  <c r="K757" i="33"/>
  <c r="T756" i="33"/>
  <c r="P756" i="33"/>
  <c r="K756" i="33"/>
  <c r="P755" i="33"/>
  <c r="K755" i="33"/>
  <c r="P754" i="33"/>
  <c r="K754" i="33"/>
  <c r="T753" i="33"/>
  <c r="P753" i="33"/>
  <c r="K753" i="33"/>
  <c r="T752" i="33"/>
  <c r="P752" i="33"/>
  <c r="K752" i="33"/>
  <c r="P751" i="33"/>
  <c r="K751" i="33"/>
  <c r="P750" i="33"/>
  <c r="K750" i="33"/>
  <c r="P749" i="33"/>
  <c r="K749" i="33"/>
  <c r="P748" i="33"/>
  <c r="K748" i="33"/>
  <c r="P747" i="33"/>
  <c r="K747" i="33"/>
  <c r="T746" i="33"/>
  <c r="P746" i="33"/>
  <c r="K746" i="33"/>
  <c r="P745" i="33"/>
  <c r="K745" i="33"/>
  <c r="P744" i="33"/>
  <c r="K744" i="33"/>
  <c r="P743" i="33"/>
  <c r="K743" i="33"/>
  <c r="P742" i="33"/>
  <c r="K742" i="33"/>
  <c r="P741" i="33"/>
  <c r="K741" i="33"/>
  <c r="P740" i="33"/>
  <c r="K740" i="33"/>
  <c r="T739" i="33"/>
  <c r="P739" i="33"/>
  <c r="K739" i="33"/>
  <c r="P738" i="33"/>
  <c r="K738" i="33"/>
  <c r="P737" i="33"/>
  <c r="K737" i="33"/>
  <c r="T736" i="33"/>
  <c r="P736" i="33"/>
  <c r="K736" i="33"/>
  <c r="P735" i="33"/>
  <c r="K735" i="33"/>
  <c r="P734" i="33"/>
  <c r="K734" i="33"/>
  <c r="T733" i="33"/>
  <c r="P733" i="33"/>
  <c r="K733" i="33"/>
  <c r="P732" i="33"/>
  <c r="K732" i="33"/>
  <c r="P731" i="33"/>
  <c r="K731" i="33"/>
  <c r="P730" i="33"/>
  <c r="K730" i="33"/>
  <c r="T729" i="33"/>
  <c r="P729" i="33"/>
  <c r="K729" i="33"/>
  <c r="T728" i="33"/>
  <c r="P728" i="33"/>
  <c r="K728" i="33"/>
  <c r="P727" i="33"/>
  <c r="K727" i="33"/>
  <c r="P726" i="33"/>
  <c r="K726" i="33"/>
  <c r="P725" i="33"/>
  <c r="K725" i="33"/>
  <c r="P724" i="33"/>
  <c r="K724" i="33"/>
  <c r="P723" i="33"/>
  <c r="K723" i="33"/>
  <c r="T722" i="33"/>
  <c r="P722" i="33"/>
  <c r="K722" i="33"/>
  <c r="T721" i="33"/>
  <c r="P721" i="33"/>
  <c r="K721" i="33"/>
  <c r="P720" i="33"/>
  <c r="K720" i="33"/>
  <c r="P719" i="33"/>
  <c r="K719" i="33"/>
  <c r="T718" i="33"/>
  <c r="P718" i="33"/>
  <c r="K718" i="33"/>
  <c r="T717" i="33"/>
  <c r="P717" i="33"/>
  <c r="K717" i="33"/>
  <c r="T716" i="33"/>
  <c r="P716" i="33"/>
  <c r="K716" i="33"/>
  <c r="T715" i="33"/>
  <c r="P715" i="33"/>
  <c r="K715" i="33"/>
  <c r="P714" i="33"/>
  <c r="K714" i="33"/>
  <c r="P713" i="33"/>
  <c r="K713" i="33"/>
  <c r="P712" i="33"/>
  <c r="K712" i="33"/>
  <c r="P711" i="33"/>
  <c r="K711" i="33"/>
  <c r="P710" i="33"/>
  <c r="K710" i="33"/>
  <c r="P709" i="33"/>
  <c r="K709" i="33"/>
  <c r="P708" i="33"/>
  <c r="K708" i="33"/>
  <c r="T707" i="33"/>
  <c r="P707" i="33"/>
  <c r="K707" i="33"/>
  <c r="P706" i="33"/>
  <c r="K706" i="33"/>
  <c r="T705" i="33"/>
  <c r="P705" i="33"/>
  <c r="K705" i="33"/>
  <c r="P704" i="33"/>
  <c r="K704" i="33"/>
  <c r="P703" i="33"/>
  <c r="K703" i="33"/>
  <c r="P702" i="33"/>
  <c r="K702" i="33"/>
  <c r="P701" i="33"/>
  <c r="K701" i="33"/>
  <c r="P700" i="33"/>
  <c r="K700" i="33"/>
  <c r="P699" i="33"/>
  <c r="K699" i="33"/>
  <c r="P698" i="33"/>
  <c r="K698" i="33"/>
  <c r="P697" i="33"/>
  <c r="K697" i="33"/>
  <c r="T696" i="33"/>
  <c r="P696" i="33"/>
  <c r="K696" i="33"/>
  <c r="P695" i="33"/>
  <c r="K695" i="33"/>
  <c r="P694" i="33"/>
  <c r="K694" i="33"/>
  <c r="P693" i="33"/>
  <c r="K693" i="33"/>
  <c r="P692" i="33"/>
  <c r="K692" i="33"/>
  <c r="P691" i="33"/>
  <c r="K691" i="33"/>
  <c r="P690" i="33"/>
  <c r="K690" i="33"/>
  <c r="P689" i="33"/>
  <c r="K689" i="33"/>
  <c r="P688" i="33"/>
  <c r="K688" i="33"/>
  <c r="T687" i="33"/>
  <c r="P687" i="33"/>
  <c r="K687" i="33"/>
  <c r="P686" i="33"/>
  <c r="K686" i="33"/>
  <c r="P685" i="33"/>
  <c r="K685" i="33"/>
  <c r="P684" i="33"/>
  <c r="K684" i="33"/>
  <c r="T683" i="33"/>
  <c r="P683" i="33"/>
  <c r="K683" i="33"/>
  <c r="P682" i="33"/>
  <c r="K682" i="33"/>
  <c r="P681" i="33"/>
  <c r="K681" i="33"/>
  <c r="P680" i="33"/>
  <c r="K680" i="33"/>
  <c r="T679" i="33"/>
  <c r="P679" i="33"/>
  <c r="K679" i="33"/>
  <c r="P678" i="33"/>
  <c r="K678" i="33"/>
  <c r="P677" i="33"/>
  <c r="K677" i="33"/>
  <c r="P676" i="33"/>
  <c r="K676" i="33"/>
  <c r="P675" i="33"/>
  <c r="K675" i="33"/>
  <c r="P674" i="33"/>
  <c r="K674" i="33"/>
  <c r="P673" i="33"/>
  <c r="K673" i="33"/>
  <c r="P672" i="33"/>
  <c r="K672" i="33"/>
  <c r="P671" i="33"/>
  <c r="K671" i="33"/>
  <c r="P670" i="33"/>
  <c r="K670" i="33"/>
  <c r="P669" i="33"/>
  <c r="K669" i="33"/>
  <c r="P668" i="33"/>
  <c r="K668" i="33"/>
  <c r="P667" i="33"/>
  <c r="K667" i="33"/>
  <c r="P666" i="33"/>
  <c r="K666" i="33"/>
  <c r="P665" i="33"/>
  <c r="K665" i="33"/>
  <c r="P664" i="33"/>
  <c r="K664" i="33"/>
  <c r="P663" i="33"/>
  <c r="K663" i="33"/>
  <c r="P662" i="33"/>
  <c r="K662" i="33"/>
  <c r="P661" i="33"/>
  <c r="K661" i="33"/>
  <c r="T660" i="33"/>
  <c r="P660" i="33"/>
  <c r="K660" i="33"/>
  <c r="T659" i="33"/>
  <c r="P659" i="33"/>
  <c r="K659" i="33"/>
  <c r="P658" i="33"/>
  <c r="K658" i="33"/>
  <c r="P657" i="33"/>
  <c r="K657" i="33"/>
  <c r="T656" i="33"/>
  <c r="P656" i="33"/>
  <c r="K656" i="33"/>
  <c r="P655" i="33"/>
  <c r="K655" i="33"/>
  <c r="P654" i="33"/>
  <c r="K654" i="33"/>
  <c r="P653" i="33"/>
  <c r="K653" i="33"/>
  <c r="P652" i="33"/>
  <c r="K652" i="33"/>
  <c r="P651" i="33"/>
  <c r="K651" i="33"/>
  <c r="T650" i="33"/>
  <c r="P650" i="33"/>
  <c r="K650" i="33"/>
  <c r="P649" i="33"/>
  <c r="K649" i="33"/>
  <c r="P648" i="33"/>
  <c r="K648" i="33"/>
  <c r="P647" i="33"/>
  <c r="K647" i="33"/>
  <c r="P646" i="33"/>
  <c r="K646" i="33"/>
  <c r="P645" i="33"/>
  <c r="K645" i="33"/>
  <c r="P644" i="33"/>
  <c r="K644" i="33"/>
  <c r="P643" i="33"/>
  <c r="K643" i="33"/>
  <c r="P642" i="33"/>
  <c r="K642" i="33"/>
  <c r="P641" i="33"/>
  <c r="K641" i="33"/>
  <c r="P640" i="33"/>
  <c r="K640" i="33"/>
  <c r="P639" i="33"/>
  <c r="K639" i="33"/>
  <c r="P638" i="33"/>
  <c r="K638" i="33"/>
  <c r="P637" i="33"/>
  <c r="K637" i="33"/>
  <c r="T636" i="33"/>
  <c r="P636" i="33"/>
  <c r="K636" i="33"/>
  <c r="T635" i="33"/>
  <c r="P635" i="33"/>
  <c r="K635" i="33"/>
  <c r="P634" i="33"/>
  <c r="K634" i="33"/>
  <c r="P633" i="33"/>
  <c r="K633" i="33"/>
  <c r="P632" i="33"/>
  <c r="K632" i="33"/>
  <c r="T631" i="33"/>
  <c r="P631" i="33"/>
  <c r="K631" i="33"/>
  <c r="P630" i="33"/>
  <c r="K630" i="33"/>
  <c r="P629" i="33"/>
  <c r="K629" i="33"/>
  <c r="P628" i="33"/>
  <c r="K628" i="33"/>
  <c r="P627" i="33"/>
  <c r="K627" i="33"/>
  <c r="P626" i="33"/>
  <c r="K626" i="33"/>
  <c r="P625" i="33"/>
  <c r="K625" i="33"/>
  <c r="P624" i="33"/>
  <c r="K624" i="33"/>
  <c r="P623" i="33"/>
  <c r="K623" i="33"/>
  <c r="P622" i="33"/>
  <c r="K622" i="33"/>
  <c r="P621" i="33"/>
  <c r="K621" i="33"/>
  <c r="P620" i="33"/>
  <c r="K620" i="33"/>
  <c r="P619" i="33"/>
  <c r="K619" i="33"/>
  <c r="P618" i="33"/>
  <c r="K618" i="33"/>
  <c r="P617" i="33"/>
  <c r="K617" i="33"/>
  <c r="P616" i="33"/>
  <c r="K616" i="33"/>
  <c r="T615" i="33"/>
  <c r="P615" i="33"/>
  <c r="K615" i="33"/>
  <c r="P614" i="33"/>
  <c r="K614" i="33"/>
  <c r="P613" i="33"/>
  <c r="K613" i="33"/>
  <c r="T612" i="33"/>
  <c r="P612" i="33"/>
  <c r="K612" i="33"/>
  <c r="T611" i="33"/>
  <c r="P611" i="33"/>
  <c r="K611" i="33"/>
  <c r="P610" i="33"/>
  <c r="K610" i="33"/>
  <c r="T609" i="33"/>
  <c r="P609" i="33"/>
  <c r="K609" i="33"/>
  <c r="P608" i="33"/>
  <c r="K608" i="33"/>
  <c r="T607" i="33"/>
  <c r="P607" i="33"/>
  <c r="K607" i="33"/>
  <c r="T606" i="33"/>
  <c r="P606" i="33"/>
  <c r="K606" i="33"/>
  <c r="P605" i="33"/>
  <c r="K605" i="33"/>
  <c r="P604" i="33"/>
  <c r="K604" i="33"/>
  <c r="T603" i="33"/>
  <c r="P603" i="33"/>
  <c r="K603" i="33"/>
  <c r="P602" i="33"/>
  <c r="K602" i="33"/>
  <c r="T601" i="33"/>
  <c r="P601" i="33"/>
  <c r="K601" i="33"/>
  <c r="P600" i="33"/>
  <c r="K600" i="33"/>
  <c r="P599" i="33"/>
  <c r="K599" i="33"/>
  <c r="P598" i="33"/>
  <c r="K598" i="33"/>
  <c r="P597" i="33"/>
  <c r="K597" i="33"/>
  <c r="T596" i="33"/>
  <c r="P596" i="33"/>
  <c r="K596" i="33"/>
  <c r="P595" i="33"/>
  <c r="K595" i="33"/>
  <c r="P594" i="33"/>
  <c r="K594" i="33"/>
  <c r="T593" i="33"/>
  <c r="P593" i="33"/>
  <c r="K593" i="33"/>
  <c r="T592" i="33"/>
  <c r="P592" i="33"/>
  <c r="K592" i="33"/>
  <c r="P591" i="33"/>
  <c r="K591" i="33"/>
  <c r="P590" i="33"/>
  <c r="K590" i="33"/>
  <c r="P589" i="33"/>
  <c r="K589" i="33"/>
  <c r="P588" i="33"/>
  <c r="K588" i="33"/>
  <c r="P587" i="33"/>
  <c r="K587" i="33"/>
  <c r="P586" i="33"/>
  <c r="K586" i="33"/>
  <c r="P585" i="33"/>
  <c r="K585" i="33"/>
  <c r="P584" i="33"/>
  <c r="K584" i="33"/>
  <c r="P583" i="33"/>
  <c r="K583" i="33"/>
  <c r="P582" i="33"/>
  <c r="K582" i="33"/>
  <c r="P581" i="33"/>
  <c r="K581" i="33"/>
  <c r="T580" i="33"/>
  <c r="P580" i="33"/>
  <c r="K580" i="33"/>
  <c r="P579" i="33"/>
  <c r="K579" i="33"/>
  <c r="P578" i="33"/>
  <c r="K578" i="33"/>
  <c r="P577" i="33"/>
  <c r="K577" i="33"/>
  <c r="P576" i="33"/>
  <c r="K576" i="33"/>
  <c r="P575" i="33"/>
  <c r="K575" i="33"/>
  <c r="P574" i="33"/>
  <c r="K574" i="33"/>
  <c r="P573" i="33"/>
  <c r="K573" i="33"/>
  <c r="P572" i="33"/>
  <c r="K572" i="33"/>
  <c r="P571" i="33"/>
  <c r="K571" i="33"/>
  <c r="P570" i="33"/>
  <c r="K570" i="33"/>
  <c r="P569" i="33"/>
  <c r="K569" i="33"/>
  <c r="P568" i="33"/>
  <c r="K568" i="33"/>
  <c r="P567" i="33"/>
  <c r="K567" i="33"/>
  <c r="T566" i="33"/>
  <c r="P566" i="33"/>
  <c r="K566" i="33"/>
  <c r="P565" i="33"/>
  <c r="K565" i="33"/>
  <c r="T564" i="33"/>
  <c r="P564" i="33"/>
  <c r="K564" i="33"/>
  <c r="P563" i="33"/>
  <c r="K563" i="33"/>
  <c r="T562" i="33"/>
  <c r="P562" i="33"/>
  <c r="K562" i="33"/>
  <c r="P561" i="33"/>
  <c r="K561" i="33"/>
  <c r="P560" i="33"/>
  <c r="K560" i="33"/>
  <c r="P559" i="33"/>
  <c r="K559" i="33"/>
  <c r="P558" i="33"/>
  <c r="K558" i="33"/>
  <c r="P557" i="33"/>
  <c r="K557" i="33"/>
  <c r="P556" i="33"/>
  <c r="K556" i="33"/>
  <c r="P555" i="33"/>
  <c r="K555" i="33"/>
  <c r="P554" i="33"/>
  <c r="K554" i="33"/>
  <c r="P553" i="33"/>
  <c r="K553" i="33"/>
  <c r="P552" i="33"/>
  <c r="K552" i="33"/>
  <c r="P551" i="33"/>
  <c r="K551" i="33"/>
  <c r="P550" i="33"/>
  <c r="K550" i="33"/>
  <c r="P549" i="33"/>
  <c r="K549" i="33"/>
  <c r="P548" i="33"/>
  <c r="K548" i="33"/>
  <c r="P547" i="33"/>
  <c r="K547" i="33"/>
  <c r="P546" i="33"/>
  <c r="K546" i="33"/>
  <c r="P545" i="33"/>
  <c r="K545" i="33"/>
  <c r="P544" i="33"/>
  <c r="K544" i="33"/>
  <c r="T543" i="33"/>
  <c r="P543" i="33"/>
  <c r="K543" i="33"/>
  <c r="P542" i="33"/>
  <c r="K542" i="33"/>
  <c r="P541" i="33"/>
  <c r="K541" i="33"/>
  <c r="P540" i="33"/>
  <c r="K540" i="33"/>
  <c r="P539" i="33"/>
  <c r="K539" i="33"/>
  <c r="P538" i="33"/>
  <c r="K538" i="33"/>
  <c r="P537" i="33"/>
  <c r="K537" i="33"/>
  <c r="P536" i="33"/>
  <c r="K536" i="33"/>
  <c r="T535" i="33"/>
  <c r="P535" i="33"/>
  <c r="K535" i="33"/>
  <c r="P534" i="33"/>
  <c r="K534" i="33"/>
  <c r="P533" i="33"/>
  <c r="K533" i="33"/>
  <c r="P532" i="33"/>
  <c r="K532" i="33"/>
  <c r="P531" i="33"/>
  <c r="K531" i="33"/>
  <c r="P530" i="33"/>
  <c r="K530" i="33"/>
  <c r="T529" i="33"/>
  <c r="P529" i="33"/>
  <c r="K529" i="33"/>
  <c r="T528" i="33"/>
  <c r="P528" i="33"/>
  <c r="K528" i="33"/>
  <c r="P527" i="33"/>
  <c r="K527" i="33"/>
  <c r="P526" i="33"/>
  <c r="K526" i="33"/>
  <c r="P525" i="33"/>
  <c r="K525" i="33"/>
  <c r="T524" i="33"/>
  <c r="P524" i="33"/>
  <c r="K524" i="33"/>
  <c r="P523" i="33"/>
  <c r="K523" i="33"/>
  <c r="P522" i="33"/>
  <c r="K522" i="33"/>
  <c r="T521" i="33"/>
  <c r="P521" i="33"/>
  <c r="K521" i="33"/>
  <c r="P520" i="33"/>
  <c r="K520" i="33"/>
  <c r="T519" i="33"/>
  <c r="P519" i="33"/>
  <c r="K519" i="33"/>
  <c r="P518" i="33"/>
  <c r="K518" i="33"/>
  <c r="P517" i="33"/>
  <c r="K517" i="33"/>
  <c r="P516" i="33"/>
  <c r="K516" i="33"/>
  <c r="P515" i="33"/>
  <c r="K515" i="33"/>
  <c r="T514" i="33"/>
  <c r="P514" i="33"/>
  <c r="K514" i="33"/>
  <c r="P513" i="33"/>
  <c r="K513" i="33"/>
  <c r="P512" i="33"/>
  <c r="K512" i="33"/>
  <c r="T511" i="33"/>
  <c r="P511" i="33"/>
  <c r="K511" i="33"/>
  <c r="P510" i="33"/>
  <c r="K510" i="33"/>
  <c r="P509" i="33"/>
  <c r="K509" i="33"/>
  <c r="P508" i="33"/>
  <c r="K508" i="33"/>
  <c r="T507" i="33"/>
  <c r="P507" i="33"/>
  <c r="K507" i="33"/>
  <c r="P506" i="33"/>
  <c r="K506" i="33"/>
  <c r="P505" i="33"/>
  <c r="K505" i="33"/>
  <c r="P504" i="33"/>
  <c r="K504" i="33"/>
  <c r="P503" i="33"/>
  <c r="K503" i="33"/>
  <c r="P502" i="33"/>
  <c r="K502" i="33"/>
  <c r="P501" i="33"/>
  <c r="K501" i="33"/>
  <c r="T500" i="33"/>
  <c r="P500" i="33"/>
  <c r="K500" i="33"/>
  <c r="P499" i="33"/>
  <c r="K499" i="33"/>
  <c r="P498" i="33"/>
  <c r="K498" i="33"/>
  <c r="P497" i="33"/>
  <c r="K497" i="33"/>
  <c r="P496" i="33"/>
  <c r="K496" i="33"/>
  <c r="P495" i="33"/>
  <c r="K495" i="33"/>
  <c r="P494" i="33"/>
  <c r="K494" i="33"/>
  <c r="P493" i="33"/>
  <c r="K493" i="33"/>
  <c r="P492" i="33"/>
  <c r="K492" i="33"/>
  <c r="P491" i="33"/>
  <c r="K491" i="33"/>
  <c r="P490" i="33"/>
  <c r="K490" i="33"/>
  <c r="P489" i="33"/>
  <c r="K489" i="33"/>
  <c r="P488" i="33"/>
  <c r="K488" i="33"/>
  <c r="P487" i="33"/>
  <c r="K487" i="33"/>
  <c r="P486" i="33"/>
  <c r="K486" i="33"/>
  <c r="P485" i="33"/>
  <c r="K485" i="33"/>
  <c r="P484" i="33"/>
  <c r="K484" i="33"/>
  <c r="P483" i="33"/>
  <c r="K483" i="33"/>
  <c r="P482" i="33"/>
  <c r="K482" i="33"/>
  <c r="P481" i="33"/>
  <c r="K481" i="33"/>
  <c r="P480" i="33"/>
  <c r="K480" i="33"/>
  <c r="P479" i="33"/>
  <c r="K479" i="33"/>
  <c r="P478" i="33"/>
  <c r="K478" i="33"/>
  <c r="P477" i="33"/>
  <c r="K477" i="33"/>
  <c r="P476" i="33"/>
  <c r="K476" i="33"/>
  <c r="P475" i="33"/>
  <c r="K475" i="33"/>
  <c r="P474" i="33"/>
  <c r="K474" i="33"/>
  <c r="P473" i="33"/>
  <c r="K473" i="33"/>
  <c r="P472" i="33"/>
  <c r="K472" i="33"/>
  <c r="P471" i="33"/>
  <c r="K471" i="33"/>
  <c r="P470" i="33"/>
  <c r="K470" i="33"/>
  <c r="P469" i="33"/>
  <c r="K469" i="33"/>
  <c r="P468" i="33"/>
  <c r="K468" i="33"/>
  <c r="P467" i="33"/>
  <c r="K467" i="33"/>
  <c r="P466" i="33"/>
  <c r="K466" i="33"/>
  <c r="P465" i="33"/>
  <c r="K465" i="33"/>
  <c r="P464" i="33"/>
  <c r="K464" i="33"/>
  <c r="P463" i="33"/>
  <c r="K463" i="33"/>
  <c r="P462" i="33"/>
  <c r="K462" i="33"/>
  <c r="P461" i="33"/>
  <c r="K461" i="33"/>
  <c r="P460" i="33"/>
  <c r="K460" i="33"/>
  <c r="P459" i="33"/>
  <c r="K459" i="33"/>
  <c r="P458" i="33"/>
  <c r="K458" i="33"/>
  <c r="P457" i="33"/>
  <c r="K457" i="33"/>
  <c r="P456" i="33"/>
  <c r="K456" i="33"/>
  <c r="P455" i="33"/>
  <c r="K455" i="33"/>
  <c r="P454" i="33"/>
  <c r="K454" i="33"/>
  <c r="P453" i="33"/>
  <c r="K453" i="33"/>
  <c r="P452" i="33"/>
  <c r="K452" i="33"/>
  <c r="P451" i="33"/>
  <c r="K451" i="33"/>
  <c r="P450" i="33"/>
  <c r="K450" i="33"/>
  <c r="P449" i="33"/>
  <c r="K449" i="33"/>
  <c r="P448" i="33"/>
  <c r="K448" i="33"/>
  <c r="P447" i="33"/>
  <c r="K447" i="33"/>
  <c r="P446" i="33"/>
  <c r="K446" i="33"/>
  <c r="P445" i="33"/>
  <c r="K445" i="33"/>
  <c r="P444" i="33"/>
  <c r="K444" i="33"/>
  <c r="P443" i="33"/>
  <c r="K443" i="33"/>
  <c r="P442" i="33"/>
  <c r="K442" i="33"/>
  <c r="P441" i="33"/>
  <c r="K441" i="33"/>
  <c r="P440" i="33"/>
  <c r="K440" i="33"/>
  <c r="P439" i="33"/>
  <c r="K439" i="33"/>
  <c r="P438" i="33"/>
  <c r="K438" i="33"/>
  <c r="P437" i="33"/>
  <c r="K437" i="33"/>
  <c r="P436" i="33"/>
  <c r="K436" i="33"/>
  <c r="P435" i="33"/>
  <c r="K435" i="33"/>
  <c r="P434" i="33"/>
  <c r="K434" i="33"/>
  <c r="P433" i="33"/>
  <c r="K433" i="33"/>
  <c r="P432" i="33"/>
  <c r="K432" i="33"/>
  <c r="P431" i="33"/>
  <c r="K431" i="33"/>
  <c r="P430" i="33"/>
  <c r="K430" i="33"/>
  <c r="P429" i="33"/>
  <c r="K429" i="33"/>
  <c r="P428" i="33"/>
  <c r="K428" i="33"/>
  <c r="P427" i="33"/>
  <c r="K427" i="33"/>
  <c r="P426" i="33"/>
  <c r="K426" i="33"/>
  <c r="P425" i="33"/>
  <c r="K425" i="33"/>
  <c r="P424" i="33"/>
  <c r="K424" i="33"/>
  <c r="P423" i="33"/>
  <c r="K423" i="33"/>
  <c r="P422" i="33"/>
  <c r="K422" i="33"/>
  <c r="P421" i="33"/>
  <c r="K421" i="33"/>
  <c r="P420" i="33"/>
  <c r="K420" i="33"/>
  <c r="P419" i="33"/>
  <c r="K419" i="33"/>
  <c r="P418" i="33"/>
  <c r="K418" i="33"/>
  <c r="P417" i="33"/>
  <c r="K417" i="33"/>
  <c r="P416" i="33"/>
  <c r="K416" i="33"/>
  <c r="P415" i="33"/>
  <c r="K415" i="33"/>
  <c r="P414" i="33"/>
  <c r="K414" i="33"/>
  <c r="P413" i="33"/>
  <c r="K413" i="33"/>
  <c r="P412" i="33"/>
  <c r="K412" i="33"/>
  <c r="P411" i="33"/>
  <c r="K411" i="33"/>
  <c r="P410" i="33"/>
  <c r="K410" i="33"/>
  <c r="P409" i="33"/>
  <c r="K409" i="33"/>
  <c r="P408" i="33"/>
  <c r="K408" i="33"/>
  <c r="P407" i="33"/>
  <c r="K407" i="33"/>
  <c r="P406" i="33"/>
  <c r="K406" i="33"/>
  <c r="P405" i="33"/>
  <c r="K405" i="33"/>
  <c r="P404" i="33"/>
  <c r="K404" i="33"/>
  <c r="P403" i="33"/>
  <c r="K403" i="33"/>
  <c r="P402" i="33"/>
  <c r="K402" i="33"/>
  <c r="P401" i="33"/>
  <c r="K401" i="33"/>
  <c r="P400" i="33"/>
  <c r="K400" i="33"/>
  <c r="P399" i="33"/>
  <c r="K399" i="33"/>
  <c r="P398" i="33"/>
  <c r="K398" i="33"/>
  <c r="P397" i="33"/>
  <c r="K397" i="33"/>
  <c r="P396" i="33"/>
  <c r="K396" i="33"/>
  <c r="P395" i="33"/>
  <c r="K395" i="33"/>
  <c r="P394" i="33"/>
  <c r="K394" i="33"/>
  <c r="P393" i="33"/>
  <c r="K393" i="33"/>
  <c r="P392" i="33"/>
  <c r="K392" i="33"/>
  <c r="P391" i="33"/>
  <c r="K391" i="33"/>
  <c r="P390" i="33"/>
  <c r="K390" i="33"/>
  <c r="P389" i="33"/>
  <c r="K389" i="33"/>
  <c r="P388" i="33"/>
  <c r="K388" i="33"/>
  <c r="P387" i="33"/>
  <c r="K387" i="33"/>
  <c r="P386" i="33"/>
  <c r="K386" i="33"/>
  <c r="P385" i="33"/>
  <c r="K385" i="33"/>
  <c r="P384" i="33"/>
  <c r="K384" i="33"/>
  <c r="P383" i="33"/>
  <c r="K383" i="33"/>
  <c r="P382" i="33"/>
  <c r="K382" i="33"/>
  <c r="P381" i="33"/>
  <c r="K381" i="33"/>
  <c r="P380" i="33"/>
  <c r="K380" i="33"/>
  <c r="P379" i="33"/>
  <c r="K379" i="33"/>
  <c r="P378" i="33"/>
  <c r="K378" i="33"/>
  <c r="P377" i="33"/>
  <c r="K377" i="33"/>
  <c r="P376" i="33"/>
  <c r="K376" i="33"/>
  <c r="P375" i="33"/>
  <c r="K375" i="33"/>
  <c r="P374" i="33"/>
  <c r="K374" i="33"/>
  <c r="P373" i="33"/>
  <c r="K373" i="33"/>
  <c r="T372" i="33"/>
  <c r="P372" i="33"/>
  <c r="K372" i="33"/>
  <c r="P371" i="33"/>
  <c r="K371" i="33"/>
  <c r="P370" i="33"/>
  <c r="K370" i="33"/>
  <c r="P369" i="33"/>
  <c r="K369" i="33"/>
  <c r="P368" i="33"/>
  <c r="K368" i="33"/>
  <c r="P367" i="33"/>
  <c r="K367" i="33"/>
  <c r="P366" i="33"/>
  <c r="K366" i="33"/>
  <c r="T365" i="33"/>
  <c r="P365" i="33"/>
  <c r="K365" i="33"/>
  <c r="P364" i="33"/>
  <c r="K364" i="33"/>
  <c r="P363" i="33"/>
  <c r="K363" i="33"/>
  <c r="P362" i="33"/>
  <c r="K362" i="33"/>
  <c r="T361" i="33"/>
  <c r="P361" i="33"/>
  <c r="K361" i="33"/>
  <c r="P360" i="33"/>
  <c r="K360" i="33"/>
  <c r="P359" i="33"/>
  <c r="K359" i="33"/>
  <c r="P358" i="33"/>
  <c r="K358" i="33"/>
  <c r="P357" i="33"/>
  <c r="K357" i="33"/>
  <c r="T356" i="33"/>
  <c r="P356" i="33"/>
  <c r="K356" i="33"/>
  <c r="P355" i="33"/>
  <c r="K355" i="33"/>
  <c r="P354" i="33"/>
  <c r="K354" i="33"/>
  <c r="P353" i="33"/>
  <c r="K353" i="33"/>
  <c r="T352" i="33"/>
  <c r="P352" i="33"/>
  <c r="K352" i="33"/>
  <c r="P351" i="33"/>
  <c r="K351" i="33"/>
  <c r="P350" i="33"/>
  <c r="K350" i="33"/>
  <c r="T349" i="33"/>
  <c r="P349" i="33"/>
  <c r="K349" i="33"/>
  <c r="T348" i="33"/>
  <c r="P348" i="33"/>
  <c r="K348" i="33"/>
  <c r="P347" i="33"/>
  <c r="K347" i="33"/>
  <c r="P346" i="33"/>
  <c r="K346" i="33"/>
  <c r="T345" i="33"/>
  <c r="P345" i="33"/>
  <c r="K345" i="33"/>
  <c r="T344" i="33"/>
  <c r="P344" i="33"/>
  <c r="K344" i="33"/>
  <c r="P343" i="33"/>
  <c r="K343" i="33"/>
  <c r="P342" i="33"/>
  <c r="K342" i="33"/>
  <c r="P341" i="33"/>
  <c r="K341" i="33"/>
  <c r="P340" i="33"/>
  <c r="K340" i="33"/>
  <c r="T339" i="33"/>
  <c r="P339" i="33"/>
  <c r="K339" i="33"/>
  <c r="T338" i="33"/>
  <c r="P338" i="33"/>
  <c r="K338" i="33"/>
  <c r="P337" i="33"/>
  <c r="K337" i="33"/>
  <c r="P336" i="33"/>
  <c r="K336" i="33"/>
  <c r="P335" i="33"/>
  <c r="K335" i="33"/>
  <c r="P334" i="33"/>
  <c r="K334" i="33"/>
  <c r="P333" i="33"/>
  <c r="K333" i="33"/>
  <c r="P332" i="33"/>
  <c r="K332" i="33"/>
  <c r="P331" i="33"/>
  <c r="K331" i="33"/>
  <c r="P330" i="33"/>
  <c r="K330" i="33"/>
  <c r="T329" i="33"/>
  <c r="P329" i="33"/>
  <c r="K329" i="33"/>
  <c r="T328" i="33"/>
  <c r="P328" i="33"/>
  <c r="K328" i="33"/>
  <c r="P327" i="33"/>
  <c r="K327" i="33"/>
  <c r="T326" i="33"/>
  <c r="P326" i="33"/>
  <c r="K326" i="33"/>
  <c r="P325" i="33"/>
  <c r="K325" i="33"/>
  <c r="P324" i="33"/>
  <c r="K324" i="33"/>
  <c r="P323" i="33"/>
  <c r="K323" i="33"/>
  <c r="P322" i="33"/>
  <c r="K322" i="33"/>
  <c r="T321" i="33"/>
  <c r="P321" i="33"/>
  <c r="K321" i="33"/>
  <c r="T320" i="33"/>
  <c r="P320" i="33"/>
  <c r="K320" i="33"/>
  <c r="P319" i="33"/>
  <c r="K319" i="33"/>
  <c r="P318" i="33"/>
  <c r="K318" i="33"/>
  <c r="P317" i="33"/>
  <c r="K317" i="33"/>
  <c r="P316" i="33"/>
  <c r="K316" i="33"/>
  <c r="T315" i="33"/>
  <c r="P315" i="33"/>
  <c r="K315" i="33"/>
  <c r="T314" i="33"/>
  <c r="P314" i="33"/>
  <c r="K314" i="33"/>
  <c r="P313" i="33"/>
  <c r="K313" i="33"/>
  <c r="P312" i="33"/>
  <c r="K312" i="33"/>
  <c r="P311" i="33"/>
  <c r="K311" i="33"/>
  <c r="P310" i="33"/>
  <c r="K310" i="33"/>
  <c r="P309" i="33"/>
  <c r="K309" i="33"/>
  <c r="T308" i="33"/>
  <c r="P308" i="33"/>
  <c r="K308" i="33"/>
  <c r="P307" i="33"/>
  <c r="K307" i="33"/>
  <c r="P306" i="33"/>
  <c r="K306" i="33"/>
  <c r="P305" i="33"/>
  <c r="K305" i="33"/>
  <c r="P304" i="33"/>
  <c r="K304" i="33"/>
  <c r="T303" i="33"/>
  <c r="P303" i="33"/>
  <c r="K303" i="33"/>
  <c r="T302" i="33"/>
  <c r="P302" i="33"/>
  <c r="K302" i="33"/>
  <c r="P301" i="33"/>
  <c r="K301" i="33"/>
  <c r="P300" i="33"/>
  <c r="K300" i="33"/>
  <c r="P299" i="33"/>
  <c r="K299" i="33"/>
  <c r="P298" i="33"/>
  <c r="K298" i="33"/>
  <c r="T297" i="33"/>
  <c r="P297" i="33"/>
  <c r="K297" i="33"/>
  <c r="T296" i="33"/>
  <c r="P296" i="33"/>
  <c r="K296" i="33"/>
  <c r="P295" i="33"/>
  <c r="K295" i="33"/>
  <c r="P294" i="33"/>
  <c r="K294" i="33"/>
  <c r="P293" i="33"/>
  <c r="K293" i="33"/>
  <c r="P292" i="33"/>
  <c r="K292" i="33"/>
  <c r="P291" i="33"/>
  <c r="K291" i="33"/>
  <c r="P290" i="33"/>
  <c r="K290" i="33"/>
  <c r="P289" i="33"/>
  <c r="K289" i="33"/>
  <c r="P288" i="33"/>
  <c r="K288" i="33"/>
  <c r="P287" i="33"/>
  <c r="K287" i="33"/>
  <c r="P286" i="33"/>
  <c r="K286" i="33"/>
  <c r="P285" i="33"/>
  <c r="K285" i="33"/>
  <c r="P284" i="33"/>
  <c r="K284" i="33"/>
  <c r="T283" i="33"/>
  <c r="P283" i="33"/>
  <c r="K283" i="33"/>
  <c r="P282" i="33"/>
  <c r="K282" i="33"/>
  <c r="P281" i="33"/>
  <c r="K281" i="33"/>
  <c r="P280" i="33"/>
  <c r="K280" i="33"/>
  <c r="T279" i="33"/>
  <c r="P279" i="33"/>
  <c r="K279" i="33"/>
  <c r="T278" i="33"/>
  <c r="P278" i="33"/>
  <c r="K278" i="33"/>
  <c r="P277" i="33"/>
  <c r="K277" i="33"/>
  <c r="P276" i="33"/>
  <c r="K276" i="33"/>
  <c r="T275" i="33"/>
  <c r="P275" i="33"/>
  <c r="K275" i="33"/>
  <c r="P274" i="33"/>
  <c r="K274" i="33"/>
  <c r="P273" i="33"/>
  <c r="K273" i="33"/>
  <c r="P272" i="33"/>
  <c r="K272" i="33"/>
  <c r="P271" i="33"/>
  <c r="K271" i="33"/>
  <c r="T270" i="33"/>
  <c r="P270" i="33"/>
  <c r="K270" i="33"/>
  <c r="T269" i="33"/>
  <c r="P269" i="33"/>
  <c r="K269" i="33"/>
  <c r="T268" i="33"/>
  <c r="P268" i="33"/>
  <c r="K268" i="33"/>
  <c r="P267" i="33"/>
  <c r="K267" i="33"/>
  <c r="T266" i="33"/>
  <c r="P266" i="33"/>
  <c r="K266" i="33"/>
  <c r="P265" i="33"/>
  <c r="K265" i="33"/>
  <c r="T264" i="33"/>
  <c r="P264" i="33"/>
  <c r="K264" i="33"/>
  <c r="P263" i="33"/>
  <c r="K263" i="33"/>
  <c r="P262" i="33"/>
  <c r="K262" i="33"/>
  <c r="P261" i="33"/>
  <c r="K261" i="33"/>
  <c r="P260" i="33"/>
  <c r="K260" i="33"/>
  <c r="P259" i="33"/>
  <c r="K259" i="33"/>
  <c r="P258" i="33"/>
  <c r="K258" i="33"/>
  <c r="P257" i="33"/>
  <c r="K257" i="33"/>
  <c r="T256" i="33"/>
  <c r="P256" i="33"/>
  <c r="K256" i="33"/>
  <c r="P255" i="33"/>
  <c r="K255" i="33"/>
  <c r="P254" i="33"/>
  <c r="K254" i="33"/>
  <c r="T253" i="33"/>
  <c r="P253" i="33"/>
  <c r="K253" i="33"/>
  <c r="P252" i="33"/>
  <c r="K252" i="33"/>
  <c r="T251" i="33"/>
  <c r="P251" i="33"/>
  <c r="K251" i="33"/>
  <c r="P250" i="33"/>
  <c r="K250" i="33"/>
  <c r="P249" i="33"/>
  <c r="K249" i="33"/>
  <c r="P248" i="33"/>
  <c r="K248" i="33"/>
  <c r="P247" i="33"/>
  <c r="K247" i="33"/>
  <c r="T246" i="33"/>
  <c r="S246" i="33"/>
  <c r="O246" i="33"/>
  <c r="J246" i="33"/>
  <c r="K246" i="33" s="1"/>
  <c r="T245" i="33"/>
  <c r="P245" i="33"/>
  <c r="K245" i="33"/>
  <c r="P244" i="33"/>
  <c r="K244" i="33"/>
  <c r="T243" i="33"/>
  <c r="P243" i="33"/>
  <c r="K243" i="33"/>
  <c r="P242" i="33"/>
  <c r="K242" i="33"/>
  <c r="P241" i="33"/>
  <c r="K241" i="33"/>
  <c r="P240" i="33"/>
  <c r="K240" i="33"/>
  <c r="P239" i="33"/>
  <c r="K239" i="33"/>
  <c r="P238" i="33"/>
  <c r="K238" i="33"/>
  <c r="T237" i="33"/>
  <c r="P237" i="33"/>
  <c r="K237" i="33"/>
  <c r="P236" i="33"/>
  <c r="K236" i="33"/>
  <c r="P235" i="33"/>
  <c r="K235" i="33"/>
  <c r="T234" i="33"/>
  <c r="P234" i="33"/>
  <c r="K234" i="33"/>
  <c r="P233" i="33"/>
  <c r="K233" i="33"/>
  <c r="P232" i="33"/>
  <c r="K232" i="33"/>
  <c r="P231" i="33"/>
  <c r="K231" i="33"/>
  <c r="P230" i="33"/>
  <c r="K230" i="33"/>
  <c r="P229" i="33"/>
  <c r="K229" i="33"/>
  <c r="P228" i="33"/>
  <c r="K228" i="33"/>
  <c r="T227" i="33"/>
  <c r="P227" i="33"/>
  <c r="K227" i="33"/>
  <c r="P226" i="33"/>
  <c r="K226" i="33"/>
  <c r="T225" i="33"/>
  <c r="P225" i="33"/>
  <c r="K225" i="33"/>
  <c r="T224" i="33"/>
  <c r="P224" i="33"/>
  <c r="K224" i="33"/>
  <c r="P223" i="33"/>
  <c r="K223" i="33"/>
  <c r="P222" i="33"/>
  <c r="K222" i="33"/>
  <c r="P221" i="33"/>
  <c r="K221" i="33"/>
  <c r="P220" i="33"/>
  <c r="K220" i="33"/>
  <c r="P219" i="33"/>
  <c r="K219" i="33"/>
  <c r="P218" i="33"/>
  <c r="K218" i="33"/>
  <c r="P217" i="33"/>
  <c r="K217" i="33"/>
  <c r="P216" i="33"/>
  <c r="K216" i="33"/>
  <c r="P215" i="33"/>
  <c r="K215" i="33"/>
  <c r="P214" i="33"/>
  <c r="K214" i="33"/>
  <c r="P213" i="33"/>
  <c r="K213" i="33"/>
  <c r="T212" i="33"/>
  <c r="P212" i="33"/>
  <c r="K212" i="33"/>
  <c r="P211" i="33"/>
  <c r="K211" i="33"/>
  <c r="T210" i="33"/>
  <c r="P210" i="33"/>
  <c r="K210" i="33"/>
  <c r="T209" i="33"/>
  <c r="P209" i="33"/>
  <c r="K209" i="33"/>
  <c r="P208" i="33"/>
  <c r="K208" i="33"/>
  <c r="T207" i="33"/>
  <c r="P207" i="33"/>
  <c r="K207" i="33"/>
  <c r="T206" i="33"/>
  <c r="P206" i="33"/>
  <c r="K206" i="33"/>
  <c r="P205" i="33"/>
  <c r="K205" i="33"/>
  <c r="P204" i="33"/>
  <c r="K204" i="33"/>
  <c r="P203" i="33"/>
  <c r="K203" i="33"/>
  <c r="P202" i="33"/>
  <c r="K202" i="33"/>
  <c r="P201" i="33"/>
  <c r="K201" i="33"/>
  <c r="P200" i="33"/>
  <c r="K200" i="33"/>
  <c r="P199" i="33"/>
  <c r="K199" i="33"/>
  <c r="P198" i="33"/>
  <c r="K198" i="33"/>
  <c r="P197" i="33"/>
  <c r="K197" i="33"/>
  <c r="T196" i="33"/>
  <c r="P196" i="33"/>
  <c r="K196" i="33"/>
  <c r="P195" i="33"/>
  <c r="K195" i="33"/>
  <c r="P194" i="33"/>
  <c r="K194" i="33"/>
  <c r="P193" i="33"/>
  <c r="K193" i="33"/>
  <c r="T192" i="33"/>
  <c r="P192" i="33"/>
  <c r="K192" i="33"/>
  <c r="P191" i="33"/>
  <c r="K191" i="33"/>
  <c r="T190" i="33"/>
  <c r="P190" i="33"/>
  <c r="K190" i="33"/>
  <c r="P189" i="33"/>
  <c r="K189" i="33"/>
  <c r="P188" i="33"/>
  <c r="K188" i="33"/>
  <c r="P187" i="33"/>
  <c r="K187" i="33"/>
  <c r="P186" i="33"/>
  <c r="K186" i="33"/>
  <c r="T185" i="33"/>
  <c r="P185" i="33"/>
  <c r="K185" i="33"/>
  <c r="P184" i="33"/>
  <c r="K184" i="33"/>
  <c r="P183" i="33"/>
  <c r="K183" i="33"/>
  <c r="P182" i="33"/>
  <c r="K182" i="33"/>
  <c r="P181" i="33"/>
  <c r="K181" i="33"/>
  <c r="T180" i="33"/>
  <c r="P180" i="33"/>
  <c r="K180" i="33"/>
  <c r="P179" i="33"/>
  <c r="K179" i="33"/>
  <c r="P178" i="33"/>
  <c r="K178" i="33"/>
  <c r="P177" i="33"/>
  <c r="K177" i="33"/>
  <c r="P176" i="33"/>
  <c r="K176" i="33"/>
  <c r="P175" i="33"/>
  <c r="K175" i="33"/>
  <c r="T174" i="33"/>
  <c r="P174" i="33"/>
  <c r="K174" i="33"/>
  <c r="P173" i="33"/>
  <c r="K173" i="33"/>
  <c r="P172" i="33"/>
  <c r="K172" i="33"/>
  <c r="T171" i="33"/>
  <c r="P171" i="33"/>
  <c r="K171" i="33"/>
  <c r="T170" i="33"/>
  <c r="P170" i="33"/>
  <c r="K170" i="33"/>
  <c r="P169" i="33"/>
  <c r="K169" i="33"/>
  <c r="P168" i="33"/>
  <c r="K168" i="33"/>
  <c r="P167" i="33"/>
  <c r="K167" i="33"/>
  <c r="P166" i="33"/>
  <c r="K166" i="33"/>
  <c r="T165" i="33"/>
  <c r="P165" i="33"/>
  <c r="K165" i="33"/>
  <c r="P164" i="33"/>
  <c r="K164" i="33"/>
  <c r="P163" i="33"/>
  <c r="K163" i="33"/>
  <c r="P162" i="33"/>
  <c r="K162" i="33"/>
  <c r="P161" i="33"/>
  <c r="K161" i="33"/>
  <c r="T160" i="33"/>
  <c r="P160" i="33"/>
  <c r="K160" i="33"/>
  <c r="P159" i="33"/>
  <c r="K159" i="33"/>
  <c r="P158" i="33"/>
  <c r="K158" i="33"/>
  <c r="P157" i="33"/>
  <c r="K157" i="33"/>
  <c r="P156" i="33"/>
  <c r="K156" i="33"/>
  <c r="T155" i="33"/>
  <c r="P155" i="33"/>
  <c r="K155" i="33"/>
  <c r="P154" i="33"/>
  <c r="K154" i="33"/>
  <c r="P153" i="33"/>
  <c r="K153" i="33"/>
  <c r="P152" i="33"/>
  <c r="K152" i="33"/>
  <c r="T151" i="33"/>
  <c r="P151" i="33"/>
  <c r="K151" i="33"/>
  <c r="P150" i="33"/>
  <c r="K150" i="33"/>
  <c r="T149" i="33"/>
  <c r="P149" i="33"/>
  <c r="K149" i="33"/>
  <c r="P148" i="33"/>
  <c r="K148" i="33"/>
  <c r="P147" i="33"/>
  <c r="K147" i="33"/>
  <c r="P146" i="33"/>
  <c r="K146" i="33"/>
  <c r="P145" i="33"/>
  <c r="K145" i="33"/>
  <c r="T144" i="33"/>
  <c r="P144" i="33"/>
  <c r="K144" i="33"/>
  <c r="P143" i="33"/>
  <c r="K143" i="33"/>
  <c r="T142" i="33"/>
  <c r="P142" i="33"/>
  <c r="K142" i="33"/>
  <c r="P141" i="33"/>
  <c r="K141" i="33"/>
  <c r="P140" i="33"/>
  <c r="K140" i="33"/>
  <c r="P139" i="33"/>
  <c r="K139" i="33"/>
  <c r="P138" i="33"/>
  <c r="K138" i="33"/>
  <c r="P137" i="33"/>
  <c r="K137" i="33"/>
  <c r="P136" i="33"/>
  <c r="K136" i="33"/>
  <c r="P135" i="33"/>
  <c r="K135" i="33"/>
  <c r="P134" i="33"/>
  <c r="K134" i="33"/>
  <c r="T133" i="33"/>
  <c r="P133" i="33"/>
  <c r="K133" i="33"/>
  <c r="P132" i="33"/>
  <c r="K132" i="33"/>
  <c r="P131" i="33"/>
  <c r="K131" i="33"/>
  <c r="T130" i="33"/>
  <c r="P130" i="33"/>
  <c r="K130" i="33"/>
  <c r="P129" i="33"/>
  <c r="K129" i="33"/>
  <c r="T128" i="33"/>
  <c r="P128" i="33"/>
  <c r="K128" i="33"/>
  <c r="T127" i="33"/>
  <c r="P127" i="33"/>
  <c r="K127" i="33"/>
  <c r="T126" i="33"/>
  <c r="P126" i="33"/>
  <c r="K126" i="33"/>
  <c r="P125" i="33"/>
  <c r="K125" i="33"/>
  <c r="P124" i="33"/>
  <c r="K124" i="33"/>
  <c r="P123" i="33"/>
  <c r="K123" i="33"/>
  <c r="P122" i="33"/>
  <c r="K122" i="33"/>
  <c r="T121" i="33"/>
  <c r="P121" i="33"/>
  <c r="K121" i="33"/>
  <c r="P120" i="33"/>
  <c r="K120" i="33"/>
  <c r="P119" i="33"/>
  <c r="K119" i="33"/>
  <c r="P118" i="33"/>
  <c r="K118" i="33"/>
  <c r="P117" i="33"/>
  <c r="K117" i="33"/>
  <c r="P116" i="33"/>
  <c r="K116" i="33"/>
  <c r="P115" i="33"/>
  <c r="K115" i="33"/>
  <c r="P114" i="33"/>
  <c r="K114" i="33"/>
  <c r="T113" i="33"/>
  <c r="P113" i="33"/>
  <c r="K113" i="33"/>
  <c r="P112" i="33"/>
  <c r="K112" i="33"/>
  <c r="T111" i="33"/>
  <c r="P111" i="33"/>
  <c r="K111" i="33"/>
  <c r="P110" i="33"/>
  <c r="K110" i="33"/>
  <c r="T109" i="33"/>
  <c r="P109" i="33"/>
  <c r="K109" i="33"/>
  <c r="P108" i="33"/>
  <c r="K108" i="33"/>
  <c r="P107" i="33"/>
  <c r="K107" i="33"/>
  <c r="P106" i="33"/>
  <c r="K106" i="33"/>
  <c r="P105" i="33"/>
  <c r="K105" i="33"/>
  <c r="T104" i="33"/>
  <c r="P104" i="33"/>
  <c r="K104" i="33"/>
  <c r="P103" i="33"/>
  <c r="K103" i="33"/>
  <c r="T102" i="33"/>
  <c r="P102" i="33"/>
  <c r="K102" i="33"/>
  <c r="P101" i="33"/>
  <c r="K101" i="33"/>
  <c r="P100" i="33"/>
  <c r="K100" i="33"/>
  <c r="T99" i="33"/>
  <c r="P99" i="33"/>
  <c r="K99" i="33"/>
  <c r="P98" i="33"/>
  <c r="K98" i="33"/>
  <c r="T97" i="33"/>
  <c r="P97" i="33"/>
  <c r="K97" i="33"/>
  <c r="P96" i="33"/>
  <c r="K96" i="33"/>
  <c r="P95" i="33"/>
  <c r="K95" i="33"/>
  <c r="P94" i="33"/>
  <c r="K94" i="33"/>
  <c r="T93" i="33"/>
  <c r="P93" i="33"/>
  <c r="K93" i="33"/>
  <c r="P92" i="33"/>
  <c r="K92" i="33"/>
  <c r="T91" i="33"/>
  <c r="P91" i="33"/>
  <c r="K91" i="33"/>
  <c r="P90" i="33"/>
  <c r="K90" i="33"/>
  <c r="P89" i="33"/>
  <c r="K89" i="33"/>
  <c r="P88" i="33"/>
  <c r="K88" i="33"/>
  <c r="P87" i="33"/>
  <c r="K87" i="33"/>
  <c r="P86" i="33"/>
  <c r="K86" i="33"/>
  <c r="P85" i="33"/>
  <c r="K85" i="33"/>
  <c r="P84" i="33"/>
  <c r="K84" i="33"/>
  <c r="P83" i="33"/>
  <c r="K83" i="33"/>
  <c r="P82" i="33"/>
  <c r="K82" i="33"/>
  <c r="P81" i="33"/>
  <c r="K81" i="33"/>
  <c r="T80" i="33"/>
  <c r="P80" i="33"/>
  <c r="K80" i="33"/>
  <c r="P79" i="33"/>
  <c r="K79" i="33"/>
  <c r="P78" i="33"/>
  <c r="K78" i="33"/>
  <c r="T77" i="33"/>
  <c r="P77" i="33"/>
  <c r="K77" i="33"/>
  <c r="P76" i="33"/>
  <c r="K76" i="33"/>
  <c r="P75" i="33"/>
  <c r="K75" i="33"/>
  <c r="P74" i="33"/>
  <c r="K74" i="33"/>
  <c r="P73" i="33"/>
  <c r="K73" i="33"/>
  <c r="T72" i="33"/>
  <c r="P72" i="33"/>
  <c r="K72" i="33"/>
  <c r="P71" i="33"/>
  <c r="K71" i="33"/>
  <c r="P70" i="33"/>
  <c r="K70" i="33"/>
  <c r="T69" i="33"/>
  <c r="P69" i="33"/>
  <c r="K69" i="33"/>
  <c r="P68" i="33"/>
  <c r="K68" i="33"/>
  <c r="P67" i="33"/>
  <c r="K67" i="33"/>
  <c r="P66" i="33"/>
  <c r="K66" i="33"/>
  <c r="P65" i="33"/>
  <c r="K65" i="33"/>
  <c r="P64" i="33"/>
  <c r="K64" i="33"/>
  <c r="P63" i="33"/>
  <c r="K63" i="33"/>
  <c r="T62" i="33"/>
  <c r="P62" i="33"/>
  <c r="K62" i="33"/>
  <c r="P61" i="33"/>
  <c r="K61" i="33"/>
  <c r="P60" i="33"/>
  <c r="K60" i="33"/>
  <c r="P59" i="33"/>
  <c r="K59" i="33"/>
  <c r="T58" i="33"/>
  <c r="P58" i="33"/>
  <c r="K58" i="33"/>
  <c r="P57" i="33"/>
  <c r="K57" i="33"/>
  <c r="T56" i="33"/>
  <c r="P56" i="33"/>
  <c r="K56" i="33"/>
  <c r="P55" i="33"/>
  <c r="K55" i="33"/>
  <c r="T54" i="33"/>
  <c r="P54" i="33"/>
  <c r="K54" i="33"/>
  <c r="P53" i="33"/>
  <c r="K53" i="33"/>
  <c r="P52" i="33"/>
  <c r="K52" i="33"/>
  <c r="P51" i="33"/>
  <c r="K51" i="33"/>
  <c r="T50" i="33"/>
  <c r="P50" i="33"/>
  <c r="K50" i="33"/>
  <c r="T49" i="33"/>
  <c r="P49" i="33"/>
  <c r="K49" i="33"/>
  <c r="P48" i="33"/>
  <c r="K48" i="33"/>
  <c r="P47" i="33"/>
  <c r="K47" i="33"/>
  <c r="T46" i="33"/>
  <c r="P46" i="33"/>
  <c r="K46" i="33"/>
  <c r="P45" i="33"/>
  <c r="K45" i="33"/>
  <c r="P44" i="33"/>
  <c r="K44" i="33"/>
  <c r="T43" i="33"/>
  <c r="P43" i="33"/>
  <c r="K43" i="33"/>
  <c r="T42" i="33"/>
  <c r="P42" i="33"/>
  <c r="K42" i="33"/>
  <c r="P41" i="33"/>
  <c r="K41" i="33"/>
  <c r="P40" i="33"/>
  <c r="K40" i="33"/>
  <c r="P39" i="33"/>
  <c r="K39" i="33"/>
  <c r="T38" i="33"/>
  <c r="P38" i="33"/>
  <c r="K38" i="33"/>
  <c r="P37" i="33"/>
  <c r="K37" i="33"/>
  <c r="P36" i="33"/>
  <c r="K36" i="33"/>
  <c r="P35" i="33"/>
  <c r="K35" i="33"/>
  <c r="P34" i="33"/>
  <c r="K34" i="33"/>
  <c r="P33" i="33"/>
  <c r="K33" i="33"/>
  <c r="P32" i="33"/>
  <c r="K32" i="33"/>
  <c r="P31" i="33"/>
  <c r="K31" i="33"/>
  <c r="P30" i="33"/>
  <c r="K30" i="33"/>
  <c r="P29" i="33"/>
  <c r="K29" i="33"/>
  <c r="P28" i="33"/>
  <c r="K28" i="33"/>
  <c r="P27" i="33"/>
  <c r="K27" i="33"/>
  <c r="P26" i="33"/>
  <c r="K26" i="33"/>
  <c r="P25" i="33"/>
  <c r="K25" i="33"/>
  <c r="P24" i="33"/>
  <c r="K24" i="33"/>
  <c r="P23" i="33"/>
  <c r="K23" i="33"/>
  <c r="P22" i="33"/>
  <c r="K22" i="33"/>
  <c r="T21" i="33"/>
  <c r="P21" i="33"/>
  <c r="K21" i="33"/>
  <c r="P20" i="33"/>
  <c r="K20" i="33"/>
  <c r="P19" i="33"/>
  <c r="K19" i="33"/>
  <c r="T18" i="33"/>
  <c r="P18" i="33"/>
  <c r="K18" i="33"/>
  <c r="P17" i="33"/>
  <c r="K17" i="33"/>
  <c r="P16" i="33"/>
  <c r="K16" i="33"/>
  <c r="P15" i="33"/>
  <c r="K15" i="33"/>
  <c r="T14" i="33"/>
  <c r="P14" i="33"/>
  <c r="K14" i="33"/>
  <c r="P13" i="33"/>
  <c r="K13" i="33"/>
  <c r="P12" i="33"/>
  <c r="K12" i="33"/>
  <c r="T11" i="33"/>
  <c r="P11" i="33"/>
  <c r="K11" i="33"/>
  <c r="P10" i="33"/>
  <c r="K10" i="33"/>
  <c r="P9" i="33"/>
  <c r="K9" i="33"/>
  <c r="P8" i="33"/>
  <c r="K8" i="33"/>
  <c r="P7" i="33"/>
  <c r="K7" i="33"/>
  <c r="S909" i="33" l="1"/>
  <c r="T909" i="33"/>
  <c r="O909" i="33"/>
  <c r="M909" i="33"/>
  <c r="K779" i="33"/>
  <c r="K909" i="33" s="1"/>
  <c r="J909" i="33"/>
  <c r="P246" i="33"/>
  <c r="P909" i="33" s="1"/>
  <c r="G909" i="33"/>
  <c r="N87" i="15" l="1"/>
  <c r="D125" i="18" l="1"/>
  <c r="E175" i="18" l="1"/>
  <c r="AW265" i="1" l="1"/>
  <c r="L57" i="31"/>
  <c r="L49" i="31"/>
  <c r="L48" i="31"/>
  <c r="D93" i="31" s="1"/>
  <c r="K47" i="31"/>
  <c r="C93" i="31" s="1"/>
  <c r="C91" i="31"/>
  <c r="L45" i="31"/>
  <c r="D91" i="31" s="1"/>
  <c r="L44" i="31"/>
  <c r="D92" i="31" s="1"/>
  <c r="K43" i="31"/>
  <c r="C92" i="31" s="1"/>
  <c r="K42" i="31"/>
  <c r="C90" i="31" s="1"/>
  <c r="L41" i="31"/>
  <c r="D90" i="31" s="1"/>
  <c r="K40" i="31"/>
  <c r="L39" i="31"/>
  <c r="D88" i="31" s="1"/>
  <c r="K38" i="31"/>
  <c r="C88" i="31" s="1"/>
  <c r="C89" i="31" l="1"/>
  <c r="E89" i="31" s="1"/>
  <c r="E90" i="31"/>
  <c r="E92" i="31"/>
  <c r="H92" i="31" s="1"/>
  <c r="D72" i="31" s="1"/>
  <c r="AN155" i="1" s="1"/>
  <c r="E91" i="31"/>
  <c r="D98" i="31"/>
  <c r="E93" i="31"/>
  <c r="E88" i="31"/>
  <c r="H90" i="31"/>
  <c r="G90" i="31"/>
  <c r="C69" i="31" s="1"/>
  <c r="AK89" i="1" s="1"/>
  <c r="N49" i="31"/>
  <c r="C74" i="31"/>
  <c r="AK86" i="1" s="1"/>
  <c r="L53" i="31"/>
  <c r="K50" i="31"/>
  <c r="L50" i="31"/>
  <c r="C98" i="31" l="1"/>
  <c r="G92" i="31"/>
  <c r="C72" i="31" s="1"/>
  <c r="AK155" i="1" s="1"/>
  <c r="H93" i="31"/>
  <c r="D73" i="31" s="1"/>
  <c r="AN157" i="1" s="1"/>
  <c r="G93" i="31"/>
  <c r="C73" i="31" s="1"/>
  <c r="AK157" i="1" s="1"/>
  <c r="H91" i="31"/>
  <c r="D70" i="31" s="1"/>
  <c r="AN91" i="1" s="1"/>
  <c r="G91" i="31"/>
  <c r="C70" i="31" s="1"/>
  <c r="AK91" i="1" s="1"/>
  <c r="H88" i="31"/>
  <c r="D67" i="31" s="1"/>
  <c r="AN144" i="1" s="1"/>
  <c r="AW144" i="1" s="1"/>
  <c r="BA144" i="1" s="1"/>
  <c r="G88" i="31"/>
  <c r="C67" i="31" s="1"/>
  <c r="AK144" i="1" s="1"/>
  <c r="E98" i="31"/>
  <c r="G89" i="31" s="1"/>
  <c r="N50" i="31"/>
  <c r="D74" i="31"/>
  <c r="C66" i="31"/>
  <c r="D66" i="31"/>
  <c r="D69" i="31"/>
  <c r="AN89" i="1" s="1"/>
  <c r="Q231" i="15"/>
  <c r="Y231" i="15" s="1"/>
  <c r="H89" i="31" l="1"/>
  <c r="H98" i="31" s="1"/>
  <c r="G98" i="31"/>
  <c r="C68" i="31"/>
  <c r="AK167" i="1"/>
  <c r="AK265" i="1" l="1"/>
  <c r="AV265" i="1" s="1"/>
  <c r="C78" i="31"/>
  <c r="D68" i="31"/>
  <c r="E64" i="25"/>
  <c r="D78" i="31" l="1"/>
  <c r="U904" i="30"/>
  <c r="T904" i="30"/>
  <c r="S904" i="30"/>
  <c r="Q904" i="30"/>
  <c r="P904" i="30"/>
  <c r="O904" i="30"/>
  <c r="N904" i="30"/>
  <c r="L904" i="30"/>
  <c r="K904" i="30"/>
  <c r="J904" i="30"/>
  <c r="I904" i="30"/>
  <c r="G904" i="30"/>
  <c r="F904" i="30"/>
  <c r="E904" i="30"/>
  <c r="D904" i="30"/>
  <c r="C904" i="30"/>
  <c r="G189" i="18" l="1"/>
  <c r="R13" i="25" l="1"/>
  <c r="AC169" i="1" l="1"/>
  <c r="AB169" i="1"/>
  <c r="AC168" i="1"/>
  <c r="AE168" i="1" s="1"/>
  <c r="AB168" i="1"/>
  <c r="AD168" i="1" s="1"/>
  <c r="B35" i="25" l="1"/>
  <c r="B26" i="25"/>
  <c r="AC32" i="1" l="1"/>
  <c r="AE32" i="1" s="1"/>
  <c r="AB32" i="1"/>
  <c r="AC163" i="1"/>
  <c r="AE163" i="1" s="1"/>
  <c r="AB163" i="1"/>
  <c r="AD163" i="1" s="1"/>
  <c r="AC158" i="1"/>
  <c r="AB158" i="1"/>
  <c r="AD158" i="1" s="1"/>
  <c r="AC156" i="1"/>
  <c r="AB156" i="1"/>
  <c r="AD156" i="1" s="1"/>
  <c r="AC154" i="1"/>
  <c r="AB154" i="1"/>
  <c r="AD154" i="1" s="1"/>
  <c r="AC153" i="1"/>
  <c r="AB153" i="1"/>
  <c r="AD153" i="1" s="1"/>
  <c r="AC92" i="1"/>
  <c r="AE92" i="1" s="1"/>
  <c r="AB92" i="1"/>
  <c r="AC90" i="1"/>
  <c r="AE90" i="1" s="1"/>
  <c r="AB90" i="1"/>
  <c r="AC88" i="1"/>
  <c r="AE88" i="1" s="1"/>
  <c r="AB88" i="1"/>
  <c r="AC87" i="1"/>
  <c r="AE87" i="1" s="1"/>
  <c r="AB87" i="1"/>
  <c r="AC85" i="1"/>
  <c r="AE85" i="1" s="1"/>
  <c r="AB85" i="1"/>
  <c r="B37" i="25" l="1"/>
  <c r="B28" i="25" l="1"/>
  <c r="U904" i="28"/>
  <c r="T904" i="28"/>
  <c r="S904" i="28"/>
  <c r="Q904" i="28"/>
  <c r="P904" i="28"/>
  <c r="O904" i="28"/>
  <c r="N904" i="28"/>
  <c r="L904" i="28"/>
  <c r="K904" i="28"/>
  <c r="J904" i="28"/>
  <c r="I904" i="28"/>
  <c r="G904" i="28"/>
  <c r="F904" i="28"/>
  <c r="E904" i="28"/>
  <c r="D47" i="25" l="1"/>
  <c r="E50" i="25"/>
  <c r="D54" i="25"/>
  <c r="E51" i="25"/>
  <c r="D55" i="25"/>
  <c r="D53" i="25" l="1"/>
  <c r="E49" i="25"/>
  <c r="D45" i="25"/>
  <c r="D56" i="25"/>
  <c r="D57" i="25"/>
  <c r="D58" i="25"/>
  <c r="E63" i="25"/>
  <c r="E60" i="25"/>
  <c r="D59" i="25"/>
  <c r="E62" i="25"/>
  <c r="E46" i="25"/>
  <c r="D52" i="25"/>
  <c r="E48" i="25"/>
  <c r="D65" i="25" l="1"/>
  <c r="E65" i="25"/>
  <c r="C76" i="25"/>
  <c r="C173" i="18"/>
  <c r="G186" i="23"/>
  <c r="G187" i="23"/>
  <c r="G188" i="23"/>
  <c r="G185" i="23"/>
  <c r="E167" i="23"/>
  <c r="E168" i="23"/>
  <c r="E169" i="23"/>
  <c r="E170" i="23"/>
  <c r="E166" i="23"/>
  <c r="G186" i="24"/>
  <c r="G187" i="24"/>
  <c r="G188" i="24"/>
  <c r="G185" i="24"/>
  <c r="E167" i="24"/>
  <c r="E168" i="24"/>
  <c r="E169" i="24"/>
  <c r="E170" i="24"/>
  <c r="E166" i="24"/>
  <c r="E177" i="18"/>
  <c r="E176" i="18"/>
  <c r="E174" i="18"/>
  <c r="C75" i="25"/>
  <c r="AF165" i="1" l="1"/>
  <c r="C139" i="25"/>
  <c r="AF92" i="1"/>
  <c r="C126" i="25"/>
  <c r="D135" i="25"/>
  <c r="D142" i="25"/>
  <c r="C135" i="25"/>
  <c r="D76" i="25"/>
  <c r="D143" i="25"/>
  <c r="C142" i="25"/>
  <c r="D137" i="25"/>
  <c r="D138" i="25"/>
  <c r="D139" i="25"/>
  <c r="C136" i="25"/>
  <c r="C137" i="25"/>
  <c r="D126" i="25"/>
  <c r="D136" i="25"/>
  <c r="C138" i="25"/>
  <c r="C140" i="25"/>
  <c r="D140" i="25"/>
  <c r="D141" i="25"/>
  <c r="D66" i="25"/>
  <c r="D67" i="25" s="1"/>
  <c r="C143" i="25"/>
  <c r="C141" i="25"/>
  <c r="E66" i="25"/>
  <c r="AF88" i="1"/>
  <c r="AF90" i="1"/>
  <c r="AF87" i="1"/>
  <c r="AD88" i="1"/>
  <c r="AE153" i="1"/>
  <c r="AP87" i="1"/>
  <c r="AP88" i="1"/>
  <c r="AS156" i="1"/>
  <c r="AD85" i="1"/>
  <c r="AD32" i="1"/>
  <c r="AD87" i="1"/>
  <c r="AD90" i="1"/>
  <c r="AE156" i="1"/>
  <c r="AE154" i="1"/>
  <c r="AP92" i="1"/>
  <c r="AP90" i="1"/>
  <c r="L170" i="15"/>
  <c r="E173" i="18"/>
  <c r="AP85" i="1" s="1"/>
  <c r="AF169" i="1" l="1"/>
  <c r="C127" i="25"/>
  <c r="AG169" i="1"/>
  <c r="E67" i="25"/>
  <c r="AE169" i="1"/>
  <c r="AD169" i="1"/>
  <c r="AD92" i="1"/>
  <c r="AE158" i="1"/>
  <c r="C77" i="25"/>
  <c r="AW169" i="1" l="1"/>
  <c r="AV169" i="1"/>
  <c r="G193" i="18"/>
  <c r="AS158" i="1" s="1"/>
  <c r="G194" i="18"/>
  <c r="AS154" i="1" s="1"/>
  <c r="G195" i="18"/>
  <c r="AS153" i="1" s="1"/>
  <c r="G192" i="18"/>
  <c r="E143" i="25" l="1"/>
  <c r="E168" i="18"/>
  <c r="AP32" i="1" s="1"/>
  <c r="G143" i="25" l="1"/>
  <c r="C113" i="25" s="1"/>
  <c r="H143" i="25"/>
  <c r="D113" i="25" s="1"/>
  <c r="AN85" i="1" s="1"/>
  <c r="AW85" i="1" s="1"/>
  <c r="E140" i="25"/>
  <c r="E138" i="25"/>
  <c r="E142" i="25"/>
  <c r="AW319" i="1"/>
  <c r="AW310" i="1"/>
  <c r="AW301" i="1"/>
  <c r="AW292" i="1"/>
  <c r="AW283" i="1"/>
  <c r="AW274" i="1"/>
  <c r="H142" i="25" l="1"/>
  <c r="D112" i="25" s="1"/>
  <c r="G142" i="25"/>
  <c r="C112" i="25" s="1"/>
  <c r="G138" i="25"/>
  <c r="C108" i="25" s="1"/>
  <c r="AK87" i="1" s="1"/>
  <c r="AV87" i="1" s="1"/>
  <c r="H138" i="25"/>
  <c r="D108" i="25" s="1"/>
  <c r="AN87" i="1" s="1"/>
  <c r="AW87" i="1" s="1"/>
  <c r="H140" i="25"/>
  <c r="D110" i="25" s="1"/>
  <c r="AN158" i="1" s="1"/>
  <c r="G140" i="25"/>
  <c r="C110" i="25" s="1"/>
  <c r="AK158" i="1" s="1"/>
  <c r="E136" i="25"/>
  <c r="C88" i="25"/>
  <c r="C87" i="25"/>
  <c r="C86" i="25"/>
  <c r="C85" i="25"/>
  <c r="C84" i="25"/>
  <c r="C83" i="25"/>
  <c r="C82" i="25"/>
  <c r="C81" i="25"/>
  <c r="N178" i="15"/>
  <c r="X221" i="15" s="1"/>
  <c r="N177" i="15"/>
  <c r="X220" i="15" s="1"/>
  <c r="N176" i="15"/>
  <c r="X219" i="15" s="1"/>
  <c r="N175" i="15"/>
  <c r="X218" i="15" s="1"/>
  <c r="N174" i="15"/>
  <c r="X217" i="15" s="1"/>
  <c r="N173" i="15"/>
  <c r="X216" i="15" s="1"/>
  <c r="N172" i="15"/>
  <c r="X215" i="15" s="1"/>
  <c r="N171" i="15"/>
  <c r="X214" i="15" s="1"/>
  <c r="W223" i="15"/>
  <c r="L165" i="15"/>
  <c r="N165" i="15" s="1"/>
  <c r="L154" i="15"/>
  <c r="N154" i="15" s="1"/>
  <c r="D127" i="25" l="1"/>
  <c r="C131" i="25"/>
  <c r="D131" i="25"/>
  <c r="D128" i="25"/>
  <c r="C128" i="25"/>
  <c r="C132" i="25"/>
  <c r="D132" i="25"/>
  <c r="C129" i="25"/>
  <c r="D129" i="25"/>
  <c r="C133" i="25"/>
  <c r="D133" i="25"/>
  <c r="D130" i="25"/>
  <c r="C130" i="25"/>
  <c r="C134" i="25"/>
  <c r="D134" i="25"/>
  <c r="E141" i="25"/>
  <c r="G141" i="25" s="1"/>
  <c r="G136" i="25"/>
  <c r="C106" i="25" s="1"/>
  <c r="AK92" i="1" s="1"/>
  <c r="AV92" i="1" s="1"/>
  <c r="H136" i="25"/>
  <c r="D106" i="25" s="1"/>
  <c r="AN92" i="1" s="1"/>
  <c r="C89" i="25"/>
  <c r="D89" i="25" s="1"/>
  <c r="C78" i="25"/>
  <c r="D78" i="25" s="1"/>
  <c r="C27" i="27"/>
  <c r="AK153" i="1" l="1"/>
  <c r="AV153" i="1" s="1"/>
  <c r="C111" i="25"/>
  <c r="AK156" i="1" s="1"/>
  <c r="AV156" i="1" s="1"/>
  <c r="E126" i="25"/>
  <c r="H141" i="25"/>
  <c r="AV214" i="1"/>
  <c r="AW264" i="1"/>
  <c r="AW255" i="1"/>
  <c r="AV255" i="1"/>
  <c r="AW254" i="1"/>
  <c r="AK264" i="1"/>
  <c r="AV264" i="1" s="1"/>
  <c r="AN153" i="1" l="1"/>
  <c r="D111" i="25"/>
  <c r="AN156" i="1" s="1"/>
  <c r="AW156" i="1" s="1"/>
  <c r="G126" i="25"/>
  <c r="H126" i="25"/>
  <c r="D28" i="27"/>
  <c r="AN214" i="1" s="1"/>
  <c r="AW214" i="1" s="1"/>
  <c r="Y223" i="15"/>
  <c r="C30" i="27"/>
  <c r="D96" i="25" l="1"/>
  <c r="AN145" i="1" s="1"/>
  <c r="C96" i="25"/>
  <c r="AK145" i="1" s="1"/>
  <c r="AV145" i="1" s="1"/>
  <c r="AA223" i="15"/>
  <c r="N196" i="15" s="1"/>
  <c r="Z223" i="15"/>
  <c r="L196" i="15" s="1"/>
  <c r="AK85" i="1" s="1"/>
  <c r="AV85" i="1" s="1"/>
  <c r="D30" i="27"/>
  <c r="AC151" i="1"/>
  <c r="AE151" i="1" s="1"/>
  <c r="AB151" i="1"/>
  <c r="AD151" i="1" s="1"/>
  <c r="I208" i="4"/>
  <c r="L295" i="19"/>
  <c r="AS185" i="1" s="1"/>
  <c r="L294" i="19"/>
  <c r="AS184" i="1" s="1"/>
  <c r="K52" i="14"/>
  <c r="G27" i="22"/>
  <c r="AV333" i="1"/>
  <c r="R116" i="13"/>
  <c r="K116" i="13"/>
  <c r="S116" i="13" s="1"/>
  <c r="N87" i="13" s="1"/>
  <c r="AN333" i="1" s="1"/>
  <c r="AW333" i="1" s="1"/>
  <c r="L293" i="19"/>
  <c r="AS183" i="1" s="1"/>
  <c r="G23" i="22"/>
  <c r="AR183" i="1"/>
  <c r="AC183" i="1"/>
  <c r="AE183" i="1" s="1"/>
  <c r="AB183" i="1"/>
  <c r="AD183" i="1" s="1"/>
  <c r="AV183" i="1" s="1"/>
  <c r="AG364" i="1"/>
  <c r="G49" i="5"/>
  <c r="G182" i="24"/>
  <c r="G182" i="23"/>
  <c r="AS145" i="1" s="1"/>
  <c r="G190" i="18"/>
  <c r="AS146" i="1" s="1"/>
  <c r="N98" i="15"/>
  <c r="O107" i="15" s="1"/>
  <c r="L224" i="15"/>
  <c r="L222" i="15"/>
  <c r="L221" i="15"/>
  <c r="L220" i="15"/>
  <c r="L219" i="15"/>
  <c r="J40" i="15"/>
  <c r="F214" i="15" s="1"/>
  <c r="L214" i="15"/>
  <c r="U214" i="15"/>
  <c r="L27" i="15"/>
  <c r="J214" i="15" s="1"/>
  <c r="J41" i="15"/>
  <c r="F215" i="15" s="1"/>
  <c r="L215" i="15"/>
  <c r="U215" i="15"/>
  <c r="L28" i="15"/>
  <c r="J215" i="15" s="1"/>
  <c r="J42" i="15"/>
  <c r="F216" i="15" s="1"/>
  <c r="L216" i="15"/>
  <c r="U216" i="15"/>
  <c r="L29" i="15"/>
  <c r="J216" i="15" s="1"/>
  <c r="J43" i="15"/>
  <c r="F217" i="15" s="1"/>
  <c r="L217" i="15"/>
  <c r="U217" i="15"/>
  <c r="L30" i="15"/>
  <c r="J217" i="15" s="1"/>
  <c r="J44" i="15"/>
  <c r="F218" i="15" s="1"/>
  <c r="L218" i="15"/>
  <c r="U218" i="15"/>
  <c r="L31" i="15"/>
  <c r="J218" i="15" s="1"/>
  <c r="J45" i="15"/>
  <c r="F219" i="15" s="1"/>
  <c r="U219" i="15"/>
  <c r="L32" i="15"/>
  <c r="J219" i="15" s="1"/>
  <c r="J46" i="15"/>
  <c r="F220" i="15" s="1"/>
  <c r="U220" i="15"/>
  <c r="L33" i="15"/>
  <c r="J220" i="15" s="1"/>
  <c r="J47" i="15"/>
  <c r="F221" i="15" s="1"/>
  <c r="R221" i="15"/>
  <c r="U221" i="15"/>
  <c r="L34" i="15"/>
  <c r="J221" i="15" s="1"/>
  <c r="U222" i="15"/>
  <c r="F224" i="15"/>
  <c r="U224" i="15"/>
  <c r="L48" i="15"/>
  <c r="J35" i="15"/>
  <c r="N226" i="15"/>
  <c r="V229" i="15"/>
  <c r="Y229" i="15" s="1"/>
  <c r="AA229" i="15" s="1"/>
  <c r="N198" i="15" s="1"/>
  <c r="AN142" i="1" s="1"/>
  <c r="V230" i="15"/>
  <c r="Y230" i="15" s="1"/>
  <c r="Z230" i="15" s="1"/>
  <c r="L199" i="15" s="1"/>
  <c r="AK143" i="1" s="1"/>
  <c r="Z231" i="15"/>
  <c r="L202" i="15" s="1"/>
  <c r="AK166" i="1" s="1"/>
  <c r="AM146" i="1"/>
  <c r="AB146" i="1"/>
  <c r="AD146" i="1" s="1"/>
  <c r="AC146" i="1"/>
  <c r="AE146" i="1" s="1"/>
  <c r="N119" i="13"/>
  <c r="AC362" i="1"/>
  <c r="AE362" i="1" s="1"/>
  <c r="AB362" i="1"/>
  <c r="AD362" i="1" s="1"/>
  <c r="AC358" i="1"/>
  <c r="AE358" i="1" s="1"/>
  <c r="AW358" i="1" s="1"/>
  <c r="AB358" i="1"/>
  <c r="AD358" i="1" s="1"/>
  <c r="AC361" i="1"/>
  <c r="AE361" i="1" s="1"/>
  <c r="AB361" i="1"/>
  <c r="AD361" i="1" s="1"/>
  <c r="AV361" i="1" s="1"/>
  <c r="L58" i="12"/>
  <c r="AK331" i="1" s="1"/>
  <c r="AV331" i="1" s="1"/>
  <c r="AC18" i="1"/>
  <c r="AE18" i="1" s="1"/>
  <c r="AW18" i="1" s="1"/>
  <c r="AW44" i="1"/>
  <c r="AB41" i="1"/>
  <c r="AD41" i="1" s="1"/>
  <c r="AB42" i="1"/>
  <c r="AD42" i="1" s="1"/>
  <c r="AB43" i="1"/>
  <c r="AD43" i="1" s="1"/>
  <c r="AC41" i="1"/>
  <c r="AE41" i="1" s="1"/>
  <c r="AC42" i="1"/>
  <c r="AE42" i="1" s="1"/>
  <c r="AC43" i="1"/>
  <c r="AE43" i="1" s="1"/>
  <c r="AW43" i="1" s="1"/>
  <c r="AB315" i="1"/>
  <c r="AD315" i="1" s="1"/>
  <c r="Z363" i="4"/>
  <c r="AB363" i="4" s="1"/>
  <c r="M283" i="4" s="1"/>
  <c r="AK318" i="1" s="1"/>
  <c r="AV318" i="1" s="1"/>
  <c r="X342" i="4"/>
  <c r="AB342" i="4" s="1"/>
  <c r="M260" i="4" s="1"/>
  <c r="AK317" i="1" s="1"/>
  <c r="AB317" i="1"/>
  <c r="AD317" i="1" s="1"/>
  <c r="AB316" i="1"/>
  <c r="AD316" i="1" s="1"/>
  <c r="AC315" i="1"/>
  <c r="AE315" i="1" s="1"/>
  <c r="AC316" i="1"/>
  <c r="AE316" i="1" s="1"/>
  <c r="AC317" i="1"/>
  <c r="AE317" i="1" s="1"/>
  <c r="Z362" i="4"/>
  <c r="AB362" i="4" s="1"/>
  <c r="M282" i="4"/>
  <c r="AK309" i="1" s="1"/>
  <c r="AV309" i="1" s="1"/>
  <c r="AB306" i="1"/>
  <c r="AD306" i="1" s="1"/>
  <c r="X341" i="4"/>
  <c r="AB341" i="4" s="1"/>
  <c r="M259" i="4" s="1"/>
  <c r="AK308" i="1" s="1"/>
  <c r="AB308" i="1"/>
  <c r="AD308" i="1" s="1"/>
  <c r="AB307" i="1"/>
  <c r="AD307" i="1" s="1"/>
  <c r="AC306" i="1"/>
  <c r="AE306" i="1" s="1"/>
  <c r="AC307" i="1"/>
  <c r="AE307" i="1" s="1"/>
  <c r="AC308" i="1"/>
  <c r="AE308" i="1" s="1"/>
  <c r="Z361" i="4"/>
  <c r="AB361" i="4" s="1"/>
  <c r="M281" i="4" s="1"/>
  <c r="AK300" i="1" s="1"/>
  <c r="AV300" i="1" s="1"/>
  <c r="X340" i="4"/>
  <c r="AB340" i="4" s="1"/>
  <c r="M258" i="4" s="1"/>
  <c r="AK299" i="1" s="1"/>
  <c r="AB299" i="1"/>
  <c r="AD299" i="1" s="1"/>
  <c r="J60" i="5"/>
  <c r="AK297" i="1" s="1"/>
  <c r="AB297" i="1"/>
  <c r="AD297" i="1" s="1"/>
  <c r="AB298" i="1"/>
  <c r="AD298" i="1" s="1"/>
  <c r="AC297" i="1"/>
  <c r="AE297" i="1" s="1"/>
  <c r="AC298" i="1"/>
  <c r="AE298" i="1" s="1"/>
  <c r="AC299" i="1"/>
  <c r="AE299" i="1" s="1"/>
  <c r="Z360" i="4"/>
  <c r="AB360" i="4" s="1"/>
  <c r="M280" i="4" s="1"/>
  <c r="AK291" i="1" s="1"/>
  <c r="AV291" i="1" s="1"/>
  <c r="X339" i="4"/>
  <c r="AB339" i="4" s="1"/>
  <c r="M257" i="4" s="1"/>
  <c r="AK290" i="1" s="1"/>
  <c r="AB290" i="1"/>
  <c r="AD290" i="1" s="1"/>
  <c r="J59" i="5"/>
  <c r="AK288" i="1" s="1"/>
  <c r="AB288" i="1"/>
  <c r="AD288" i="1" s="1"/>
  <c r="AB289" i="1"/>
  <c r="AD289" i="1" s="1"/>
  <c r="AC288" i="1"/>
  <c r="AE288" i="1" s="1"/>
  <c r="AC289" i="1"/>
  <c r="AE289" i="1" s="1"/>
  <c r="AC290" i="1"/>
  <c r="AE290" i="1" s="1"/>
  <c r="Z359" i="4"/>
  <c r="AB359" i="4" s="1"/>
  <c r="M279" i="4" s="1"/>
  <c r="AK282" i="1" s="1"/>
  <c r="AV282" i="1" s="1"/>
  <c r="X338" i="4"/>
  <c r="AB338" i="4" s="1"/>
  <c r="M256" i="4" s="1"/>
  <c r="AK281" i="1" s="1"/>
  <c r="AB281" i="1"/>
  <c r="AD281" i="1" s="1"/>
  <c r="AB279" i="1"/>
  <c r="AD279" i="1" s="1"/>
  <c r="AB280" i="1"/>
  <c r="AD280" i="1" s="1"/>
  <c r="AC279" i="1"/>
  <c r="AE279" i="1" s="1"/>
  <c r="AC280" i="1"/>
  <c r="AE280" i="1" s="1"/>
  <c r="AC281" i="1"/>
  <c r="AE281" i="1" s="1"/>
  <c r="Z358" i="4"/>
  <c r="AB358" i="4" s="1"/>
  <c r="M278" i="4" s="1"/>
  <c r="AK273" i="1" s="1"/>
  <c r="AV273" i="1" s="1"/>
  <c r="X337" i="4"/>
  <c r="AB337" i="4" s="1"/>
  <c r="M255" i="4" s="1"/>
  <c r="AK272" i="1" s="1"/>
  <c r="AB272" i="1"/>
  <c r="AD272" i="1" s="1"/>
  <c r="J57" i="5"/>
  <c r="AK270" i="1" s="1"/>
  <c r="AB270" i="1"/>
  <c r="AD270" i="1" s="1"/>
  <c r="AB271" i="1"/>
  <c r="AD271" i="1" s="1"/>
  <c r="AC270" i="1"/>
  <c r="AE270" i="1" s="1"/>
  <c r="AC271" i="1"/>
  <c r="AE271" i="1" s="1"/>
  <c r="AC272" i="1"/>
  <c r="AE272" i="1" s="1"/>
  <c r="Z357" i="4"/>
  <c r="AB357" i="4" s="1"/>
  <c r="M277" i="4" s="1"/>
  <c r="AK262" i="1" s="1"/>
  <c r="AV262" i="1" s="1"/>
  <c r="X336" i="4"/>
  <c r="AB336" i="4" s="1"/>
  <c r="M254" i="4" s="1"/>
  <c r="AK261" i="1" s="1"/>
  <c r="AB261" i="1"/>
  <c r="AD261" i="1" s="1"/>
  <c r="J56" i="5"/>
  <c r="AK259" i="1" s="1"/>
  <c r="AB259" i="1"/>
  <c r="AD259" i="1" s="1"/>
  <c r="AB260" i="1"/>
  <c r="AD260" i="1" s="1"/>
  <c r="AC259" i="1"/>
  <c r="AE259" i="1" s="1"/>
  <c r="AC260" i="1"/>
  <c r="AE260" i="1" s="1"/>
  <c r="AC261" i="1"/>
  <c r="AE261" i="1" s="1"/>
  <c r="AW253" i="1"/>
  <c r="Z356" i="4"/>
  <c r="AB356" i="4" s="1"/>
  <c r="M276" i="4" s="1"/>
  <c r="AK253" i="1" s="1"/>
  <c r="AV253" i="1" s="1"/>
  <c r="L98" i="4"/>
  <c r="M98" i="4"/>
  <c r="O98" i="4"/>
  <c r="P98" i="4"/>
  <c r="Q98" i="4"/>
  <c r="AB250" i="1"/>
  <c r="AD250" i="1" s="1"/>
  <c r="AB251" i="1"/>
  <c r="AD251" i="1" s="1"/>
  <c r="AB252" i="1"/>
  <c r="AD252" i="1" s="1"/>
  <c r="J55" i="5"/>
  <c r="AK249" i="1" s="1"/>
  <c r="AB249" i="1"/>
  <c r="AD249" i="1" s="1"/>
  <c r="AC249" i="1"/>
  <c r="AE249" i="1" s="1"/>
  <c r="AC250" i="1"/>
  <c r="AE250" i="1" s="1"/>
  <c r="AC251" i="1"/>
  <c r="AE251" i="1" s="1"/>
  <c r="AC252" i="1"/>
  <c r="AE252" i="1" s="1"/>
  <c r="AA355" i="4"/>
  <c r="AC355" i="4" s="1"/>
  <c r="O275" i="4" s="1"/>
  <c r="AN362" i="1" s="1"/>
  <c r="Z355" i="4"/>
  <c r="AB355" i="4" s="1"/>
  <c r="M275" i="4" s="1"/>
  <c r="AK358" i="1" s="1"/>
  <c r="AA354" i="4"/>
  <c r="AC354" i="4" s="1"/>
  <c r="O274" i="4" s="1"/>
  <c r="AN201" i="1" s="1"/>
  <c r="AA353" i="4"/>
  <c r="AC353" i="4" s="1"/>
  <c r="O273" i="4" s="1"/>
  <c r="AA352" i="4"/>
  <c r="AC352" i="4" s="1"/>
  <c r="AA351" i="4"/>
  <c r="AC351" i="4" s="1"/>
  <c r="O269" i="4" s="1"/>
  <c r="AN64" i="1" s="1"/>
  <c r="AA350" i="4"/>
  <c r="AC350" i="4" s="1"/>
  <c r="O268" i="4" s="1"/>
  <c r="AN60" i="1" s="1"/>
  <c r="AA349" i="4"/>
  <c r="AC349" i="4" s="1"/>
  <c r="O267" i="4" s="1"/>
  <c r="AA348" i="4"/>
  <c r="AC348" i="4" s="1"/>
  <c r="O266" i="4" s="1"/>
  <c r="AN52" i="1" s="1"/>
  <c r="AA347" i="4"/>
  <c r="AC347" i="4" s="1"/>
  <c r="O265" i="4" s="1"/>
  <c r="AN48" i="1" s="1"/>
  <c r="AA346" i="4"/>
  <c r="AC346" i="4" s="1"/>
  <c r="O264" i="4" s="1"/>
  <c r="AN42" i="1" s="1"/>
  <c r="AB346" i="4"/>
  <c r="M264" i="4" s="1"/>
  <c r="AK44" i="1" s="1"/>
  <c r="AV44" i="1" s="1"/>
  <c r="Z345" i="4"/>
  <c r="AB345" i="4" s="1"/>
  <c r="M263" i="4" s="1"/>
  <c r="AK349" i="1" s="1"/>
  <c r="AC300" i="4"/>
  <c r="O214" i="4" s="1"/>
  <c r="AC301" i="4"/>
  <c r="O215" i="4" s="1"/>
  <c r="AC302" i="4"/>
  <c r="O216" i="4" s="1"/>
  <c r="AC303" i="4"/>
  <c r="O217" i="4" s="1"/>
  <c r="AC306" i="4"/>
  <c r="O220" i="4" s="1"/>
  <c r="AC307" i="4"/>
  <c r="O221" i="4" s="1"/>
  <c r="AC308" i="4"/>
  <c r="O222" i="4" s="1"/>
  <c r="AC309" i="4"/>
  <c r="O223" i="4" s="1"/>
  <c r="AC310" i="4"/>
  <c r="O224" i="4" s="1"/>
  <c r="AC311" i="4"/>
  <c r="O225" i="4" s="1"/>
  <c r="AC312" i="4"/>
  <c r="O226" i="4" s="1"/>
  <c r="M313" i="4"/>
  <c r="P313" i="4"/>
  <c r="R313" i="4"/>
  <c r="T313" i="4"/>
  <c r="M314" i="4"/>
  <c r="P314" i="4"/>
  <c r="R314" i="4"/>
  <c r="T314" i="4"/>
  <c r="M315" i="4"/>
  <c r="P315" i="4"/>
  <c r="R315" i="4"/>
  <c r="T315" i="4"/>
  <c r="P316" i="4"/>
  <c r="R316" i="4"/>
  <c r="T316" i="4"/>
  <c r="P317" i="4"/>
  <c r="R317" i="4"/>
  <c r="T317" i="4"/>
  <c r="T318" i="4"/>
  <c r="AC318" i="4" s="1"/>
  <c r="O232" i="4" s="1"/>
  <c r="AN63" i="1" s="1"/>
  <c r="M319" i="4"/>
  <c r="P319" i="4"/>
  <c r="R319" i="4"/>
  <c r="T319" i="4"/>
  <c r="M320" i="4"/>
  <c r="P320" i="4"/>
  <c r="R320" i="4"/>
  <c r="T320" i="4"/>
  <c r="L59" i="4"/>
  <c r="L65" i="4" s="1"/>
  <c r="M59" i="4"/>
  <c r="M65" i="4" s="1"/>
  <c r="O59" i="4"/>
  <c r="O65" i="4" s="1"/>
  <c r="P59" i="4"/>
  <c r="P65" i="4" s="1"/>
  <c r="Q59" i="4"/>
  <c r="Q65" i="4" s="1"/>
  <c r="L41" i="4"/>
  <c r="L45" i="4" s="1"/>
  <c r="M41" i="4"/>
  <c r="M45" i="4" s="1"/>
  <c r="O41" i="4"/>
  <c r="O45" i="4" s="1"/>
  <c r="AC324" i="4"/>
  <c r="O240" i="4" s="1"/>
  <c r="AC325" i="4"/>
  <c r="O241" i="4" s="1"/>
  <c r="AC326" i="4"/>
  <c r="O242" i="4" s="1"/>
  <c r="AC327" i="4"/>
  <c r="O243" i="4" s="1"/>
  <c r="AC328" i="4"/>
  <c r="O244" i="4" s="1"/>
  <c r="AC329" i="4"/>
  <c r="O245" i="4" s="1"/>
  <c r="AC330" i="4"/>
  <c r="O248" i="4" s="1"/>
  <c r="AC331" i="4"/>
  <c r="O249" i="4" s="1"/>
  <c r="W332" i="4"/>
  <c r="AC332" i="4" s="1"/>
  <c r="O250" i="4" s="1"/>
  <c r="AN200" i="1" s="1"/>
  <c r="W333" i="4"/>
  <c r="AC333" i="4" s="1"/>
  <c r="O251" i="4" s="1"/>
  <c r="AN361" i="1" s="1"/>
  <c r="W334" i="4"/>
  <c r="AC334" i="4" s="1"/>
  <c r="O252" i="4" s="1"/>
  <c r="AN340" i="1" s="1"/>
  <c r="AC336" i="4"/>
  <c r="O254" i="4" s="1"/>
  <c r="AC337" i="4"/>
  <c r="O255" i="4" s="1"/>
  <c r="AC338" i="4"/>
  <c r="O256" i="4" s="1"/>
  <c r="AC339" i="4"/>
  <c r="O257" i="4" s="1"/>
  <c r="AC340" i="4"/>
  <c r="O258" i="4" s="1"/>
  <c r="AC341" i="4"/>
  <c r="O259" i="4" s="1"/>
  <c r="AC342" i="4"/>
  <c r="O260" i="4" s="1"/>
  <c r="Y343" i="4"/>
  <c r="AC343" i="4" s="1"/>
  <c r="O261" i="4" s="1"/>
  <c r="AN325" i="1" s="1"/>
  <c r="AW326" i="1" s="1"/>
  <c r="AC356" i="4"/>
  <c r="O276" i="4" s="1"/>
  <c r="AC357" i="4"/>
  <c r="O277" i="4" s="1"/>
  <c r="AC358" i="4"/>
  <c r="O278" i="4" s="1"/>
  <c r="AC359" i="4"/>
  <c r="O279" i="4" s="1"/>
  <c r="AC360" i="4"/>
  <c r="O280" i="4" s="1"/>
  <c r="AC361" i="4"/>
  <c r="O281" i="4" s="1"/>
  <c r="AC362" i="4"/>
  <c r="O282" i="4" s="1"/>
  <c r="AC363" i="4"/>
  <c r="O283" i="4" s="1"/>
  <c r="L300" i="4"/>
  <c r="O300" i="4"/>
  <c r="Q300" i="4"/>
  <c r="S300" i="4"/>
  <c r="L301" i="4"/>
  <c r="O301" i="4"/>
  <c r="Q301" i="4"/>
  <c r="S301" i="4"/>
  <c r="O302" i="4"/>
  <c r="Q302" i="4"/>
  <c r="S302" i="4"/>
  <c r="O303" i="4"/>
  <c r="Q303" i="4"/>
  <c r="S303" i="4"/>
  <c r="L306" i="4"/>
  <c r="Q306" i="4"/>
  <c r="S306" i="4"/>
  <c r="L307" i="4"/>
  <c r="O307" i="4"/>
  <c r="Q307" i="4"/>
  <c r="S307" i="4"/>
  <c r="S308" i="4"/>
  <c r="AB308" i="4" s="1"/>
  <c r="M222" i="4" s="1"/>
  <c r="AK66" i="1" s="1"/>
  <c r="L309" i="4"/>
  <c r="O309" i="4"/>
  <c r="O310" i="4"/>
  <c r="AB310" i="4" s="1"/>
  <c r="M224" i="4" s="1"/>
  <c r="AK199" i="1" s="1"/>
  <c r="S312" i="4"/>
  <c r="AB312" i="4" s="1"/>
  <c r="M226" i="4" s="1"/>
  <c r="AK341" i="1" s="1"/>
  <c r="AB313" i="4"/>
  <c r="M227" i="4" s="1"/>
  <c r="AK42" i="1" s="1"/>
  <c r="Q314" i="4"/>
  <c r="AB314" i="4" s="1"/>
  <c r="M228" i="4" s="1"/>
  <c r="AK48" i="1" s="1"/>
  <c r="Q315" i="4"/>
  <c r="AB315" i="4" s="1"/>
  <c r="M229" i="4" s="1"/>
  <c r="AK52" i="1" s="1"/>
  <c r="Q316" i="4"/>
  <c r="AB316" i="4" s="1"/>
  <c r="M230" i="4" s="1"/>
  <c r="Q317" i="4"/>
  <c r="AB317" i="4" s="1"/>
  <c r="M231" i="4" s="1"/>
  <c r="AK60" i="1" s="1"/>
  <c r="AB318" i="4"/>
  <c r="M232" i="4" s="1"/>
  <c r="AK64" i="1" s="1"/>
  <c r="Q319" i="4"/>
  <c r="AB319" i="4" s="1"/>
  <c r="M235" i="4" s="1"/>
  <c r="AK68" i="1" s="1"/>
  <c r="Q320" i="4"/>
  <c r="AB320" i="4" s="1"/>
  <c r="M236" i="4" s="1"/>
  <c r="V324" i="4"/>
  <c r="AB324" i="4" s="1"/>
  <c r="M240" i="4" s="1"/>
  <c r="AK43" i="1" s="1"/>
  <c r="V325" i="4"/>
  <c r="AB325" i="4" s="1"/>
  <c r="M241" i="4" s="1"/>
  <c r="AK49" i="1" s="1"/>
  <c r="V326" i="4"/>
  <c r="AB326" i="4" s="1"/>
  <c r="M242" i="4" s="1"/>
  <c r="AK53" i="1" s="1"/>
  <c r="V327" i="4"/>
  <c r="AB327" i="4" s="1"/>
  <c r="M243" i="4" s="1"/>
  <c r="V328" i="4"/>
  <c r="AB328" i="4" s="1"/>
  <c r="M244" i="4" s="1"/>
  <c r="AK61" i="1" s="1"/>
  <c r="V329" i="4"/>
  <c r="AB329" i="4" s="1"/>
  <c r="M245" i="4" s="1"/>
  <c r="AK65" i="1" s="1"/>
  <c r="V330" i="4"/>
  <c r="AB330" i="4" s="1"/>
  <c r="M248" i="4" s="1"/>
  <c r="AK69" i="1" s="1"/>
  <c r="V331" i="4"/>
  <c r="AB331" i="4" s="1"/>
  <c r="M249" i="4" s="1"/>
  <c r="AB332" i="4"/>
  <c r="M250" i="4" s="1"/>
  <c r="AB333" i="4"/>
  <c r="M251" i="4" s="1"/>
  <c r="AB334" i="4"/>
  <c r="M252" i="4" s="1"/>
  <c r="AB343" i="4"/>
  <c r="M261" i="4" s="1"/>
  <c r="AB347" i="4"/>
  <c r="M265" i="4" s="1"/>
  <c r="AB348" i="4"/>
  <c r="M266" i="4" s="1"/>
  <c r="AB349" i="4"/>
  <c r="M267" i="4" s="1"/>
  <c r="AB350" i="4"/>
  <c r="M268" i="4" s="1"/>
  <c r="AB351" i="4"/>
  <c r="M269" i="4" s="1"/>
  <c r="AB352" i="4"/>
  <c r="M272" i="4" s="1"/>
  <c r="AB353" i="4"/>
  <c r="M273" i="4" s="1"/>
  <c r="AB354" i="4"/>
  <c r="M274" i="4" s="1"/>
  <c r="L154" i="4"/>
  <c r="M154" i="4"/>
  <c r="O154" i="4"/>
  <c r="P154" i="4"/>
  <c r="Q154" i="4"/>
  <c r="M161" i="4"/>
  <c r="M164" i="4"/>
  <c r="Q164" i="4" s="1"/>
  <c r="Q167" i="4"/>
  <c r="AC335" i="4"/>
  <c r="AC344" i="4"/>
  <c r="AC345" i="4"/>
  <c r="AB335" i="4"/>
  <c r="AB344" i="4"/>
  <c r="H179" i="4"/>
  <c r="V177" i="4"/>
  <c r="M130" i="4"/>
  <c r="O128" i="4" s="1"/>
  <c r="AB191" i="1"/>
  <c r="AD191" i="1" s="1"/>
  <c r="J53" i="6"/>
  <c r="AK191" i="1" s="1"/>
  <c r="AC191" i="1"/>
  <c r="AE191" i="1" s="1"/>
  <c r="L59" i="6"/>
  <c r="AN191" i="1" s="1"/>
  <c r="E170" i="18"/>
  <c r="E163" i="23"/>
  <c r="E163" i="24"/>
  <c r="AB47" i="1"/>
  <c r="AD47" i="1" s="1"/>
  <c r="L55" i="3"/>
  <c r="AK47" i="1" s="1"/>
  <c r="AC47" i="1"/>
  <c r="AE47" i="1" s="1"/>
  <c r="AB48" i="1"/>
  <c r="AD48" i="1" s="1"/>
  <c r="AB49" i="1"/>
  <c r="AD49" i="1" s="1"/>
  <c r="AC48" i="1"/>
  <c r="AE48" i="1" s="1"/>
  <c r="AC49" i="1"/>
  <c r="AE49" i="1" s="1"/>
  <c r="AW49" i="1" s="1"/>
  <c r="E171" i="18"/>
  <c r="E164" i="23"/>
  <c r="E164" i="24"/>
  <c r="AB55" i="1"/>
  <c r="AD55" i="1" s="1"/>
  <c r="L57" i="3"/>
  <c r="AB56" i="1"/>
  <c r="AD56" i="1" s="1"/>
  <c r="AB57" i="1"/>
  <c r="AD57" i="1" s="1"/>
  <c r="AC55" i="1"/>
  <c r="AE55" i="1" s="1"/>
  <c r="AC56" i="1"/>
  <c r="AE56" i="1" s="1"/>
  <c r="AC57" i="1"/>
  <c r="AE57" i="1" s="1"/>
  <c r="AW57" i="1" s="1"/>
  <c r="E172" i="18"/>
  <c r="E165" i="23"/>
  <c r="E165" i="24"/>
  <c r="AB59" i="1"/>
  <c r="AD59" i="1" s="1"/>
  <c r="L58" i="3"/>
  <c r="AK59" i="1" s="1"/>
  <c r="AB60" i="1"/>
  <c r="AD60" i="1" s="1"/>
  <c r="AB61" i="1"/>
  <c r="AD61" i="1" s="1"/>
  <c r="AC59" i="1"/>
  <c r="AE59" i="1" s="1"/>
  <c r="AC60" i="1"/>
  <c r="AE60" i="1" s="1"/>
  <c r="AC61" i="1"/>
  <c r="AE61" i="1" s="1"/>
  <c r="AW61" i="1" s="1"/>
  <c r="L53" i="3"/>
  <c r="E169" i="18"/>
  <c r="E162" i="23"/>
  <c r="E162" i="24"/>
  <c r="AB46" i="1"/>
  <c r="AD46" i="1" s="1"/>
  <c r="AV46" i="1" s="1"/>
  <c r="AC46" i="1"/>
  <c r="AE46" i="1" s="1"/>
  <c r="AW46" i="1" s="1"/>
  <c r="AB51" i="1"/>
  <c r="AD51" i="1" s="1"/>
  <c r="L56" i="3"/>
  <c r="AK51" i="1" s="1"/>
  <c r="AB52" i="1"/>
  <c r="AD52" i="1" s="1"/>
  <c r="AB53" i="1"/>
  <c r="AD53" i="1" s="1"/>
  <c r="AC51" i="1"/>
  <c r="AE51" i="1" s="1"/>
  <c r="AC52" i="1"/>
  <c r="AE52" i="1" s="1"/>
  <c r="AC53" i="1"/>
  <c r="AE53" i="1" s="1"/>
  <c r="AW53" i="1" s="1"/>
  <c r="AB63" i="1"/>
  <c r="AD63" i="1" s="1"/>
  <c r="L59" i="3"/>
  <c r="AK63" i="1" s="1"/>
  <c r="AB64" i="1"/>
  <c r="AD64" i="1" s="1"/>
  <c r="AB65" i="1"/>
  <c r="AD65" i="1" s="1"/>
  <c r="AC63" i="1"/>
  <c r="AE63" i="1" s="1"/>
  <c r="AC64" i="1"/>
  <c r="AE64" i="1" s="1"/>
  <c r="AC65" i="1"/>
  <c r="AE65" i="1" s="1"/>
  <c r="AW65" i="1" s="1"/>
  <c r="AB67" i="1"/>
  <c r="AD67" i="1" s="1"/>
  <c r="L62" i="3"/>
  <c r="AK73" i="1" s="1"/>
  <c r="AB68" i="1"/>
  <c r="AD68" i="1" s="1"/>
  <c r="AB69" i="1"/>
  <c r="AD69" i="1" s="1"/>
  <c r="AC67" i="1"/>
  <c r="AE67" i="1" s="1"/>
  <c r="AC68" i="1"/>
  <c r="AE68" i="1" s="1"/>
  <c r="AC69" i="1"/>
  <c r="AE69" i="1" s="1"/>
  <c r="AW69" i="1" s="1"/>
  <c r="AB77" i="1"/>
  <c r="AD77" i="1" s="1"/>
  <c r="L63" i="3"/>
  <c r="AB78" i="1"/>
  <c r="AD78" i="1" s="1"/>
  <c r="AB79" i="1"/>
  <c r="AD79" i="1" s="1"/>
  <c r="AC77" i="1"/>
  <c r="AE77" i="1" s="1"/>
  <c r="AC78" i="1"/>
  <c r="AE78" i="1" s="1"/>
  <c r="AC79" i="1"/>
  <c r="AE79" i="1" s="1"/>
  <c r="AW79" i="1" s="1"/>
  <c r="AB45" i="1"/>
  <c r="AD45" i="1" s="1"/>
  <c r="L54" i="3"/>
  <c r="AK45" i="1" s="1"/>
  <c r="AC45" i="1"/>
  <c r="AE45" i="1" s="1"/>
  <c r="AW45" i="1" s="1"/>
  <c r="AC50" i="1"/>
  <c r="AE50" i="1" s="1"/>
  <c r="G181" i="18"/>
  <c r="G174" i="23"/>
  <c r="G174" i="24"/>
  <c r="AB50" i="1"/>
  <c r="AD50" i="1" s="1"/>
  <c r="AC58" i="1"/>
  <c r="AE58" i="1" s="1"/>
  <c r="L66" i="5"/>
  <c r="G182" i="18"/>
  <c r="G175" i="23"/>
  <c r="G175" i="24"/>
  <c r="AB58" i="1"/>
  <c r="AD58" i="1" s="1"/>
  <c r="L67" i="5"/>
  <c r="AN62" i="1" s="1"/>
  <c r="AC62" i="1"/>
  <c r="AE62" i="1" s="1"/>
  <c r="G183" i="18"/>
  <c r="G176" i="23"/>
  <c r="G176" i="24"/>
  <c r="AB62" i="1"/>
  <c r="AD62" i="1" s="1"/>
  <c r="N64" i="3"/>
  <c r="AD349" i="1"/>
  <c r="AE349" i="1"/>
  <c r="AW349" i="1" s="1"/>
  <c r="J244" i="19"/>
  <c r="AP259" i="1" s="1"/>
  <c r="J272" i="19"/>
  <c r="AP261" i="1" s="1"/>
  <c r="N65" i="3"/>
  <c r="AN259" i="1" s="1"/>
  <c r="D126" i="18"/>
  <c r="E52" i="18"/>
  <c r="E60" i="18"/>
  <c r="D119" i="23"/>
  <c r="D120" i="23" s="1"/>
  <c r="E48" i="23"/>
  <c r="E56" i="23"/>
  <c r="G44" i="23" s="1"/>
  <c r="D119" i="24"/>
  <c r="D120" i="24" s="1"/>
  <c r="E48" i="24"/>
  <c r="E56" i="24"/>
  <c r="G39" i="24" s="1"/>
  <c r="I133" i="14"/>
  <c r="L133" i="14"/>
  <c r="O133" i="14"/>
  <c r="L272" i="19"/>
  <c r="AS261" i="1" s="1"/>
  <c r="AB269" i="1"/>
  <c r="AD269" i="1" s="1"/>
  <c r="AC269" i="1"/>
  <c r="AE269" i="1" s="1"/>
  <c r="L96" i="2"/>
  <c r="AH192" i="1" s="1"/>
  <c r="AE254" i="11"/>
  <c r="K207" i="11" s="1"/>
  <c r="AK192" i="1" s="1"/>
  <c r="AB192" i="1"/>
  <c r="AD192" i="1" s="1"/>
  <c r="AF254" i="11"/>
  <c r="M207" i="11" s="1"/>
  <c r="AN192" i="1" s="1"/>
  <c r="AC192" i="1"/>
  <c r="AE192" i="1" s="1"/>
  <c r="L97" i="2"/>
  <c r="AH193" i="1" s="1"/>
  <c r="I255" i="11"/>
  <c r="M255" i="11"/>
  <c r="S255" i="11"/>
  <c r="U255" i="11"/>
  <c r="AB193" i="1"/>
  <c r="AD193" i="1" s="1"/>
  <c r="K255" i="11"/>
  <c r="O255" i="11"/>
  <c r="T255" i="11"/>
  <c r="V255" i="11"/>
  <c r="AC193" i="1"/>
  <c r="AE193" i="1" s="1"/>
  <c r="L98" i="2"/>
  <c r="AH194" i="1" s="1"/>
  <c r="AE256" i="11"/>
  <c r="K209" i="11" s="1"/>
  <c r="AK194" i="1" s="1"/>
  <c r="AB194" i="1"/>
  <c r="AD194" i="1" s="1"/>
  <c r="AF256" i="11"/>
  <c r="M209" i="11" s="1"/>
  <c r="AN194" i="1" s="1"/>
  <c r="AC194" i="1"/>
  <c r="AE194" i="1" s="1"/>
  <c r="L99" i="2"/>
  <c r="AH195" i="1" s="1"/>
  <c r="AE257" i="11"/>
  <c r="K210" i="11" s="1"/>
  <c r="AK195" i="1" s="1"/>
  <c r="AB195" i="1"/>
  <c r="AD195" i="1" s="1"/>
  <c r="AF257" i="11"/>
  <c r="M210" i="11" s="1"/>
  <c r="AN195" i="1" s="1"/>
  <c r="AC195" i="1"/>
  <c r="AE195" i="1" s="1"/>
  <c r="L100" i="2"/>
  <c r="AH196" i="1" s="1"/>
  <c r="AE258" i="11"/>
  <c r="K211" i="11" s="1"/>
  <c r="AK196" i="1" s="1"/>
  <c r="AB196" i="1"/>
  <c r="AD196" i="1" s="1"/>
  <c r="AF258" i="11"/>
  <c r="M211" i="11" s="1"/>
  <c r="AN196" i="1" s="1"/>
  <c r="AC196" i="1"/>
  <c r="AE196" i="1" s="1"/>
  <c r="L101" i="2"/>
  <c r="AH197" i="1" s="1"/>
  <c r="AC260" i="11"/>
  <c r="AE260" i="11" s="1"/>
  <c r="K213" i="11" s="1"/>
  <c r="AK197" i="1" s="1"/>
  <c r="L143" i="19"/>
  <c r="N143" i="19"/>
  <c r="AB197" i="1"/>
  <c r="AD197" i="1" s="1"/>
  <c r="AD260" i="11"/>
  <c r="AF260" i="11" s="1"/>
  <c r="M213" i="11" s="1"/>
  <c r="AN197" i="1" s="1"/>
  <c r="G200" i="18"/>
  <c r="G193" i="23"/>
  <c r="G193" i="24"/>
  <c r="AC197" i="1"/>
  <c r="AE197" i="1" s="1"/>
  <c r="L102" i="2"/>
  <c r="AH198" i="1" s="1"/>
  <c r="AA259" i="11"/>
  <c r="AE259" i="11" s="1"/>
  <c r="K212" i="11" s="1"/>
  <c r="AK198" i="1" s="1"/>
  <c r="AB198" i="1"/>
  <c r="AD198" i="1" s="1"/>
  <c r="AB199" i="1"/>
  <c r="AD199" i="1" s="1"/>
  <c r="AB200" i="1"/>
  <c r="AD200" i="1" s="1"/>
  <c r="F128" i="14"/>
  <c r="R128" i="14" s="1"/>
  <c r="L106" i="14" s="1"/>
  <c r="AK201" i="1" s="1"/>
  <c r="AB201" i="1"/>
  <c r="AD201" i="1" s="1"/>
  <c r="AB259" i="11"/>
  <c r="AF259" i="11" s="1"/>
  <c r="M212" i="11" s="1"/>
  <c r="AN198" i="1" s="1"/>
  <c r="L283" i="19"/>
  <c r="AS198" i="1" s="1"/>
  <c r="AC198" i="1"/>
  <c r="AE198" i="1" s="1"/>
  <c r="AC199" i="1"/>
  <c r="AE199" i="1" s="1"/>
  <c r="AC200" i="1"/>
  <c r="AE200" i="1" s="1"/>
  <c r="AC201" i="1"/>
  <c r="AE201" i="1" s="1"/>
  <c r="L103" i="2"/>
  <c r="AH203" i="1" s="1"/>
  <c r="AB203" i="1"/>
  <c r="AD203" i="1" s="1"/>
  <c r="AC203" i="1"/>
  <c r="AE203" i="1" s="1"/>
  <c r="AW203" i="1" s="1"/>
  <c r="L104" i="2"/>
  <c r="AH204" i="1" s="1"/>
  <c r="AB204" i="1"/>
  <c r="AD204" i="1" s="1"/>
  <c r="AC204" i="1"/>
  <c r="AE204" i="1" s="1"/>
  <c r="AW204" i="1" s="1"/>
  <c r="AB205" i="1"/>
  <c r="AD205" i="1" s="1"/>
  <c r="AV205" i="1" s="1"/>
  <c r="AC205" i="1"/>
  <c r="AE205" i="1" s="1"/>
  <c r="AW205" i="1" s="1"/>
  <c r="AB206" i="1"/>
  <c r="AD206" i="1" s="1"/>
  <c r="AV206" i="1" s="1"/>
  <c r="AC206" i="1"/>
  <c r="AE206" i="1" s="1"/>
  <c r="AW206" i="1" s="1"/>
  <c r="Y263" i="11"/>
  <c r="AA263" i="11"/>
  <c r="J219" i="19"/>
  <c r="AP207" i="1" s="1"/>
  <c r="AB207" i="1"/>
  <c r="AD207" i="1" s="1"/>
  <c r="N107" i="2"/>
  <c r="AI207" i="1" s="1"/>
  <c r="Z263" i="11"/>
  <c r="AB263" i="11"/>
  <c r="G201" i="18"/>
  <c r="G194" i="23"/>
  <c r="G194" i="24"/>
  <c r="AC207" i="1"/>
  <c r="AE207" i="1" s="1"/>
  <c r="AA272" i="11"/>
  <c r="AE272" i="11" s="1"/>
  <c r="K224" i="11" s="1"/>
  <c r="AK208" i="1" s="1"/>
  <c r="AB208" i="1"/>
  <c r="AD208" i="1" s="1"/>
  <c r="N108" i="2"/>
  <c r="AI208" i="1" s="1"/>
  <c r="AB272" i="11"/>
  <c r="AF272" i="11" s="1"/>
  <c r="M224" i="11" s="1"/>
  <c r="AN208" i="1" s="1"/>
  <c r="L253" i="19"/>
  <c r="AS208" i="1" s="1"/>
  <c r="AC208" i="1"/>
  <c r="AE208" i="1" s="1"/>
  <c r="W281" i="11"/>
  <c r="AA281" i="11"/>
  <c r="AB209" i="1"/>
  <c r="AD209" i="1" s="1"/>
  <c r="N109" i="2"/>
  <c r="AI209" i="1" s="1"/>
  <c r="X281" i="11"/>
  <c r="AB281" i="11"/>
  <c r="L261" i="19"/>
  <c r="AS209" i="1" s="1"/>
  <c r="AC209" i="1"/>
  <c r="AE209" i="1" s="1"/>
  <c r="AB210" i="1"/>
  <c r="AD210" i="1" s="1"/>
  <c r="AV210" i="1" s="1"/>
  <c r="AC210" i="1"/>
  <c r="AE210" i="1" s="1"/>
  <c r="AW210" i="1" s="1"/>
  <c r="AB211" i="1"/>
  <c r="AD211" i="1" s="1"/>
  <c r="AV211" i="1" s="1"/>
  <c r="AC211" i="1"/>
  <c r="AE211" i="1" s="1"/>
  <c r="AW211" i="1" s="1"/>
  <c r="AA264" i="11"/>
  <c r="AE264" i="11" s="1"/>
  <c r="K216" i="11" s="1"/>
  <c r="AK212" i="1" s="1"/>
  <c r="AB212" i="1"/>
  <c r="AD212" i="1" s="1"/>
  <c r="N110" i="2"/>
  <c r="AI212" i="1" s="1"/>
  <c r="AB264" i="11"/>
  <c r="AF264" i="11" s="1"/>
  <c r="M216" i="11" s="1"/>
  <c r="AN212" i="1" s="1"/>
  <c r="AC212" i="1"/>
  <c r="AE212" i="1" s="1"/>
  <c r="Q273" i="11"/>
  <c r="AA273" i="11"/>
  <c r="AB213" i="1"/>
  <c r="AD213" i="1" s="1"/>
  <c r="N111" i="2"/>
  <c r="AI213" i="1" s="1"/>
  <c r="R273" i="11"/>
  <c r="AB273" i="11"/>
  <c r="L254" i="19"/>
  <c r="AS213" i="1" s="1"/>
  <c r="AC213" i="1"/>
  <c r="AE213" i="1" s="1"/>
  <c r="AA282" i="11"/>
  <c r="AE282" i="11" s="1"/>
  <c r="K234" i="11" s="1"/>
  <c r="AK215" i="1" s="1"/>
  <c r="AB215" i="1"/>
  <c r="AD215" i="1" s="1"/>
  <c r="N112" i="2"/>
  <c r="AI215" i="1" s="1"/>
  <c r="AB282" i="11"/>
  <c r="AF282" i="11" s="1"/>
  <c r="M234" i="11" s="1"/>
  <c r="AN215" i="1" s="1"/>
  <c r="L262" i="19"/>
  <c r="AS215" i="1" s="1"/>
  <c r="AC215" i="1"/>
  <c r="AE215" i="1" s="1"/>
  <c r="AB216" i="1"/>
  <c r="AD216" i="1" s="1"/>
  <c r="AV216" i="1" s="1"/>
  <c r="AC216" i="1"/>
  <c r="AE216" i="1" s="1"/>
  <c r="AW216" i="1" s="1"/>
  <c r="AB217" i="1"/>
  <c r="AD217" i="1" s="1"/>
  <c r="AV217" i="1" s="1"/>
  <c r="AC217" i="1"/>
  <c r="AE217" i="1" s="1"/>
  <c r="AW217" i="1" s="1"/>
  <c r="Y265" i="11"/>
  <c r="AA265" i="11"/>
  <c r="J220" i="19"/>
  <c r="AP218" i="1" s="1"/>
  <c r="AB218" i="1"/>
  <c r="AD218" i="1" s="1"/>
  <c r="N113" i="2"/>
  <c r="AI218" i="1" s="1"/>
  <c r="Z265" i="11"/>
  <c r="AB265" i="11"/>
  <c r="AC218" i="1"/>
  <c r="AE218" i="1" s="1"/>
  <c r="AA274" i="11"/>
  <c r="AE274" i="11" s="1"/>
  <c r="K226" i="11" s="1"/>
  <c r="AK219" i="1" s="1"/>
  <c r="AB219" i="1"/>
  <c r="AD219" i="1" s="1"/>
  <c r="N114" i="2"/>
  <c r="AI219" i="1" s="1"/>
  <c r="AB274" i="11"/>
  <c r="AF274" i="11" s="1"/>
  <c r="M226" i="11" s="1"/>
  <c r="AN219" i="1" s="1"/>
  <c r="L255" i="19"/>
  <c r="AS219" i="1" s="1"/>
  <c r="AC219" i="1"/>
  <c r="AE219" i="1" s="1"/>
  <c r="W283" i="11"/>
  <c r="AA283" i="11"/>
  <c r="AB220" i="1"/>
  <c r="AD220" i="1" s="1"/>
  <c r="N115" i="2"/>
  <c r="AI220" i="1" s="1"/>
  <c r="X283" i="11"/>
  <c r="AB283" i="11"/>
  <c r="AF283" i="11" s="1"/>
  <c r="M235" i="11" s="1"/>
  <c r="AN220" i="1" s="1"/>
  <c r="L263" i="19"/>
  <c r="AS220" i="1" s="1"/>
  <c r="AC220" i="1"/>
  <c r="AE220" i="1" s="1"/>
  <c r="AB221" i="1"/>
  <c r="AD221" i="1" s="1"/>
  <c r="AV221" i="1" s="1"/>
  <c r="AC221" i="1"/>
  <c r="AE221" i="1" s="1"/>
  <c r="AW221" i="1" s="1"/>
  <c r="AB222" i="1"/>
  <c r="AD222" i="1" s="1"/>
  <c r="AV222" i="1" s="1"/>
  <c r="AC222" i="1"/>
  <c r="AE222" i="1" s="1"/>
  <c r="AW222" i="1" s="1"/>
  <c r="Y266" i="11"/>
  <c r="AA266" i="11"/>
  <c r="AB223" i="1"/>
  <c r="AD223" i="1" s="1"/>
  <c r="N116" i="2"/>
  <c r="AI223" i="1" s="1"/>
  <c r="Z266" i="11"/>
  <c r="AB266" i="11"/>
  <c r="AC223" i="1"/>
  <c r="AE223" i="1" s="1"/>
  <c r="AA275" i="11"/>
  <c r="AE275" i="11" s="1"/>
  <c r="K227" i="11" s="1"/>
  <c r="AK224" i="1" s="1"/>
  <c r="AB224" i="1"/>
  <c r="AD224" i="1" s="1"/>
  <c r="N117" i="2"/>
  <c r="AI224" i="1" s="1"/>
  <c r="AB275" i="11"/>
  <c r="AF275" i="11" s="1"/>
  <c r="M227" i="11" s="1"/>
  <c r="AN224" i="1" s="1"/>
  <c r="L256" i="19"/>
  <c r="AS224" i="1" s="1"/>
  <c r="AC224" i="1"/>
  <c r="AE224" i="1" s="1"/>
  <c r="W284" i="11"/>
  <c r="AA284" i="11"/>
  <c r="AB225" i="1"/>
  <c r="AD225" i="1" s="1"/>
  <c r="N118" i="2"/>
  <c r="AI225" i="1" s="1"/>
  <c r="X284" i="11"/>
  <c r="AB284" i="11"/>
  <c r="L264" i="19"/>
  <c r="AS225" i="1" s="1"/>
  <c r="AC225" i="1"/>
  <c r="AE225" i="1" s="1"/>
  <c r="AB226" i="1"/>
  <c r="AD226" i="1" s="1"/>
  <c r="AV226" i="1" s="1"/>
  <c r="AC226" i="1"/>
  <c r="AE226" i="1" s="1"/>
  <c r="AW226" i="1" s="1"/>
  <c r="AB227" i="1"/>
  <c r="AD227" i="1" s="1"/>
  <c r="AV227" i="1" s="1"/>
  <c r="AC227" i="1"/>
  <c r="AE227" i="1" s="1"/>
  <c r="AW227" i="1" s="1"/>
  <c r="Y267" i="11"/>
  <c r="AA267" i="11"/>
  <c r="AB228" i="1"/>
  <c r="AD228" i="1" s="1"/>
  <c r="N119" i="2"/>
  <c r="AI228" i="1" s="1"/>
  <c r="Z267" i="11"/>
  <c r="AF267" i="11" s="1"/>
  <c r="M219" i="11" s="1"/>
  <c r="AN228" i="1" s="1"/>
  <c r="AB267" i="11"/>
  <c r="AC228" i="1"/>
  <c r="AE228" i="1" s="1"/>
  <c r="AA276" i="11"/>
  <c r="AE276" i="11" s="1"/>
  <c r="K228" i="11" s="1"/>
  <c r="AK229" i="1" s="1"/>
  <c r="AB229" i="1"/>
  <c r="AD229" i="1" s="1"/>
  <c r="N120" i="2"/>
  <c r="AI229" i="1" s="1"/>
  <c r="AB276" i="11"/>
  <c r="AF276" i="11" s="1"/>
  <c r="M228" i="11" s="1"/>
  <c r="AN229" i="1" s="1"/>
  <c r="L257" i="19"/>
  <c r="AS229" i="1" s="1"/>
  <c r="AC229" i="1"/>
  <c r="AE229" i="1" s="1"/>
  <c r="W285" i="11"/>
  <c r="AA285" i="11"/>
  <c r="AB230" i="1"/>
  <c r="AD230" i="1" s="1"/>
  <c r="N121" i="2"/>
  <c r="AI230" i="1" s="1"/>
  <c r="X285" i="11"/>
  <c r="AB285" i="11"/>
  <c r="L265" i="19"/>
  <c r="AS230" i="1" s="1"/>
  <c r="AC230" i="1"/>
  <c r="AE230" i="1" s="1"/>
  <c r="AB231" i="1"/>
  <c r="AD231" i="1" s="1"/>
  <c r="AV231" i="1" s="1"/>
  <c r="AC231" i="1"/>
  <c r="AE231" i="1" s="1"/>
  <c r="AW231" i="1" s="1"/>
  <c r="AB232" i="1"/>
  <c r="AD232" i="1" s="1"/>
  <c r="AV232" i="1" s="1"/>
  <c r="AC232" i="1"/>
  <c r="AE232" i="1" s="1"/>
  <c r="AW232" i="1" s="1"/>
  <c r="AA268" i="11"/>
  <c r="AE268" i="11" s="1"/>
  <c r="K220" i="11" s="1"/>
  <c r="AK233" i="1" s="1"/>
  <c r="AB233" i="1"/>
  <c r="AD233" i="1" s="1"/>
  <c r="N122" i="2"/>
  <c r="AI233" i="1" s="1"/>
  <c r="AB268" i="11"/>
  <c r="AF268" i="11" s="1"/>
  <c r="M220" i="11" s="1"/>
  <c r="AN233" i="1" s="1"/>
  <c r="AC233" i="1"/>
  <c r="AE233" i="1" s="1"/>
  <c r="AA277" i="11"/>
  <c r="AE277" i="11" s="1"/>
  <c r="K229" i="11" s="1"/>
  <c r="AK234" i="1" s="1"/>
  <c r="AB234" i="1"/>
  <c r="AD234" i="1" s="1"/>
  <c r="N123" i="2"/>
  <c r="AI234" i="1" s="1"/>
  <c r="AB277" i="11"/>
  <c r="AF277" i="11" s="1"/>
  <c r="M229" i="11" s="1"/>
  <c r="AN234" i="1" s="1"/>
  <c r="L258" i="19"/>
  <c r="AS234" i="1" s="1"/>
  <c r="AC234" i="1"/>
  <c r="AE234" i="1" s="1"/>
  <c r="AA286" i="11"/>
  <c r="AE286" i="11" s="1"/>
  <c r="K238" i="11" s="1"/>
  <c r="AK235" i="1" s="1"/>
  <c r="AB235" i="1"/>
  <c r="AD235" i="1" s="1"/>
  <c r="N124" i="2"/>
  <c r="AI235" i="1" s="1"/>
  <c r="AB286" i="11"/>
  <c r="AF286" i="11" s="1"/>
  <c r="M238" i="11" s="1"/>
  <c r="AN235" i="1" s="1"/>
  <c r="L266" i="19"/>
  <c r="AS235" i="1" s="1"/>
  <c r="AC235" i="1"/>
  <c r="AE235" i="1" s="1"/>
  <c r="AB236" i="1"/>
  <c r="AD236" i="1" s="1"/>
  <c r="AV236" i="1" s="1"/>
  <c r="AC236" i="1"/>
  <c r="AE236" i="1" s="1"/>
  <c r="AW236" i="1" s="1"/>
  <c r="AB237" i="1"/>
  <c r="AD237" i="1" s="1"/>
  <c r="AV237" i="1" s="1"/>
  <c r="AC237" i="1"/>
  <c r="AE237" i="1" s="1"/>
  <c r="AW237" i="1" s="1"/>
  <c r="Y269" i="11"/>
  <c r="AA269" i="11"/>
  <c r="AB238" i="1"/>
  <c r="AD238" i="1" s="1"/>
  <c r="N125" i="2"/>
  <c r="AI238" i="1" s="1"/>
  <c r="Z269" i="11"/>
  <c r="AB269" i="11"/>
  <c r="AC238" i="1"/>
  <c r="AE238" i="1" s="1"/>
  <c r="AA278" i="11"/>
  <c r="AE278" i="11" s="1"/>
  <c r="K230" i="11" s="1"/>
  <c r="AK239" i="1" s="1"/>
  <c r="AB239" i="1"/>
  <c r="AD239" i="1" s="1"/>
  <c r="N126" i="2"/>
  <c r="AI239" i="1" s="1"/>
  <c r="AB278" i="11"/>
  <c r="AF278" i="11" s="1"/>
  <c r="M230" i="11" s="1"/>
  <c r="AN239" i="1" s="1"/>
  <c r="L259" i="19"/>
  <c r="AS239" i="1" s="1"/>
  <c r="AC239" i="1"/>
  <c r="AE239" i="1" s="1"/>
  <c r="W287" i="11"/>
  <c r="AA287" i="11"/>
  <c r="AB240" i="1"/>
  <c r="AD240" i="1" s="1"/>
  <c r="N127" i="2"/>
  <c r="AI240" i="1" s="1"/>
  <c r="X287" i="11"/>
  <c r="AB287" i="11"/>
  <c r="L267" i="19"/>
  <c r="AS240" i="1" s="1"/>
  <c r="AC240" i="1"/>
  <c r="AE240" i="1" s="1"/>
  <c r="AB241" i="1"/>
  <c r="AD241" i="1" s="1"/>
  <c r="AV241" i="1" s="1"/>
  <c r="AC241" i="1"/>
  <c r="AE241" i="1" s="1"/>
  <c r="AW241" i="1" s="1"/>
  <c r="AB242" i="1"/>
  <c r="AD242" i="1" s="1"/>
  <c r="AV242" i="1" s="1"/>
  <c r="AC242" i="1"/>
  <c r="AE242" i="1" s="1"/>
  <c r="AW242" i="1" s="1"/>
  <c r="Y270" i="11"/>
  <c r="AA270" i="11"/>
  <c r="AB243" i="1"/>
  <c r="AD243" i="1" s="1"/>
  <c r="N128" i="2"/>
  <c r="AI243" i="1" s="1"/>
  <c r="Z270" i="11"/>
  <c r="AB270" i="11"/>
  <c r="AC243" i="1"/>
  <c r="AE243" i="1" s="1"/>
  <c r="AA279" i="11"/>
  <c r="AE279" i="11" s="1"/>
  <c r="K231" i="11" s="1"/>
  <c r="AK244" i="1" s="1"/>
  <c r="AB244" i="1"/>
  <c r="AD244" i="1" s="1"/>
  <c r="N129" i="2"/>
  <c r="AI244" i="1" s="1"/>
  <c r="AB279" i="11"/>
  <c r="AF279" i="11" s="1"/>
  <c r="M231" i="11" s="1"/>
  <c r="AN244" i="1" s="1"/>
  <c r="L260" i="19"/>
  <c r="AS244" i="1" s="1"/>
  <c r="AC244" i="1"/>
  <c r="AE244" i="1" s="1"/>
  <c r="W288" i="11"/>
  <c r="AA288" i="11"/>
  <c r="AB245" i="1"/>
  <c r="AD245" i="1" s="1"/>
  <c r="N130" i="2"/>
  <c r="AI245" i="1" s="1"/>
  <c r="X288" i="11"/>
  <c r="AB288" i="11"/>
  <c r="L268" i="19"/>
  <c r="AS245" i="1" s="1"/>
  <c r="AC245" i="1"/>
  <c r="AE245" i="1" s="1"/>
  <c r="AB246" i="1"/>
  <c r="AD246" i="1" s="1"/>
  <c r="AV246" i="1" s="1"/>
  <c r="AC246" i="1"/>
  <c r="AE246" i="1" s="1"/>
  <c r="AW246" i="1" s="1"/>
  <c r="AB247" i="1"/>
  <c r="AD247" i="1" s="1"/>
  <c r="AV247" i="1" s="1"/>
  <c r="AC247" i="1"/>
  <c r="AE247" i="1" s="1"/>
  <c r="AW247" i="1" s="1"/>
  <c r="AB248" i="1"/>
  <c r="AD248" i="1" s="1"/>
  <c r="AV248" i="1" s="1"/>
  <c r="AC248" i="1"/>
  <c r="AE248" i="1" s="1"/>
  <c r="AW248" i="1" s="1"/>
  <c r="E202" i="18"/>
  <c r="E195" i="23"/>
  <c r="E195" i="24"/>
  <c r="J243" i="19"/>
  <c r="AP250" i="1" s="1"/>
  <c r="O114" i="13"/>
  <c r="R114" i="13" s="1"/>
  <c r="J271" i="19"/>
  <c r="AP251" i="1" s="1"/>
  <c r="J281" i="19"/>
  <c r="AP252" i="1" s="1"/>
  <c r="I132" i="14"/>
  <c r="L132" i="14"/>
  <c r="O132" i="14"/>
  <c r="L221" i="19"/>
  <c r="AS250" i="1" s="1"/>
  <c r="L271" i="19"/>
  <c r="AS251" i="1" s="1"/>
  <c r="AB258" i="1"/>
  <c r="AD258" i="1" s="1"/>
  <c r="AC258" i="1"/>
  <c r="AE258" i="1" s="1"/>
  <c r="J245" i="19"/>
  <c r="AP270" i="1" s="1"/>
  <c r="J273" i="19"/>
  <c r="AP272" i="1" s="1"/>
  <c r="N66" i="3"/>
  <c r="AN270" i="1" s="1"/>
  <c r="I134" i="14"/>
  <c r="L134" i="14"/>
  <c r="O134" i="14"/>
  <c r="L222" i="19"/>
  <c r="AS271" i="1" s="1"/>
  <c r="L273" i="19"/>
  <c r="AS272" i="1" s="1"/>
  <c r="AB278" i="1"/>
  <c r="AD278" i="1" s="1"/>
  <c r="AC278" i="1"/>
  <c r="AE278" i="1" s="1"/>
  <c r="AW278" i="1" s="1"/>
  <c r="J58" i="5"/>
  <c r="AK279" i="1" s="1"/>
  <c r="J246" i="19"/>
  <c r="AP279" i="1" s="1"/>
  <c r="J274" i="19"/>
  <c r="AP281" i="1" s="1"/>
  <c r="N67" i="3"/>
  <c r="AN279" i="1" s="1"/>
  <c r="I135" i="14"/>
  <c r="L135" i="14"/>
  <c r="O135" i="14"/>
  <c r="L274" i="19"/>
  <c r="AS281" i="1" s="1"/>
  <c r="AB287" i="1"/>
  <c r="AD287" i="1" s="1"/>
  <c r="AC287" i="1"/>
  <c r="AE287" i="1" s="1"/>
  <c r="J247" i="19"/>
  <c r="AP288" i="1" s="1"/>
  <c r="J275" i="19"/>
  <c r="AP290" i="1" s="1"/>
  <c r="N68" i="3"/>
  <c r="AN288" i="1" s="1"/>
  <c r="I136" i="14"/>
  <c r="L136" i="14"/>
  <c r="O136" i="14"/>
  <c r="L275" i="19"/>
  <c r="AS290" i="1" s="1"/>
  <c r="AB296" i="1"/>
  <c r="AD296" i="1" s="1"/>
  <c r="AC296" i="1"/>
  <c r="AE296" i="1" s="1"/>
  <c r="J248" i="19"/>
  <c r="AP297" i="1" s="1"/>
  <c r="J276" i="19"/>
  <c r="AP299" i="1" s="1"/>
  <c r="N69" i="3"/>
  <c r="AN297" i="1" s="1"/>
  <c r="I137" i="14"/>
  <c r="L137" i="14"/>
  <c r="O137" i="14"/>
  <c r="L276" i="19"/>
  <c r="AS299" i="1" s="1"/>
  <c r="AB305" i="1"/>
  <c r="AD305" i="1" s="1"/>
  <c r="AC305" i="1"/>
  <c r="AE305" i="1" s="1"/>
  <c r="J61" i="5"/>
  <c r="AK306" i="1" s="1"/>
  <c r="J249" i="19"/>
  <c r="AP306" i="1" s="1"/>
  <c r="J277" i="19"/>
  <c r="AP308" i="1" s="1"/>
  <c r="N71" i="3"/>
  <c r="AN306" i="1" s="1"/>
  <c r="I138" i="14"/>
  <c r="L138" i="14"/>
  <c r="O138" i="14"/>
  <c r="L277" i="19"/>
  <c r="AS308" i="1" s="1"/>
  <c r="AB314" i="1"/>
  <c r="AD314" i="1" s="1"/>
  <c r="AC314" i="1"/>
  <c r="AE314" i="1" s="1"/>
  <c r="J62" i="5"/>
  <c r="AK315" i="1" s="1"/>
  <c r="J250" i="19"/>
  <c r="AP315" i="1" s="1"/>
  <c r="J278" i="19"/>
  <c r="AP317" i="1" s="1"/>
  <c r="N72" i="3"/>
  <c r="AN315" i="1" s="1"/>
  <c r="I139" i="14"/>
  <c r="L139" i="14"/>
  <c r="O139" i="14"/>
  <c r="L278" i="19"/>
  <c r="AS317" i="1" s="1"/>
  <c r="N70" i="3"/>
  <c r="AN324" i="1" s="1"/>
  <c r="AC324" i="1"/>
  <c r="AE324" i="1" s="1"/>
  <c r="AB324" i="1"/>
  <c r="AD324" i="1" s="1"/>
  <c r="AV324" i="1" s="1"/>
  <c r="AV326" i="1"/>
  <c r="L29" i="12"/>
  <c r="N52" i="12" s="1"/>
  <c r="AN329" i="1" s="1"/>
  <c r="AC329" i="1"/>
  <c r="AE329" i="1" s="1"/>
  <c r="AB329" i="1"/>
  <c r="AD329" i="1" s="1"/>
  <c r="AV329" i="1" s="1"/>
  <c r="O118" i="13"/>
  <c r="R118" i="13" s="1"/>
  <c r="E203" i="18"/>
  <c r="E196" i="23"/>
  <c r="E196" i="24"/>
  <c r="AB330" i="1"/>
  <c r="AD330" i="1" s="1"/>
  <c r="N58" i="12"/>
  <c r="AN330" i="1" s="1"/>
  <c r="J143" i="19"/>
  <c r="L251" i="19" s="1"/>
  <c r="AS330" i="1" s="1"/>
  <c r="AC330" i="1"/>
  <c r="AE330" i="1" s="1"/>
  <c r="AW331" i="1"/>
  <c r="K115" i="13"/>
  <c r="N115" i="13"/>
  <c r="AC332" i="1"/>
  <c r="AE332" i="1" s="1"/>
  <c r="AB332" i="1"/>
  <c r="AD332" i="1" s="1"/>
  <c r="AV332" i="1" s="1"/>
  <c r="N117" i="13"/>
  <c r="S117" i="13" s="1"/>
  <c r="AC334" i="1"/>
  <c r="AE334" i="1" s="1"/>
  <c r="AB334" i="1"/>
  <c r="AD334" i="1" s="1"/>
  <c r="AV334" i="1" s="1"/>
  <c r="J63" i="5"/>
  <c r="AK336" i="1" s="1"/>
  <c r="AB336" i="1"/>
  <c r="AD336" i="1" s="1"/>
  <c r="AC336" i="1"/>
  <c r="AE336" i="1" s="1"/>
  <c r="AW336" i="1" s="1"/>
  <c r="J200" i="19"/>
  <c r="AP340" i="1" s="1"/>
  <c r="AB340" i="1"/>
  <c r="AD340" i="1" s="1"/>
  <c r="G204" i="18"/>
  <c r="G197" i="23"/>
  <c r="G197" i="24"/>
  <c r="AC340" i="1"/>
  <c r="AE340" i="1" s="1"/>
  <c r="E205" i="18"/>
  <c r="E198" i="23"/>
  <c r="E198" i="24"/>
  <c r="AB341" i="1"/>
  <c r="AD341" i="1" s="1"/>
  <c r="L201" i="19"/>
  <c r="AS341" i="1" s="1"/>
  <c r="AC341" i="1"/>
  <c r="AE341" i="1" s="1"/>
  <c r="J106" i="13"/>
  <c r="R106" i="13" s="1"/>
  <c r="AB342" i="1"/>
  <c r="AD342" i="1" s="1"/>
  <c r="AC342" i="1"/>
  <c r="AE342" i="1" s="1"/>
  <c r="AW342" i="1" s="1"/>
  <c r="J108" i="13"/>
  <c r="R108" i="13" s="1"/>
  <c r="AB343" i="1"/>
  <c r="AD343" i="1" s="1"/>
  <c r="AC343" i="1"/>
  <c r="AE343" i="1" s="1"/>
  <c r="AW343" i="1" s="1"/>
  <c r="J109" i="13"/>
  <c r="L109" i="13"/>
  <c r="AB344" i="1"/>
  <c r="AD344" i="1" s="1"/>
  <c r="AC344" i="1"/>
  <c r="AE344" i="1" s="1"/>
  <c r="AW344" i="1" s="1"/>
  <c r="J110" i="13"/>
  <c r="L110" i="13"/>
  <c r="AB345" i="1"/>
  <c r="AD345" i="1" s="1"/>
  <c r="AC345" i="1"/>
  <c r="AE345" i="1" s="1"/>
  <c r="AW345" i="1" s="1"/>
  <c r="K119" i="13"/>
  <c r="AC346" i="1"/>
  <c r="AE346" i="1" s="1"/>
  <c r="AB346" i="1"/>
  <c r="AD346" i="1" s="1"/>
  <c r="AV346" i="1" s="1"/>
  <c r="N120" i="13"/>
  <c r="S120" i="13" s="1"/>
  <c r="AC347" i="1"/>
  <c r="AE347" i="1" s="1"/>
  <c r="AB347" i="1"/>
  <c r="AD347" i="1" s="1"/>
  <c r="AV347" i="1" s="1"/>
  <c r="AB348" i="1"/>
  <c r="AD348" i="1" s="1"/>
  <c r="AC348" i="1"/>
  <c r="AE348" i="1" s="1"/>
  <c r="AW348" i="1" s="1"/>
  <c r="K39" i="14"/>
  <c r="H129" i="14" s="1"/>
  <c r="R129" i="14" s="1"/>
  <c r="L107" i="14" s="1"/>
  <c r="AK351" i="1" s="1"/>
  <c r="AB351" i="1"/>
  <c r="AD351" i="1" s="1"/>
  <c r="AC351" i="1"/>
  <c r="AE351" i="1" s="1"/>
  <c r="AW351" i="1" s="1"/>
  <c r="K61" i="14"/>
  <c r="K130" i="14" s="1"/>
  <c r="AB352" i="1"/>
  <c r="AD352" i="1" s="1"/>
  <c r="AC352" i="1"/>
  <c r="AE352" i="1" s="1"/>
  <c r="AW352" i="1" s="1"/>
  <c r="J282" i="19"/>
  <c r="AP356" i="1" s="1"/>
  <c r="AB356" i="1"/>
  <c r="AD356" i="1" s="1"/>
  <c r="AC356" i="1"/>
  <c r="AE356" i="1" s="1"/>
  <c r="AB357" i="1"/>
  <c r="AD357" i="1" s="1"/>
  <c r="AC357" i="1"/>
  <c r="AE357" i="1" s="1"/>
  <c r="L105" i="2"/>
  <c r="AH360" i="1" s="1"/>
  <c r="AB360" i="1"/>
  <c r="AD360" i="1" s="1"/>
  <c r="N131" i="2"/>
  <c r="AI360" i="1" s="1"/>
  <c r="AC360" i="1"/>
  <c r="AE360" i="1" s="1"/>
  <c r="L106" i="2"/>
  <c r="AH362" i="1" s="1"/>
  <c r="N132" i="2"/>
  <c r="AI362" i="1" s="1"/>
  <c r="AB323" i="1"/>
  <c r="AD323" i="1" s="1"/>
  <c r="AC323" i="1"/>
  <c r="AE323" i="1" s="1"/>
  <c r="AB327" i="1"/>
  <c r="AD327" i="1" s="1"/>
  <c r="AV327" i="1" s="1"/>
  <c r="AC327" i="1"/>
  <c r="AE327" i="1" s="1"/>
  <c r="AW327" i="1" s="1"/>
  <c r="AB328" i="1"/>
  <c r="AD328" i="1" s="1"/>
  <c r="AV328" i="1" s="1"/>
  <c r="AC328" i="1"/>
  <c r="AE328" i="1" s="1"/>
  <c r="AW328" i="1" s="1"/>
  <c r="AB335" i="1"/>
  <c r="AD335" i="1" s="1"/>
  <c r="AV335" i="1" s="1"/>
  <c r="AC335" i="1"/>
  <c r="AE335" i="1" s="1"/>
  <c r="AW335" i="1" s="1"/>
  <c r="AB337" i="1"/>
  <c r="AD337" i="1" s="1"/>
  <c r="AV337" i="1" s="1"/>
  <c r="AC337" i="1"/>
  <c r="AE337" i="1" s="1"/>
  <c r="AW337" i="1" s="1"/>
  <c r="AB338" i="1"/>
  <c r="AD338" i="1" s="1"/>
  <c r="AV338" i="1" s="1"/>
  <c r="AC338" i="1"/>
  <c r="AE338" i="1" s="1"/>
  <c r="AW338" i="1" s="1"/>
  <c r="AB339" i="1"/>
  <c r="AD339" i="1" s="1"/>
  <c r="AV339" i="1" s="1"/>
  <c r="AC339" i="1"/>
  <c r="AE339" i="1" s="1"/>
  <c r="AW339" i="1" s="1"/>
  <c r="AB350" i="1"/>
  <c r="AD350" i="1" s="1"/>
  <c r="AV350" i="1" s="1"/>
  <c r="AC350" i="1"/>
  <c r="AE350" i="1" s="1"/>
  <c r="AW350" i="1" s="1"/>
  <c r="AB353" i="1"/>
  <c r="AD353" i="1" s="1"/>
  <c r="AV353" i="1" s="1"/>
  <c r="AC353" i="1"/>
  <c r="AE353" i="1" s="1"/>
  <c r="AW353" i="1" s="1"/>
  <c r="AB354" i="1"/>
  <c r="AD354" i="1" s="1"/>
  <c r="AV354" i="1" s="1"/>
  <c r="AC354" i="1"/>
  <c r="AE354" i="1" s="1"/>
  <c r="AW354" i="1" s="1"/>
  <c r="AB355" i="1"/>
  <c r="AD355" i="1" s="1"/>
  <c r="AV355" i="1" s="1"/>
  <c r="AC355" i="1"/>
  <c r="AE355" i="1" s="1"/>
  <c r="AW355" i="1" s="1"/>
  <c r="K28" i="14"/>
  <c r="G140" i="14" s="1"/>
  <c r="S140" i="14" s="1"/>
  <c r="N118" i="14" s="1"/>
  <c r="AN202" i="1" s="1"/>
  <c r="AB202" i="1"/>
  <c r="AD202" i="1" s="1"/>
  <c r="L54" i="12"/>
  <c r="AK165" i="1" s="1"/>
  <c r="AB165" i="1"/>
  <c r="AD165" i="1" s="1"/>
  <c r="J279" i="19"/>
  <c r="AP166" i="1" s="1"/>
  <c r="AB166" i="1"/>
  <c r="AD166" i="1" s="1"/>
  <c r="AB167" i="1"/>
  <c r="AD167" i="1" s="1"/>
  <c r="AV167" i="1" s="1"/>
  <c r="H30" i="6"/>
  <c r="G198" i="18"/>
  <c r="G191" i="23"/>
  <c r="G191" i="24"/>
  <c r="AC165" i="1"/>
  <c r="AE165" i="1" s="1"/>
  <c r="K261" i="11"/>
  <c r="O261" i="11"/>
  <c r="R261" i="11"/>
  <c r="R289" i="11" s="1"/>
  <c r="T261" i="11"/>
  <c r="V261" i="11"/>
  <c r="V289" i="11" s="1"/>
  <c r="X261" i="11"/>
  <c r="Z261" i="11"/>
  <c r="AB261" i="11"/>
  <c r="AD261" i="11"/>
  <c r="AD289" i="11" s="1"/>
  <c r="L279" i="19"/>
  <c r="AS166" i="1" s="1"/>
  <c r="AC166" i="1"/>
  <c r="AE166" i="1" s="1"/>
  <c r="G141" i="14"/>
  <c r="O141" i="14"/>
  <c r="AC167" i="1"/>
  <c r="AE167" i="1" s="1"/>
  <c r="AC28" i="1"/>
  <c r="AE28" i="1" s="1"/>
  <c r="L211" i="19"/>
  <c r="AS34" i="1" s="1"/>
  <c r="L212" i="19"/>
  <c r="AS23" i="1" s="1"/>
  <c r="J208" i="19"/>
  <c r="AP117" i="1" s="1"/>
  <c r="J209" i="19"/>
  <c r="AP105" i="1" s="1"/>
  <c r="AB28" i="1"/>
  <c r="AD28" i="1" s="1"/>
  <c r="J270" i="19"/>
  <c r="AP29" i="1" s="1"/>
  <c r="AB29" i="1"/>
  <c r="AD29" i="1" s="1"/>
  <c r="L270" i="19"/>
  <c r="AS29" i="1" s="1"/>
  <c r="AC29" i="1"/>
  <c r="AE29" i="1" s="1"/>
  <c r="N178" i="19"/>
  <c r="L297" i="19"/>
  <c r="AS187" i="1" s="1"/>
  <c r="AC187" i="1"/>
  <c r="AE187" i="1" s="1"/>
  <c r="AB187" i="1"/>
  <c r="AD187" i="1" s="1"/>
  <c r="AV187" i="1" s="1"/>
  <c r="AC176" i="1"/>
  <c r="AE176" i="1" s="1"/>
  <c r="AB176" i="1"/>
  <c r="AD176" i="1" s="1"/>
  <c r="AV176" i="1" s="1"/>
  <c r="L65" i="5"/>
  <c r="AN54" i="1" s="1"/>
  <c r="AC54" i="1"/>
  <c r="AE54" i="1" s="1"/>
  <c r="AB54" i="1"/>
  <c r="AD54" i="1" s="1"/>
  <c r="E162" i="18"/>
  <c r="E156" i="23"/>
  <c r="E156" i="24"/>
  <c r="AB8" i="1"/>
  <c r="AD8" i="1" s="1"/>
  <c r="AC8" i="1"/>
  <c r="AE8" i="1" s="1"/>
  <c r="AB9" i="1"/>
  <c r="AD9" i="1" s="1"/>
  <c r="AV9" i="1" s="1"/>
  <c r="AC9" i="1"/>
  <c r="E163" i="18"/>
  <c r="E157" i="23"/>
  <c r="E157" i="24"/>
  <c r="AB10" i="1"/>
  <c r="AD10" i="1" s="1"/>
  <c r="AC10" i="1"/>
  <c r="AE10" i="1" s="1"/>
  <c r="AW10" i="1" s="1"/>
  <c r="AB11" i="1"/>
  <c r="AD11" i="1" s="1"/>
  <c r="AV11" i="1" s="1"/>
  <c r="AC11" i="1"/>
  <c r="AE11" i="1" s="1"/>
  <c r="AW11" i="1" s="1"/>
  <c r="AB12" i="1"/>
  <c r="AD12" i="1" s="1"/>
  <c r="AV12" i="1" s="1"/>
  <c r="AC12" i="1"/>
  <c r="AE12" i="1" s="1"/>
  <c r="AW12" i="1" s="1"/>
  <c r="J54" i="6"/>
  <c r="AK13" i="1" s="1"/>
  <c r="AB13" i="1"/>
  <c r="AD13" i="1" s="1"/>
  <c r="J58" i="6"/>
  <c r="AK14" i="1" s="1"/>
  <c r="AB14" i="1"/>
  <c r="AC252" i="11"/>
  <c r="AE252" i="11" s="1"/>
  <c r="K205" i="11" s="1"/>
  <c r="AK15" i="1" s="1"/>
  <c r="AB15" i="1"/>
  <c r="AD15" i="1" s="1"/>
  <c r="L58" i="6"/>
  <c r="AN14" i="1" s="1"/>
  <c r="AC14" i="1"/>
  <c r="AE14" i="1" s="1"/>
  <c r="AC13" i="1"/>
  <c r="AE13" i="1" s="1"/>
  <c r="AW13" i="1" s="1"/>
  <c r="AC15" i="1"/>
  <c r="AE15" i="1" s="1"/>
  <c r="AW15" i="1" s="1"/>
  <c r="AB16" i="1"/>
  <c r="AD16" i="1" s="1"/>
  <c r="AV16" i="1" s="1"/>
  <c r="AC16" i="1"/>
  <c r="AE16" i="1" s="1"/>
  <c r="AW16" i="1" s="1"/>
  <c r="AB17" i="1"/>
  <c r="AD17" i="1" s="1"/>
  <c r="AV17" i="1" s="1"/>
  <c r="AC17" i="1"/>
  <c r="AE17" i="1" s="1"/>
  <c r="AW17" i="1" s="1"/>
  <c r="AB18" i="1"/>
  <c r="AD18" i="1" s="1"/>
  <c r="AV18" i="1" s="1"/>
  <c r="AB21" i="1"/>
  <c r="AD21" i="1" s="1"/>
  <c r="AV21" i="1" s="1"/>
  <c r="AC21" i="1"/>
  <c r="AE21" i="1" s="1"/>
  <c r="AW21" i="1" s="1"/>
  <c r="E164" i="18"/>
  <c r="E158" i="23"/>
  <c r="E158" i="24"/>
  <c r="AB22" i="1"/>
  <c r="AD22" i="1" s="1"/>
  <c r="AB23" i="1"/>
  <c r="AD23" i="1" s="1"/>
  <c r="AV23" i="1" s="1"/>
  <c r="AB24" i="1"/>
  <c r="AD24" i="1" s="1"/>
  <c r="AV24" i="1" s="1"/>
  <c r="L205" i="19"/>
  <c r="AS22" i="1" s="1"/>
  <c r="AC22" i="1"/>
  <c r="AE22" i="1" s="1"/>
  <c r="AC23" i="1"/>
  <c r="AE23" i="1" s="1"/>
  <c r="L215" i="19"/>
  <c r="AC24" i="1"/>
  <c r="AE24" i="1" s="1"/>
  <c r="J214" i="19"/>
  <c r="AP25" i="1" s="1"/>
  <c r="AB25" i="1"/>
  <c r="AD25" i="1" s="1"/>
  <c r="AC25" i="1"/>
  <c r="AE25" i="1" s="1"/>
  <c r="AW25" i="1" s="1"/>
  <c r="AB26" i="1"/>
  <c r="AD26" i="1" s="1"/>
  <c r="AV26" i="1" s="1"/>
  <c r="AC26" i="1"/>
  <c r="AE26" i="1" s="1"/>
  <c r="AW26" i="1" s="1"/>
  <c r="AB27" i="1"/>
  <c r="AD27" i="1" s="1"/>
  <c r="AV27" i="1" s="1"/>
  <c r="AC27" i="1"/>
  <c r="AE27" i="1" s="1"/>
  <c r="AW27" i="1" s="1"/>
  <c r="E166" i="18"/>
  <c r="E160" i="23"/>
  <c r="E160" i="24"/>
  <c r="AB30" i="1"/>
  <c r="AD30" i="1" s="1"/>
  <c r="AC30" i="1"/>
  <c r="AE30" i="1" s="1"/>
  <c r="AW30" i="1" s="1"/>
  <c r="E167" i="18"/>
  <c r="E161" i="23"/>
  <c r="E161" i="24"/>
  <c r="AB31" i="1"/>
  <c r="AD31" i="1" s="1"/>
  <c r="AC31" i="1"/>
  <c r="AE31" i="1" s="1"/>
  <c r="AW31" i="1" s="1"/>
  <c r="E165" i="18"/>
  <c r="E159" i="23"/>
  <c r="E159" i="24"/>
  <c r="AB33" i="1"/>
  <c r="AD33" i="1" s="1"/>
  <c r="AB34" i="1"/>
  <c r="AD34" i="1" s="1"/>
  <c r="AV34" i="1" s="1"/>
  <c r="L206" i="19"/>
  <c r="AS33" i="1" s="1"/>
  <c r="AC33" i="1"/>
  <c r="AE33" i="1" s="1"/>
  <c r="AC34" i="1"/>
  <c r="AE34" i="1" s="1"/>
  <c r="N131" i="14"/>
  <c r="R131" i="14" s="1"/>
  <c r="L109" i="14" s="1"/>
  <c r="AK35" i="1" s="1"/>
  <c r="AB35" i="1"/>
  <c r="AD35" i="1" s="1"/>
  <c r="AC35" i="1"/>
  <c r="AE35" i="1" s="1"/>
  <c r="AW35" i="1" s="1"/>
  <c r="J112" i="13"/>
  <c r="L112" i="13"/>
  <c r="AB36" i="1"/>
  <c r="AD36" i="1" s="1"/>
  <c r="N112" i="13"/>
  <c r="Q112" i="13"/>
  <c r="AC36" i="1"/>
  <c r="AE36" i="1" s="1"/>
  <c r="L113" i="13"/>
  <c r="R113" i="13" s="1"/>
  <c r="L84" i="13" s="1"/>
  <c r="AK84" i="1" s="1"/>
  <c r="AB84" i="1"/>
  <c r="AD84" i="1" s="1"/>
  <c r="Q113" i="13"/>
  <c r="S113" i="13" s="1"/>
  <c r="N84" i="13" s="1"/>
  <c r="AN84" i="1" s="1"/>
  <c r="AC84" i="1"/>
  <c r="AE84" i="1" s="1"/>
  <c r="AB66" i="1"/>
  <c r="AD66" i="1" s="1"/>
  <c r="L68" i="5"/>
  <c r="AN66" i="1" s="1"/>
  <c r="AC66" i="1"/>
  <c r="AE66" i="1" s="1"/>
  <c r="AB70" i="1"/>
  <c r="AD70" i="1" s="1"/>
  <c r="L71" i="5"/>
  <c r="AC70" i="1"/>
  <c r="AE70" i="1" s="1"/>
  <c r="AB80" i="1"/>
  <c r="AD80" i="1" s="1"/>
  <c r="L72" i="5"/>
  <c r="AN80" i="1" s="1"/>
  <c r="AC80" i="1"/>
  <c r="AE80" i="1" s="1"/>
  <c r="F127" i="14"/>
  <c r="AB81" i="1"/>
  <c r="AD81" i="1" s="1"/>
  <c r="AC81" i="1"/>
  <c r="AE81" i="1" s="1"/>
  <c r="AW81" i="1" s="1"/>
  <c r="AB82" i="1"/>
  <c r="AD82" i="1" s="1"/>
  <c r="AV82" i="1" s="1"/>
  <c r="AC82" i="1"/>
  <c r="AE82" i="1" s="1"/>
  <c r="AW82" i="1" s="1"/>
  <c r="AB100" i="1"/>
  <c r="AD100" i="1" s="1"/>
  <c r="AV100" i="1" s="1"/>
  <c r="AC100" i="1"/>
  <c r="AE100" i="1" s="1"/>
  <c r="AW100" i="1" s="1"/>
  <c r="AB101" i="1"/>
  <c r="AD101" i="1" s="1"/>
  <c r="AV101" i="1" s="1"/>
  <c r="G184" i="18"/>
  <c r="G177" i="23"/>
  <c r="G177" i="24"/>
  <c r="AC101" i="1"/>
  <c r="AE101" i="1" s="1"/>
  <c r="J203" i="19"/>
  <c r="AP104" i="1" s="1"/>
  <c r="AB104" i="1"/>
  <c r="AD104" i="1" s="1"/>
  <c r="AB105" i="1"/>
  <c r="AD105" i="1" s="1"/>
  <c r="J216" i="19"/>
  <c r="AP106" i="1" s="1"/>
  <c r="AB106" i="1"/>
  <c r="AD106" i="1" s="1"/>
  <c r="G185" i="18"/>
  <c r="G178" i="23"/>
  <c r="G178" i="24"/>
  <c r="AC104" i="1"/>
  <c r="AE104" i="1" s="1"/>
  <c r="AC105" i="1"/>
  <c r="AE105" i="1" s="1"/>
  <c r="AW105" i="1" s="1"/>
  <c r="AC106" i="1"/>
  <c r="AE106" i="1" s="1"/>
  <c r="AW106" i="1" s="1"/>
  <c r="J57" i="6"/>
  <c r="AK151" i="1" s="1"/>
  <c r="AB108" i="1"/>
  <c r="AD108" i="1" s="1"/>
  <c r="AV108" i="1" s="1"/>
  <c r="I253" i="11"/>
  <c r="M253" i="11"/>
  <c r="M289" i="11" s="1"/>
  <c r="Q253" i="11"/>
  <c r="Q289" i="11" s="1"/>
  <c r="S253" i="11"/>
  <c r="U253" i="11"/>
  <c r="W253" i="11"/>
  <c r="Y253" i="11"/>
  <c r="AA253" i="11"/>
  <c r="AB109" i="1"/>
  <c r="AD109" i="1" s="1"/>
  <c r="M98" i="11"/>
  <c r="X253" i="11" s="1"/>
  <c r="M135" i="11"/>
  <c r="Z253" i="11" s="1"/>
  <c r="AC108" i="1"/>
  <c r="AE108" i="1" s="1"/>
  <c r="AW108" i="1" s="1"/>
  <c r="AB110" i="1"/>
  <c r="AD110" i="1" s="1"/>
  <c r="AV110" i="1" s="1"/>
  <c r="AC109" i="1"/>
  <c r="AE109" i="1" s="1"/>
  <c r="AW109" i="1" s="1"/>
  <c r="AC110" i="1"/>
  <c r="AE110" i="1" s="1"/>
  <c r="AW110" i="1" s="1"/>
  <c r="L217" i="19"/>
  <c r="AS114" i="1" s="1"/>
  <c r="AC114" i="1"/>
  <c r="AE114" i="1" s="1"/>
  <c r="AB114" i="1"/>
  <c r="AD114" i="1" s="1"/>
  <c r="AV114" i="1" s="1"/>
  <c r="J204" i="19"/>
  <c r="AP116" i="1" s="1"/>
  <c r="AB116" i="1"/>
  <c r="AD116" i="1" s="1"/>
  <c r="AB117" i="1"/>
  <c r="AD117" i="1" s="1"/>
  <c r="G186" i="18"/>
  <c r="G179" i="23"/>
  <c r="G179" i="24"/>
  <c r="AC116" i="1"/>
  <c r="AE116" i="1" s="1"/>
  <c r="AC117" i="1"/>
  <c r="AE117" i="1" s="1"/>
  <c r="AW117" i="1" s="1"/>
  <c r="L57" i="12"/>
  <c r="AK119" i="1" s="1"/>
  <c r="AB119" i="1"/>
  <c r="AD119" i="1" s="1"/>
  <c r="AV120" i="1"/>
  <c r="N55" i="12"/>
  <c r="AN119" i="1" s="1"/>
  <c r="AC119" i="1"/>
  <c r="AE119" i="1" s="1"/>
  <c r="N57" i="12"/>
  <c r="AN120" i="1" s="1"/>
  <c r="AW120" i="1" s="1"/>
  <c r="AB121" i="1"/>
  <c r="AD121" i="1" s="1"/>
  <c r="AV121" i="1" s="1"/>
  <c r="L233" i="19"/>
  <c r="AS121" i="1" s="1"/>
  <c r="AC121" i="1"/>
  <c r="AE121" i="1" s="1"/>
  <c r="AB122" i="1"/>
  <c r="AD122" i="1" s="1"/>
  <c r="AV122" i="1" s="1"/>
  <c r="L234" i="19"/>
  <c r="AS122" i="1" s="1"/>
  <c r="AC122" i="1"/>
  <c r="AE122" i="1" s="1"/>
  <c r="AB123" i="1"/>
  <c r="AD123" i="1" s="1"/>
  <c r="AV123" i="1" s="1"/>
  <c r="L235" i="19"/>
  <c r="AS123" i="1" s="1"/>
  <c r="AC123" i="1"/>
  <c r="AE123" i="1" s="1"/>
  <c r="AB124" i="1"/>
  <c r="AD124" i="1" s="1"/>
  <c r="AV124" i="1" s="1"/>
  <c r="L236" i="19"/>
  <c r="AS124" i="1" s="1"/>
  <c r="AC124" i="1"/>
  <c r="AE124" i="1" s="1"/>
  <c r="AB125" i="1"/>
  <c r="AD125" i="1" s="1"/>
  <c r="AV125" i="1" s="1"/>
  <c r="L237" i="19"/>
  <c r="AS125" i="1" s="1"/>
  <c r="AC125" i="1"/>
  <c r="AE125" i="1" s="1"/>
  <c r="AB127" i="1"/>
  <c r="AD127" i="1" s="1"/>
  <c r="AV127" i="1" s="1"/>
  <c r="L239" i="19"/>
  <c r="AS127" i="1" s="1"/>
  <c r="AC127" i="1"/>
  <c r="AE127" i="1" s="1"/>
  <c r="AB128" i="1"/>
  <c r="AD128" i="1" s="1"/>
  <c r="AV128" i="1" s="1"/>
  <c r="L240" i="19"/>
  <c r="AS128" i="1" s="1"/>
  <c r="AC128" i="1"/>
  <c r="AE128" i="1" s="1"/>
  <c r="AB129" i="1"/>
  <c r="AD129" i="1" s="1"/>
  <c r="AV129" i="1" s="1"/>
  <c r="L241" i="19"/>
  <c r="AS129" i="1" s="1"/>
  <c r="AC129" i="1"/>
  <c r="AE129" i="1" s="1"/>
  <c r="AB130" i="1"/>
  <c r="AD130" i="1" s="1"/>
  <c r="AV130" i="1" s="1"/>
  <c r="AC130" i="1"/>
  <c r="AE130" i="1" s="1"/>
  <c r="AW130" i="1" s="1"/>
  <c r="L47" i="12"/>
  <c r="J226" i="19"/>
  <c r="AP131" i="1" s="1"/>
  <c r="AB131" i="1"/>
  <c r="AD131" i="1" s="1"/>
  <c r="L122" i="13"/>
  <c r="R122" i="13" s="1"/>
  <c r="L93" i="13" s="1"/>
  <c r="AK132" i="1" s="1"/>
  <c r="AB132" i="1"/>
  <c r="AD132" i="1" s="1"/>
  <c r="AC131" i="1"/>
  <c r="AE131" i="1" s="1"/>
  <c r="AW131" i="1" s="1"/>
  <c r="K122" i="13"/>
  <c r="N122" i="13"/>
  <c r="AC132" i="1"/>
  <c r="AE132" i="1" s="1"/>
  <c r="L121" i="13"/>
  <c r="O121" i="13"/>
  <c r="AB133" i="1"/>
  <c r="AD133" i="1" s="1"/>
  <c r="K121" i="13"/>
  <c r="N121" i="13"/>
  <c r="AC133" i="1"/>
  <c r="AE133" i="1" s="1"/>
  <c r="J111" i="13"/>
  <c r="L111" i="13"/>
  <c r="AB134" i="1"/>
  <c r="AD134" i="1" s="1"/>
  <c r="N111" i="13"/>
  <c r="Q111" i="13"/>
  <c r="AC134" i="1"/>
  <c r="AE134" i="1" s="1"/>
  <c r="L48" i="12"/>
  <c r="AK135" i="1" s="1"/>
  <c r="AB135" i="1"/>
  <c r="AD135" i="1" s="1"/>
  <c r="K123" i="13"/>
  <c r="S123" i="13" s="1"/>
  <c r="AC135" i="1"/>
  <c r="AE135" i="1" s="1"/>
  <c r="L49" i="12"/>
  <c r="AK136" i="1" s="1"/>
  <c r="J225" i="19"/>
  <c r="AP136" i="1" s="1"/>
  <c r="AB136" i="1"/>
  <c r="AD136" i="1" s="1"/>
  <c r="K124" i="13"/>
  <c r="AC136" i="1"/>
  <c r="AE136" i="1" s="1"/>
  <c r="L50" i="12"/>
  <c r="AK137" i="1" s="1"/>
  <c r="J228" i="19"/>
  <c r="AP137" i="1" s="1"/>
  <c r="AB137" i="1"/>
  <c r="AD137" i="1" s="1"/>
  <c r="AC137" i="1"/>
  <c r="AE137" i="1" s="1"/>
  <c r="J227" i="19"/>
  <c r="AP139" i="1" s="1"/>
  <c r="AB139" i="1"/>
  <c r="AD139" i="1" s="1"/>
  <c r="G191" i="18"/>
  <c r="G184" i="23"/>
  <c r="G184" i="24"/>
  <c r="AC139" i="1"/>
  <c r="AE139" i="1" s="1"/>
  <c r="J230" i="19"/>
  <c r="AP140" i="1" s="1"/>
  <c r="AB140" i="1"/>
  <c r="AD140" i="1" s="1"/>
  <c r="G187" i="18"/>
  <c r="G180" i="23"/>
  <c r="G180" i="24"/>
  <c r="AC140" i="1"/>
  <c r="AE140" i="1" s="1"/>
  <c r="J224" i="19"/>
  <c r="AP141" i="1" s="1"/>
  <c r="AB141" i="1"/>
  <c r="AD141" i="1" s="1"/>
  <c r="G188" i="18"/>
  <c r="G181" i="23"/>
  <c r="G181" i="24"/>
  <c r="AC141" i="1"/>
  <c r="AE141" i="1" s="1"/>
  <c r="J231" i="19"/>
  <c r="AP142" i="1" s="1"/>
  <c r="AB142" i="1"/>
  <c r="AD142" i="1" s="1"/>
  <c r="AC142" i="1"/>
  <c r="AE142" i="1" s="1"/>
  <c r="J232" i="19"/>
  <c r="AP143" i="1" s="1"/>
  <c r="AB143" i="1"/>
  <c r="AD143" i="1" s="1"/>
  <c r="AC143" i="1"/>
  <c r="AE143" i="1" s="1"/>
  <c r="AC175" i="1"/>
  <c r="AE175" i="1" s="1"/>
  <c r="AW175" i="1" s="1"/>
  <c r="AB175" i="1"/>
  <c r="AD175" i="1" s="1"/>
  <c r="AV175" i="1" s="1"/>
  <c r="L287" i="19"/>
  <c r="AS177" i="1" s="1"/>
  <c r="AC177" i="1"/>
  <c r="AE177" i="1" s="1"/>
  <c r="AB177" i="1"/>
  <c r="AD177" i="1" s="1"/>
  <c r="AV177" i="1" s="1"/>
  <c r="L288" i="19"/>
  <c r="AS178" i="1" s="1"/>
  <c r="AC178" i="1"/>
  <c r="AE178" i="1" s="1"/>
  <c r="AB178" i="1"/>
  <c r="AD178" i="1" s="1"/>
  <c r="AV178" i="1" s="1"/>
  <c r="L289" i="19"/>
  <c r="AS179" i="1" s="1"/>
  <c r="AC179" i="1"/>
  <c r="AE179" i="1" s="1"/>
  <c r="AB179" i="1"/>
  <c r="AD179" i="1" s="1"/>
  <c r="AV179" i="1" s="1"/>
  <c r="L290" i="19"/>
  <c r="AS180" i="1" s="1"/>
  <c r="AC180" i="1"/>
  <c r="AE180" i="1" s="1"/>
  <c r="AB180" i="1"/>
  <c r="AD180" i="1" s="1"/>
  <c r="AV180" i="1" s="1"/>
  <c r="L291" i="19"/>
  <c r="AS181" i="1" s="1"/>
  <c r="AC181" i="1"/>
  <c r="AE181" i="1" s="1"/>
  <c r="AB181" i="1"/>
  <c r="AD181" i="1" s="1"/>
  <c r="AV181" i="1" s="1"/>
  <c r="AC184" i="1"/>
  <c r="AE184" i="1" s="1"/>
  <c r="AB184" i="1"/>
  <c r="AD184" i="1" s="1"/>
  <c r="AV184" i="1" s="1"/>
  <c r="AC185" i="1"/>
  <c r="AE185" i="1" s="1"/>
  <c r="AB185" i="1"/>
  <c r="AD185" i="1" s="1"/>
  <c r="AV185" i="1" s="1"/>
  <c r="L296" i="19"/>
  <c r="AS186" i="1" s="1"/>
  <c r="AC186" i="1"/>
  <c r="AE186" i="1" s="1"/>
  <c r="AB186" i="1"/>
  <c r="AD186" i="1" s="1"/>
  <c r="AV186" i="1" s="1"/>
  <c r="AC188" i="1"/>
  <c r="AE188" i="1" s="1"/>
  <c r="AW188" i="1" s="1"/>
  <c r="AB188" i="1"/>
  <c r="AD188" i="1" s="1"/>
  <c r="AV188" i="1" s="1"/>
  <c r="AB102" i="1"/>
  <c r="AD102" i="1" s="1"/>
  <c r="AV102" i="1" s="1"/>
  <c r="AC102" i="1"/>
  <c r="AE102" i="1" s="1"/>
  <c r="AW102" i="1" s="1"/>
  <c r="AB103" i="1"/>
  <c r="AD103" i="1" s="1"/>
  <c r="AV103" i="1" s="1"/>
  <c r="AC103" i="1"/>
  <c r="AE103" i="1" s="1"/>
  <c r="AW103" i="1" s="1"/>
  <c r="AB107" i="1"/>
  <c r="AD107" i="1" s="1"/>
  <c r="AV107" i="1" s="1"/>
  <c r="AC107" i="1"/>
  <c r="AE107" i="1" s="1"/>
  <c r="AW107" i="1" s="1"/>
  <c r="AB150" i="1"/>
  <c r="AD150" i="1" s="1"/>
  <c r="AV150" i="1" s="1"/>
  <c r="AC150" i="1"/>
  <c r="AE150" i="1" s="1"/>
  <c r="AW150" i="1" s="1"/>
  <c r="AB112" i="1"/>
  <c r="AD112" i="1" s="1"/>
  <c r="AV112" i="1" s="1"/>
  <c r="AC112" i="1"/>
  <c r="AE112" i="1" s="1"/>
  <c r="AW112" i="1" s="1"/>
  <c r="AB113" i="1"/>
  <c r="AD113" i="1" s="1"/>
  <c r="AV113" i="1" s="1"/>
  <c r="AC113" i="1"/>
  <c r="AE113" i="1" s="1"/>
  <c r="AW113" i="1" s="1"/>
  <c r="AB115" i="1"/>
  <c r="AD115" i="1" s="1"/>
  <c r="AV115" i="1" s="1"/>
  <c r="AC115" i="1"/>
  <c r="AE115" i="1" s="1"/>
  <c r="AW115" i="1" s="1"/>
  <c r="L292" i="19"/>
  <c r="AS182" i="1" s="1"/>
  <c r="AW182" i="1" s="1"/>
  <c r="AV182" i="1"/>
  <c r="AT364" i="1"/>
  <c r="AU364" i="1"/>
  <c r="J59" i="6"/>
  <c r="K134" i="2"/>
  <c r="L57" i="6"/>
  <c r="L54" i="6"/>
  <c r="L53" i="6"/>
  <c r="H44" i="6"/>
  <c r="AE261" i="11"/>
  <c r="K241" i="11" s="1"/>
  <c r="AF262" i="11"/>
  <c r="AF271" i="11"/>
  <c r="AF280" i="11"/>
  <c r="AE262" i="11"/>
  <c r="AE271" i="11"/>
  <c r="AE280" i="11"/>
  <c r="K146" i="11"/>
  <c r="M145" i="11" s="1"/>
  <c r="K130" i="11"/>
  <c r="M128" i="11" s="1"/>
  <c r="K109" i="11"/>
  <c r="K93" i="11"/>
  <c r="M92" i="11" s="1"/>
  <c r="M168" i="11"/>
  <c r="K168" i="11"/>
  <c r="I168" i="11"/>
  <c r="L189" i="11"/>
  <c r="M189" i="11"/>
  <c r="K189" i="11"/>
  <c r="I189" i="11"/>
  <c r="H168" i="11"/>
  <c r="H189" i="11"/>
  <c r="L289" i="11"/>
  <c r="AC182" i="1"/>
  <c r="AB182" i="1"/>
  <c r="AO356" i="1"/>
  <c r="AO252" i="1"/>
  <c r="AR198" i="1"/>
  <c r="AM361" i="1"/>
  <c r="AM340" i="1"/>
  <c r="AJ341" i="1"/>
  <c r="AR182" i="1"/>
  <c r="AB172" i="1"/>
  <c r="AD172" i="1" s="1"/>
  <c r="AV172" i="1" s="1"/>
  <c r="AB173" i="1"/>
  <c r="AD173" i="1" s="1"/>
  <c r="AV173" i="1" s="1"/>
  <c r="AB174" i="1"/>
  <c r="AD174" i="1" s="1"/>
  <c r="AB189" i="1"/>
  <c r="AD189" i="1" s="1"/>
  <c r="AV189" i="1" s="1"/>
  <c r="AB363" i="1"/>
  <c r="AD363" i="1" s="1"/>
  <c r="AV363" i="1" s="1"/>
  <c r="AC202" i="1"/>
  <c r="AE202" i="1" s="1"/>
  <c r="AC173" i="1"/>
  <c r="AE173" i="1" s="1"/>
  <c r="AW173" i="1" s="1"/>
  <c r="AM325" i="1"/>
  <c r="AJ317" i="1"/>
  <c r="AJ308" i="1"/>
  <c r="AJ299" i="1"/>
  <c r="AJ290" i="1"/>
  <c r="AJ281" i="1"/>
  <c r="AJ272" i="1"/>
  <c r="AJ261" i="1"/>
  <c r="AC172" i="1"/>
  <c r="AE172" i="1" s="1"/>
  <c r="AW172" i="1" s="1"/>
  <c r="AC174" i="1"/>
  <c r="AE174" i="1" s="1"/>
  <c r="AC189" i="1"/>
  <c r="AE189" i="1" s="1"/>
  <c r="AW189" i="1" s="1"/>
  <c r="AC363" i="1"/>
  <c r="AE363" i="1" s="1"/>
  <c r="AW363" i="1" s="1"/>
  <c r="T364" i="1"/>
  <c r="U364" i="1"/>
  <c r="V364" i="1"/>
  <c r="W364" i="1"/>
  <c r="X364" i="1"/>
  <c r="Y364" i="1"/>
  <c r="F364" i="1"/>
  <c r="G364" i="1"/>
  <c r="AM202" i="1"/>
  <c r="AJ202" i="1"/>
  <c r="AJ143" i="1"/>
  <c r="AJ142" i="1"/>
  <c r="AJ360" i="1"/>
  <c r="AJ58" i="1"/>
  <c r="AM58" i="1"/>
  <c r="AR187" i="1"/>
  <c r="AR186" i="1"/>
  <c r="AR185" i="1"/>
  <c r="AR184" i="1"/>
  <c r="AR181" i="1"/>
  <c r="AR180" i="1"/>
  <c r="AR179" i="1"/>
  <c r="AR178" i="1"/>
  <c r="AR177" i="1"/>
  <c r="AR176" i="1"/>
  <c r="AO168" i="1"/>
  <c r="AO131" i="1"/>
  <c r="AR129" i="1"/>
  <c r="AR128" i="1"/>
  <c r="AR125" i="1"/>
  <c r="AR124" i="1"/>
  <c r="AR123" i="1"/>
  <c r="AR122" i="1"/>
  <c r="AR121" i="1"/>
  <c r="AO143" i="1"/>
  <c r="AO142" i="1"/>
  <c r="AO137" i="1"/>
  <c r="AO139" i="1"/>
  <c r="AO136" i="1"/>
  <c r="AO141" i="1"/>
  <c r="AJ15" i="1"/>
  <c r="AR166" i="1"/>
  <c r="AO166" i="1"/>
  <c r="AR317" i="1"/>
  <c r="AO317" i="1"/>
  <c r="AR308" i="1"/>
  <c r="AO308" i="1"/>
  <c r="AR299" i="1"/>
  <c r="AO299" i="1"/>
  <c r="AR290" i="1"/>
  <c r="AO290" i="1"/>
  <c r="AR281" i="1"/>
  <c r="AO281" i="1"/>
  <c r="AR272" i="1"/>
  <c r="AO272" i="1"/>
  <c r="AR261" i="1"/>
  <c r="AO261" i="1"/>
  <c r="AR251" i="1"/>
  <c r="AO251" i="1"/>
  <c r="AO29" i="1"/>
  <c r="AR29" i="1"/>
  <c r="AR244" i="1"/>
  <c r="AR245" i="1"/>
  <c r="AR240" i="1"/>
  <c r="AR235" i="1"/>
  <c r="AR230" i="1"/>
  <c r="AR225" i="1"/>
  <c r="AR220" i="1"/>
  <c r="AR215" i="1"/>
  <c r="AR209" i="1"/>
  <c r="AR239" i="1"/>
  <c r="AR234" i="1"/>
  <c r="AR229" i="1"/>
  <c r="AR224" i="1"/>
  <c r="AR219" i="1"/>
  <c r="AR213" i="1"/>
  <c r="AR208" i="1"/>
  <c r="AO197" i="1"/>
  <c r="AR330" i="1"/>
  <c r="AO315" i="1"/>
  <c r="AO306" i="1"/>
  <c r="AO297" i="1"/>
  <c r="AO288" i="1"/>
  <c r="AO279" i="1"/>
  <c r="AO270" i="1"/>
  <c r="AO259" i="1"/>
  <c r="AO250" i="1"/>
  <c r="AR127" i="1"/>
  <c r="AO140" i="1"/>
  <c r="AR271" i="1"/>
  <c r="AR250" i="1"/>
  <c r="AO218" i="1"/>
  <c r="AO207" i="1"/>
  <c r="AR114" i="1"/>
  <c r="AO106" i="1"/>
  <c r="AR24" i="1"/>
  <c r="AO25" i="1"/>
  <c r="AJ14" i="1"/>
  <c r="AJ13" i="1"/>
  <c r="AJ352" i="1"/>
  <c r="AJ351" i="1"/>
  <c r="AR34" i="1"/>
  <c r="AR23" i="1"/>
  <c r="AO28" i="1"/>
  <c r="AO105" i="1"/>
  <c r="AO117" i="1"/>
  <c r="AR33" i="1"/>
  <c r="AR22" i="1"/>
  <c r="AO116" i="1"/>
  <c r="AO104" i="1"/>
  <c r="AR341" i="1"/>
  <c r="AO340" i="1"/>
  <c r="AQ364" i="1"/>
  <c r="AM143" i="1"/>
  <c r="AM142" i="1"/>
  <c r="AM141" i="1"/>
  <c r="AM140" i="1"/>
  <c r="AJ140" i="1"/>
  <c r="AM357" i="1"/>
  <c r="AJ357" i="1"/>
  <c r="AM356" i="1"/>
  <c r="AJ356" i="1"/>
  <c r="AM317" i="1"/>
  <c r="AJ316" i="1"/>
  <c r="AM308" i="1"/>
  <c r="AJ307" i="1"/>
  <c r="AM299" i="1"/>
  <c r="AJ298" i="1"/>
  <c r="AM290" i="1"/>
  <c r="AJ289" i="1"/>
  <c r="AM281" i="1"/>
  <c r="AJ280" i="1"/>
  <c r="AM272" i="1"/>
  <c r="AJ271" i="1"/>
  <c r="AM261" i="1"/>
  <c r="AJ260" i="1"/>
  <c r="AM251" i="1"/>
  <c r="AJ252" i="1"/>
  <c r="AM167" i="1"/>
  <c r="AM316" i="1"/>
  <c r="AM307" i="1"/>
  <c r="AM298" i="1"/>
  <c r="AM289" i="1"/>
  <c r="AM280" i="1"/>
  <c r="AJ201" i="1"/>
  <c r="AM271" i="1"/>
  <c r="AM260" i="1"/>
  <c r="AM250" i="1"/>
  <c r="AJ35" i="1"/>
  <c r="AJ81" i="1"/>
  <c r="AM137" i="1"/>
  <c r="AM136" i="1"/>
  <c r="AM135" i="1"/>
  <c r="AM132" i="1"/>
  <c r="AJ132" i="1"/>
  <c r="AM133" i="1"/>
  <c r="AJ133" i="1"/>
  <c r="AM347" i="1"/>
  <c r="AM346" i="1"/>
  <c r="AJ330" i="1"/>
  <c r="AM334" i="1"/>
  <c r="AM332" i="1"/>
  <c r="AJ251" i="1"/>
  <c r="AM84" i="1"/>
  <c r="AJ41" i="1"/>
  <c r="AJ84" i="1"/>
  <c r="AM36" i="1"/>
  <c r="AJ36" i="1"/>
  <c r="AM134" i="1"/>
  <c r="AJ134" i="1"/>
  <c r="AJ345" i="1"/>
  <c r="AJ344" i="1"/>
  <c r="AJ343" i="1"/>
  <c r="AJ342" i="1"/>
  <c r="AM330" i="1"/>
  <c r="AJ119" i="1"/>
  <c r="AM119" i="1"/>
  <c r="AJ165" i="1"/>
  <c r="AM329" i="1"/>
  <c r="AJ137" i="1"/>
  <c r="AJ136" i="1"/>
  <c r="AJ135" i="1"/>
  <c r="AJ131" i="1"/>
  <c r="AM200" i="1"/>
  <c r="AJ79" i="1"/>
  <c r="AJ69" i="1"/>
  <c r="AJ65" i="1"/>
  <c r="AJ61" i="1"/>
  <c r="AJ57" i="1"/>
  <c r="AJ53" i="1"/>
  <c r="AJ49" i="1"/>
  <c r="AJ43" i="1"/>
  <c r="AM360" i="1"/>
  <c r="AJ200" i="1"/>
  <c r="AM199" i="1"/>
  <c r="AM77" i="1"/>
  <c r="AJ78" i="1"/>
  <c r="AM67" i="1"/>
  <c r="AJ68" i="1"/>
  <c r="AM63" i="1"/>
  <c r="AJ64" i="1"/>
  <c r="AM59" i="1"/>
  <c r="AJ60" i="1"/>
  <c r="AM55" i="1"/>
  <c r="AJ56" i="1"/>
  <c r="AM51" i="1"/>
  <c r="AJ52" i="1"/>
  <c r="AM47" i="1"/>
  <c r="AJ48" i="1"/>
  <c r="AM41" i="1"/>
  <c r="AJ42" i="1"/>
  <c r="AJ250" i="1"/>
  <c r="AJ199" i="1"/>
  <c r="AJ348" i="1"/>
  <c r="AJ66" i="1"/>
  <c r="AJ80" i="1"/>
  <c r="AJ70" i="1"/>
  <c r="AJ62" i="1"/>
  <c r="AJ54" i="1"/>
  <c r="AJ50" i="1"/>
  <c r="AM324" i="1"/>
  <c r="AM315" i="1"/>
  <c r="AM306" i="1"/>
  <c r="AM297" i="1"/>
  <c r="AM288" i="1"/>
  <c r="AM279" i="1"/>
  <c r="AM270" i="1"/>
  <c r="AM259" i="1"/>
  <c r="AM249" i="1"/>
  <c r="AJ77" i="1"/>
  <c r="AJ67" i="1"/>
  <c r="AJ63" i="1"/>
  <c r="AJ59" i="1"/>
  <c r="AJ55" i="1"/>
  <c r="AJ51" i="1"/>
  <c r="AJ47" i="1"/>
  <c r="AJ45" i="1"/>
  <c r="AM166" i="1"/>
  <c r="AJ215" i="1"/>
  <c r="AM245" i="1"/>
  <c r="AM244" i="1"/>
  <c r="AM243" i="1"/>
  <c r="AJ245" i="1"/>
  <c r="AJ244" i="1"/>
  <c r="AJ243" i="1"/>
  <c r="AM240" i="1"/>
  <c r="AM239" i="1"/>
  <c r="AM238" i="1"/>
  <c r="AJ240" i="1"/>
  <c r="AJ239" i="1"/>
  <c r="AJ238" i="1"/>
  <c r="AM235" i="1"/>
  <c r="AM234" i="1"/>
  <c r="AM233" i="1"/>
  <c r="AJ235" i="1"/>
  <c r="AJ234" i="1"/>
  <c r="AJ233" i="1"/>
  <c r="AM230" i="1"/>
  <c r="AM229" i="1"/>
  <c r="AJ230" i="1"/>
  <c r="AJ229" i="1"/>
  <c r="AM228" i="1"/>
  <c r="AJ228" i="1"/>
  <c r="AM225" i="1"/>
  <c r="AM224" i="1"/>
  <c r="AJ225" i="1"/>
  <c r="AJ224" i="1"/>
  <c r="AM223" i="1"/>
  <c r="AJ223" i="1"/>
  <c r="AM220" i="1"/>
  <c r="AM219" i="1"/>
  <c r="AJ220" i="1"/>
  <c r="AJ219" i="1"/>
  <c r="AM218" i="1"/>
  <c r="AJ218" i="1"/>
  <c r="AM215" i="1"/>
  <c r="AM213" i="1"/>
  <c r="AJ213" i="1"/>
  <c r="AM212" i="1"/>
  <c r="AJ212" i="1"/>
  <c r="AM209" i="1"/>
  <c r="AM208" i="1"/>
  <c r="AM207" i="1"/>
  <c r="AJ209" i="1"/>
  <c r="AJ208" i="1"/>
  <c r="AJ207" i="1"/>
  <c r="AM198" i="1"/>
  <c r="AJ198" i="1"/>
  <c r="AM197" i="1"/>
  <c r="AM196" i="1"/>
  <c r="AJ197" i="1"/>
  <c r="AJ196" i="1"/>
  <c r="AM195" i="1"/>
  <c r="AJ195" i="1"/>
  <c r="AM194" i="1"/>
  <c r="AJ194" i="1"/>
  <c r="AM193" i="1"/>
  <c r="AJ193" i="1"/>
  <c r="AM192" i="1"/>
  <c r="AJ192" i="1"/>
  <c r="AM151" i="1"/>
  <c r="AJ109" i="1"/>
  <c r="AM191" i="1"/>
  <c r="AJ191" i="1"/>
  <c r="AJ151" i="1"/>
  <c r="AM165" i="1"/>
  <c r="AM80" i="1"/>
  <c r="AM70" i="1"/>
  <c r="AM66" i="1"/>
  <c r="AM62" i="1"/>
  <c r="AM54" i="1"/>
  <c r="AM50" i="1"/>
  <c r="AJ336" i="1"/>
  <c r="AJ315" i="1"/>
  <c r="AJ306" i="1"/>
  <c r="AJ297" i="1"/>
  <c r="AJ288" i="1"/>
  <c r="AJ279" i="1"/>
  <c r="AJ270" i="1"/>
  <c r="AJ259" i="1"/>
  <c r="AJ249" i="1"/>
  <c r="AF364" i="1"/>
  <c r="L364" i="1"/>
  <c r="I364" i="1"/>
  <c r="K364" i="1"/>
  <c r="M364" i="1"/>
  <c r="O364" i="1"/>
  <c r="Q364" i="1"/>
  <c r="S364" i="1"/>
  <c r="H364" i="1"/>
  <c r="J364" i="1"/>
  <c r="N364" i="1"/>
  <c r="P364" i="1"/>
  <c r="R364" i="1"/>
  <c r="AC365" i="1"/>
  <c r="AE365" i="1" s="1"/>
  <c r="AC369" i="1"/>
  <c r="AE369" i="1" s="1"/>
  <c r="AC370" i="1"/>
  <c r="AE370" i="1" s="1"/>
  <c r="AC371" i="1"/>
  <c r="AE371" i="1" s="1"/>
  <c r="G33" i="5"/>
  <c r="G48" i="3"/>
  <c r="T84" i="4"/>
  <c r="T73" i="4"/>
  <c r="T76" i="4"/>
  <c r="T79" i="4"/>
  <c r="R82" i="4"/>
  <c r="S82" i="4"/>
  <c r="T78" i="4"/>
  <c r="Q82" i="4"/>
  <c r="P82" i="4"/>
  <c r="O82" i="4"/>
  <c r="M82" i="4"/>
  <c r="L82" i="4"/>
  <c r="L52" i="12"/>
  <c r="N48" i="12"/>
  <c r="N49" i="12"/>
  <c r="N50" i="12"/>
  <c r="N47" i="12"/>
  <c r="M59" i="12"/>
  <c r="R123" i="13"/>
  <c r="K58" i="13"/>
  <c r="K50" i="13"/>
  <c r="S106" i="13"/>
  <c r="S108" i="13"/>
  <c r="S109" i="13"/>
  <c r="S110" i="13"/>
  <c r="S114" i="13"/>
  <c r="S118" i="13"/>
  <c r="R115" i="13"/>
  <c r="R117" i="13"/>
  <c r="N88" i="13" s="1"/>
  <c r="AN334" i="1" s="1"/>
  <c r="R119" i="13"/>
  <c r="R120" i="13"/>
  <c r="R124" i="13"/>
  <c r="P128" i="13"/>
  <c r="M128" i="13"/>
  <c r="J30" i="13"/>
  <c r="K75" i="14"/>
  <c r="S127" i="14"/>
  <c r="N105" i="14" s="1"/>
  <c r="S128" i="14"/>
  <c r="N106" i="14" s="1"/>
  <c r="S129" i="14"/>
  <c r="N107" i="14" s="1"/>
  <c r="S130" i="14"/>
  <c r="N108" i="14" s="1"/>
  <c r="S131" i="14"/>
  <c r="N109" i="14" s="1"/>
  <c r="R132" i="14"/>
  <c r="L110" i="14" s="1"/>
  <c r="R133" i="14"/>
  <c r="L111" i="14" s="1"/>
  <c r="R134" i="14"/>
  <c r="L112" i="14" s="1"/>
  <c r="R135" i="14"/>
  <c r="L113" i="14" s="1"/>
  <c r="R136" i="14"/>
  <c r="L114" i="14" s="1"/>
  <c r="R137" i="14"/>
  <c r="L115" i="14" s="1"/>
  <c r="R138" i="14"/>
  <c r="L116" i="14" s="1"/>
  <c r="R139" i="14"/>
  <c r="L117" i="14" s="1"/>
  <c r="R141" i="14"/>
  <c r="L119" i="14" s="1"/>
  <c r="K98" i="14"/>
  <c r="N86" i="14"/>
  <c r="AA231" i="15"/>
  <c r="O140" i="15"/>
  <c r="O142" i="15" s="1"/>
  <c r="J140" i="15"/>
  <c r="J142" i="15" s="1"/>
  <c r="N140" i="15"/>
  <c r="N142" i="15" s="1"/>
  <c r="L140" i="15"/>
  <c r="L142" i="15" s="1"/>
  <c r="H140" i="15"/>
  <c r="H142" i="15" s="1"/>
  <c r="G140" i="15"/>
  <c r="G142" i="15" s="1"/>
  <c r="O123" i="15"/>
  <c r="N123" i="15"/>
  <c r="N79" i="15"/>
  <c r="O75" i="15" s="1"/>
  <c r="J79" i="15"/>
  <c r="L75" i="15" s="1"/>
  <c r="G79" i="15"/>
  <c r="H75" i="15" s="1"/>
  <c r="N64" i="15"/>
  <c r="N48" i="15"/>
  <c r="H48" i="15"/>
  <c r="N35" i="15"/>
  <c r="H35" i="15"/>
  <c r="M233" i="15"/>
  <c r="I233" i="15"/>
  <c r="M89" i="15"/>
  <c r="G226" i="18"/>
  <c r="E127" i="18"/>
  <c r="C153" i="18"/>
  <c r="C152" i="18"/>
  <c r="C145" i="18"/>
  <c r="C144" i="18"/>
  <c r="C143" i="18"/>
  <c r="G219" i="23"/>
  <c r="E121" i="23"/>
  <c r="C147" i="23"/>
  <c r="C146" i="23"/>
  <c r="C139" i="23"/>
  <c r="C138" i="23"/>
  <c r="C137" i="23"/>
  <c r="G219" i="24"/>
  <c r="E121" i="24"/>
  <c r="C147" i="24"/>
  <c r="C146" i="24"/>
  <c r="C139" i="24"/>
  <c r="C138" i="24"/>
  <c r="C137" i="24"/>
  <c r="N160" i="19"/>
  <c r="L160" i="19"/>
  <c r="N102" i="19"/>
  <c r="C80" i="22"/>
  <c r="G25" i="22"/>
  <c r="G21" i="22"/>
  <c r="G24" i="22"/>
  <c r="G17" i="22"/>
  <c r="G20" i="22"/>
  <c r="G18" i="22"/>
  <c r="G19" i="22"/>
  <c r="G22" i="22"/>
  <c r="G26" i="22"/>
  <c r="G89" i="22"/>
  <c r="G90" i="22"/>
  <c r="G92" i="22"/>
  <c r="G95" i="22"/>
  <c r="G96" i="22"/>
  <c r="G98" i="22"/>
  <c r="G99" i="22"/>
  <c r="F93" i="22"/>
  <c r="F100" i="22" s="1"/>
  <c r="E93" i="22"/>
  <c r="E100" i="22" s="1"/>
  <c r="D94" i="22"/>
  <c r="C93" i="22"/>
  <c r="C100" i="22" s="1"/>
  <c r="F29" i="22"/>
  <c r="E29" i="22"/>
  <c r="D29" i="22"/>
  <c r="C29" i="22"/>
  <c r="G36" i="22"/>
  <c r="G37" i="22"/>
  <c r="G38" i="22"/>
  <c r="G39" i="22"/>
  <c r="G40" i="22"/>
  <c r="G41" i="22"/>
  <c r="F43" i="22"/>
  <c r="E43" i="22"/>
  <c r="D43" i="22"/>
  <c r="C43" i="22"/>
  <c r="G120" i="23"/>
  <c r="G121" i="23" s="1"/>
  <c r="G52" i="23"/>
  <c r="G147" i="23" s="1"/>
  <c r="G216" i="23" s="1"/>
  <c r="D364" i="1"/>
  <c r="E364" i="1"/>
  <c r="L286" i="19"/>
  <c r="AS176" i="1" s="1"/>
  <c r="G39" i="23"/>
  <c r="G31" i="3"/>
  <c r="L64" i="5"/>
  <c r="AN50" i="1" s="1"/>
  <c r="AE288" i="11"/>
  <c r="K240" i="11" s="1"/>
  <c r="AK245" i="1" s="1"/>
  <c r="H89" i="2"/>
  <c r="H39" i="2"/>
  <c r="AK41" i="1"/>
  <c r="AB303" i="4" l="1"/>
  <c r="O272" i="4"/>
  <c r="AN68" i="1" s="1"/>
  <c r="AW68" i="1" s="1"/>
  <c r="AN56" i="1"/>
  <c r="AN74" i="1"/>
  <c r="AW74" i="1" s="1"/>
  <c r="AK57" i="1"/>
  <c r="AK75" i="1"/>
  <c r="AV75" i="1" s="1"/>
  <c r="AK56" i="1"/>
  <c r="AK74" i="1"/>
  <c r="AV74" i="1" s="1"/>
  <c r="AN78" i="1"/>
  <c r="AK79" i="1"/>
  <c r="AK78" i="1"/>
  <c r="AN58" i="1"/>
  <c r="AN76" i="1"/>
  <c r="AW76" i="1" s="1"/>
  <c r="AK77" i="1"/>
  <c r="AK55" i="1"/>
  <c r="AV73" i="1"/>
  <c r="S137" i="14"/>
  <c r="N115" i="14" s="1"/>
  <c r="AN298" i="1" s="1"/>
  <c r="AW298" i="1" s="1"/>
  <c r="M107" i="11"/>
  <c r="S112" i="13"/>
  <c r="N83" i="13" s="1"/>
  <c r="AN36" i="1" s="1"/>
  <c r="AW36" i="1" s="1"/>
  <c r="S141" i="14"/>
  <c r="N119" i="14" s="1"/>
  <c r="AN167" i="1" s="1"/>
  <c r="U289" i="11"/>
  <c r="AE284" i="11"/>
  <c r="K236" i="11" s="1"/>
  <c r="AK225" i="1" s="1"/>
  <c r="AV225" i="1" s="1"/>
  <c r="AE265" i="11"/>
  <c r="K217" i="11" s="1"/>
  <c r="AK218" i="1" s="1"/>
  <c r="AV218" i="1" s="1"/>
  <c r="AB307" i="4"/>
  <c r="M221" i="4" s="1"/>
  <c r="AK80" i="1" s="1"/>
  <c r="AV80" i="1" s="1"/>
  <c r="S115" i="13"/>
  <c r="AC317" i="4"/>
  <c r="O231" i="4" s="1"/>
  <c r="AN59" i="1" s="1"/>
  <c r="AW59" i="1" s="1"/>
  <c r="N202" i="15"/>
  <c r="AW168" i="1" s="1"/>
  <c r="AG365" i="1"/>
  <c r="M167" i="4"/>
  <c r="M184" i="4" s="1"/>
  <c r="J207" i="4" s="1"/>
  <c r="E137" i="23"/>
  <c r="AF285" i="11"/>
  <c r="M237" i="11" s="1"/>
  <c r="AN230" i="1" s="1"/>
  <c r="AW230" i="1" s="1"/>
  <c r="AE287" i="11"/>
  <c r="K239" i="11" s="1"/>
  <c r="AK240" i="1" s="1"/>
  <c r="AV240" i="1" s="1"/>
  <c r="O289" i="11"/>
  <c r="AE281" i="11"/>
  <c r="K233" i="11" s="1"/>
  <c r="AK209" i="1" s="1"/>
  <c r="AV209" i="1" s="1"/>
  <c r="AS165" i="1"/>
  <c r="S138" i="14"/>
  <c r="N116" i="14" s="1"/>
  <c r="AN307" i="1" s="1"/>
  <c r="AW307" i="1" s="1"/>
  <c r="L97" i="14"/>
  <c r="N190" i="19"/>
  <c r="L194" i="19" s="1"/>
  <c r="AF288" i="11"/>
  <c r="M240" i="11" s="1"/>
  <c r="AN245" i="1" s="1"/>
  <c r="AW245" i="1" s="1"/>
  <c r="R111" i="13"/>
  <c r="L82" i="13" s="1"/>
  <c r="AK134" i="1" s="1"/>
  <c r="AV134" i="1" s="1"/>
  <c r="E142" i="23"/>
  <c r="G205" i="23" s="1"/>
  <c r="Q227" i="15"/>
  <c r="Q233" i="15" s="1"/>
  <c r="O227" i="15"/>
  <c r="AX333" i="1"/>
  <c r="AY242" i="1"/>
  <c r="G48" i="23"/>
  <c r="E65" i="23" s="1"/>
  <c r="R110" i="13"/>
  <c r="L81" i="13" s="1"/>
  <c r="AK345" i="1" s="1"/>
  <c r="AV345" i="1" s="1"/>
  <c r="AX345" i="1" s="1"/>
  <c r="J252" i="19"/>
  <c r="AP197" i="1" s="1"/>
  <c r="AV197" i="1" s="1"/>
  <c r="G142" i="14"/>
  <c r="Z364" i="4"/>
  <c r="H142" i="14"/>
  <c r="AV244" i="1"/>
  <c r="AE269" i="11"/>
  <c r="K221" i="11" s="1"/>
  <c r="AK238" i="1" s="1"/>
  <c r="AV238" i="1" s="1"/>
  <c r="AS207" i="1"/>
  <c r="W364" i="4"/>
  <c r="G43" i="23"/>
  <c r="E141" i="23" s="1"/>
  <c r="G204" i="23" s="1"/>
  <c r="O128" i="13"/>
  <c r="N94" i="13"/>
  <c r="AN135" i="1" s="1"/>
  <c r="AW135" i="1" s="1"/>
  <c r="AP249" i="1"/>
  <c r="AV249" i="1" s="1"/>
  <c r="AE285" i="11"/>
  <c r="K237" i="11" s="1"/>
  <c r="AK230" i="1" s="1"/>
  <c r="AV230" i="1" s="1"/>
  <c r="AF266" i="11"/>
  <c r="M218" i="11" s="1"/>
  <c r="AN223" i="1" s="1"/>
  <c r="AW223" i="1" s="1"/>
  <c r="AE266" i="11"/>
  <c r="K218" i="11" s="1"/>
  <c r="AK223" i="1" s="1"/>
  <c r="AV223" i="1" s="1"/>
  <c r="K289" i="11"/>
  <c r="AE255" i="11"/>
  <c r="K208" i="11" s="1"/>
  <c r="AK193" i="1" s="1"/>
  <c r="AV193" i="1" s="1"/>
  <c r="AB306" i="4"/>
  <c r="M220" i="4" s="1"/>
  <c r="AV70" i="1" s="1"/>
  <c r="AC319" i="4"/>
  <c r="O235" i="4" s="1"/>
  <c r="AN67" i="1" s="1"/>
  <c r="AW67" i="1" s="1"/>
  <c r="R121" i="13"/>
  <c r="L92" i="13" s="1"/>
  <c r="AK133" i="1" s="1"/>
  <c r="AV133" i="1" s="1"/>
  <c r="J128" i="13"/>
  <c r="N86" i="13"/>
  <c r="AN332" i="1" s="1"/>
  <c r="AW332" i="1" s="1"/>
  <c r="AX332" i="1" s="1"/>
  <c r="AW63" i="1"/>
  <c r="S311" i="4"/>
  <c r="AB311" i="4" s="1"/>
  <c r="M225" i="4" s="1"/>
  <c r="AK250" i="1" s="1"/>
  <c r="AV250" i="1" s="1"/>
  <c r="G44" i="24"/>
  <c r="E142" i="24" s="1"/>
  <c r="G205" i="24" s="1"/>
  <c r="AC289" i="11"/>
  <c r="G53" i="23"/>
  <c r="G148" i="23" s="1"/>
  <c r="G217" i="23" s="1"/>
  <c r="G56" i="23"/>
  <c r="AN137" i="1"/>
  <c r="AW137" i="1" s="1"/>
  <c r="G54" i="23"/>
  <c r="G149" i="23" s="1"/>
  <c r="G218" i="23" s="1"/>
  <c r="AF265" i="11"/>
  <c r="M217" i="11" s="1"/>
  <c r="AN218" i="1" s="1"/>
  <c r="AW218" i="1" s="1"/>
  <c r="AF273" i="11"/>
  <c r="M225" i="11" s="1"/>
  <c r="AN213" i="1" s="1"/>
  <c r="AW213" i="1" s="1"/>
  <c r="AE273" i="11"/>
  <c r="K225" i="11" s="1"/>
  <c r="AK213" i="1" s="1"/>
  <c r="AV213" i="1" s="1"/>
  <c r="AF281" i="11"/>
  <c r="M233" i="11" s="1"/>
  <c r="AN209" i="1" s="1"/>
  <c r="AW209" i="1" s="1"/>
  <c r="AF263" i="11"/>
  <c r="M215" i="11" s="1"/>
  <c r="AN207" i="1" s="1"/>
  <c r="AV196" i="1"/>
  <c r="AB309" i="4"/>
  <c r="M223" i="4" s="1"/>
  <c r="AK348" i="1" s="1"/>
  <c r="AV348" i="1" s="1"/>
  <c r="AY348" i="1" s="1"/>
  <c r="AB302" i="4"/>
  <c r="M216" i="4" s="1"/>
  <c r="AK58" i="1" s="1"/>
  <c r="AV58" i="1" s="1"/>
  <c r="X364" i="4"/>
  <c r="G58" i="23"/>
  <c r="AA364" i="4"/>
  <c r="AV351" i="1"/>
  <c r="AY351" i="1" s="1"/>
  <c r="G40" i="23"/>
  <c r="E138" i="23" s="1"/>
  <c r="G201" i="23" s="1"/>
  <c r="G46" i="23"/>
  <c r="E144" i="23" s="1"/>
  <c r="G207" i="23" s="1"/>
  <c r="Z289" i="11"/>
  <c r="S289" i="11"/>
  <c r="R109" i="13"/>
  <c r="E58" i="23"/>
  <c r="E62" i="23" s="1"/>
  <c r="AW78" i="1"/>
  <c r="L322" i="4"/>
  <c r="AB322" i="4" s="1"/>
  <c r="M238" i="4" s="1"/>
  <c r="AK360" i="1" s="1"/>
  <c r="AV360" i="1" s="1"/>
  <c r="AC320" i="4"/>
  <c r="O236" i="4" s="1"/>
  <c r="R364" i="4"/>
  <c r="Y364" i="4"/>
  <c r="L51" i="14"/>
  <c r="G42" i="23"/>
  <c r="E140" i="23" s="1"/>
  <c r="G203" i="23" s="1"/>
  <c r="G45" i="23"/>
  <c r="E143" i="23" s="1"/>
  <c r="G206" i="23" s="1"/>
  <c r="G41" i="23"/>
  <c r="E139" i="23" s="1"/>
  <c r="G202" i="23" s="1"/>
  <c r="G51" i="23"/>
  <c r="G146" i="23" s="1"/>
  <c r="G215" i="23" s="1"/>
  <c r="L89" i="13"/>
  <c r="AK330" i="1" s="1"/>
  <c r="O189" i="11"/>
  <c r="O185" i="11" s="1"/>
  <c r="O168" i="11"/>
  <c r="O164" i="11" s="1"/>
  <c r="AF270" i="11"/>
  <c r="M222" i="11" s="1"/>
  <c r="AN243" i="1" s="1"/>
  <c r="AW243" i="1" s="1"/>
  <c r="AE270" i="11"/>
  <c r="K222" i="11" s="1"/>
  <c r="AK243" i="1" s="1"/>
  <c r="AV243" i="1" s="1"/>
  <c r="AF287" i="11"/>
  <c r="M239" i="11" s="1"/>
  <c r="AN240" i="1" s="1"/>
  <c r="AW240" i="1" s="1"/>
  <c r="AE267" i="11"/>
  <c r="K219" i="11" s="1"/>
  <c r="AK228" i="1" s="1"/>
  <c r="AV228" i="1" s="1"/>
  <c r="AF284" i="11"/>
  <c r="M236" i="11" s="1"/>
  <c r="AN225" i="1" s="1"/>
  <c r="AW225" i="1" s="1"/>
  <c r="AE263" i="11"/>
  <c r="K215" i="11" s="1"/>
  <c r="AK207" i="1" s="1"/>
  <c r="AV207" i="1" s="1"/>
  <c r="T289" i="11"/>
  <c r="S133" i="14"/>
  <c r="N111" i="14" s="1"/>
  <c r="AN260" i="1" s="1"/>
  <c r="AW260" i="1" s="1"/>
  <c r="O142" i="14"/>
  <c r="D366" i="1"/>
  <c r="L74" i="14"/>
  <c r="AW200" i="1"/>
  <c r="AV68" i="1"/>
  <c r="AE283" i="11"/>
  <c r="K235" i="11" s="1"/>
  <c r="AK220" i="1" s="1"/>
  <c r="AV220" i="1" s="1"/>
  <c r="W289" i="11"/>
  <c r="G41" i="24"/>
  <c r="E139" i="24" s="1"/>
  <c r="G202" i="24" s="1"/>
  <c r="G53" i="24"/>
  <c r="G148" i="24" s="1"/>
  <c r="G217" i="24" s="1"/>
  <c r="G42" i="24"/>
  <c r="E140" i="24" s="1"/>
  <c r="G203" i="24" s="1"/>
  <c r="E58" i="24"/>
  <c r="E62" i="24" s="1"/>
  <c r="G43" i="24"/>
  <c r="E141" i="24" s="1"/>
  <c r="G204" i="24" s="1"/>
  <c r="R112" i="13"/>
  <c r="L83" i="13" s="1"/>
  <c r="AK36" i="1" s="1"/>
  <c r="AV36" i="1" s="1"/>
  <c r="M322" i="4"/>
  <c r="AC322" i="4" s="1"/>
  <c r="O238" i="4" s="1"/>
  <c r="AN360" i="1" s="1"/>
  <c r="AW360" i="1" s="1"/>
  <c r="Q364" i="4"/>
  <c r="Z229" i="15"/>
  <c r="L198" i="15" s="1"/>
  <c r="AK142" i="1" s="1"/>
  <c r="AV142" i="1" s="1"/>
  <c r="L128" i="13"/>
  <c r="S121" i="13"/>
  <c r="N92" i="13" s="1"/>
  <c r="AN133" i="1" s="1"/>
  <c r="AW133" i="1" s="1"/>
  <c r="N142" i="14"/>
  <c r="J55" i="6"/>
  <c r="J61" i="6" s="1"/>
  <c r="L55" i="6"/>
  <c r="AN165" i="1" s="1"/>
  <c r="AV165" i="1"/>
  <c r="R127" i="14"/>
  <c r="L105" i="14" s="1"/>
  <c r="AK81" i="1" s="1"/>
  <c r="AV81" i="1" s="1"/>
  <c r="AF261" i="11"/>
  <c r="AC315" i="4"/>
  <c r="O229" i="4" s="1"/>
  <c r="AN51" i="1" s="1"/>
  <c r="AW51" i="1" s="1"/>
  <c r="AC314" i="4"/>
  <c r="O228" i="4" s="1"/>
  <c r="AN47" i="1" s="1"/>
  <c r="AW47" i="1" s="1"/>
  <c r="AC313" i="4"/>
  <c r="O227" i="4" s="1"/>
  <c r="AB289" i="11"/>
  <c r="G45" i="24"/>
  <c r="E143" i="24" s="1"/>
  <c r="G206" i="24" s="1"/>
  <c r="Y289" i="11"/>
  <c r="T82" i="4"/>
  <c r="U84" i="4" s="1"/>
  <c r="V364" i="4"/>
  <c r="V233" i="15"/>
  <c r="L59" i="12"/>
  <c r="AK131" i="1"/>
  <c r="AV131" i="1" s="1"/>
  <c r="X289" i="11"/>
  <c r="AF253" i="11"/>
  <c r="M206" i="11" s="1"/>
  <c r="AN151" i="1" s="1"/>
  <c r="F140" i="14"/>
  <c r="R140" i="14" s="1"/>
  <c r="L118" i="14" s="1"/>
  <c r="AK202" i="1" s="1"/>
  <c r="AV202" i="1" s="1"/>
  <c r="N91" i="13"/>
  <c r="AN347" i="1" s="1"/>
  <c r="AW347" i="1" s="1"/>
  <c r="AX347" i="1" s="1"/>
  <c r="S139" i="14"/>
  <c r="N117" i="14" s="1"/>
  <c r="AN316" i="1" s="1"/>
  <c r="AW316" i="1" s="1"/>
  <c r="AF269" i="11"/>
  <c r="M221" i="11" s="1"/>
  <c r="AN238" i="1" s="1"/>
  <c r="AW238" i="1" s="1"/>
  <c r="AF255" i="11"/>
  <c r="M208" i="11" s="1"/>
  <c r="AN193" i="1" s="1"/>
  <c r="AW193" i="1" s="1"/>
  <c r="AB301" i="4"/>
  <c r="M215" i="4" s="1"/>
  <c r="AB300" i="4"/>
  <c r="M214" i="4" s="1"/>
  <c r="AK50" i="1" s="1"/>
  <c r="AV50" i="1" s="1"/>
  <c r="AV358" i="1"/>
  <c r="G43" i="22"/>
  <c r="G93" i="22"/>
  <c r="G100" i="22" s="1"/>
  <c r="S122" i="13"/>
  <c r="N93" i="13" s="1"/>
  <c r="AN132" i="1" s="1"/>
  <c r="AW132" i="1" s="1"/>
  <c r="S119" i="13"/>
  <c r="N90" i="13" s="1"/>
  <c r="AN346" i="1" s="1"/>
  <c r="AW346" i="1" s="1"/>
  <c r="E62" i="18"/>
  <c r="E66" i="18" s="1"/>
  <c r="AP55" i="1"/>
  <c r="AV55" i="1" s="1"/>
  <c r="AC316" i="4"/>
  <c r="O230" i="4" s="1"/>
  <c r="AW167" i="1"/>
  <c r="N128" i="13"/>
  <c r="S135" i="14"/>
  <c r="N113" i="14" s="1"/>
  <c r="AN280" i="1" s="1"/>
  <c r="AW280" i="1" s="1"/>
  <c r="S134" i="14"/>
  <c r="N112" i="14" s="1"/>
  <c r="AN271" i="1" s="1"/>
  <c r="AW271" i="1" s="1"/>
  <c r="AX269" i="1"/>
  <c r="S132" i="14"/>
  <c r="N110" i="14" s="1"/>
  <c r="AN250" i="1" s="1"/>
  <c r="AW250" i="1" s="1"/>
  <c r="G29" i="22"/>
  <c r="C104" i="22" s="1"/>
  <c r="J285" i="19"/>
  <c r="AP168" i="1" s="1"/>
  <c r="L210" i="19"/>
  <c r="L298" i="19" s="1"/>
  <c r="J210" i="19"/>
  <c r="AP28" i="1" s="1"/>
  <c r="AV28" i="1" s="1"/>
  <c r="K142" i="14"/>
  <c r="R130" i="14"/>
  <c r="L108" i="14" s="1"/>
  <c r="AK352" i="1" s="1"/>
  <c r="AV352" i="1" s="1"/>
  <c r="AY352" i="1" s="1"/>
  <c r="L79" i="13"/>
  <c r="AK343" i="1" s="1"/>
  <c r="AV343" i="1" s="1"/>
  <c r="AY343" i="1" s="1"/>
  <c r="T364" i="4"/>
  <c r="P321" i="4"/>
  <c r="AC321" i="4" s="1"/>
  <c r="O237" i="4" s="1"/>
  <c r="AN199" i="1" s="1"/>
  <c r="AW199" i="1" s="1"/>
  <c r="O321" i="4"/>
  <c r="L73" i="3"/>
  <c r="I48" i="3"/>
  <c r="N73" i="3"/>
  <c r="L73" i="5"/>
  <c r="N134" i="2"/>
  <c r="L134" i="2"/>
  <c r="J87" i="2"/>
  <c r="AW84" i="1"/>
  <c r="AW212" i="1"/>
  <c r="AW183" i="1"/>
  <c r="BA183" i="1" s="1"/>
  <c r="AS58" i="1"/>
  <c r="AW58" i="1" s="1"/>
  <c r="AS139" i="1"/>
  <c r="AW139" i="1" s="1"/>
  <c r="AS101" i="1"/>
  <c r="AW101" i="1" s="1"/>
  <c r="BA101" i="1" s="1"/>
  <c r="G120" i="24"/>
  <c r="G121" i="24" s="1"/>
  <c r="AS116" i="1"/>
  <c r="AW116" i="1" s="1"/>
  <c r="AS104" i="1"/>
  <c r="AW104" i="1" s="1"/>
  <c r="AP341" i="1"/>
  <c r="AV341" i="1" s="1"/>
  <c r="AS340" i="1"/>
  <c r="AW340" i="1" s="1"/>
  <c r="E137" i="24"/>
  <c r="G200" i="24" s="1"/>
  <c r="G51" i="24"/>
  <c r="G146" i="24" s="1"/>
  <c r="G56" i="24"/>
  <c r="G58" i="24" s="1"/>
  <c r="G46" i="24"/>
  <c r="E144" i="24" s="1"/>
  <c r="G207" i="24" s="1"/>
  <c r="G52" i="24"/>
  <c r="G147" i="24" s="1"/>
  <c r="G216" i="24" s="1"/>
  <c r="G48" i="24"/>
  <c r="G54" i="24"/>
  <c r="G149" i="24" s="1"/>
  <c r="G218" i="24" s="1"/>
  <c r="G40" i="24"/>
  <c r="E138" i="24" s="1"/>
  <c r="AP330" i="1"/>
  <c r="AS197" i="1"/>
  <c r="AW197" i="1" s="1"/>
  <c r="AS141" i="1"/>
  <c r="AS50" i="1"/>
  <c r="AW50" i="1" s="1"/>
  <c r="AP8" i="1"/>
  <c r="AV8" i="1" s="1"/>
  <c r="AP41" i="1"/>
  <c r="AV41" i="1" s="1"/>
  <c r="AP59" i="1"/>
  <c r="AV59" i="1" s="1"/>
  <c r="G200" i="23"/>
  <c r="AP47" i="1"/>
  <c r="AV47" i="1" s="1"/>
  <c r="AP30" i="1"/>
  <c r="AV30" i="1" s="1"/>
  <c r="AS62" i="1"/>
  <c r="AW62" i="1" s="1"/>
  <c r="AP10" i="1"/>
  <c r="AV10" i="1" s="1"/>
  <c r="AP33" i="1"/>
  <c r="AV33" i="1" s="1"/>
  <c r="E217" i="18"/>
  <c r="AS140" i="1"/>
  <c r="AP31" i="1"/>
  <c r="AV31" i="1" s="1"/>
  <c r="BA31" i="1" s="1"/>
  <c r="AP22" i="1"/>
  <c r="AV22" i="1" s="1"/>
  <c r="AX222" i="1"/>
  <c r="AV65" i="1"/>
  <c r="AW334" i="1"/>
  <c r="AX334" i="1" s="1"/>
  <c r="AV199" i="1"/>
  <c r="AV66" i="1"/>
  <c r="AV336" i="1"/>
  <c r="AY336" i="1" s="1"/>
  <c r="AX278" i="1"/>
  <c r="AV270" i="1"/>
  <c r="AW198" i="1"/>
  <c r="AX354" i="1"/>
  <c r="AW330" i="1"/>
  <c r="AX305" i="1"/>
  <c r="AX338" i="1"/>
  <c r="AV60" i="1"/>
  <c r="AX339" i="1"/>
  <c r="AX327" i="1"/>
  <c r="AX323" i="1"/>
  <c r="AW64" i="1"/>
  <c r="AW60" i="1"/>
  <c r="AV48" i="1"/>
  <c r="AW201" i="1"/>
  <c r="AV53" i="1"/>
  <c r="AX337" i="1"/>
  <c r="AX296" i="1"/>
  <c r="AX216" i="1"/>
  <c r="AV261" i="1"/>
  <c r="Y224" i="15"/>
  <c r="AA224" i="15" s="1"/>
  <c r="N194" i="15" s="1"/>
  <c r="AN357" i="1" s="1"/>
  <c r="AW357" i="1" s="1"/>
  <c r="Y217" i="15"/>
  <c r="Z217" i="15" s="1"/>
  <c r="L188" i="15" s="1"/>
  <c r="AK280" i="1" s="1"/>
  <c r="AV280" i="1" s="1"/>
  <c r="U233" i="15"/>
  <c r="Y215" i="15"/>
  <c r="Z215" i="15" s="1"/>
  <c r="L186" i="15" s="1"/>
  <c r="AK260" i="1" s="1"/>
  <c r="AV260" i="1" s="1"/>
  <c r="Y221" i="15"/>
  <c r="AA221" i="15" s="1"/>
  <c r="Y218" i="15"/>
  <c r="Z218" i="15" s="1"/>
  <c r="L189" i="15" s="1"/>
  <c r="AK289" i="1" s="1"/>
  <c r="AV289" i="1" s="1"/>
  <c r="Y216" i="15"/>
  <c r="Z216" i="15" s="1"/>
  <c r="L187" i="15" s="1"/>
  <c r="Y214" i="15"/>
  <c r="Z214" i="15" s="1"/>
  <c r="L185" i="15" s="1"/>
  <c r="Y222" i="15"/>
  <c r="AA222" i="15" s="1"/>
  <c r="N193" i="15" s="1"/>
  <c r="AN356" i="1" s="1"/>
  <c r="AW356" i="1" s="1"/>
  <c r="Y220" i="15"/>
  <c r="Y226" i="15"/>
  <c r="AA226" i="15" s="1"/>
  <c r="N197" i="15" s="1"/>
  <c r="AN141" i="1" s="1"/>
  <c r="Y219" i="15"/>
  <c r="Z219" i="15" s="1"/>
  <c r="L190" i="15" s="1"/>
  <c r="AK298" i="1" s="1"/>
  <c r="AV298" i="1" s="1"/>
  <c r="R233" i="15"/>
  <c r="N233" i="15"/>
  <c r="L35" i="15"/>
  <c r="H225" i="15" s="1"/>
  <c r="H233" i="15" s="1"/>
  <c r="F233" i="15"/>
  <c r="J233" i="15"/>
  <c r="L233" i="15"/>
  <c r="J48" i="15"/>
  <c r="G225" i="15" s="1"/>
  <c r="G233" i="15" s="1"/>
  <c r="AX350" i="1"/>
  <c r="AY350" i="1"/>
  <c r="AV317" i="1"/>
  <c r="AY222" i="1"/>
  <c r="AH364" i="1"/>
  <c r="AV194" i="1"/>
  <c r="AV349" i="1"/>
  <c r="AY349" i="1" s="1"/>
  <c r="AW324" i="1"/>
  <c r="AY324" i="1" s="1"/>
  <c r="AX328" i="1"/>
  <c r="AW329" i="1"/>
  <c r="AX329" i="1" s="1"/>
  <c r="AV56" i="1"/>
  <c r="AX335" i="1"/>
  <c r="AW341" i="1"/>
  <c r="AV79" i="1"/>
  <c r="AW56" i="1"/>
  <c r="AW228" i="1"/>
  <c r="AW22" i="1"/>
  <c r="AW176" i="1"/>
  <c r="BA176" i="1" s="1"/>
  <c r="AV245" i="1"/>
  <c r="AV117" i="1"/>
  <c r="AY236" i="1"/>
  <c r="AX236" i="1"/>
  <c r="AX241" i="1"/>
  <c r="AY241" i="1"/>
  <c r="AV201" i="1"/>
  <c r="AV279" i="1"/>
  <c r="AV239" i="1"/>
  <c r="AV215" i="1"/>
  <c r="AV204" i="1"/>
  <c r="AX204" i="1" s="1"/>
  <c r="AZ103" i="1"/>
  <c r="AW202" i="1"/>
  <c r="AV229" i="1"/>
  <c r="AV203" i="1"/>
  <c r="AX203" i="1" s="1"/>
  <c r="AY232" i="1"/>
  <c r="AX232" i="1"/>
  <c r="AX246" i="1"/>
  <c r="AY246" i="1"/>
  <c r="AY221" i="1"/>
  <c r="AX221" i="1"/>
  <c r="AX210" i="1"/>
  <c r="AY210" i="1"/>
  <c r="AY205" i="1"/>
  <c r="AX205" i="1"/>
  <c r="AY247" i="1"/>
  <c r="AX247" i="1"/>
  <c r="AY231" i="1"/>
  <c r="AX231" i="1"/>
  <c r="AX227" i="1"/>
  <c r="AY227" i="1"/>
  <c r="AX226" i="1"/>
  <c r="AY226" i="1"/>
  <c r="AY217" i="1"/>
  <c r="AX217" i="1"/>
  <c r="AY211" i="1"/>
  <c r="AX211" i="1"/>
  <c r="AX206" i="1"/>
  <c r="AY206" i="1"/>
  <c r="AV198" i="1"/>
  <c r="AW184" i="1"/>
  <c r="AZ184" i="1" s="1"/>
  <c r="BA182" i="1"/>
  <c r="AW181" i="1"/>
  <c r="AZ181" i="1" s="1"/>
  <c r="AX287" i="1"/>
  <c r="AV235" i="1"/>
  <c r="AV224" i="1"/>
  <c r="AV212" i="1"/>
  <c r="AV208" i="1"/>
  <c r="AX314" i="1"/>
  <c r="AY248" i="1"/>
  <c r="AX242" i="1"/>
  <c r="AX237" i="1"/>
  <c r="AV234" i="1"/>
  <c r="AY216" i="1"/>
  <c r="AW23" i="1"/>
  <c r="AV272" i="1"/>
  <c r="AV42" i="1"/>
  <c r="AW244" i="1"/>
  <c r="AW239" i="1"/>
  <c r="AW233" i="1"/>
  <c r="AW229" i="1"/>
  <c r="AW219" i="1"/>
  <c r="AV78" i="1"/>
  <c r="AV51" i="1"/>
  <c r="AW191" i="1"/>
  <c r="AV69" i="1"/>
  <c r="AV64" i="1"/>
  <c r="AV290" i="1"/>
  <c r="AY333" i="1"/>
  <c r="AW54" i="1"/>
  <c r="AV61" i="1"/>
  <c r="AW119" i="1"/>
  <c r="AV116" i="1"/>
  <c r="AV340" i="1"/>
  <c r="AZ113" i="1"/>
  <c r="BA113" i="1"/>
  <c r="AV104" i="1"/>
  <c r="AW192" i="1"/>
  <c r="BA103" i="1"/>
  <c r="AZ175" i="1"/>
  <c r="AV192" i="1"/>
  <c r="BA112" i="1"/>
  <c r="AZ112" i="1"/>
  <c r="AW124" i="1"/>
  <c r="AZ124" i="1" s="1"/>
  <c r="BA115" i="1"/>
  <c r="AV106" i="1"/>
  <c r="BA130" i="1"/>
  <c r="AZ130" i="1"/>
  <c r="BA188" i="1"/>
  <c r="AZ188" i="1"/>
  <c r="AW142" i="1"/>
  <c r="AZ115" i="1"/>
  <c r="AW234" i="1"/>
  <c r="AW224" i="1"/>
  <c r="AW215" i="1"/>
  <c r="AW114" i="1"/>
  <c r="AV63" i="1"/>
  <c r="AV57" i="1"/>
  <c r="AW186" i="1"/>
  <c r="AZ186" i="1" s="1"/>
  <c r="AW179" i="1"/>
  <c r="BA179" i="1" s="1"/>
  <c r="AW125" i="1"/>
  <c r="AZ125" i="1" s="1"/>
  <c r="AW121" i="1"/>
  <c r="BA121" i="1" s="1"/>
  <c r="AW196" i="1"/>
  <c r="AW194" i="1"/>
  <c r="AZ100" i="1"/>
  <c r="AV49" i="1"/>
  <c r="AW122" i="1"/>
  <c r="BA122" i="1" s="1"/>
  <c r="AV119" i="1"/>
  <c r="AZ12" i="1"/>
  <c r="AV29" i="1"/>
  <c r="AI364" i="1"/>
  <c r="AW208" i="1"/>
  <c r="AV52" i="1"/>
  <c r="AW52" i="1"/>
  <c r="AW362" i="1"/>
  <c r="BA18" i="1"/>
  <c r="AW42" i="1"/>
  <c r="AV288" i="1"/>
  <c r="AV297" i="1"/>
  <c r="AV25" i="1"/>
  <c r="AZ25" i="1" s="1"/>
  <c r="AZ16" i="1"/>
  <c r="AW187" i="1"/>
  <c r="BA26" i="1"/>
  <c r="AZ26" i="1"/>
  <c r="AV137" i="1"/>
  <c r="AW34" i="1"/>
  <c r="AW80" i="1"/>
  <c r="AZ27" i="1"/>
  <c r="BA11" i="1"/>
  <c r="AW29" i="1"/>
  <c r="AV315" i="1"/>
  <c r="AV195" i="1"/>
  <c r="AW220" i="1"/>
  <c r="AV281" i="1"/>
  <c r="BA100" i="1"/>
  <c r="AW14" i="1"/>
  <c r="AV15" i="1"/>
  <c r="BA12" i="1"/>
  <c r="AV43" i="1"/>
  <c r="AZ18" i="1"/>
  <c r="AW178" i="1"/>
  <c r="AZ178" i="1" s="1"/>
  <c r="AV135" i="1"/>
  <c r="AV132" i="1"/>
  <c r="AW128" i="1"/>
  <c r="AW127" i="1"/>
  <c r="AW123" i="1"/>
  <c r="BA123" i="1" s="1"/>
  <c r="AV105" i="1"/>
  <c r="AW70" i="1"/>
  <c r="AW66" i="1"/>
  <c r="AZ17" i="1"/>
  <c r="AV233" i="1"/>
  <c r="AV45" i="1"/>
  <c r="BA45" i="1" s="1"/>
  <c r="AZ102" i="1"/>
  <c r="BA102" i="1"/>
  <c r="AZ46" i="1"/>
  <c r="C58" i="22" s="1"/>
  <c r="BA46" i="1"/>
  <c r="AZ21" i="1"/>
  <c r="BA21" i="1"/>
  <c r="BA16" i="1"/>
  <c r="AV139" i="1"/>
  <c r="AW33" i="1"/>
  <c r="AV299" i="1"/>
  <c r="AW180" i="1"/>
  <c r="AW177" i="1"/>
  <c r="AV141" i="1"/>
  <c r="AW129" i="1"/>
  <c r="BA17" i="1"/>
  <c r="AV13" i="1"/>
  <c r="AW235" i="1"/>
  <c r="AV219" i="1"/>
  <c r="AV259" i="1"/>
  <c r="AV308" i="1"/>
  <c r="AW361" i="1"/>
  <c r="AV362" i="1"/>
  <c r="L77" i="13"/>
  <c r="K128" i="13"/>
  <c r="S124" i="13"/>
  <c r="N95" i="13" s="1"/>
  <c r="AN136" i="1" s="1"/>
  <c r="AW136" i="1" s="1"/>
  <c r="AS24" i="1"/>
  <c r="I289" i="11"/>
  <c r="AE253" i="11"/>
  <c r="AW8" i="1"/>
  <c r="AY353" i="1"/>
  <c r="AX353" i="1"/>
  <c r="M217" i="4"/>
  <c r="AV35" i="1"/>
  <c r="AE9" i="1"/>
  <c r="AW9" i="1" s="1"/>
  <c r="AC364" i="1"/>
  <c r="M241" i="11"/>
  <c r="AN166" i="1" s="1"/>
  <c r="AW166" i="1" s="1"/>
  <c r="E65" i="24"/>
  <c r="AZ107" i="1"/>
  <c r="BA107" i="1"/>
  <c r="S111" i="13"/>
  <c r="N82" i="13" s="1"/>
  <c r="Q128" i="13"/>
  <c r="BA82" i="1"/>
  <c r="AZ82" i="1"/>
  <c r="AD14" i="1"/>
  <c r="AB364" i="1"/>
  <c r="AN249" i="1"/>
  <c r="AZ150" i="1"/>
  <c r="BA150" i="1"/>
  <c r="BA27" i="1"/>
  <c r="AZ11" i="1"/>
  <c r="G126" i="18"/>
  <c r="G127" i="18" s="1"/>
  <c r="K127" i="18" s="1"/>
  <c r="L364" i="4"/>
  <c r="AA289" i="11"/>
  <c r="AY237" i="1"/>
  <c r="AX248" i="1"/>
  <c r="J73" i="5"/>
  <c r="I142" i="14"/>
  <c r="N59" i="12"/>
  <c r="AV143" i="1"/>
  <c r="AV136" i="1"/>
  <c r="AV84" i="1"/>
  <c r="AX355" i="1"/>
  <c r="AA230" i="15"/>
  <c r="N199" i="15" s="1"/>
  <c r="AN143" i="1" s="1"/>
  <c r="AW143" i="1" s="1"/>
  <c r="AZ363" i="1"/>
  <c r="AW185" i="1"/>
  <c r="BA185" i="1" s="1"/>
  <c r="S136" i="14"/>
  <c r="L142" i="14"/>
  <c r="AV306" i="1"/>
  <c r="L85" i="13"/>
  <c r="AK251" i="1" s="1"/>
  <c r="AV251" i="1" s="1"/>
  <c r="AW195" i="1"/>
  <c r="AV67" i="1"/>
  <c r="AV151" i="1"/>
  <c r="AV77" i="1"/>
  <c r="AW48" i="1"/>
  <c r="AV191" i="1"/>
  <c r="AN77" i="1" l="1"/>
  <c r="AW77" i="1" s="1"/>
  <c r="BA71" i="1" s="1"/>
  <c r="AN55" i="1"/>
  <c r="AW55" i="1" s="1"/>
  <c r="AN73" i="1"/>
  <c r="AW73" i="1" s="1"/>
  <c r="AZ73" i="1" s="1"/>
  <c r="C66" i="22" s="1"/>
  <c r="AK54" i="1"/>
  <c r="AV54" i="1" s="1"/>
  <c r="AK76" i="1"/>
  <c r="AV76" i="1" s="1"/>
  <c r="AZ76" i="1" s="1"/>
  <c r="L80" i="13"/>
  <c r="AK344" i="1" s="1"/>
  <c r="AV344" i="1" s="1"/>
  <c r="AY344" i="1" s="1"/>
  <c r="L78" i="13"/>
  <c r="L98" i="13" s="1"/>
  <c r="I179" i="4"/>
  <c r="S364" i="4"/>
  <c r="AK271" i="1"/>
  <c r="AV271" i="1" s="1"/>
  <c r="AW165" i="1"/>
  <c r="Y227" i="15"/>
  <c r="O233" i="15"/>
  <c r="G48" i="18"/>
  <c r="E148" i="18" s="1"/>
  <c r="G212" i="18" s="1"/>
  <c r="AS297" i="1" s="1"/>
  <c r="AW297" i="1" s="1"/>
  <c r="Z227" i="15"/>
  <c r="L200" i="15" s="1"/>
  <c r="AA227" i="15"/>
  <c r="N200" i="15" s="1"/>
  <c r="AW207" i="1"/>
  <c r="AY207" i="1" s="1"/>
  <c r="AY213" i="1"/>
  <c r="AX244" i="1"/>
  <c r="AV330" i="1"/>
  <c r="AY330" i="1" s="1"/>
  <c r="AX351" i="1"/>
  <c r="Z222" i="15"/>
  <c r="L193" i="15" s="1"/>
  <c r="AK356" i="1" s="1"/>
  <c r="AV356" i="1" s="1"/>
  <c r="AX356" i="1" s="1"/>
  <c r="G220" i="23"/>
  <c r="AF289" i="11"/>
  <c r="Z224" i="15"/>
  <c r="L194" i="15" s="1"/>
  <c r="AK357" i="1" s="1"/>
  <c r="AV357" i="1" s="1"/>
  <c r="AY357" i="1" s="1"/>
  <c r="G150" i="23"/>
  <c r="G208" i="23" s="1"/>
  <c r="G210" i="23" s="1"/>
  <c r="AZ137" i="1"/>
  <c r="AY240" i="1"/>
  <c r="E150" i="23"/>
  <c r="I150" i="23" s="1"/>
  <c r="M364" i="4"/>
  <c r="AV168" i="1"/>
  <c r="AZ173" i="1" s="1"/>
  <c r="G55" i="18"/>
  <c r="G152" i="18" s="1"/>
  <c r="G222" i="18" s="1"/>
  <c r="G46" i="18"/>
  <c r="E146" i="18" s="1"/>
  <c r="G210" i="18" s="1"/>
  <c r="AS279" i="1" s="1"/>
  <c r="AW279" i="1" s="1"/>
  <c r="G50" i="18"/>
  <c r="E150" i="18" s="1"/>
  <c r="G214" i="18" s="1"/>
  <c r="AS315" i="1" s="1"/>
  <c r="AW315" i="1" s="1"/>
  <c r="G56" i="18"/>
  <c r="G153" i="18" s="1"/>
  <c r="G223" i="18" s="1"/>
  <c r="G47" i="18"/>
  <c r="E147" i="18" s="1"/>
  <c r="G211" i="18" s="1"/>
  <c r="AS288" i="1" s="1"/>
  <c r="AW288" i="1" s="1"/>
  <c r="G49" i="18"/>
  <c r="E149" i="18" s="1"/>
  <c r="G213" i="18" s="1"/>
  <c r="AS306" i="1" s="1"/>
  <c r="AW306" i="1" s="1"/>
  <c r="G57" i="18"/>
  <c r="G154" i="18" s="1"/>
  <c r="G224" i="18" s="1"/>
  <c r="G45" i="18"/>
  <c r="G43" i="18"/>
  <c r="E143" i="18" s="1"/>
  <c r="G58" i="18"/>
  <c r="G155" i="18" s="1"/>
  <c r="G225" i="18" s="1"/>
  <c r="G44" i="18"/>
  <c r="E144" i="18" s="1"/>
  <c r="G208" i="18" s="1"/>
  <c r="AY332" i="1"/>
  <c r="AZ183" i="1"/>
  <c r="AY209" i="1"/>
  <c r="AY238" i="1"/>
  <c r="AX220" i="1"/>
  <c r="AY192" i="1"/>
  <c r="AY220" i="1"/>
  <c r="AX194" i="1"/>
  <c r="AY228" i="1"/>
  <c r="AZ81" i="1"/>
  <c r="BA81" i="1"/>
  <c r="AY212" i="1"/>
  <c r="AY204" i="1"/>
  <c r="AX352" i="1"/>
  <c r="AX218" i="1"/>
  <c r="AX336" i="1"/>
  <c r="AX223" i="1"/>
  <c r="BA70" i="1"/>
  <c r="AX212" i="1"/>
  <c r="AY203" i="1"/>
  <c r="L61" i="6"/>
  <c r="R142" i="14"/>
  <c r="AY334" i="1"/>
  <c r="AY245" i="1"/>
  <c r="AX228" i="1"/>
  <c r="Z226" i="15"/>
  <c r="L197" i="15" s="1"/>
  <c r="J298" i="19"/>
  <c r="R128" i="13"/>
  <c r="AZ63" i="1"/>
  <c r="C63" i="22" s="1"/>
  <c r="AY347" i="1"/>
  <c r="F142" i="14"/>
  <c r="AZ176" i="1"/>
  <c r="L120" i="14"/>
  <c r="AX343" i="1"/>
  <c r="AX348" i="1"/>
  <c r="AC364" i="4"/>
  <c r="P364" i="4"/>
  <c r="O364" i="4"/>
  <c r="AB321" i="4"/>
  <c r="AY362" i="1"/>
  <c r="AX245" i="1"/>
  <c r="AX238" i="1"/>
  <c r="AX229" i="1"/>
  <c r="AX197" i="1"/>
  <c r="AZ123" i="1"/>
  <c r="AY345" i="1"/>
  <c r="AY329" i="1"/>
  <c r="BA63" i="1"/>
  <c r="BA104" i="1"/>
  <c r="AY229" i="1"/>
  <c r="AX208" i="1"/>
  <c r="AY230" i="1"/>
  <c r="AZ116" i="1"/>
  <c r="AZ36" i="1"/>
  <c r="AX215" i="1"/>
  <c r="G201" i="24"/>
  <c r="E150" i="24"/>
  <c r="AW141" i="1"/>
  <c r="BA141" i="1" s="1"/>
  <c r="G150" i="24"/>
  <c r="G215" i="24"/>
  <c r="G220" i="24" s="1"/>
  <c r="AX192" i="1"/>
  <c r="AP364" i="1"/>
  <c r="BA8" i="1"/>
  <c r="AZ104" i="1"/>
  <c r="BA116" i="1"/>
  <c r="BA184" i="1"/>
  <c r="AY244" i="1"/>
  <c r="AX324" i="1"/>
  <c r="AY223" i="1"/>
  <c r="BA66" i="1"/>
  <c r="D63" i="22" s="1"/>
  <c r="AX234" i="1"/>
  <c r="AY243" i="1"/>
  <c r="AZ59" i="1"/>
  <c r="C62" i="22" s="1"/>
  <c r="AX213" i="1"/>
  <c r="AX193" i="1"/>
  <c r="AA214" i="15"/>
  <c r="AA217" i="15"/>
  <c r="N188" i="15" s="1"/>
  <c r="AN281" i="1" s="1"/>
  <c r="AW281" i="1" s="1"/>
  <c r="AA218" i="15"/>
  <c r="N189" i="15" s="1"/>
  <c r="AN290" i="1" s="1"/>
  <c r="AW290" i="1" s="1"/>
  <c r="Z221" i="15"/>
  <c r="Y225" i="15"/>
  <c r="Y228" i="15"/>
  <c r="AA215" i="15"/>
  <c r="N186" i="15" s="1"/>
  <c r="AN261" i="1" s="1"/>
  <c r="AW261" i="1" s="1"/>
  <c r="AA216" i="15"/>
  <c r="N187" i="15" s="1"/>
  <c r="AN272" i="1" s="1"/>
  <c r="AW272" i="1" s="1"/>
  <c r="AA219" i="15"/>
  <c r="N190" i="15" s="1"/>
  <c r="AN299" i="1" s="1"/>
  <c r="AW299" i="1" s="1"/>
  <c r="AA220" i="15"/>
  <c r="N191" i="15" s="1"/>
  <c r="AN308" i="1" s="1"/>
  <c r="AW308" i="1" s="1"/>
  <c r="Z220" i="15"/>
  <c r="L191" i="15" s="1"/>
  <c r="AK307" i="1" s="1"/>
  <c r="AV307" i="1" s="1"/>
  <c r="AX240" i="1"/>
  <c r="AZ50" i="1"/>
  <c r="AY218" i="1"/>
  <c r="AX360" i="1"/>
  <c r="BA186" i="1"/>
  <c r="BA135" i="1"/>
  <c r="AZ54" i="1"/>
  <c r="AX239" i="1"/>
  <c r="AX230" i="1"/>
  <c r="AY234" i="1"/>
  <c r="BA181" i="1"/>
  <c r="AX243" i="1"/>
  <c r="AZ58" i="1"/>
  <c r="AY208" i="1"/>
  <c r="AX224" i="1"/>
  <c r="AX340" i="1"/>
  <c r="BA59" i="1"/>
  <c r="AW151" i="1"/>
  <c r="AZ151" i="1" s="1"/>
  <c r="BA124" i="1"/>
  <c r="BA178" i="1"/>
  <c r="AZ121" i="1"/>
  <c r="AX362" i="1"/>
  <c r="AX225" i="1"/>
  <c r="AY224" i="1"/>
  <c r="BA137" i="1"/>
  <c r="AY197" i="1"/>
  <c r="AY239" i="1"/>
  <c r="AY194" i="1"/>
  <c r="AY195" i="1"/>
  <c r="AX219" i="1"/>
  <c r="AX209" i="1"/>
  <c r="BA125" i="1"/>
  <c r="AY225" i="1"/>
  <c r="AZ31" i="1"/>
  <c r="AY193" i="1"/>
  <c r="AY340" i="1"/>
  <c r="AZ33" i="1"/>
  <c r="AZ70" i="1"/>
  <c r="AZ101" i="1"/>
  <c r="AZ135" i="1"/>
  <c r="BA50" i="1"/>
  <c r="D59" i="22" s="1"/>
  <c r="AZ179" i="1"/>
  <c r="AZ122" i="1"/>
  <c r="AY215" i="1"/>
  <c r="BA25" i="1"/>
  <c r="AY219" i="1"/>
  <c r="BA131" i="1"/>
  <c r="BA51" i="1"/>
  <c r="BA55" i="1"/>
  <c r="AZ55" i="1"/>
  <c r="C61" i="22" s="1"/>
  <c r="AZ114" i="1"/>
  <c r="BA114" i="1"/>
  <c r="AZ66" i="1"/>
  <c r="AZ131" i="1"/>
  <c r="AZ119" i="1"/>
  <c r="BA119" i="1"/>
  <c r="AZ51" i="1"/>
  <c r="C60" i="22" s="1"/>
  <c r="AZ45" i="1"/>
  <c r="C68" i="22" s="1"/>
  <c r="BA58" i="1"/>
  <c r="D61" i="22" s="1"/>
  <c r="BA54" i="1"/>
  <c r="D60" i="22" s="1"/>
  <c r="BA36" i="1"/>
  <c r="AZ187" i="1"/>
  <c r="BA187" i="1"/>
  <c r="AX233" i="1"/>
  <c r="AY233" i="1"/>
  <c r="AZ127" i="1"/>
  <c r="BA127" i="1"/>
  <c r="AZ128" i="1"/>
  <c r="BA128" i="1"/>
  <c r="AZ180" i="1"/>
  <c r="BA180" i="1"/>
  <c r="AY360" i="1"/>
  <c r="AX196" i="1"/>
  <c r="AY196" i="1"/>
  <c r="AE364" i="1"/>
  <c r="BA177" i="1"/>
  <c r="AZ177" i="1"/>
  <c r="BA30" i="1"/>
  <c r="AZ30" i="1"/>
  <c r="BA33" i="1"/>
  <c r="AX235" i="1"/>
  <c r="AY235" i="1"/>
  <c r="AZ129" i="1"/>
  <c r="BA129" i="1"/>
  <c r="BA139" i="1"/>
  <c r="AZ139" i="1"/>
  <c r="AZ77" i="1"/>
  <c r="C67" i="22" s="1"/>
  <c r="BA77" i="1"/>
  <c r="AY346" i="1"/>
  <c r="AX346" i="1"/>
  <c r="AZ84" i="1"/>
  <c r="BA84" i="1"/>
  <c r="AV14" i="1"/>
  <c r="AD364" i="1"/>
  <c r="AZ9" i="1"/>
  <c r="BA9" i="1"/>
  <c r="AE289" i="11"/>
  <c r="K206" i="11"/>
  <c r="AK342" i="1"/>
  <c r="AV342" i="1" s="1"/>
  <c r="N114" i="14"/>
  <c r="S142" i="14"/>
  <c r="BA143" i="1"/>
  <c r="AZ143" i="1"/>
  <c r="AX195" i="1"/>
  <c r="S128" i="13"/>
  <c r="N98" i="13" s="1"/>
  <c r="AW138" i="1" s="1"/>
  <c r="BA138" i="1" s="1"/>
  <c r="AX341" i="1"/>
  <c r="AY341" i="1"/>
  <c r="BA80" i="1"/>
  <c r="D67" i="22" s="1"/>
  <c r="AZ80" i="1"/>
  <c r="AZ133" i="1"/>
  <c r="BA133" i="1"/>
  <c r="AK252" i="1"/>
  <c r="AV252" i="1" s="1"/>
  <c r="AZ47" i="1"/>
  <c r="C59" i="22" s="1"/>
  <c r="BA47" i="1"/>
  <c r="AN134" i="1"/>
  <c r="AW134" i="1" s="1"/>
  <c r="BA134" i="1" s="1"/>
  <c r="AK62" i="1"/>
  <c r="AW24" i="1"/>
  <c r="AY191" i="1"/>
  <c r="AX191" i="1"/>
  <c r="BA67" i="1"/>
  <c r="AZ67" i="1"/>
  <c r="BA136" i="1"/>
  <c r="AZ136" i="1"/>
  <c r="N192" i="15"/>
  <c r="AZ10" i="1"/>
  <c r="BA10" i="1"/>
  <c r="AZ142" i="1"/>
  <c r="BA142" i="1"/>
  <c r="BA35" i="1"/>
  <c r="AZ35" i="1"/>
  <c r="M242" i="11"/>
  <c r="AZ8" i="1"/>
  <c r="AZ185" i="1"/>
  <c r="AN41" i="1"/>
  <c r="O285" i="4"/>
  <c r="BA76" i="1" l="1"/>
  <c r="D66" i="22" s="1"/>
  <c r="BA73" i="1"/>
  <c r="AX344" i="1"/>
  <c r="D64" i="22"/>
  <c r="C64" i="22"/>
  <c r="I150" i="24"/>
  <c r="E156" i="18"/>
  <c r="L192" i="15"/>
  <c r="N185" i="15"/>
  <c r="E214" i="23"/>
  <c r="E220" i="23" s="1"/>
  <c r="G207" i="18"/>
  <c r="AN251" i="1"/>
  <c r="AW251" i="1" s="1"/>
  <c r="AX207" i="1"/>
  <c r="AX330" i="1"/>
  <c r="AY356" i="1"/>
  <c r="AX357" i="1"/>
  <c r="G60" i="18"/>
  <c r="G52" i="18"/>
  <c r="E69" i="18" s="1"/>
  <c r="AZ141" i="1"/>
  <c r="AS259" i="1"/>
  <c r="AW259" i="1" s="1"/>
  <c r="M237" i="4"/>
  <c r="AB364" i="4"/>
  <c r="G208" i="24"/>
  <c r="G210" i="24" s="1"/>
  <c r="E214" i="24"/>
  <c r="E220" i="24" s="1"/>
  <c r="G156" i="18"/>
  <c r="G227" i="18"/>
  <c r="AV158" i="1"/>
  <c r="E139" i="25"/>
  <c r="Y233" i="15"/>
  <c r="T233" i="15"/>
  <c r="AA225" i="15"/>
  <c r="Z225" i="15"/>
  <c r="L195" i="15" s="1"/>
  <c r="AK140" i="1" s="1"/>
  <c r="AV140" i="1" s="1"/>
  <c r="AZ134" i="1"/>
  <c r="BA151" i="1"/>
  <c r="AK109" i="1"/>
  <c r="AV109" i="1" s="1"/>
  <c r="K242" i="11"/>
  <c r="AN317" i="1"/>
  <c r="AW317" i="1" s="1"/>
  <c r="BA22" i="1"/>
  <c r="AZ22" i="1"/>
  <c r="AN289" i="1"/>
  <c r="AW289" i="1" s="1"/>
  <c r="N120" i="14"/>
  <c r="AW41" i="1"/>
  <c r="AV62" i="1"/>
  <c r="AY342" i="1"/>
  <c r="AX342" i="1"/>
  <c r="BA13" i="1"/>
  <c r="AZ13" i="1"/>
  <c r="AS249" i="1" l="1"/>
  <c r="AW249" i="1" s="1"/>
  <c r="G209" i="18"/>
  <c r="AS270" i="1" s="1"/>
  <c r="AW270" i="1" s="1"/>
  <c r="AK316" i="1"/>
  <c r="AV316" i="1" s="1"/>
  <c r="E221" i="18"/>
  <c r="E227" i="18" s="1"/>
  <c r="G215" i="18"/>
  <c r="AS28" i="1" s="1"/>
  <c r="AW28" i="1" s="1"/>
  <c r="I156" i="18"/>
  <c r="G62" i="18"/>
  <c r="H139" i="25"/>
  <c r="D109" i="25" s="1"/>
  <c r="AN154" i="1" s="1"/>
  <c r="AW154" i="1" s="1"/>
  <c r="G139" i="25"/>
  <c r="E137" i="25"/>
  <c r="G137" i="25" s="1"/>
  <c r="C107" i="25" s="1"/>
  <c r="AK90" i="1" s="1"/>
  <c r="AV90" i="1" s="1"/>
  <c r="AK200" i="1"/>
  <c r="AV200" i="1" s="1"/>
  <c r="M285" i="4"/>
  <c r="E124" i="25"/>
  <c r="Z228" i="15"/>
  <c r="Z233" i="15" s="1"/>
  <c r="AA228" i="15"/>
  <c r="N201" i="15" s="1"/>
  <c r="AN146" i="1" s="1"/>
  <c r="AW146" i="1" s="1"/>
  <c r="N195" i="15"/>
  <c r="AZ62" i="1"/>
  <c r="BA62" i="1"/>
  <c r="D62" i="22" s="1"/>
  <c r="D69" i="22" s="1"/>
  <c r="AZ41" i="1"/>
  <c r="C57" i="22" s="1"/>
  <c r="C69" i="22" s="1"/>
  <c r="BA41" i="1"/>
  <c r="AZ108" i="1"/>
  <c r="BA108" i="1"/>
  <c r="AA233" i="15" l="1"/>
  <c r="N204" i="15"/>
  <c r="C109" i="25"/>
  <c r="AK154" i="1" s="1"/>
  <c r="AV154" i="1" s="1"/>
  <c r="AZ156" i="1"/>
  <c r="AW92" i="1"/>
  <c r="BA92" i="1" s="1"/>
  <c r="H137" i="25"/>
  <c r="D107" i="25" s="1"/>
  <c r="AN90" i="1" s="1"/>
  <c r="AW90" i="1" s="1"/>
  <c r="AY198" i="1"/>
  <c r="AX198" i="1"/>
  <c r="AS364" i="1"/>
  <c r="G217" i="18"/>
  <c r="E135" i="25"/>
  <c r="H124" i="25"/>
  <c r="D94" i="25" s="1"/>
  <c r="G124" i="25"/>
  <c r="C94" i="25" s="1"/>
  <c r="L201" i="15"/>
  <c r="L204" i="15" s="1"/>
  <c r="AN140" i="1"/>
  <c r="AW140" i="1" s="1"/>
  <c r="E69" i="22"/>
  <c r="C82" i="22" s="1"/>
  <c r="C105" i="22" s="1"/>
  <c r="BA28" i="1"/>
  <c r="AZ28" i="1"/>
  <c r="AK146" i="1" l="1"/>
  <c r="AV146" i="1" s="1"/>
  <c r="AZ90" i="1"/>
  <c r="AP366" i="1"/>
  <c r="AZ92" i="1"/>
  <c r="BA156" i="1"/>
  <c r="BA154" i="1"/>
  <c r="AW158" i="1"/>
  <c r="E129" i="25"/>
  <c r="H135" i="25"/>
  <c r="D105" i="25" s="1"/>
  <c r="AN88" i="1" s="1"/>
  <c r="AW88" i="1" s="1"/>
  <c r="G135" i="25"/>
  <c r="AZ140" i="1"/>
  <c r="BA140" i="1"/>
  <c r="AZ146" i="1" l="1"/>
  <c r="BA146" i="1"/>
  <c r="BA90" i="1"/>
  <c r="C105" i="25"/>
  <c r="AK88" i="1" s="1"/>
  <c r="AV88" i="1" s="1"/>
  <c r="AZ154" i="1"/>
  <c r="AZ85" i="1"/>
  <c r="BA85" i="1"/>
  <c r="BA158" i="1"/>
  <c r="AZ158" i="1"/>
  <c r="E132" i="25"/>
  <c r="H132" i="25" s="1"/>
  <c r="E133" i="25"/>
  <c r="H133" i="25" s="1"/>
  <c r="E134" i="25"/>
  <c r="H134" i="25" s="1"/>
  <c r="H129" i="25"/>
  <c r="G129" i="25"/>
  <c r="D144" i="25"/>
  <c r="E125" i="25"/>
  <c r="H125" i="25" s="1"/>
  <c r="D95" i="25" s="1"/>
  <c r="C144" i="25"/>
  <c r="E131" i="25"/>
  <c r="E128" i="25"/>
  <c r="E130" i="25"/>
  <c r="E127" i="25"/>
  <c r="BA88" i="1" l="1"/>
  <c r="C99" i="25"/>
  <c r="AK274" i="1" s="1"/>
  <c r="AV274" i="1" s="1"/>
  <c r="D104" i="25"/>
  <c r="AN318" i="1" s="1"/>
  <c r="AW318" i="1" s="1"/>
  <c r="D103" i="25"/>
  <c r="AN309" i="1" s="1"/>
  <c r="AW309" i="1" s="1"/>
  <c r="D102" i="25"/>
  <c r="AN300" i="1" s="1"/>
  <c r="AW300" i="1" s="1"/>
  <c r="D99" i="25"/>
  <c r="AN273" i="1" s="1"/>
  <c r="AW273" i="1" s="1"/>
  <c r="AW153" i="1"/>
  <c r="BA153" i="1" s="1"/>
  <c r="G132" i="25"/>
  <c r="G133" i="25"/>
  <c r="G134" i="25"/>
  <c r="G125" i="25"/>
  <c r="C95" i="25" s="1"/>
  <c r="E144" i="25"/>
  <c r="G127" i="25" s="1"/>
  <c r="C97" i="25" s="1"/>
  <c r="AK254" i="1" s="1"/>
  <c r="H127" i="25"/>
  <c r="G131" i="25"/>
  <c r="H131" i="25"/>
  <c r="H130" i="25"/>
  <c r="G130" i="25"/>
  <c r="H128" i="25"/>
  <c r="G128" i="25"/>
  <c r="AY270" i="1" l="1"/>
  <c r="AX270" i="1"/>
  <c r="AZ88" i="1"/>
  <c r="C98" i="25"/>
  <c r="AK263" i="1" s="1"/>
  <c r="AV263" i="1" s="1"/>
  <c r="D97" i="25"/>
  <c r="AN252" i="1" s="1"/>
  <c r="D98" i="25"/>
  <c r="AN262" i="1" s="1"/>
  <c r="AW262" i="1" s="1"/>
  <c r="D100" i="25"/>
  <c r="AN282" i="1" s="1"/>
  <c r="AW282" i="1" s="1"/>
  <c r="C101" i="25"/>
  <c r="AK292" i="1" s="1"/>
  <c r="AV292" i="1" s="1"/>
  <c r="C104" i="25"/>
  <c r="AK319" i="1" s="1"/>
  <c r="AV319" i="1" s="1"/>
  <c r="C103" i="25"/>
  <c r="AK310" i="1" s="1"/>
  <c r="AV310" i="1" s="1"/>
  <c r="C102" i="25"/>
  <c r="AK301" i="1" s="1"/>
  <c r="AV301" i="1" s="1"/>
  <c r="C100" i="25"/>
  <c r="AK283" i="1" s="1"/>
  <c r="AV283" i="1" s="1"/>
  <c r="D101" i="25"/>
  <c r="AN291" i="1" s="1"/>
  <c r="AW291" i="1" s="1"/>
  <c r="AZ153" i="1"/>
  <c r="BA87" i="1"/>
  <c r="AZ87" i="1"/>
  <c r="AV254" i="1"/>
  <c r="AN32" i="1"/>
  <c r="AW32" i="1" s="1"/>
  <c r="H144" i="25"/>
  <c r="G144" i="25"/>
  <c r="AX288" i="1" l="1"/>
  <c r="AY288" i="1"/>
  <c r="AX279" i="1"/>
  <c r="AY279" i="1"/>
  <c r="AY259" i="1"/>
  <c r="AX259" i="1"/>
  <c r="AX297" i="1"/>
  <c r="AY297" i="1"/>
  <c r="AX306" i="1"/>
  <c r="AY306" i="1"/>
  <c r="AY315" i="1"/>
  <c r="AX315" i="1"/>
  <c r="AV166" i="1"/>
  <c r="BA165" i="1" s="1"/>
  <c r="AK32" i="1"/>
  <c r="C116" i="25"/>
  <c r="AW145" i="1"/>
  <c r="BA145" i="1" s="1"/>
  <c r="D116" i="25"/>
  <c r="AW252" i="1"/>
  <c r="AX249" i="1" s="1"/>
  <c r="AY249" i="1" l="1"/>
  <c r="AY364" i="1" s="1"/>
  <c r="AZ165" i="1"/>
  <c r="AZ145" i="1"/>
  <c r="AN364" i="1"/>
  <c r="AK364" i="1"/>
  <c r="AV32" i="1"/>
  <c r="AV364" i="1" s="1"/>
  <c r="AW364" i="1"/>
  <c r="AV366" i="1" l="1"/>
  <c r="AK366" i="1"/>
  <c r="AX364" i="1"/>
  <c r="AY366" i="1" s="1"/>
  <c r="AZ172" i="1" s="1"/>
  <c r="BA32" i="1"/>
  <c r="AZ32" i="1"/>
  <c r="AX366" i="1" l="1"/>
  <c r="AZ366" i="1"/>
  <c r="AY368" i="1"/>
  <c r="AZ189" i="1"/>
  <c r="BA172" i="1" l="1"/>
  <c r="C103" i="22" s="1"/>
  <c r="AX368" i="1"/>
  <c r="AZ364" i="1"/>
  <c r="L195" i="19" l="1"/>
  <c r="BA189" i="1"/>
  <c r="C106" i="22"/>
  <c r="N193" i="19" l="1"/>
  <c r="BA36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LGC</author>
    <author>lgc0206</author>
  </authors>
  <commentList>
    <comment ref="C35" authorId="0" shapeId="0" xr:uid="{00000000-0006-0000-0100-000001000000}">
      <text>
        <r>
          <rPr>
            <b/>
            <sz val="8"/>
            <color indexed="81"/>
            <rFont val="Tahoma"/>
            <family val="2"/>
          </rPr>
          <t>LGC:</t>
        </r>
        <r>
          <rPr>
            <sz val="8"/>
            <color indexed="81"/>
            <rFont val="Tahoma"/>
            <family val="2"/>
          </rPr>
          <t xml:space="preserve">
Negative NPO should be reported as a prepaid expense per GASB codification P20.113</t>
        </r>
      </text>
    </comment>
    <comment ref="C46" authorId="0" shapeId="0" xr:uid="{00000000-0006-0000-0100-000002000000}">
      <text>
        <r>
          <rPr>
            <b/>
            <sz val="8"/>
            <color indexed="81"/>
            <rFont val="Tahoma"/>
            <family val="2"/>
          </rPr>
          <t>LGC:</t>
        </r>
        <r>
          <rPr>
            <sz val="8"/>
            <color indexed="81"/>
            <rFont val="Tahoma"/>
            <family val="2"/>
          </rPr>
          <t xml:space="preserve">
At this time there are no material amounts for this category, but if material non-depreciable assets do exist (in addition to land) they must be separately disclosed.</t>
        </r>
      </text>
    </comment>
    <comment ref="AF47" authorId="1" shapeId="0" xr:uid="{00000000-0006-0000-0100-000003000000}">
      <text>
        <r>
          <rPr>
            <b/>
            <sz val="8"/>
            <color indexed="81"/>
            <rFont val="Tahoma"/>
            <family val="2"/>
          </rPr>
          <t>LGC: Exclude the internal service fund capital assets since they will be added in entry K.1-3.</t>
        </r>
        <r>
          <rPr>
            <sz val="8"/>
            <color indexed="81"/>
            <rFont val="Tahoma"/>
            <family val="2"/>
          </rPr>
          <t xml:space="preserve">
</t>
        </r>
      </text>
    </comment>
    <comment ref="AG50" authorId="1" shapeId="0" xr:uid="{00000000-0006-0000-0100-000004000000}">
      <text>
        <r>
          <rPr>
            <sz val="8"/>
            <color indexed="81"/>
            <rFont val="Tahoma"/>
            <family val="2"/>
          </rPr>
          <t xml:space="preserve">LGC: Exclude the internal service fund capital assets deprec. since it will be added in entry K.1-3. Use the beginning balance.
</t>
        </r>
      </text>
    </comment>
    <comment ref="C150" authorId="0" shapeId="0" xr:uid="{00000000-0006-0000-0100-00000500000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AF165" authorId="0" shapeId="0" xr:uid="{00000000-0006-0000-0100-000006000000}">
      <text>
        <r>
          <rPr>
            <b/>
            <sz val="8"/>
            <color indexed="81"/>
            <rFont val="Tahoma"/>
            <family val="2"/>
          </rPr>
          <t>LGC:</t>
        </r>
        <r>
          <rPr>
            <sz val="8"/>
            <color indexed="81"/>
            <rFont val="Tahoma"/>
            <family val="2"/>
          </rPr>
          <t xml:space="preserve">
Effect to equity for long-term debt.</t>
        </r>
      </text>
    </comment>
    <comment ref="AG165" authorId="0" shapeId="0" xr:uid="{00000000-0006-0000-0100-000007000000}">
      <text>
        <r>
          <rPr>
            <b/>
            <sz val="8"/>
            <color indexed="81"/>
            <rFont val="Tahoma"/>
            <family val="2"/>
          </rPr>
          <t>LGC:</t>
        </r>
        <r>
          <rPr>
            <sz val="8"/>
            <color indexed="81"/>
            <rFont val="Tahoma"/>
            <family val="2"/>
          </rPr>
          <t xml:space="preserve">
Effect to equity for net of capital asset entries (gross assets less
 accum deprec).</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248" authorId="0" shapeId="0" xr:uid="{59E7B059-CB89-4A32-A684-16F69689B8EF}">
      <text>
        <r>
          <rPr>
            <b/>
            <sz val="9"/>
            <color indexed="81"/>
            <rFont val="Tahoma"/>
            <family val="2"/>
          </rPr>
          <t>Becky Dzingeleski:</t>
        </r>
        <r>
          <rPr>
            <sz val="9"/>
            <color indexed="81"/>
            <rFont val="Tahoma"/>
            <family val="2"/>
          </rPr>
          <t xml:space="preserve">
per FOD</t>
        </r>
      </text>
    </comment>
    <comment ref="B249" authorId="0" shapeId="0" xr:uid="{91BB228E-A53F-438C-BE5C-3B0A40479E81}">
      <text>
        <r>
          <rPr>
            <b/>
            <sz val="9"/>
            <color indexed="81"/>
            <rFont val="Tahoma"/>
            <family val="2"/>
          </rPr>
          <t>Becky Dzingeleski:</t>
        </r>
        <r>
          <rPr>
            <sz val="9"/>
            <color indexed="81"/>
            <rFont val="Tahoma"/>
            <family val="2"/>
          </rPr>
          <t xml:space="preserve">
per FOD</t>
        </r>
      </text>
    </comment>
    <comment ref="B539" authorId="0" shapeId="0" xr:uid="{CE90BDD8-CCA5-44EE-85E1-4B72E320C27F}">
      <text>
        <r>
          <rPr>
            <b/>
            <sz val="9"/>
            <color indexed="81"/>
            <rFont val="Tahoma"/>
            <family val="2"/>
          </rPr>
          <t>Becky Dzingeleski:</t>
        </r>
        <r>
          <rPr>
            <sz val="9"/>
            <color indexed="81"/>
            <rFont val="Tahoma"/>
            <family val="2"/>
          </rPr>
          <t xml:space="preserve">
Unit went inactive in Sept 2016, restarted as active May 2017. Contributions in FY17 were $609.75, too small to be within the 5 decimals for allocations. Contrib of $2011.84 in FY18, but their PV of future salary is 0%. If they keep their employee, they may go back to having an allocation next time.</t>
        </r>
      </text>
    </comment>
    <comment ref="B681" authorId="0" shapeId="0" xr:uid="{0FAE1511-2C1E-4341-BC11-985AC922DE64}">
      <text>
        <r>
          <rPr>
            <b/>
            <sz val="9"/>
            <color indexed="81"/>
            <rFont val="Tahoma"/>
            <family val="2"/>
          </rPr>
          <t>Becky Dzingeleski:</t>
        </r>
        <r>
          <rPr>
            <sz val="9"/>
            <color indexed="81"/>
            <rFont val="Tahoma"/>
            <family val="2"/>
          </rPr>
          <t xml:space="preserve">
per FOD
</t>
        </r>
      </text>
    </comment>
    <comment ref="B682" authorId="0" shapeId="0" xr:uid="{1CB509BE-CF62-4256-9845-A3B7DA794DA3}">
      <text>
        <r>
          <rPr>
            <b/>
            <sz val="9"/>
            <color indexed="81"/>
            <rFont val="Tahoma"/>
            <family val="2"/>
          </rPr>
          <t>Becky Dzingeleski:</t>
        </r>
        <r>
          <rPr>
            <sz val="9"/>
            <color indexed="81"/>
            <rFont val="Tahoma"/>
            <family val="2"/>
          </rPr>
          <t xml:space="preserve">
per FOD Ayden HA pension merged with Twon of Ayden</t>
        </r>
      </text>
    </comment>
    <comment ref="B791" authorId="0" shapeId="0" xr:uid="{1CF2224A-9EAD-4A1D-BC4A-88AA69A541DF}">
      <text>
        <r>
          <rPr>
            <b/>
            <sz val="9"/>
            <color indexed="81"/>
            <rFont val="Tahoma"/>
            <family val="2"/>
          </rPr>
          <t>Becky Dzingeleski:</t>
        </r>
        <r>
          <rPr>
            <sz val="9"/>
            <color indexed="81"/>
            <rFont val="Tahoma"/>
            <family val="2"/>
          </rPr>
          <t xml:space="preserve">
per FOD combined Misenheimer 71786 with 98414 </t>
        </r>
      </text>
    </comment>
    <comment ref="B806" authorId="0" shapeId="0" xr:uid="{0E7D52A4-6001-4A79-A619-18700A8729C3}">
      <text>
        <r>
          <rPr>
            <b/>
            <sz val="9"/>
            <color indexed="81"/>
            <rFont val="Tahoma"/>
            <family val="2"/>
          </rPr>
          <t>Becky Dzingeleski:</t>
        </r>
        <r>
          <rPr>
            <sz val="9"/>
            <color indexed="81"/>
            <rFont val="Tahoma"/>
            <family val="2"/>
          </rPr>
          <t xml:space="preserve">
per FOD Elkin ABC merged with Yadkin Valley ABC</t>
        </r>
      </text>
    </comment>
    <comment ref="B807" authorId="0" shapeId="0" xr:uid="{15945539-8FB2-4016-B0C0-2AD0F2DD63CC}">
      <text>
        <r>
          <rPr>
            <b/>
            <sz val="9"/>
            <color indexed="81"/>
            <rFont val="Tahoma"/>
            <family val="2"/>
          </rPr>
          <t>Becky Dzingeleski:</t>
        </r>
        <r>
          <rPr>
            <sz val="9"/>
            <color indexed="81"/>
            <rFont val="Tahoma"/>
            <family val="2"/>
          </rPr>
          <t xml:space="preserve">
Per FOD Elkin ABC merged with Yadkin Valley ABC</t>
        </r>
      </text>
    </comment>
    <comment ref="B1456" authorId="0" shapeId="0" xr:uid="{9E6CC67B-187F-4DD6-8583-E4D7DEEF0A14}">
      <text>
        <r>
          <rPr>
            <b/>
            <sz val="9"/>
            <color indexed="81"/>
            <rFont val="Tahoma"/>
            <family val="2"/>
          </rPr>
          <t>Becky Dzingeleski:</t>
        </r>
        <r>
          <rPr>
            <sz val="9"/>
            <color indexed="81"/>
            <rFont val="Tahoma"/>
            <family val="2"/>
          </rPr>
          <t xml:space="preserve">
per FOD combined Misenheimer 71786 with 98414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773" authorId="0" shapeId="0" xr:uid="{E4679BED-205C-4488-8E00-40CA09EC3C2F}">
      <text>
        <r>
          <rPr>
            <b/>
            <sz val="9"/>
            <color indexed="81"/>
            <rFont val="Tahoma"/>
            <family val="2"/>
          </rPr>
          <t>Becky Dzingeleski:</t>
        </r>
        <r>
          <rPr>
            <sz val="9"/>
            <color indexed="81"/>
            <rFont val="Tahoma"/>
            <family val="2"/>
          </rPr>
          <t xml:space="preserve">
per FOD combined Misenheimer 71786 with 98414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36" authorId="0" shapeId="0" xr:uid="{00000000-0006-0000-0200-000001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37" authorId="0" shapeId="0" xr:uid="{00000000-0006-0000-0200-000002000000}">
      <text>
        <r>
          <rPr>
            <b/>
            <sz val="8"/>
            <color indexed="81"/>
            <rFont val="Tahoma"/>
            <family val="2"/>
          </rPr>
          <t>LGC:</t>
        </r>
        <r>
          <rPr>
            <sz val="8"/>
            <color indexed="81"/>
            <rFont val="Tahoma"/>
            <family val="2"/>
          </rPr>
          <t xml:space="preserve">
Significant events that must be both unusual in nature and infrequent in occurrence</t>
        </r>
      </text>
    </comment>
    <comment ref="C86" authorId="0" shapeId="0" xr:uid="{00000000-0006-0000-0200-000003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87" authorId="0" shapeId="0" xr:uid="{00000000-0006-0000-0200-00000400000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D43" authorId="0" shapeId="0" xr:uid="{00000000-0006-0000-0700-000001000000}">
      <text>
        <r>
          <rPr>
            <b/>
            <sz val="8"/>
            <color indexed="81"/>
            <rFont val="Tahoma"/>
            <family val="2"/>
          </rPr>
          <t>LGC:</t>
        </r>
        <r>
          <rPr>
            <sz val="8"/>
            <color indexed="81"/>
            <rFont val="Tahoma"/>
            <family val="2"/>
          </rPr>
          <t xml:space="preserve">
Assumes that this was recorded as an other 
financing source since it is a special item.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68" authorId="0" shapeId="0" xr:uid="{00000000-0006-0000-0900-000001000000}">
      <text>
        <r>
          <rPr>
            <b/>
            <sz val="8"/>
            <color indexed="81"/>
            <rFont val="Tahoma"/>
            <family val="2"/>
          </rPr>
          <t>LGC:</t>
        </r>
        <r>
          <rPr>
            <sz val="8"/>
            <color indexed="81"/>
            <rFont val="Tahoma"/>
            <family val="2"/>
          </rPr>
          <t xml:space="preserve">
The deferred charge is amortized over the shorter of the life of the old debt or the new debt.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B56" authorId="0" shapeId="0" xr:uid="{00000000-0006-0000-0A00-000001000000}">
      <text>
        <r>
          <rPr>
            <b/>
            <sz val="8"/>
            <color indexed="81"/>
            <rFont val="Tahoma"/>
            <family val="2"/>
          </rPr>
          <t>LGC:</t>
        </r>
        <r>
          <rPr>
            <sz val="8"/>
            <color indexed="81"/>
            <rFont val="Tahoma"/>
            <family val="2"/>
          </rPr>
          <t xml:space="preserve">
Recognizing an expenditure at the time of purchase.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32" authorId="0" shapeId="0" xr:uid="{00000000-0006-0000-0C00-000001000000}">
      <text>
        <r>
          <rPr>
            <b/>
            <sz val="8"/>
            <color indexed="81"/>
            <rFont val="Tahoma"/>
            <family val="2"/>
          </rPr>
          <t>LGC:</t>
        </r>
        <r>
          <rPr>
            <sz val="8"/>
            <color indexed="81"/>
            <rFont val="Tahoma"/>
            <family val="2"/>
          </rPr>
          <t xml:space="preserve">
This serves as the cumulative effect to beginning fund equity over time for the due to/from generated each year in the internal service fund allocation. For business type activities, if the business activities owe govt. activities it is a debit and reduces equity. If govt. activities owe business type, it is a credit and increases equity.</t>
        </r>
      </text>
    </comment>
    <comment ref="C135" authorId="0" shapeId="0" xr:uid="{00000000-0006-0000-0C00-000002000000}">
      <text>
        <r>
          <rPr>
            <b/>
            <sz val="8"/>
            <color indexed="81"/>
            <rFont val="Tahoma"/>
            <family val="2"/>
          </rPr>
          <t>LGC:</t>
        </r>
        <r>
          <rPr>
            <sz val="8"/>
            <color indexed="81"/>
            <rFont val="Tahoma"/>
            <family val="2"/>
          </rPr>
          <t xml:space="preserve">
This serves as the cumulative effect to beginning fund equity over time for the due to/from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15" authorId="0" shapeId="0" xr:uid="{00000000-0006-0000-0C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21" authorId="0" shapeId="0" xr:uid="{00000000-0006-0000-0C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6" authorId="0" shapeId="0" xr:uid="{00000000-0006-0000-0D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29" authorId="0" shapeId="0" xr:uid="{00000000-0006-0000-0D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08" authorId="0" shapeId="0" xr:uid="{00000000-0006-0000-0D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4" authorId="0" shapeId="0" xr:uid="{00000000-0006-0000-0D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6" authorId="0" shapeId="0" xr:uid="{00000000-0006-0000-0E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29" authorId="0" shapeId="0" xr:uid="{00000000-0006-0000-0E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08" authorId="0" shapeId="0" xr:uid="{00000000-0006-0000-0E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4" authorId="0" shapeId="0" xr:uid="{00000000-0006-0000-0E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LGC0206</author>
  </authors>
  <commentList>
    <comment ref="C167" authorId="0" shapeId="0" xr:uid="{00000000-0006-0000-0F00-000001000000}">
      <text>
        <r>
          <rPr>
            <b/>
            <sz val="8"/>
            <color indexed="81"/>
            <rFont val="Tahoma"/>
            <family val="2"/>
          </rPr>
          <t>LGC:</t>
        </r>
        <r>
          <rPr>
            <sz val="8"/>
            <color indexed="81"/>
            <rFont val="Tahoma"/>
            <family val="2"/>
          </rPr>
          <t xml:space="preserve">
Special item - subject to management control and unusual in nature (possessing a high degree of abnormality and clearly unrelated to ordinary or typical activity) or infrequent in occurrence - should be a material amount to justify such treatment. </t>
        </r>
      </text>
    </comment>
  </commentList>
</comments>
</file>

<file path=xl/sharedStrings.xml><?xml version="1.0" encoding="utf-8"?>
<sst xmlns="http://schemas.openxmlformats.org/spreadsheetml/2006/main" count="15709" uniqueCount="4945">
  <si>
    <t>Construction in progress</t>
  </si>
  <si>
    <t>Parking</t>
  </si>
  <si>
    <t>Governmental Activities</t>
  </si>
  <si>
    <t xml:space="preserve">  Land</t>
  </si>
  <si>
    <t xml:space="preserve">  Other non-depreciable assets</t>
  </si>
  <si>
    <t xml:space="preserve">  Buildings</t>
  </si>
  <si>
    <t xml:space="preserve">  Improvements other than buildings</t>
  </si>
  <si>
    <t xml:space="preserve">  Equipment</t>
  </si>
  <si>
    <t xml:space="preserve">Trade-in's of equipment or vehicles should also be recorded and they are treated similarly to sales of assets. Any expenditure made as part of the trade-in transaction was recorded with the capital outlay entry. Now we must remove the old asset from the capital asset accounts and adjust the true cost of the newly acquired asset.  Enter the amounts by asset class in section B of the worksheet below. For question d, please enter the net book value of the old asset in the cell for the asset class of the new asset, e.g., if a vehicle is traded for another vehicle then the number would be placed in the field for the same asset class "vehicles", however if a vehicle is traded for equipment place the number in the asset class of the new asset "equipment". Trading across asset classes will be rare but the worksheet should accommodate the entry. </t>
  </si>
  <si>
    <t>Determine the function / program to which the revenue applies for those revenues which are program specific. Note that special assessments in section F. and G. have additional questions regarding new levies for the current year and current year collections.</t>
  </si>
  <si>
    <r>
      <t>Complete section A below indicating the amount of revenue in all governmental funds which should be noted as program specific on the Statement of Activities.  Note that items that are classified as special or extraordinary at the fund level typically will be classified as such when viewed at the government-wide level although there could be</t>
    </r>
    <r>
      <rPr>
        <sz val="10"/>
        <rFont val="Arial"/>
        <family val="2"/>
      </rPr>
      <t xml:space="preserve"> </t>
    </r>
    <r>
      <rPr>
        <u/>
        <sz val="10"/>
        <rFont val="Arial"/>
        <family val="2"/>
      </rPr>
      <t>rare occurrences</t>
    </r>
    <r>
      <rPr>
        <sz val="10"/>
        <rFont val="Arial"/>
        <family val="2"/>
      </rPr>
      <t xml:space="preserve"> when special and/or extraordinary items at the fund level will not be treated as such on the government-wide statements.</t>
    </r>
  </si>
  <si>
    <t xml:space="preserve">What is the amount of Bonds payable that will be due and payable within one year? </t>
  </si>
  <si>
    <t>What is the amount of notes payable that will be due and payable within one year?</t>
  </si>
  <si>
    <t>Working</t>
  </si>
  <si>
    <t>Subtotal</t>
  </si>
  <si>
    <t xml:space="preserve">   Net OPEB liability</t>
  </si>
  <si>
    <t>Expenses need to be accrued for those liabilities incurred during the period which are not normally paid with current available resources. This includes items such as compensated absences, claims and judgments, landfill closure and post-closure costs, the net pension cost of unit managed benefit plans, any other postemployment benefits or other long-term liabilities. The results will need to be posted to permanent accounts for next year's beginning balances.</t>
  </si>
  <si>
    <t>The staff has tried to anticipate the most likely scenarios for governments in North Carolina . However, it is impossible for us to anticipate every unique situation that exists in our local governments. If you need assistance with your particular data, please call and we will make every attempt to help you enter the data into the workbook. However, some instances will exist for which the workbook will not make the necessary calculation. The "manual entry" columns on the summary worksheet are there for this purpose. The user can determine the necessary entry and post it in this columns to the appropriate accounts. Be especially aware of extraordinary and special items that have not been handled elsewhere in the workbook.</t>
  </si>
  <si>
    <t xml:space="preserve">What is the original cost at the beginning of the year for assets sold during current year? </t>
  </si>
  <si>
    <t>What is the amount of claims payable that will be due and payable within one year?</t>
  </si>
  <si>
    <t>What is the amount of other long-term debt #1 that will be due and payable within one year?</t>
  </si>
  <si>
    <t>What is the amount of other long-term debt #2 that will be due and payable within one year?</t>
  </si>
  <si>
    <t>What is the amount of the unit's equity interest in all joint ventures at the end of the current year (ending balance.)</t>
  </si>
  <si>
    <r>
      <t xml:space="preserve">Equity interest in joint ventures  -  </t>
    </r>
    <r>
      <rPr>
        <b/>
        <sz val="8"/>
        <rFont val="Arial"/>
        <family val="2"/>
      </rPr>
      <t xml:space="preserve">( Underlying contract creates explicit, measurable equity interest - otherwise note disclosure only) </t>
    </r>
  </si>
  <si>
    <t>Total of pension over funding</t>
  </si>
  <si>
    <t>Special and extraordinary items</t>
  </si>
  <si>
    <t>Extraordinary item - expenditure</t>
  </si>
  <si>
    <r>
      <t xml:space="preserve">Answer either a. or b. </t>
    </r>
    <r>
      <rPr>
        <sz val="10"/>
        <rFont val="Arial"/>
        <family val="2"/>
      </rPr>
      <t>below,</t>
    </r>
    <r>
      <rPr>
        <sz val="10"/>
        <color indexed="10"/>
        <rFont val="Arial"/>
        <family val="2"/>
      </rPr>
      <t xml:space="preserve"> </t>
    </r>
    <r>
      <rPr>
        <b/>
        <sz val="10"/>
        <color indexed="10"/>
        <rFont val="Arial"/>
        <family val="2"/>
      </rPr>
      <t>but not both</t>
    </r>
    <r>
      <rPr>
        <sz val="10"/>
        <rFont val="Arial"/>
        <family val="2"/>
      </rPr>
      <t xml:space="preserve"> - (either the replacement cost method or the deflation factor method is used to calculate loss.)</t>
    </r>
  </si>
  <si>
    <t>What is the replacement cost for a new asset of the type damaged in 1a. Above?</t>
  </si>
  <si>
    <t>Restoration cost ratio</t>
  </si>
  <si>
    <t>based on replacement cost</t>
  </si>
  <si>
    <t xml:space="preserve">either or </t>
  </si>
  <si>
    <t>What is the appropriate deflation factor to use if replacement cost is not known?</t>
  </si>
  <si>
    <t>Deflated restoration cost</t>
  </si>
  <si>
    <t>based on deflation factor</t>
  </si>
  <si>
    <t>Other financing source - insurance recovery</t>
  </si>
  <si>
    <t>Net Gain / loss on insurance recovery</t>
  </si>
  <si>
    <t>3a. Replacement cost method</t>
  </si>
  <si>
    <t xml:space="preserve"> 3.b  Deflator method</t>
  </si>
  <si>
    <r>
      <t xml:space="preserve">What is the amount of compensated absences that will be due and payable within one year?    </t>
    </r>
    <r>
      <rPr>
        <sz val="8"/>
        <color indexed="10"/>
        <rFont val="Arial"/>
        <family val="2"/>
      </rPr>
      <t>(Use of the FIFO assumption will be based on average leave taken over the years. Typically, use of the LIFO method will not have a current portion.)</t>
    </r>
  </si>
  <si>
    <t>Reclassify capital outlay expenditures where the city does not hold title to the assets:</t>
  </si>
  <si>
    <t>Public safety - Operating grants and contributions</t>
  </si>
  <si>
    <t>Public safety - Capital grants and contributions</t>
  </si>
  <si>
    <t>Transportation - Charges for services</t>
  </si>
  <si>
    <t>Transportation - Operating grants and contributions</t>
  </si>
  <si>
    <t>Special items are assumed to be gains and posted as such. If a loss results then the amount posted will be a debit.</t>
  </si>
  <si>
    <r>
      <t xml:space="preserve">Method 1 - </t>
    </r>
    <r>
      <rPr>
        <sz val="10"/>
        <color indexed="10"/>
        <rFont val="Arial"/>
        <family val="2"/>
      </rPr>
      <t>know current year amounts earned</t>
    </r>
  </si>
  <si>
    <r>
      <t>Method 2 -</t>
    </r>
    <r>
      <rPr>
        <sz val="10"/>
        <color indexed="10"/>
        <rFont val="Arial"/>
        <family val="2"/>
      </rPr>
      <t xml:space="preserve"> know current year amounts taken</t>
    </r>
  </si>
  <si>
    <r>
      <t>Note</t>
    </r>
    <r>
      <rPr>
        <sz val="10"/>
        <rFont val="Arial"/>
        <family val="2"/>
      </rPr>
      <t xml:space="preserve">: </t>
    </r>
    <r>
      <rPr>
        <i/>
        <sz val="10"/>
        <rFont val="Arial"/>
        <family val="2"/>
      </rPr>
      <t>If the composite method is used for computing depreciation and useful life, no gain or loss should be recognized. The proceeds received upon the asset's removal reduces the amount that would have been charged to accumulated depreciation. For the case where the composite method is used, adjust accumulated depreciation such that gain/loss computes as zero ($0).</t>
    </r>
  </si>
  <si>
    <t>Total of principal payments</t>
  </si>
  <si>
    <t>Accrued interest receivable</t>
  </si>
  <si>
    <t>What is the accumulated depreciation at the beginning of the year for the assets sold in a. above?</t>
  </si>
  <si>
    <t>Cemetery Care</t>
  </si>
  <si>
    <r>
      <t>Assumptions were made in journal entry F.1  (</t>
    </r>
    <r>
      <rPr>
        <i/>
        <sz val="10"/>
        <rFont val="Arial"/>
        <family val="2"/>
      </rPr>
      <t>from Tab F.Other Capital Asset Entries</t>
    </r>
    <r>
      <rPr>
        <sz val="10"/>
        <rFont val="Arial"/>
        <family val="2"/>
      </rPr>
      <t xml:space="preserve">) that all sales/disposals of capital assets resulted in gains to miscellaneous revenue. If however a material loss occurred, it should be reclassified as a General Government expense.  </t>
    </r>
    <r>
      <rPr>
        <i/>
        <sz val="10"/>
        <rFont val="Arial"/>
        <family val="2"/>
      </rPr>
      <t>(Question #131 from Implementation Guide 1.)</t>
    </r>
    <r>
      <rPr>
        <sz val="10"/>
        <rFont val="Arial"/>
        <family val="2"/>
      </rPr>
      <t xml:space="preserve"> For material losses, complete the question in section</t>
    </r>
    <r>
      <rPr>
        <sz val="10"/>
        <rFont val="Times New Roman"/>
        <family val="1"/>
      </rPr>
      <t xml:space="preserve"> I.</t>
    </r>
    <r>
      <rPr>
        <sz val="10"/>
        <rFont val="Arial"/>
        <family val="2"/>
      </rPr>
      <t xml:space="preserve"> below. Indicate the amount of the loss that qualifies as a General Government expense and any material portion that meets the criteria for a special expense.</t>
    </r>
  </si>
  <si>
    <t>Culture and recreation expenditures</t>
  </si>
  <si>
    <t>Business-type Activities Adjustments:</t>
  </si>
  <si>
    <t>Water and sewer expenses</t>
  </si>
  <si>
    <t>Electric expenses</t>
  </si>
  <si>
    <t>Charges to external customers</t>
  </si>
  <si>
    <r>
      <t xml:space="preserve">What is the amount of expenditures incurred and revenues collected that is truly a cost of the user function, e.g. services such as data processing, printing, accounting, garage, etc. </t>
    </r>
    <r>
      <rPr>
        <u/>
        <sz val="10"/>
        <rFont val="Arial"/>
        <family val="2"/>
      </rPr>
      <t>For this entry to be required, revenue has been recorded in the function providing the service</t>
    </r>
    <r>
      <rPr>
        <sz val="10"/>
        <rFont val="Arial"/>
        <family val="2"/>
      </rPr>
      <t xml:space="preserve">. Indicate the amount by function below. Include charges to and revenues collected from business type activities. </t>
    </r>
    <r>
      <rPr>
        <sz val="8"/>
        <color indexed="10"/>
        <rFont val="Arial"/>
        <family val="2"/>
      </rPr>
      <t>Assumption is that expenditures and revenue are equal and there is no material profit or loss to be allocated</t>
    </r>
    <r>
      <rPr>
        <sz val="10"/>
        <rFont val="Arial"/>
        <family val="2"/>
      </rPr>
      <t xml:space="preserve">.  </t>
    </r>
    <r>
      <rPr>
        <b/>
        <sz val="8"/>
        <color indexed="10"/>
        <rFont val="Arial"/>
        <family val="2"/>
      </rPr>
      <t>If reimbursement method was used, leave this section blank</t>
    </r>
    <r>
      <rPr>
        <sz val="10"/>
        <rFont val="Arial"/>
        <family val="2"/>
      </rPr>
      <t>.</t>
    </r>
  </si>
  <si>
    <t>Charges for services</t>
  </si>
  <si>
    <t>Amount</t>
  </si>
  <si>
    <t>Restricted intergovernmental</t>
  </si>
  <si>
    <t>Sales &amp; Services</t>
  </si>
  <si>
    <t>Debit</t>
  </si>
  <si>
    <t>Credit</t>
  </si>
  <si>
    <r>
      <t xml:space="preserve">OFS - Premium on debt issued </t>
    </r>
    <r>
      <rPr>
        <sz val="8"/>
        <color indexed="10"/>
        <rFont val="Arial"/>
        <family val="2"/>
      </rPr>
      <t>- other financing source</t>
    </r>
  </si>
  <si>
    <r>
      <t xml:space="preserve">Debt service </t>
    </r>
    <r>
      <rPr>
        <sz val="10"/>
        <rFont val="Arial"/>
        <family val="2"/>
      </rPr>
      <t>- bond issuance cost</t>
    </r>
  </si>
  <si>
    <r>
      <t>Debt service</t>
    </r>
    <r>
      <rPr>
        <sz val="8"/>
        <color indexed="10"/>
        <rFont val="Arial"/>
        <family val="2"/>
      </rPr>
      <t xml:space="preserve"> </t>
    </r>
    <r>
      <rPr>
        <sz val="10"/>
        <rFont val="Arial"/>
        <family val="2"/>
      </rPr>
      <t>- advance refunding escrow</t>
    </r>
  </si>
  <si>
    <r>
      <t>Premium on debt issued</t>
    </r>
    <r>
      <rPr>
        <sz val="8"/>
        <color indexed="10"/>
        <rFont val="Arial"/>
        <family val="2"/>
      </rPr>
      <t>- liability</t>
    </r>
  </si>
  <si>
    <t>liabilities</t>
  </si>
  <si>
    <r>
      <t>Debt service</t>
    </r>
    <r>
      <rPr>
        <sz val="10"/>
        <rFont val="Arial"/>
        <family val="2"/>
      </rPr>
      <t xml:space="preserve"> - advance refunding escrow</t>
    </r>
  </si>
  <si>
    <r>
      <t xml:space="preserve">If there is a </t>
    </r>
    <r>
      <rPr>
        <b/>
        <sz val="10"/>
        <rFont val="Arial"/>
        <family val="2"/>
      </rPr>
      <t>net gain</t>
    </r>
    <r>
      <rPr>
        <sz val="10"/>
        <rFont val="Arial"/>
        <family val="2"/>
      </rPr>
      <t xml:space="preserve">, is it an extraordinary gain or miscellaneous revenue? </t>
    </r>
    <r>
      <rPr>
        <b/>
        <sz val="10"/>
        <color indexed="10"/>
        <rFont val="Arial"/>
        <family val="2"/>
      </rPr>
      <t>Can only be one, not both</t>
    </r>
    <r>
      <rPr>
        <sz val="10"/>
        <rFont val="Arial"/>
        <family val="2"/>
      </rPr>
      <t>.</t>
    </r>
  </si>
  <si>
    <t>What are the adjustments to expenses and liabilities for claims and judgments ?</t>
  </si>
  <si>
    <t xml:space="preserve"> Payments</t>
  </si>
  <si>
    <t>New claims</t>
  </si>
  <si>
    <r>
      <t xml:space="preserve">What was the balance at the end of the </t>
    </r>
    <r>
      <rPr>
        <u/>
        <sz val="10"/>
        <rFont val="Arial"/>
        <family val="2"/>
      </rPr>
      <t>prior year</t>
    </r>
    <r>
      <rPr>
        <sz val="10"/>
        <rFont val="Arial"/>
        <family val="2"/>
      </rPr>
      <t xml:space="preserve"> for claims and judgments?</t>
    </r>
  </si>
  <si>
    <t>Restricted for Capital Projects</t>
  </si>
  <si>
    <t xml:space="preserve">Cultural and recreation </t>
  </si>
  <si>
    <t>Restricted for Cultural and Recreation</t>
  </si>
  <si>
    <t>Debt activity under the modified accrual basis of accounting is treated as an expenditure or as an other financing source - debt proceeds. For the full accrual basis of accounting used on the government-wide statements, these debt service expenditures must be adjusted to report the reduction in the principal balance for the permanent liability account. New debt issued during the year  will be addressed in Schedule H. Interest expense will be determined by the period the debt is outstanding rather than by the cash payment. Refunding bonds will also be addressed in Schedule H. Please note that these adjustments to debt accounts must be posted to the unit's permanent accounts for debt in order to have proper beginning balances for next year.</t>
  </si>
  <si>
    <t>Determine the asset categories for which the expenditures noted in Section A were made and enter amounts by asset class. The total amount for section A and B should be equal.</t>
  </si>
  <si>
    <t>a.</t>
  </si>
  <si>
    <t xml:space="preserve">What is the original cost at the beginning of the year for an asset sold during current year? </t>
  </si>
  <si>
    <t>b.</t>
  </si>
  <si>
    <t>Due to other governments</t>
  </si>
  <si>
    <r>
      <t xml:space="preserve">Reclassify inter-activity receivables and payables to internal balances </t>
    </r>
    <r>
      <rPr>
        <sz val="10"/>
        <rFont val="Arial"/>
        <family val="2"/>
      </rPr>
      <t>(transactions between government type activities and business type activities.)</t>
    </r>
    <r>
      <rPr>
        <b/>
        <sz val="10"/>
        <rFont val="Arial"/>
        <family val="2"/>
      </rPr>
      <t xml:space="preserve">  </t>
    </r>
    <r>
      <rPr>
        <b/>
        <sz val="8"/>
        <color indexed="10"/>
        <rFont val="Arial"/>
        <family val="2"/>
      </rPr>
      <t>Note: Due to/from Fiduciary funds are not included here.  It is best to separately classify them at the fund level but if that was not done, then complete Section D below.</t>
    </r>
  </si>
  <si>
    <t>Reclassify receivables and payables to the fiduciary funds from governmental activities.</t>
  </si>
  <si>
    <t>Review the accounts for deferred charges from refunding and issuance cost and any discounts or premiums that must be amortized over the life of the debt. Indicate the amount for the annual expense.</t>
  </si>
  <si>
    <t>Adjust Property Tax Revenue From Modified Accrual to Full Accrual</t>
  </si>
  <si>
    <t>Fund Balance - beginning</t>
  </si>
  <si>
    <t>Enter the amount of the new levy in the function below where the proceeds will be/have been expended. The sum below, must equal the amount listed in step 2 above.</t>
  </si>
  <si>
    <t xml:space="preserve">Add any additional assessments made in the current year in the cell to the right. </t>
  </si>
  <si>
    <t>Entry prepared assuming that Special Assessments were charged appropriately to program revenue in worksheet A.</t>
  </si>
  <si>
    <t>Restricted for Other restrictions #3</t>
  </si>
  <si>
    <r>
      <t xml:space="preserve">What is debt related to capital assets </t>
    </r>
    <r>
      <rPr>
        <u/>
        <sz val="10"/>
        <rFont val="Arial"/>
        <family val="2"/>
      </rPr>
      <t>excluding unexpended debt proceeds</t>
    </r>
    <r>
      <rPr>
        <sz val="10"/>
        <rFont val="Arial"/>
        <family val="2"/>
      </rPr>
      <t>?</t>
    </r>
  </si>
  <si>
    <t xml:space="preserve">        Government-wide Statement</t>
  </si>
  <si>
    <t>Compute if not separately disclosed</t>
  </si>
  <si>
    <t>K.1</t>
  </si>
  <si>
    <t>Other program 1 - Charges for services</t>
  </si>
  <si>
    <t>Cultural and recreational</t>
  </si>
  <si>
    <t>Conversion Entries</t>
  </si>
  <si>
    <t>Total</t>
  </si>
  <si>
    <t>Statement of</t>
  </si>
  <si>
    <t>Activities</t>
  </si>
  <si>
    <t>Permits and Fees</t>
  </si>
  <si>
    <t>Investment Earnings</t>
  </si>
  <si>
    <t>Miscellaneous</t>
  </si>
  <si>
    <t>General Fund</t>
  </si>
  <si>
    <t xml:space="preserve">Dr </t>
  </si>
  <si>
    <t>Emergency Telephone</t>
  </si>
  <si>
    <t>Subtotal Non-Major</t>
  </si>
  <si>
    <t>Governmental Funds</t>
  </si>
  <si>
    <t>Accum. Depreciation - Vehicles + Mot. Equip</t>
  </si>
  <si>
    <t>Fund Equity - Beginning</t>
  </si>
  <si>
    <r>
      <t xml:space="preserve">Miscellaneous revenue </t>
    </r>
    <r>
      <rPr>
        <sz val="8"/>
        <color indexed="10"/>
        <rFont val="Arial"/>
        <family val="2"/>
      </rPr>
      <t>- not program specific</t>
    </r>
  </si>
  <si>
    <t>Eliminate the "doubling up effect" that may occur with inter-function activities when expenditures have been recorded twice.</t>
  </si>
  <si>
    <t>Due from fiduciary funds</t>
  </si>
  <si>
    <t>Due to fiduciary funds</t>
  </si>
  <si>
    <t>Journal entry for conversion worksheet to record additions and reductions in outstanding debt.   [Entry J.1]</t>
  </si>
  <si>
    <t>Add any additional assessments made in the current year in the cell to the right.</t>
  </si>
  <si>
    <t>Other Non-Major #8</t>
  </si>
  <si>
    <t>Major Governmental Funds</t>
  </si>
  <si>
    <r>
      <t xml:space="preserve">Preliminary judgment made on which funds are major and which are non-major before conversion worksheet is done. Reconfirm if any adjusting entries for </t>
    </r>
    <r>
      <rPr>
        <u/>
        <sz val="10"/>
        <rFont val="Arial"/>
        <family val="2"/>
      </rPr>
      <t>modified accrual are made</t>
    </r>
    <r>
      <rPr>
        <sz val="10"/>
        <rFont val="Arial"/>
        <family val="2"/>
      </rPr>
      <t>.</t>
    </r>
  </si>
  <si>
    <t>What was the amount of the net negative pension obligation at the beginning of the year. If multiple benefit plans are involved enter the sum of all plans.</t>
  </si>
  <si>
    <t>Intangible asset - advance funding of pension</t>
  </si>
  <si>
    <t>Capital grants &amp; contributions</t>
  </si>
  <si>
    <t>General government - operating grants &amp; contributions</t>
  </si>
  <si>
    <t>Transportation - operating grants &amp; contributions</t>
  </si>
  <si>
    <t>Economic &amp; physical development - operating grants &amp; contributions</t>
  </si>
  <si>
    <t>Environmental protection - operating grants &amp; contributions</t>
  </si>
  <si>
    <t>Accounts in tan have multiple</t>
  </si>
  <si>
    <t>Manually Posted</t>
  </si>
  <si>
    <t>Entries</t>
  </si>
  <si>
    <t>As Needed</t>
  </si>
  <si>
    <t>This workbook has been provided as a tool to facilitate your unit's conversion to the full accrual statements required by GASB 34. In preparation of this workbook, the staff of the LGC has assumed that the user has a good working knowledge of Excel.  The LGC's staff will provide accounting support for use of this workbook; however, we cannot give detailed instruction in the use of Excel.</t>
  </si>
  <si>
    <t>Cultural and recreation-operating grants &amp; contributions</t>
  </si>
  <si>
    <t>Other program 1-operating grants &amp; contributions</t>
  </si>
  <si>
    <t>General government-capital grants &amp; contributions</t>
  </si>
  <si>
    <t>Public Safety-capital grants &amp; contributions</t>
  </si>
  <si>
    <t>Transportation-capital grants &amp; contributions</t>
  </si>
  <si>
    <r>
      <t xml:space="preserve">Premium on debt issued </t>
    </r>
    <r>
      <rPr>
        <sz val="8"/>
        <color indexed="10"/>
        <rFont val="Arial"/>
        <family val="2"/>
      </rPr>
      <t>- liability</t>
    </r>
  </si>
  <si>
    <r>
      <t>OFS - Capital leases</t>
    </r>
    <r>
      <rPr>
        <sz val="8"/>
        <color indexed="10"/>
        <rFont val="Arial"/>
        <family val="2"/>
      </rPr>
      <t xml:space="preserve"> (proceeds)</t>
    </r>
  </si>
  <si>
    <r>
      <t>OFS - Installment purchases/COPS</t>
    </r>
    <r>
      <rPr>
        <sz val="8"/>
        <color indexed="10"/>
        <rFont val="Arial"/>
        <family val="2"/>
      </rPr>
      <t xml:space="preserve"> (proceeds)</t>
    </r>
  </si>
  <si>
    <r>
      <t xml:space="preserve">OFS - Bond issued </t>
    </r>
    <r>
      <rPr>
        <sz val="8"/>
        <color indexed="10"/>
        <rFont val="Arial"/>
        <family val="2"/>
      </rPr>
      <t>(proceeds)</t>
    </r>
  </si>
  <si>
    <t>H.</t>
  </si>
  <si>
    <t>J.</t>
  </si>
  <si>
    <t>What was the accrued investment earnings at the end of the prior year?</t>
  </si>
  <si>
    <t>Entry J</t>
  </si>
  <si>
    <t>Any investment earnings that should be reclassified as program revenue will be adjusted in worksheet L.</t>
  </si>
  <si>
    <t>Fund balance - beginning</t>
  </si>
  <si>
    <t>What is the amount of the unit's equity interest in all joint ventures at the end of the prior year (beginning balance.)</t>
  </si>
  <si>
    <t xml:space="preserve">Conversion entries to convert from modified accrual to full accrual are generated from the worksheets B through J. </t>
  </si>
  <si>
    <t>7.</t>
  </si>
  <si>
    <t>Unamortized
Discount =</t>
  </si>
  <si>
    <t>Unamortized
Premium =</t>
  </si>
  <si>
    <r>
      <t xml:space="preserve">Classify current portion of long-term liabilities.   </t>
    </r>
    <r>
      <rPr>
        <b/>
        <sz val="8"/>
        <color indexed="10"/>
        <rFont val="Arial"/>
        <family val="2"/>
      </rPr>
      <t>(Leave the cell blank if account does not apply or classification has been handled previously.)</t>
    </r>
  </si>
  <si>
    <t>presentation</t>
  </si>
  <si>
    <t>Other long-term liability #1</t>
  </si>
  <si>
    <t>Other long-term liability #2</t>
  </si>
  <si>
    <t>Notes payable</t>
  </si>
  <si>
    <t>Bonds payable</t>
  </si>
  <si>
    <t>COPs payable</t>
  </si>
  <si>
    <t>Claims payable</t>
  </si>
  <si>
    <t>Claims payable - current</t>
  </si>
  <si>
    <r>
      <t xml:space="preserve">Conversion worksheet: </t>
    </r>
    <r>
      <rPr>
        <sz val="10"/>
        <rFont val="Arial"/>
        <family val="2"/>
      </rPr>
      <t xml:space="preserve">includes trial balances for all governmental funds, columns for prior year capital assets and long-term debt balances, and columns for posting the various reclassification, conversion, elimination and consolidation entries resulting in the final numbers for governmental activities for the statements. </t>
    </r>
  </si>
  <si>
    <t>9.</t>
  </si>
  <si>
    <t>Environmental protection - Capital grants and contributions</t>
  </si>
  <si>
    <t>Economic and physical development - Charges for services</t>
  </si>
  <si>
    <t>Pre-closing trial balance entered at the function level for each governmental fund (for the fund balance number - use ending fund balance from prior year).</t>
  </si>
  <si>
    <t>Economic and physical development - Operating grants and contributions</t>
  </si>
  <si>
    <t>Economic and physical development - Capital grants and contributions</t>
  </si>
  <si>
    <t>Cultural and recreation - Charges for services</t>
  </si>
  <si>
    <t>Cultural and recreation - Operating grants and contributions</t>
  </si>
  <si>
    <t>Cultural and recreation - Capital grants and contributions</t>
  </si>
  <si>
    <t>Other Improvements</t>
  </si>
  <si>
    <t>Vehicles &amp; Motorized Equipment</t>
  </si>
  <si>
    <t>Accumulated depreciation - Buildings</t>
  </si>
  <si>
    <t>Accumulated depreciation - Other improvements</t>
  </si>
  <si>
    <t>Accumulated depreciation - Equipment</t>
  </si>
  <si>
    <t>Accumulated depreciation - Vehicles &amp; motorized equipment</t>
  </si>
  <si>
    <t>Accumulated depreciation - Infrastructure</t>
  </si>
  <si>
    <t>Special Item</t>
  </si>
  <si>
    <t>Description</t>
  </si>
  <si>
    <t>Balance Sheet Accounts</t>
  </si>
  <si>
    <t xml:space="preserve"> </t>
  </si>
  <si>
    <t>Extraordinary item - revenue</t>
  </si>
  <si>
    <r>
      <t>Miscellaneous……………………</t>
    </r>
    <r>
      <rPr>
        <sz val="8"/>
        <color indexed="10"/>
        <rFont val="Arial"/>
        <family val="2"/>
      </rPr>
      <t>(Typically general)</t>
    </r>
  </si>
  <si>
    <r>
      <t xml:space="preserve">Extraordinary item  </t>
    </r>
    <r>
      <rPr>
        <i/>
        <sz val="10"/>
        <rFont val="Arial"/>
        <family val="2"/>
      </rPr>
      <t>(revenue)</t>
    </r>
  </si>
  <si>
    <t>What is the depreciation expense for the current year up to the date of sale for the asset above?</t>
  </si>
  <si>
    <t>Improvements</t>
  </si>
  <si>
    <t>Vehicles + Mot. Equip</t>
  </si>
  <si>
    <t>…. Automatically computed ….</t>
  </si>
  <si>
    <t>Advances from other funds</t>
  </si>
  <si>
    <t>Advances to other funds</t>
  </si>
  <si>
    <t>What is the current year annual amortization for deferred charge (loss) from refunding?</t>
  </si>
  <si>
    <t>Indicate the amount of any distributions during the current year that were recognized as revenue under modified accrual.</t>
  </si>
  <si>
    <t>accounts to internal</t>
  </si>
  <si>
    <t>The journal entry for the conversion worksheet, to reclassify these expenditures as capital assets, will be automatically created.</t>
  </si>
  <si>
    <t xml:space="preserve">Indicate the function to which the expenditures in 1 above apply. </t>
  </si>
  <si>
    <t>t</t>
  </si>
  <si>
    <t>Other program 2</t>
  </si>
  <si>
    <t>Other program 2 - Charges for services</t>
  </si>
  <si>
    <t>Other program 2 - Operating grants and contributions</t>
  </si>
  <si>
    <t>Other program 2 - Capital grants and contributions</t>
  </si>
  <si>
    <t>Other program 2 - charge for service</t>
  </si>
  <si>
    <t>Other program 2 - operating grants &amp; contributions</t>
  </si>
  <si>
    <t>Other program 2 - capital grants &amp; contributions</t>
  </si>
  <si>
    <t>Other program 1 expenditures</t>
  </si>
  <si>
    <t>Other program 2 expenditures</t>
  </si>
  <si>
    <t>Other program 2-operating grants &amp; contributions</t>
  </si>
  <si>
    <t>Other program 2-capital grants &amp; contributions</t>
  </si>
  <si>
    <t xml:space="preserve">  Vehicles and other motorized equipment</t>
  </si>
  <si>
    <t xml:space="preserve">  Asset class 1</t>
  </si>
  <si>
    <t xml:space="preserve">  Asset class 2</t>
  </si>
  <si>
    <t xml:space="preserve">  Construction in progress</t>
  </si>
  <si>
    <t>Net fixed assets</t>
  </si>
  <si>
    <t>Capital debt calculation</t>
  </si>
  <si>
    <t xml:space="preserve">  Total capital debt, gross</t>
  </si>
  <si>
    <t>Add:</t>
  </si>
  <si>
    <t>Total capital debt</t>
  </si>
  <si>
    <t>Capital assets net of related debt</t>
  </si>
  <si>
    <t>Landfill or</t>
  </si>
  <si>
    <t>Business Type</t>
  </si>
  <si>
    <t>Gain / loss qualifying as special item</t>
  </si>
  <si>
    <t>Gain / loss on sale of assets</t>
  </si>
  <si>
    <t>Review all governmental funds for sales of assets. For those items that meet the definition of a special item* enter the amounts by asset class for each question in section A.1. Typically there would not be more than one sale that qualified under the definition of special item. Enter the amounts under the proper asset class.</t>
  </si>
  <si>
    <t>Other</t>
  </si>
  <si>
    <t>Other asset</t>
  </si>
  <si>
    <t>For those items sold that qualify as a regular sale of assets, enter the amounts by asset class for each question in section A.2</t>
  </si>
  <si>
    <t>Trade-in of Capital assets:</t>
  </si>
  <si>
    <r>
      <t xml:space="preserve">Ending balance for other long-term liabilities for the current year. - </t>
    </r>
    <r>
      <rPr>
        <sz val="8"/>
        <color indexed="10"/>
        <rFont val="Arial"/>
        <family val="2"/>
      </rPr>
      <t>calculated</t>
    </r>
  </si>
  <si>
    <t>Indicate to which function the new "other liabilities"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</si>
  <si>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t>p</t>
  </si>
  <si>
    <t>q</t>
  </si>
  <si>
    <t>r</t>
  </si>
  <si>
    <t>s</t>
  </si>
  <si>
    <t>Final Entry for Conversion Worksheet   [Entry L.1 to L.9]</t>
  </si>
  <si>
    <t>consolidation entries - Worksheets K &amp; L</t>
  </si>
  <si>
    <t>Other financing source - Sale of assets</t>
  </si>
  <si>
    <t>Class #1</t>
  </si>
  <si>
    <t>Class #2</t>
  </si>
  <si>
    <t>Other asset class #1</t>
  </si>
  <si>
    <t>Other asset class #2</t>
  </si>
  <si>
    <t>Indicate amount of revenue recorded for sale.</t>
  </si>
  <si>
    <t>Entry B</t>
  </si>
  <si>
    <t>Entry C</t>
  </si>
  <si>
    <t>Entry D</t>
  </si>
  <si>
    <t>Totals</t>
  </si>
  <si>
    <t>Other non-depreciable assets</t>
  </si>
  <si>
    <t>What was the amount outstanding for the old debt at the time it was refunded?</t>
  </si>
  <si>
    <t>What was the amount of any unamortized discount, premium  or issuance cost on the old debt?</t>
  </si>
  <si>
    <r>
      <t xml:space="preserve">What is the amount of receivables-"Advances to other funds" due to the governmental activities from business type activities? </t>
    </r>
    <r>
      <rPr>
        <sz val="8"/>
        <color indexed="10"/>
        <rFont val="Arial"/>
        <family val="2"/>
      </rPr>
      <t>Follow the directions in step 1 above - entering the number from the Conversion worksheet - exclude fiduciary funds portion.</t>
    </r>
  </si>
  <si>
    <t>Units may elect to amortize the discount or premium on bonds and the deferred charge (loss) on refunding using the straight-line method or the effective interest rate amortization method.</t>
  </si>
  <si>
    <t>Grant Project</t>
  </si>
  <si>
    <t>Other Non-Major #4</t>
  </si>
  <si>
    <t>Other Non-Major #5</t>
  </si>
  <si>
    <t>Other Non-Major #6</t>
  </si>
  <si>
    <t>Other Non-Major #7</t>
  </si>
  <si>
    <r>
      <t xml:space="preserve">What was the amount of Reserve for inventory </t>
    </r>
    <r>
      <rPr>
        <sz val="10"/>
        <rFont val="Arial"/>
        <family val="2"/>
      </rPr>
      <t>at the end of the current year?</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</si>
  <si>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</si>
  <si>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t>Consolidate transfers to arrive at net transfers to business type activities.</t>
  </si>
  <si>
    <t xml:space="preserve">Eliminate interfund balances for receivables and payables between governmental funds. </t>
  </si>
  <si>
    <t>Fund Balance</t>
  </si>
  <si>
    <t>Indicate to which function the net change in prepaid expenses applies. The sum of the amounts below must equal the amount in the net change field above .</t>
  </si>
  <si>
    <t>Interfund receivables and payables between the governmental funds must be eliminated so as not to overstate the assets and liabilities for governmental activities. There are four accounts which are affected, "due to/from" and "advances to/from."  Interfund receivables and payables to fiduciary funds are treated as external parties at the government-wide level. They are best reported in a separate account entitled due to/from fiduciary funds on the funds' Balance Sheet. If receivables/payables from fiduciary funds have not already been recorded on a separate line, complete the questions in Section D.</t>
  </si>
  <si>
    <r>
      <t>k</t>
    </r>
    <r>
      <rPr>
        <sz val="12"/>
        <rFont val="Wingdings 2"/>
        <family val="1"/>
        <charset val="2"/>
      </rPr>
      <t xml:space="preserve"> </t>
    </r>
    <r>
      <rPr>
        <b/>
        <sz val="10"/>
        <rFont val="Arial"/>
        <family val="2"/>
      </rPr>
      <t>The method used throughout this worksheet</t>
    </r>
    <r>
      <rPr>
        <sz val="10"/>
        <rFont val="Arial"/>
        <family val="2"/>
      </rPr>
      <t xml:space="preserve"> </t>
    </r>
    <r>
      <rPr>
        <b/>
        <sz val="10"/>
        <rFont val="Arial"/>
        <family val="2"/>
      </rPr>
      <t>differs from the GAAFR</t>
    </r>
    <r>
      <rPr>
        <sz val="10"/>
        <rFont val="Arial"/>
        <family val="2"/>
      </rPr>
      <t xml:space="preserve"> by using beginning fund balance rather than ending balance. This method generates a calculation for beginning equity on the full accrual basis of accounting.</t>
    </r>
  </si>
  <si>
    <r>
      <t>k</t>
    </r>
    <r>
      <rPr>
        <sz val="10"/>
        <rFont val="Arial"/>
        <family val="2"/>
      </rPr>
      <t xml:space="preserve"> </t>
    </r>
    <r>
      <rPr>
        <b/>
        <sz val="10"/>
        <rFont val="Arial"/>
        <family val="2"/>
      </rPr>
      <t>The method used throughout this worksheet differs from the GAAFR</t>
    </r>
    <r>
      <rPr>
        <sz val="10"/>
        <rFont val="Arial"/>
        <family val="2"/>
      </rPr>
      <t xml:space="preserve"> by using beginning fund balance rather than ending balance. This method generates a calculation for beginning equity on the full accrual basis of accounting.</t>
    </r>
  </si>
  <si>
    <t>Cultural and Recreation</t>
  </si>
  <si>
    <t>Indicate the amount by program/function for interest expense or investment earnings that should be included with program cost or revenue due to being integral to the operation or required by a third party restriction. If the investment earnings were classified as anything other than general revenues in worksheet A no additional entry to adjust revenue is necessary on this worksheet.</t>
  </si>
  <si>
    <t>I.</t>
  </si>
  <si>
    <t>L.9</t>
  </si>
  <si>
    <t>Restricted for capital projects</t>
  </si>
  <si>
    <t>Restricted for Debt Service</t>
  </si>
  <si>
    <t>Restricted for Transportation</t>
  </si>
  <si>
    <t>Restricted for Public Safety</t>
  </si>
  <si>
    <t>Restricted for Economic Development</t>
  </si>
  <si>
    <t>Restricted for Other restrictions #1</t>
  </si>
  <si>
    <t>Restricted for Other restrictions #2</t>
  </si>
  <si>
    <t>Water and</t>
  </si>
  <si>
    <t>Other Business</t>
  </si>
  <si>
    <t xml:space="preserve">Internal </t>
  </si>
  <si>
    <t>Sewer Fund</t>
  </si>
  <si>
    <t>Fund</t>
  </si>
  <si>
    <t>Type Fund</t>
  </si>
  <si>
    <t>Service Fund</t>
  </si>
  <si>
    <t>Total fixed assets, all business-type activities</t>
  </si>
  <si>
    <t xml:space="preserve">Less: </t>
  </si>
  <si>
    <t xml:space="preserve">  Accumulated depreciation, 6/30/02</t>
  </si>
  <si>
    <t>Less:</t>
  </si>
  <si>
    <t xml:space="preserve">  Unspent proceeds of debt</t>
  </si>
  <si>
    <t>Operating Grants &amp; Contributions</t>
  </si>
  <si>
    <t>Capital Grants &amp; Contributions</t>
  </si>
  <si>
    <r>
      <t xml:space="preserve">Special Assessments - Assessment results in </t>
    </r>
    <r>
      <rPr>
        <b/>
        <u/>
        <sz val="10"/>
        <rFont val="Arial"/>
        <family val="2"/>
      </rPr>
      <t>ownership of an asset</t>
    </r>
    <r>
      <rPr>
        <b/>
        <sz val="10"/>
        <rFont val="Arial"/>
        <family val="2"/>
      </rPr>
      <t xml:space="preserve">  - </t>
    </r>
    <r>
      <rPr>
        <b/>
        <sz val="9"/>
        <rFont val="Arial"/>
        <family val="2"/>
      </rPr>
      <t xml:space="preserve"> (Miscellaneous Revenue for Modified Accrual)
                                                                                                           (Program Revenue - Capital grants &amp; contributions for Full Accrual)</t>
    </r>
  </si>
  <si>
    <t>Review the various governmental funds and identify debt service expenditures that should be recorded as a reduction to a liability as principal is paid down. Enter information in Section A below.</t>
  </si>
  <si>
    <t>Enter the amount of principal paid as debt service in all governmental funds for the categories below?</t>
  </si>
  <si>
    <t>Capital leases</t>
  </si>
  <si>
    <t>The user should download a blank workbook appropriate for his/her unit of government and save it permanently on a local computer. It would be best to then make another copy for the current year's data. If for whatever reason the current file becomes corrupted, the user should reload the blank copy from their local computer (or download another from the web) and begin again. For maximum protection, users should save their work frequently as they enter data.</t>
  </si>
  <si>
    <t>Parking &amp; Recreation</t>
  </si>
  <si>
    <t>Powell Bill moneys reserved in General Fund</t>
  </si>
  <si>
    <t xml:space="preserve">What is the original cost at the beginning of the year for assets physically damaged during current year? </t>
  </si>
  <si>
    <t>What is the accumulated depreciation at the beginning of the year for the assets damaged in a. above?</t>
  </si>
  <si>
    <t>What is the depreciation expense for the current year up to the
 date of the damage for the assets above?</t>
  </si>
  <si>
    <t>Net book value of capital assets damaged</t>
  </si>
  <si>
    <t>COPs payable - current</t>
  </si>
  <si>
    <t>Bonds payable - current</t>
  </si>
  <si>
    <t>Notes payable - current</t>
  </si>
  <si>
    <t>Other long-term liability #2 - current</t>
  </si>
  <si>
    <t>Other long-term liability #1 - current</t>
  </si>
  <si>
    <t xml:space="preserve">What are net capital assets (capital assets less accumulated depreciation.) </t>
  </si>
  <si>
    <t>Restricted for:</t>
  </si>
  <si>
    <t>Capital projects</t>
  </si>
  <si>
    <t>Economic Development</t>
  </si>
  <si>
    <t>Other restrictions #1</t>
  </si>
  <si>
    <t>Other restrictions #2</t>
  </si>
  <si>
    <t>Unrestricted:</t>
  </si>
  <si>
    <r>
      <t>General Government [</t>
    </r>
    <r>
      <rPr>
        <i/>
        <sz val="8"/>
        <rFont val="Arial"/>
        <family val="2"/>
      </rPr>
      <t>Loss on disposal</t>
    </r>
    <r>
      <rPr>
        <sz val="10"/>
        <rFont val="Arial"/>
        <family val="2"/>
      </rPr>
      <t>]</t>
    </r>
  </si>
  <si>
    <r>
      <t>General Government…….</t>
    </r>
    <r>
      <rPr>
        <sz val="8"/>
        <color indexed="10"/>
        <rFont val="Arial"/>
        <family val="2"/>
      </rPr>
      <t>loss on disposal</t>
    </r>
  </si>
  <si>
    <t>Retiring, scrapping or donating Capital assets:</t>
  </si>
  <si>
    <r>
      <t xml:space="preserve">Retiring, scrapping and donating capital assets (with no proceeds): </t>
    </r>
    <r>
      <rPr>
        <b/>
        <sz val="12"/>
        <rFont val="Arial"/>
        <family val="2"/>
      </rPr>
      <t xml:space="preserve"> </t>
    </r>
    <r>
      <rPr>
        <b/>
        <sz val="12"/>
        <rFont val="Wingdings 2"/>
        <family val="1"/>
        <charset val="2"/>
      </rPr>
      <t>j</t>
    </r>
    <r>
      <rPr>
        <b/>
        <sz val="10"/>
        <rFont val="Arial"/>
        <family val="2"/>
      </rPr>
      <t xml:space="preserve">   </t>
    </r>
  </si>
  <si>
    <t xml:space="preserve">j  </t>
  </si>
  <si>
    <t>Accumulated depreciation - Other asset class #1</t>
  </si>
  <si>
    <t>Accumulated depreciation - Other asset class #2</t>
  </si>
  <si>
    <t>6.</t>
  </si>
  <si>
    <t>Entry A.1</t>
  </si>
  <si>
    <t>Entry A.2</t>
  </si>
  <si>
    <t>Loss on disposal of assets</t>
  </si>
  <si>
    <t xml:space="preserve">Debit </t>
  </si>
  <si>
    <r>
      <t xml:space="preserve">Miscellaneous revenue  </t>
    </r>
    <r>
      <rPr>
        <i/>
        <sz val="10"/>
        <rFont val="Arial"/>
        <family val="2"/>
      </rPr>
      <t>(fund statements)</t>
    </r>
  </si>
  <si>
    <t>General obligation bonds payable</t>
  </si>
  <si>
    <t>Bond anticipation notes payable</t>
  </si>
  <si>
    <t>Installment purchases/COPs payable</t>
  </si>
  <si>
    <t>Review the governmental funds for additions to the various debt categories which would have been recorded as an other financing source - debt proceeds. Enter information in Section B below. New issuance of refunding bonds will be handled in section B.</t>
  </si>
  <si>
    <t>Debt Issues and Other Debt Related Transactions</t>
  </si>
  <si>
    <t>Enter the face amount of newly issued debt and any discount, premium or issuance cost for all governmental funds by the categories below?</t>
  </si>
  <si>
    <t>What was issuance cost for new debt?</t>
  </si>
  <si>
    <t>Complete the questions below regarding bond refunding.</t>
  </si>
  <si>
    <t>Old Debt:</t>
  </si>
  <si>
    <t>Net change for the year</t>
  </si>
  <si>
    <t>Net Change amount</t>
  </si>
  <si>
    <t>Compensated absences</t>
  </si>
  <si>
    <t>Claims &amp; Judgments</t>
  </si>
  <si>
    <t>What was accrued interest at the beginning of the year under full accrual?</t>
  </si>
  <si>
    <t>Face</t>
  </si>
  <si>
    <t>Discount</t>
  </si>
  <si>
    <t>Premium</t>
  </si>
  <si>
    <r>
      <t xml:space="preserve">Discount - GO Bonds </t>
    </r>
    <r>
      <rPr>
        <sz val="8"/>
        <color indexed="10"/>
        <rFont val="Arial"/>
        <family val="2"/>
      </rPr>
      <t>- contra-liability</t>
    </r>
  </si>
  <si>
    <t xml:space="preserve">Work Section </t>
  </si>
  <si>
    <t>Other transactions affecting capital assets must also be adjusted from their treatment under modified accrual to full accrual for the government-wide financial statements. This covers the  disposal of assets such as the sales, trade-ins or the scrapping of fully depreciated assets, and the donations of capital assets. Please be aware that in addition to posting to the conversion worksheets, capital assets eventually must be added to the unit's permanent accounts for recording capital assets in order to have proper beginning balances for next year's statements.  (Capital assets acquired through leases should have been recorded in the capital outlay worksheet; the debt side of the entry will be made later. Depreciation expense was calculated in a previous worksheet.)</t>
  </si>
  <si>
    <t>Cash and cash equivalents</t>
  </si>
  <si>
    <t>Intangible asset - advance funding of pension obligation</t>
  </si>
  <si>
    <r>
      <t xml:space="preserve">Inventory </t>
    </r>
    <r>
      <rPr>
        <sz val="10"/>
        <rFont val="Arial"/>
        <family val="2"/>
      </rPr>
      <t>- if recorded at the fund level using the purchases method</t>
    </r>
  </si>
  <si>
    <r>
      <t xml:space="preserve">Sum of amounts in step 2. </t>
    </r>
    <r>
      <rPr>
        <sz val="8"/>
        <color indexed="10"/>
        <rFont val="Arial"/>
        <family val="2"/>
      </rPr>
      <t>- calculated</t>
    </r>
    <r>
      <rPr>
        <sz val="10"/>
        <rFont val="Arial"/>
        <family val="2"/>
      </rPr>
      <t xml:space="preserve"> </t>
    </r>
  </si>
  <si>
    <r>
      <t xml:space="preserve">Amount to be allocated </t>
    </r>
    <r>
      <rPr>
        <sz val="8"/>
        <color indexed="10"/>
        <rFont val="Arial"/>
        <family val="2"/>
      </rPr>
      <t xml:space="preserve"> - calculated</t>
    </r>
  </si>
  <si>
    <r>
      <t xml:space="preserve">What was the amount of the net pension obligation at the beginning of the year. If multiple benefit plans are involved enter the sum of all plans. </t>
    </r>
    <r>
      <rPr>
        <sz val="8"/>
        <color indexed="10"/>
        <rFont val="Arial"/>
        <family val="2"/>
      </rPr>
      <t>(Beginning balances were recorded in Columns AF &amp; AG in the main Conversion Worksheet.)</t>
    </r>
  </si>
  <si>
    <t>Note 5: Conversion and annual accruals</t>
  </si>
  <si>
    <t>Note 6: Reclassifications, eliminations, and</t>
  </si>
  <si>
    <r>
      <t xml:space="preserve">Capital Outlay </t>
    </r>
    <r>
      <rPr>
        <i/>
        <sz val="9"/>
        <rFont val="Arial"/>
        <family val="2"/>
      </rPr>
      <t>(capital projects)</t>
    </r>
  </si>
  <si>
    <t>Other asset class 1</t>
  </si>
  <si>
    <t>Other asset class 2</t>
  </si>
  <si>
    <t>Other sales of assets that do not qualify as special items:</t>
  </si>
  <si>
    <r>
      <t xml:space="preserve">What was the amount of capital outlay to be capitalized by function in all governmental funds?  </t>
    </r>
    <r>
      <rPr>
        <b/>
        <i/>
        <sz val="10"/>
        <color indexed="10"/>
        <rFont val="Arial"/>
        <family val="2"/>
      </rPr>
      <t>This includes expenditures related to impairment losses.</t>
    </r>
  </si>
  <si>
    <t>Net Change Amount</t>
  </si>
  <si>
    <t>What was the amount of debt service paid by category of debt for all governmental funds?</t>
  </si>
  <si>
    <t>Used*</t>
  </si>
  <si>
    <t>Earned*</t>
  </si>
  <si>
    <t>F.3</t>
  </si>
  <si>
    <t>Capital outlay</t>
  </si>
  <si>
    <t>What was the amount to be capitalized by asset class?</t>
  </si>
  <si>
    <r>
      <t xml:space="preserve">Infrastructure </t>
    </r>
    <r>
      <rPr>
        <i/>
        <sz val="8"/>
        <rFont val="Arial"/>
        <family val="2"/>
      </rPr>
      <t>(e.g. street improvements)</t>
    </r>
  </si>
  <si>
    <r>
      <t xml:space="preserve">Enter the amount of the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 </t>
    </r>
  </si>
  <si>
    <t>The journal entry will reverse the original entry in the trial balance and credit an entry by function and revenue category. It is posted only to the conversion worksheet not to the general ledger or accounting system.</t>
  </si>
  <si>
    <t>Cultural &amp; recreation</t>
  </si>
  <si>
    <t>Unallocated depreciation</t>
  </si>
  <si>
    <t>Annual</t>
  </si>
  <si>
    <t>Expense</t>
  </si>
  <si>
    <r>
      <t>Sales &amp; services…………….</t>
    </r>
    <r>
      <rPr>
        <sz val="8"/>
        <color indexed="10"/>
        <rFont val="Arial"/>
        <family val="2"/>
      </rPr>
      <t>(Charges for services)</t>
    </r>
  </si>
  <si>
    <r>
      <t>Taxes - Ad valorem    …………………...</t>
    </r>
    <r>
      <rPr>
        <sz val="8"/>
        <color indexed="10"/>
        <rFont val="Arial"/>
        <family val="2"/>
      </rPr>
      <t>(General)</t>
    </r>
  </si>
  <si>
    <r>
      <t>Other taxes &amp; licenses…………………..</t>
    </r>
    <r>
      <rPr>
        <sz val="8"/>
        <color indexed="10"/>
        <rFont val="Arial"/>
        <family val="2"/>
      </rPr>
      <t>(General)</t>
    </r>
  </si>
  <si>
    <r>
      <t>Permits and fees…………….</t>
    </r>
    <r>
      <rPr>
        <sz val="8"/>
        <color indexed="10"/>
        <rFont val="Arial"/>
        <family val="2"/>
      </rPr>
      <t>(Charges for services)</t>
    </r>
  </si>
  <si>
    <r>
      <t>Investment earnings……………..</t>
    </r>
    <r>
      <rPr>
        <sz val="8"/>
        <color indexed="10"/>
        <rFont val="Arial"/>
        <family val="2"/>
      </rPr>
      <t>(Typically general)</t>
    </r>
  </si>
  <si>
    <t>Modified Accrual Revenue Class</t>
  </si>
  <si>
    <t>Interfund balances between governmental funds must be eliminated for purposes of presenting the government-wide Statements. Only those net balances between governmental and business type activities will remain and they will be classified as internal balances. Interfund transfers  must be consolidated to arrive at net transfers between governmental and business type activities. Reclassifications to programs or to current versus long-term assets and liabilities may also be necessary. These are the final steps to produce the trial balance that will become the government-wide statements. Entries are posted only to the conversion worksheet.</t>
  </si>
  <si>
    <t>What is the accumulated depreciation at the beginning of the year for the asset sold in a. above?</t>
  </si>
  <si>
    <t>c.</t>
  </si>
  <si>
    <t>Permits and fess</t>
  </si>
  <si>
    <t>Were there any additional payments to the escrow agent charged to debt service?</t>
  </si>
  <si>
    <t xml:space="preserve">Deferred Charge - refunding </t>
  </si>
  <si>
    <t>OFU - Payment to escrow agent</t>
  </si>
  <si>
    <t>Change in OPEB obligation during the year</t>
  </si>
  <si>
    <t>Total of incremental net OPEB costs</t>
  </si>
  <si>
    <t>Net OPEB Obligation</t>
  </si>
  <si>
    <t>This workbook is designed to calculate the government-wide numbers for all governmental -type activities, including any internal service funds deemed to be primarily governmental in nature.  A separate workbook is available to calculate the government-wide numbers for all business-type activities.</t>
  </si>
  <si>
    <t>Specific Instructions:</t>
  </si>
  <si>
    <t xml:space="preserve">Special assessments receivable </t>
  </si>
  <si>
    <t>Miscellaneous liabilities</t>
  </si>
  <si>
    <t>What was the amount of Reserve for Inventory at the end of the prior year?</t>
  </si>
  <si>
    <t>Culture and Recreation</t>
  </si>
  <si>
    <t>Identify the proper asset class to which the depreciation should be recorded in section B. below.</t>
  </si>
  <si>
    <t>The data provided in sections A. and B. will provide the information to create the proper entry for the conversion worksheet.</t>
  </si>
  <si>
    <r>
      <t xml:space="preserve">Piped Natural Gas Tax  </t>
    </r>
    <r>
      <rPr>
        <b/>
        <sz val="9"/>
        <rFont val="Arial"/>
        <family val="2"/>
      </rPr>
      <t xml:space="preserve"> (Unrestricted intergovernmental for Modified Accrual  --  Unrestricted - General for Full Accrual)</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</si>
  <si>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minor adjustments can be made.</t>
  </si>
  <si>
    <r>
      <t xml:space="preserve">     Proof Total - </t>
    </r>
    <r>
      <rPr>
        <sz val="8"/>
        <color indexed="10"/>
        <rFont val="Arial"/>
        <family val="2"/>
      </rPr>
      <t>(debits and credits should balance)</t>
    </r>
  </si>
  <si>
    <t>Transfers that occur during the year between governmental funds and between enterprise funds must be eliminated. Only transfers between governmental and enterprise funds remain. Transfers to/from discretely presented component units should now be reported as revenue and expenditures in the appropriate governmental fund and will not need reclassification. The transfers between governmental funds and the internal service funds must be eliminated for any internal service fund that has been consolidated with the governmental activities. After these entries, the remaining transfers should be those between business type activities or fiduciary funds.</t>
  </si>
  <si>
    <t>Reclassification, elimination and consolidation entries are in worksheets K and L including the required Internal Service Fund entries in worksheet K.1, K.2, and K.3.</t>
  </si>
  <si>
    <t>One column on the govt funds</t>
  </si>
  <si>
    <t>Grand total of major + non-major funds   --   computed</t>
  </si>
  <si>
    <t>statement   --   computed</t>
  </si>
  <si>
    <t>Accum Depreciation - asset class 2</t>
  </si>
  <si>
    <r>
      <t xml:space="preserve">The conversion journal entry in section J. will reverse the beginning and ending of year deferral in the trial balance. </t>
    </r>
    <r>
      <rPr>
        <b/>
        <sz val="10"/>
        <rFont val="Arial"/>
        <family val="2"/>
      </rPr>
      <t xml:space="preserve">It is posted only to the conversion worksheet, not to the general ledger or accounting system. </t>
    </r>
  </si>
  <si>
    <r>
      <t>Other revenues not previously covered that require adjustment from modified to full accrual -</t>
    </r>
    <r>
      <rPr>
        <sz val="10"/>
        <rFont val="Arial"/>
        <family val="2"/>
      </rPr>
      <t xml:space="preserve"> </t>
    </r>
    <r>
      <rPr>
        <sz val="8"/>
        <rFont val="Arial"/>
        <family val="2"/>
      </rPr>
      <t>including misc. charges, services &amp; fees</t>
    </r>
  </si>
  <si>
    <t>Final Entry for Conversion Worksheet   [Entry B.1 and B.2]</t>
  </si>
  <si>
    <t>Entry A</t>
  </si>
  <si>
    <t>Entry E</t>
  </si>
  <si>
    <t>Entry F</t>
  </si>
  <si>
    <t>Entry G</t>
  </si>
  <si>
    <t>Other program 1 - charge for service</t>
  </si>
  <si>
    <t>Other program 1 - operating grants &amp; contributions</t>
  </si>
  <si>
    <t>Other program 1 - capital grants &amp; contributions</t>
  </si>
  <si>
    <t>Operating grants and contributions</t>
  </si>
  <si>
    <t>Capital grants and contributions</t>
  </si>
  <si>
    <t>Cultural and recreation</t>
  </si>
  <si>
    <t>Total program revenues</t>
  </si>
  <si>
    <t>General government - Charges for services</t>
  </si>
  <si>
    <t>General government - Operating grants and contributions</t>
  </si>
  <si>
    <t>General government - Capital grants and contributions</t>
  </si>
  <si>
    <t>Public safety - Charges for services</t>
  </si>
  <si>
    <t>Enter the amounts as positive numbers in the debit or credit columns for the internal balance and the functions noted below. This entry was generated in the internal service fund allocation worksheet for business type activities elsewhere on the website. The entry must balance. If multiple internal service funds exist with dominant user of business type, please add the entries together to arrive at the net debit or credit.</t>
  </si>
  <si>
    <t>Notes:</t>
  </si>
  <si>
    <r>
      <t xml:space="preserve">What is the fair value of </t>
    </r>
    <r>
      <rPr>
        <u/>
        <sz val="10"/>
        <rFont val="Arial"/>
        <family val="2"/>
      </rPr>
      <t>all</t>
    </r>
    <r>
      <rPr>
        <sz val="10"/>
        <rFont val="Arial"/>
        <family val="2"/>
      </rPr>
      <t xml:space="preserve"> the assets donated to the unit?  Enter the amounts in the appropriate asset class.</t>
    </r>
  </si>
  <si>
    <t xml:space="preserve">   Transfers in</t>
  </si>
  <si>
    <t xml:space="preserve">   Transfers out</t>
  </si>
  <si>
    <t>Unallocated amounts for operating accounts</t>
  </si>
  <si>
    <t>Allocation of profit or loss</t>
  </si>
  <si>
    <t>Entry for Conversion worksheet to record depreciation expense.       [Entry D.1]</t>
  </si>
  <si>
    <t>Journal entry for conversion worksheet to capitalize capital outlay expenditures.   [Entry E.1]</t>
  </si>
  <si>
    <t>Miscellaneous revenue</t>
  </si>
  <si>
    <t xml:space="preserve">Miscellaneous revenue </t>
  </si>
  <si>
    <t>F.2</t>
  </si>
  <si>
    <t>F.1</t>
  </si>
  <si>
    <t>G.1</t>
  </si>
  <si>
    <t>G.2</t>
  </si>
  <si>
    <t>G.3</t>
  </si>
  <si>
    <r>
      <t xml:space="preserve">Entry for conversion worksheet to record reductions in outstanding debt and interest expense and liability. </t>
    </r>
    <r>
      <rPr>
        <b/>
        <sz val="8"/>
        <rFont val="Arial"/>
        <family val="2"/>
      </rPr>
      <t>[Entry G.1, G.2 &amp; G.3]</t>
    </r>
  </si>
  <si>
    <t>Entry for conversion worksheet to record additions to outstanding debt and all refunding activity.   [Entry H.1]</t>
  </si>
  <si>
    <t xml:space="preserve">Adjustments to Other Liability and Expense Accounts </t>
  </si>
  <si>
    <t>Work Section for Conversion entry J</t>
  </si>
  <si>
    <t>Reclassify any interest expense or investment income that should be related to a specific program.</t>
  </si>
  <si>
    <t>Other financing source - sale of capital assets</t>
  </si>
  <si>
    <r>
      <t xml:space="preserve">OFS - Sale of capital assets </t>
    </r>
    <r>
      <rPr>
        <sz val="8"/>
        <color indexed="10"/>
        <rFont val="Arial"/>
        <family val="2"/>
      </rPr>
      <t>- other financing source</t>
    </r>
  </si>
  <si>
    <t>Advance funding of pension occurs when the benefit plan has a negative net pension obligation. A net pension obligation (liability - which is the normal case) should be addressed in worksheet J.</t>
  </si>
  <si>
    <t>Please be aware that in addition to posting to the conversion worksheets, capital assets and depreciation must be added to the unit's permanent accounts for recording capital assets in order to have proper beginning balances for next year's statements.</t>
  </si>
  <si>
    <t>Worksheet A</t>
  </si>
  <si>
    <t>Unrestricted intergovernmental</t>
  </si>
  <si>
    <t>Journal entry for conversion worksheet to reclassify revenue to functional categories:   [Entry  A.1]</t>
  </si>
  <si>
    <t>WORK SECTION for ENTRY</t>
  </si>
  <si>
    <t xml:space="preserve">Credit </t>
  </si>
  <si>
    <t xml:space="preserve">be presented as such in the General Revenue section of the Statement of Activities. </t>
  </si>
  <si>
    <t>Revenue Reclassification by Function</t>
  </si>
  <si>
    <t>C.</t>
  </si>
  <si>
    <t>Ad Valorem taxes:</t>
  </si>
  <si>
    <t>Accrued interest rec. on ad valorem - "beginning of year"</t>
  </si>
  <si>
    <t>Adjust Capital Outlay Expenditures Under Modified Accrual to Full Accrual</t>
  </si>
  <si>
    <t>Environmental protection</t>
  </si>
  <si>
    <t xml:space="preserve">3. </t>
  </si>
  <si>
    <t>D.</t>
  </si>
  <si>
    <t>Vehicles and motorized equipment</t>
  </si>
  <si>
    <t>Equipment</t>
  </si>
  <si>
    <t>Infrastructure</t>
  </si>
  <si>
    <t>Land</t>
  </si>
  <si>
    <t>Buildings</t>
  </si>
  <si>
    <t>Other Improvement</t>
  </si>
  <si>
    <t>Construction in Progress</t>
  </si>
  <si>
    <t>Economic and Physical Development</t>
  </si>
  <si>
    <t>Economic &amp; physical development</t>
  </si>
  <si>
    <t>Adjust Other Capital Asset Entries to Full Accrual</t>
  </si>
  <si>
    <t>Depreciation</t>
  </si>
  <si>
    <t xml:space="preserve">Other </t>
  </si>
  <si>
    <t>Trade-in of capital assets.</t>
  </si>
  <si>
    <t>Vehicles &amp; motorized equip.</t>
  </si>
  <si>
    <t>N/A</t>
  </si>
  <si>
    <t>E.</t>
  </si>
  <si>
    <t xml:space="preserve">Capital Assets &amp; Long-term Debt accounts are those previously carried in the General Fixed Asset Account Group (GFAAG) and the General Long Term Debt Account Group (GLTDAG) plus the respective accumulated depreciation and the category of infrastructure (according to the phased implementation rules of GASB 34). </t>
  </si>
  <si>
    <t>Other long-term debt #1</t>
  </si>
  <si>
    <t xml:space="preserve">The work section of this worksheet following section G compiles the data for the final entries in section G. Entry F.1 is for disposals; entry F.2 is to record the revenue when assets are donated to the unit; entry F.3 is to reclassify capital outlay expenditures to the proper function when title to the asset is not held by the unit; F.4 is for asset impairment loss due to physical damage. The work section is not defined in the initial print range but provides the components of the final entry. Print ranges can be modified if needed. Please note that reductions due from changes in capitalization thresholds should be handled with the beginning balances loaded in the conversion worksheet. </t>
  </si>
  <si>
    <r>
      <t xml:space="preserve">Expenditures for capital outlay </t>
    </r>
    <r>
      <rPr>
        <u/>
        <sz val="10"/>
        <rFont val="Arial"/>
        <family val="2"/>
      </rPr>
      <t>where title is held by other parties</t>
    </r>
    <r>
      <rPr>
        <sz val="10"/>
        <rFont val="Arial"/>
        <family val="2"/>
      </rPr>
      <t xml:space="preserve"> must be reclassified as a functional expenditure. A prime example of this situation is the county expenditure for school construction where the Board of Education holds title to the property but municipalities could have a similar situation perhaps in an Economic Development project.  In Section E, indicate the amount of capital outlay that must be reclassified and indicate the function to which it should be charged. Section F addresses asset impairment losses. See Section F below for further discussion.</t>
    </r>
  </si>
  <si>
    <t>Bond anticipation notes</t>
  </si>
  <si>
    <t>Liabilities payable from restricted assets</t>
  </si>
  <si>
    <t>Compensated absences payable</t>
  </si>
  <si>
    <t>Operating Accounts - Revenues</t>
  </si>
  <si>
    <t>General Government</t>
  </si>
  <si>
    <t>Charges for Services</t>
  </si>
  <si>
    <t>The journal entry for the conversion worksheet, to reclassify these expenditures and other financing sources to increases and decreases in the proper liability accounts will be automatically created.</t>
  </si>
  <si>
    <t>What was the accrued interest at the end of the year under full accrual?</t>
  </si>
  <si>
    <t>Entry H</t>
  </si>
  <si>
    <t>Both amounts should be net of estimated uncollectible amounts.</t>
  </si>
  <si>
    <t>Retiring/scrapping or donating assets is a matter of removing those amounts from the capital asset accounts including removing the related accumulated depreciation. Enter amounts by asset class in section C.</t>
  </si>
  <si>
    <t>Cultural and recreation - operating grants &amp; contributions</t>
  </si>
  <si>
    <t>Current year collections</t>
  </si>
  <si>
    <r>
      <t xml:space="preserve">Misc. Rev. </t>
    </r>
    <r>
      <rPr>
        <sz val="8"/>
        <color indexed="10"/>
        <rFont val="Arial"/>
        <family val="2"/>
      </rPr>
      <t>not program specific</t>
    </r>
  </si>
  <si>
    <t>Beginning fund balance from fund statement</t>
  </si>
  <si>
    <t xml:space="preserve">Revenues are reclassified from the summary levels in the fund statements to the classification required for the Statement of Activities in Worksheet A. A separate worksheet on the website is available to assist with this classification process. </t>
  </si>
  <si>
    <t>Please note that the numbers in this column will not be included in the reconciliation from modified to full accrual.</t>
  </si>
  <si>
    <t>OFS - Insurance recovery</t>
  </si>
  <si>
    <t>Reclassification of</t>
  </si>
  <si>
    <t>Revenues by Function</t>
  </si>
  <si>
    <t>Reclassifications and</t>
  </si>
  <si>
    <t>Eliminations</t>
  </si>
  <si>
    <r>
      <t>Charges for Services</t>
    </r>
    <r>
      <rPr>
        <b/>
        <sz val="10"/>
        <color indexed="10"/>
        <rFont val="Arial"/>
        <family val="2"/>
      </rPr>
      <t xml:space="preserve"> *</t>
    </r>
  </si>
  <si>
    <r>
      <t xml:space="preserve">Special items </t>
    </r>
    <r>
      <rPr>
        <sz val="8"/>
        <color indexed="10"/>
        <rFont val="Arial"/>
        <family val="2"/>
      </rPr>
      <t>- government-wide</t>
    </r>
  </si>
  <si>
    <r>
      <t xml:space="preserve">Extraordinary items </t>
    </r>
    <r>
      <rPr>
        <sz val="8"/>
        <color indexed="10"/>
        <rFont val="Arial"/>
        <family val="2"/>
      </rPr>
      <t>- government-wide</t>
    </r>
  </si>
  <si>
    <r>
      <t xml:space="preserve">Special item </t>
    </r>
    <r>
      <rPr>
        <sz val="8"/>
        <color indexed="10"/>
        <rFont val="Arial"/>
        <family val="2"/>
      </rPr>
      <t>- fund statements</t>
    </r>
  </si>
  <si>
    <r>
      <t xml:space="preserve">Extraordinary item </t>
    </r>
    <r>
      <rPr>
        <sz val="8"/>
        <color indexed="10"/>
        <rFont val="Arial"/>
        <family val="2"/>
      </rPr>
      <t xml:space="preserve"> - fund statements</t>
    </r>
  </si>
  <si>
    <r>
      <t>*</t>
    </r>
    <r>
      <rPr>
        <sz val="9"/>
        <rFont val="Arial"/>
        <family val="2"/>
      </rPr>
      <t xml:space="preserve">  would include sales and services and permits and fees</t>
    </r>
  </si>
  <si>
    <t>Govt-wide</t>
  </si>
  <si>
    <t>Unrestricted</t>
  </si>
  <si>
    <r>
      <t>Depreciation for shared capital assets should be allocated over the functions/programs based on usage, square footage, etc. Depreciation for capital assets that essentially serve all functions can be reported as a separate line entitled "unallocated depreciation" or charged to General Government</t>
    </r>
    <r>
      <rPr>
        <sz val="10"/>
        <rFont val="Arial"/>
        <family val="2"/>
      </rPr>
      <t xml:space="preserve">.  Unallocated depreciation should be a rare exception. The depreciation on infrastructure must follow the same principles and be charged to the function where repairs and maintenance are charged, e.g., the depreciation on streets would be charged to Transportation. Please remember that depreciation must be posted to the unit's permanent accounts in order to correctly reflect next year's beginning balances, but will not be shown in the fund statements. </t>
    </r>
  </si>
  <si>
    <t>Reacquisition cost:</t>
  </si>
  <si>
    <t>Examine the trial balance and summary reports of revenues by function and by source code to determine which revenue items need to be reclassified. If units do not have a chart of accounts that breaks out revenues by functional source codes, a manual classification of revenues must be prepared. A worksheet to assist you is available at this website.</t>
  </si>
  <si>
    <t>In addition to the elimination, consolidation and reclassification entries made in this worksheet, it may be necessary to record manual entries in the "Other Miscellaneous Entries As Needed" column on the Conversion worksheet. Any such entries would be conversion or reclassification entries that are unique for your unit which have not been previously handled throughout the workbook. This is especially true of any unusual special or extraordinary revenue or expense items. The special and extraordinary item accounts are at the end of the trial balance in the Conversion Worksheet. Remember that any manual entries which are entered to the "Other Miscellaneous Entries As Needed" columns must have balanced debits and credits.</t>
  </si>
  <si>
    <r>
      <t xml:space="preserve">What is the </t>
    </r>
    <r>
      <rPr>
        <u/>
        <sz val="10"/>
        <rFont val="Arial"/>
        <family val="2"/>
      </rPr>
      <t>"material" amount of loss</t>
    </r>
    <r>
      <rPr>
        <sz val="10"/>
        <rFont val="Arial"/>
        <family val="2"/>
      </rPr>
      <t xml:space="preserve"> on disposal that should be reclassified as an expense to General Government.</t>
    </r>
    <r>
      <rPr>
        <sz val="8"/>
        <color indexed="10"/>
        <rFont val="Arial"/>
        <family val="2"/>
      </rPr>
      <t>(Enter as a positive number. Miscellaneous revenue will be adjusted in this entry.)</t>
    </r>
  </si>
  <si>
    <r>
      <t xml:space="preserve">What is the </t>
    </r>
    <r>
      <rPr>
        <u/>
        <sz val="10"/>
        <rFont val="Arial"/>
        <family val="2"/>
      </rPr>
      <t>"material" amount of loss</t>
    </r>
    <r>
      <rPr>
        <sz val="10"/>
        <rFont val="Arial"/>
        <family val="2"/>
      </rPr>
      <t xml:space="preserve"> on disposal that meets the criteria to be reported as a special expense item. </t>
    </r>
    <r>
      <rPr>
        <sz val="8"/>
        <color indexed="10"/>
        <rFont val="Arial"/>
        <family val="2"/>
      </rPr>
      <t>(Enter as a positive number - Miscellaneous revenue will be adjusted in this entry.)</t>
    </r>
  </si>
  <si>
    <t>Reclassify material losses in the sale of capital assets. (Entry initially generated as F.1 from Tab F.Other Cap Asset Entries)</t>
  </si>
  <si>
    <r>
      <t>Miscellaneous revenue</t>
    </r>
    <r>
      <rPr>
        <sz val="8"/>
        <color indexed="10"/>
        <rFont val="Arial"/>
        <family val="2"/>
      </rPr>
      <t xml:space="preserve"> (Adjusts journal entry F.1 created earlier)</t>
    </r>
  </si>
  <si>
    <r>
      <t xml:space="preserve">Miscellaneous general revenue </t>
    </r>
    <r>
      <rPr>
        <sz val="8"/>
        <color indexed="10"/>
        <rFont val="Arial"/>
        <family val="2"/>
      </rPr>
      <t>(gain or loss on sale)</t>
    </r>
    <r>
      <rPr>
        <sz val="10"/>
        <rFont val="Arial"/>
        <family val="2"/>
      </rPr>
      <t xml:space="preserve"> </t>
    </r>
  </si>
  <si>
    <t xml:space="preserve">Miscellaneous revenue  </t>
  </si>
  <si>
    <r>
      <t>Miscellaneous general revenue [</t>
    </r>
    <r>
      <rPr>
        <i/>
        <sz val="10"/>
        <rFont val="Arial"/>
        <family val="2"/>
      </rPr>
      <t>gain (loss) on sale]</t>
    </r>
    <r>
      <rPr>
        <sz val="12"/>
        <rFont val="Wingdings 2"/>
        <family val="1"/>
        <charset val="2"/>
      </rPr>
      <t xml:space="preserve"> k</t>
    </r>
  </si>
  <si>
    <r>
      <t>Special Item - gain (loss) on sale of asset</t>
    </r>
    <r>
      <rPr>
        <sz val="10"/>
        <rFont val="Wingdings 2"/>
        <family val="1"/>
        <charset val="2"/>
      </rPr>
      <t xml:space="preserve"> </t>
    </r>
    <r>
      <rPr>
        <sz val="12"/>
        <rFont val="Wingdings 2"/>
        <family val="1"/>
        <charset val="2"/>
      </rPr>
      <t xml:space="preserve"> l</t>
    </r>
  </si>
  <si>
    <t>Sales of assets are assumed to generate gains which post to miscellaneous revenue. If losses result the number will appear as a debit. Material losses should be reported as a General Government expense unless they qualify as a "special" item expense.  Reclassification of these material losses will be made during the final stages in worksheet L - entry L.10.</t>
  </si>
  <si>
    <r>
      <t xml:space="preserve">Enter the amount of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t>
    </r>
  </si>
  <si>
    <t>n</t>
  </si>
  <si>
    <t>o</t>
  </si>
  <si>
    <t>Final Entry for Conversion Worksheet   [Entry C.1]</t>
  </si>
  <si>
    <r>
      <t>Full accrual Beginning net equity + change in net equity</t>
    </r>
    <r>
      <rPr>
        <sz val="10"/>
        <rFont val="Arial"/>
        <family val="2"/>
      </rPr>
      <t xml:space="preserve"> </t>
    </r>
    <r>
      <rPr>
        <sz val="8"/>
        <rFont val="Arial"/>
        <family val="2"/>
      </rPr>
      <t>- (from conversion worksheet)</t>
    </r>
  </si>
  <si>
    <t>If positive, an excess charge will be allocated; if negative, a loss or undercharge will be allocated to the functions that used the service.</t>
  </si>
  <si>
    <t>Entry must balance !</t>
  </si>
  <si>
    <t>Internal balances  *</t>
  </si>
  <si>
    <t>Net</t>
  </si>
  <si>
    <t>Unexpended</t>
  </si>
  <si>
    <t>Unearned</t>
  </si>
  <si>
    <t>Restricted</t>
  </si>
  <si>
    <t>Governmental Activities By Function</t>
  </si>
  <si>
    <t>Cash</t>
  </si>
  <si>
    <t>Income</t>
  </si>
  <si>
    <t>Economic and physical development</t>
  </si>
  <si>
    <t>Debt service</t>
  </si>
  <si>
    <t>Accounts</t>
  </si>
  <si>
    <t>Business Type Activities</t>
  </si>
  <si>
    <t>Receivable</t>
  </si>
  <si>
    <t>Payable</t>
  </si>
  <si>
    <t>Water</t>
  </si>
  <si>
    <t>Sewer</t>
  </si>
  <si>
    <t>Solid Waste</t>
  </si>
  <si>
    <r>
      <t xml:space="preserve">Compute and record asset impairment loss or gain per GASB Statement 42 for physical damage:   </t>
    </r>
    <r>
      <rPr>
        <b/>
        <sz val="10"/>
        <color indexed="10"/>
        <rFont val="Arial"/>
        <family val="2"/>
      </rPr>
      <t>(Asset must have been restored or be planned for restoration otherwise asset is written off.)</t>
    </r>
  </si>
  <si>
    <t>Complete explanations and instructions are presented on each of the worksheets following the Conversion Worksheet. A brief synopsis is presented below.</t>
  </si>
  <si>
    <t>The workbook is color-coded.  Blue cells are calculated numbers and are protected and locked.  Yellow cells are those that need data entered by the user.  However, every yellow cell may not be applicable to your unit and can be left blank. The tan sections on the summary worksheet are those accounts that have multiple rows included for one account to be summed at the end of the conversion process. The purple rows are proof totals.</t>
  </si>
  <si>
    <t>Printing:</t>
  </si>
  <si>
    <t>GASB 34 - Allocation of Internal Service Funds (Fund #1)</t>
  </si>
  <si>
    <t>GASB 34 - Allocation of Internal Service Funds (Fund #2)</t>
  </si>
  <si>
    <t>GASB 34 - Allocation of Internal Service Funds (Fund #3)</t>
  </si>
  <si>
    <r>
      <t xml:space="preserve"> </t>
    </r>
    <r>
      <rPr>
        <sz val="8"/>
        <color indexed="10"/>
        <rFont val="Arial"/>
        <family val="2"/>
      </rPr>
      <t>Eliminates intra-governmental</t>
    </r>
  </si>
  <si>
    <t xml:space="preserve">Closes out inter-activity </t>
  </si>
  <si>
    <t>balance account</t>
  </si>
  <si>
    <t>Proceeds of New Debt:</t>
  </si>
  <si>
    <t>Adjust Debt Service Expenditures Under Modified Accrual to Full Accrual</t>
  </si>
  <si>
    <t>L.10</t>
  </si>
  <si>
    <t>J</t>
  </si>
  <si>
    <t>Accum. Depreciation - Buildings</t>
  </si>
  <si>
    <r>
      <t xml:space="preserve">What was the amount of transfers between governmental funds? The amount transferred in and out will be the same.  </t>
    </r>
    <r>
      <rPr>
        <sz val="8"/>
        <rFont val="Arial"/>
        <family val="2"/>
      </rPr>
      <t>(Includes General fund, special revenue funds, capital projects, debt service, and permanent funds)</t>
    </r>
    <r>
      <rPr>
        <sz val="10"/>
        <rFont val="Arial"/>
        <family val="2"/>
      </rPr>
      <t>.</t>
    </r>
  </si>
  <si>
    <t>Consolidation, Elimination and Reclassification Entries</t>
  </si>
  <si>
    <t>L.1</t>
  </si>
  <si>
    <t>OFS - Transfers in</t>
  </si>
  <si>
    <t>OFU - Transfers out</t>
  </si>
  <si>
    <t>L.2</t>
  </si>
  <si>
    <t>L.3</t>
  </si>
  <si>
    <r>
      <t xml:space="preserve">   activity</t>
    </r>
    <r>
      <rPr>
        <sz val="10"/>
        <rFont val="Arial"/>
        <family val="2"/>
      </rPr>
      <t xml:space="preserve"> </t>
    </r>
  </si>
  <si>
    <t>E.1</t>
  </si>
  <si>
    <t>Calculated   -        Do not enter data into both tables !</t>
  </si>
  <si>
    <t>Expenditures for prior years</t>
  </si>
  <si>
    <t>Expenditures for this year</t>
  </si>
  <si>
    <t xml:space="preserve">   Accrued vacation/compensated absences</t>
  </si>
  <si>
    <t>Internal balances</t>
  </si>
  <si>
    <r>
      <t xml:space="preserve">   Investment Earnings - </t>
    </r>
    <r>
      <rPr>
        <sz val="8"/>
        <color indexed="10"/>
        <rFont val="Arial"/>
        <family val="2"/>
      </rPr>
      <t>General revenue</t>
    </r>
  </si>
  <si>
    <r>
      <t xml:space="preserve">Final entry for Conversion worksheet - [Entry K.1]  - </t>
    </r>
    <r>
      <rPr>
        <sz val="10"/>
        <rFont val="Arial"/>
        <family val="2"/>
      </rPr>
      <t>Posted to the Reclassification &amp; Elimination Column</t>
    </r>
  </si>
  <si>
    <t xml:space="preserve">    Economic &amp; physical development</t>
  </si>
  <si>
    <t>Permanent balance sheet accounts</t>
  </si>
  <si>
    <t>Review the governmental funds to determine the amount of interest paid under modified accrual. Also estimate the amount of accrued interest payable at the beginning of the year and for the end of the year under the full accrual basis of accounting.</t>
  </si>
  <si>
    <t>Calculated based on mark-up, e.g. if mark up is 10% then cost for revenue of $330 is $300.</t>
  </si>
  <si>
    <t xml:space="preserve">Adjustment to
Governmental
Activities  </t>
  </si>
  <si>
    <t>Adjustment to
Business-type
Activities</t>
  </si>
  <si>
    <t>Total Allocations</t>
  </si>
  <si>
    <t>Cash &amp; cash equivalents</t>
  </si>
  <si>
    <t>Vehicles</t>
  </si>
  <si>
    <t xml:space="preserve">   Buildings - Accum. Depreciation</t>
  </si>
  <si>
    <t xml:space="preserve">   Equipment - Accum. Depreciation</t>
  </si>
  <si>
    <t xml:space="preserve">   Vehicles - Accum. Depreciation</t>
  </si>
  <si>
    <t xml:space="preserve">   Accounts Payable</t>
  </si>
  <si>
    <t xml:space="preserve">   Charges for service - General government</t>
  </si>
  <si>
    <t xml:space="preserve">   Direct expenses - General government</t>
  </si>
  <si>
    <t>General government expenditures</t>
  </si>
  <si>
    <r>
      <t xml:space="preserve">What is the addition to the net OPEB obligation for the year for the Total Governmental Funds portion?   </t>
    </r>
    <r>
      <rPr>
        <sz val="8"/>
        <color indexed="10"/>
        <rFont val="Arial"/>
        <family val="2"/>
      </rPr>
      <t>Please refer to Memorandum #2010-1 for a journal entry overview.</t>
    </r>
  </si>
  <si>
    <t>Enter the dollar amount of revenues paid by each function to the internal service fund. The percentage of total internal charges will be automatically calculated. This will provide the information to determine the primary activity type. The activity which is the primary beneficiary will be the activity to which balance sheet accounts are recorded later in the entry.</t>
  </si>
  <si>
    <t>Improvements other than buildings</t>
  </si>
  <si>
    <t>Recording Depreciation Expense</t>
  </si>
  <si>
    <r>
      <t xml:space="preserve">The net pension obligation has always been calculated for the note disclosure if the unit had an actuarial study performed. If material, most units also recorded the amount in the General Long Term Debt account. The beginning balance was recorded earlier when the capital assets and long term debt accounts were recorded. The information to be recorded in Section C is the incremental change in the current year. If the pension obligation has been advance funded, please complete the questions on the Worksheet </t>
    </r>
    <r>
      <rPr>
        <sz val="11"/>
        <rFont val="Times New Roman"/>
        <family val="1"/>
      </rPr>
      <t>I</t>
    </r>
    <r>
      <rPr>
        <sz val="10"/>
        <rFont val="Arial"/>
        <family val="2"/>
      </rPr>
      <t xml:space="preserve"> and leave this section blank.</t>
    </r>
  </si>
  <si>
    <t xml:space="preserve">For other long term liabilities, the incremental changes will need to be recorded charging the expense to the corresponding function. For counties with landfills in the general fund who have a liability for post-closure cost, use the other liability accounts in Section E.  The function to be effected for the changes is the function in which the unit accounts for the landfill. </t>
  </si>
  <si>
    <r>
      <t xml:space="preserve">The other post-employment benefits (OPEB) may be calculated through an actuarial study or by calculations using the alternative method.  All units must record the amount in their General Long Term Debt account, if the benefits are offered. The information to be recorded here is the incremental change in the current year, based on beginning and ending computed liabilities.  If the OPEB obligation has been advance funded, please complete the questions on the Worksheet </t>
    </r>
    <r>
      <rPr>
        <sz val="11"/>
        <rFont val="Times New Roman"/>
        <family val="1"/>
      </rPr>
      <t>I</t>
    </r>
    <r>
      <rPr>
        <sz val="10"/>
        <rFont val="Arial"/>
        <family val="2"/>
      </rPr>
      <t xml:space="preserve"> and leave this section blank.</t>
    </r>
  </si>
  <si>
    <r>
      <t xml:space="preserve">If there is a </t>
    </r>
    <r>
      <rPr>
        <b/>
        <sz val="10"/>
        <rFont val="Arial"/>
        <family val="2"/>
      </rPr>
      <t>net loss</t>
    </r>
    <r>
      <rPr>
        <sz val="10"/>
        <rFont val="Arial"/>
        <family val="2"/>
      </rPr>
      <t xml:space="preserve">, is it an extraordinary loss or a program expense? (GASB definition for extraordinary loss can be found in the authoritative literature.) </t>
    </r>
    <r>
      <rPr>
        <b/>
        <sz val="10"/>
        <color indexed="10"/>
        <rFont val="Arial"/>
        <family val="2"/>
      </rPr>
      <t>Enter amount as negative number.</t>
    </r>
  </si>
  <si>
    <t xml:space="preserve">Total for 6a and 6b above </t>
  </si>
  <si>
    <t>--------------------     Asset  impairment Loss  Entry     --------------------</t>
  </si>
  <si>
    <r>
      <t xml:space="preserve">Special Assessments - No new asset on unit's books -  </t>
    </r>
    <r>
      <rPr>
        <b/>
        <sz val="9"/>
        <rFont val="Arial"/>
        <family val="2"/>
      </rPr>
      <t>(Miscellaneous revenue for Modified Accrual)
                                                                                                 (Program revenue - charge for service for Full Accrual)</t>
    </r>
  </si>
  <si>
    <t>Indicate to which function the new claims and judgments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</si>
  <si>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r>
      <t xml:space="preserve">Indicate the amount of </t>
    </r>
    <r>
      <rPr>
        <u/>
        <sz val="10"/>
        <rFont val="Arial"/>
        <family val="2"/>
      </rPr>
      <t>payments</t>
    </r>
    <r>
      <rPr>
        <sz val="10"/>
        <rFont val="Arial"/>
        <family val="2"/>
      </rPr>
      <t xml:space="preserve"> made on other long-term liabilities.</t>
    </r>
  </si>
  <si>
    <r>
      <t xml:space="preserve">OFS - Installment purchases/COPS </t>
    </r>
    <r>
      <rPr>
        <sz val="8"/>
        <color indexed="10"/>
        <rFont val="Arial"/>
        <family val="2"/>
      </rPr>
      <t>(proceeds)</t>
    </r>
  </si>
  <si>
    <r>
      <t xml:space="preserve">OFS - Premiums on debt issued </t>
    </r>
    <r>
      <rPr>
        <sz val="8"/>
        <color indexed="10"/>
        <rFont val="Arial"/>
        <family val="2"/>
      </rPr>
      <t>- other financing source</t>
    </r>
  </si>
  <si>
    <r>
      <t xml:space="preserve">Discounts on debt issued </t>
    </r>
    <r>
      <rPr>
        <sz val="8"/>
        <color indexed="10"/>
        <rFont val="Arial"/>
        <family val="2"/>
      </rPr>
      <t>- contra-liability</t>
    </r>
  </si>
  <si>
    <r>
      <t>OFU - Discount on debt issued -</t>
    </r>
    <r>
      <rPr>
        <sz val="8"/>
        <color indexed="10"/>
        <rFont val="Arial"/>
        <family val="2"/>
      </rPr>
      <t xml:space="preserve"> other financing use</t>
    </r>
  </si>
  <si>
    <r>
      <t>Review the governmental funds and record the information regarding bond refunding including the new debt, the old debt, the payment to the escrow agent,  and any issuance costs.</t>
    </r>
    <r>
      <rPr>
        <i/>
        <sz val="8"/>
        <rFont val="Arial"/>
        <family val="2"/>
      </rPr>
      <t xml:space="preserve"> </t>
    </r>
    <r>
      <rPr>
        <i/>
        <sz val="9"/>
        <rFont val="Arial"/>
        <family val="2"/>
      </rPr>
      <t>(If there were multiple refundings in the year, combine the numbers.)</t>
    </r>
  </si>
  <si>
    <r>
      <t>Unrestricted intergovernmental..</t>
    </r>
    <r>
      <rPr>
        <sz val="10"/>
        <color indexed="10"/>
        <rFont val="Arial"/>
        <family val="2"/>
      </rPr>
      <t>(</t>
    </r>
    <r>
      <rPr>
        <sz val="8"/>
        <color indexed="10"/>
        <rFont val="Arial"/>
        <family val="2"/>
      </rPr>
      <t>Typically general)</t>
    </r>
  </si>
  <si>
    <r>
      <t>Restricted intergovernmental…………...</t>
    </r>
    <r>
      <rPr>
        <sz val="8"/>
        <color indexed="10"/>
        <rFont val="Arial"/>
        <family val="2"/>
      </rPr>
      <t>(Program)</t>
    </r>
  </si>
  <si>
    <t>Contract retainage</t>
  </si>
  <si>
    <t>Accounts payable &amp; accrued liabilities</t>
  </si>
  <si>
    <t>Sample workbooks are available for Carolina County, City of Dogwood, and Carolina Board of Education. Refer to the proper workbook for your particular unit type. Please note that in some cases immaterial amounts have been used to demonstrate a transaction in the three examples above.  For your statements, determine materiality by the proper criteria and please do not be mislead by the small amounts in our examples.</t>
  </si>
  <si>
    <t>Accum. Depreciation - other asset class 1</t>
  </si>
  <si>
    <t>Accum. Depreciation - other asset class 2</t>
  </si>
  <si>
    <t>from Section A above</t>
  </si>
  <si>
    <t>from Section B above</t>
  </si>
  <si>
    <t>from the Conversion worksheet</t>
  </si>
  <si>
    <t>If proceeds received then treat transaction as a sale and enter in section A. above</t>
  </si>
  <si>
    <t>Donations of capital assets received by the unit:</t>
  </si>
  <si>
    <t>Capital assets received by the unit as donations:</t>
  </si>
  <si>
    <t>Internal balances *</t>
  </si>
  <si>
    <t>From fund Statement of Revenues, Expenses, and</t>
  </si>
  <si>
    <t>Review the governmental funds for expenditures made during the year for claims &amp; judgments. Enter the payment amounts in section B.1 below. Also, determine additions to claims &amp; judgments from management. Enter the amounts of the new liability by function in section B.2.</t>
  </si>
  <si>
    <r>
      <t>Compute the adjustment to the expenses in the functional categories by multiplying the proportionate participation percentage determined in Step A</t>
    </r>
    <r>
      <rPr>
        <b/>
        <i/>
        <sz val="10"/>
        <rFont val="Arial"/>
        <family val="2"/>
      </rPr>
      <t xml:space="preserve"> </t>
    </r>
    <r>
      <rPr>
        <b/>
        <sz val="10"/>
        <rFont val="Arial"/>
        <family val="2"/>
      </rPr>
      <t>by the amount of profit or loss to be allocated as calculated in Step D</t>
    </r>
    <r>
      <rPr>
        <b/>
        <i/>
        <sz val="10"/>
        <rFont val="Arial"/>
        <family val="2"/>
      </rPr>
      <t>.</t>
    </r>
  </si>
  <si>
    <t>What was discount on the new debt?</t>
  </si>
  <si>
    <t>What was the premium on the new debt?</t>
  </si>
  <si>
    <t>Payments to Escrow Agent:</t>
  </si>
  <si>
    <t>What is the face amount of the new debt issued?</t>
  </si>
  <si>
    <t>What is the current year annual amortization for discounts?</t>
  </si>
  <si>
    <t>What is the current year annual amortization for premiums?</t>
  </si>
  <si>
    <t>Bond issuance costs</t>
  </si>
  <si>
    <t>Advance refunding escrow</t>
  </si>
  <si>
    <r>
      <t xml:space="preserve">Cross-referencing has been used throughout the workbook to tie together relevant numbers and or comments to better clarify an entry. In each case we have used the following denotation </t>
    </r>
    <r>
      <rPr>
        <sz val="11"/>
        <rFont val="Wingdings 2"/>
        <family val="1"/>
        <charset val="2"/>
      </rPr>
      <t>j k l</t>
    </r>
    <r>
      <rPr>
        <sz val="10"/>
        <rFont val="Arial"/>
        <family val="2"/>
      </rPr>
      <t xml:space="preserve"> (circled numbers) which uses the font type "Wingdings2." If your computer does not support this font you may see Greek alphabetic characters or some other notation. We apologize for any confusion but notes and numbers will still cross-reference consistently by whatever character your computer displays.</t>
    </r>
  </si>
  <si>
    <t>Investment earnings*</t>
  </si>
  <si>
    <t xml:space="preserve">   Accrued vacation/Compensated absences</t>
  </si>
  <si>
    <t xml:space="preserve">   Claims and judgments</t>
  </si>
  <si>
    <t xml:space="preserve">   Bonds, notes and loans payable</t>
  </si>
  <si>
    <t xml:space="preserve">    Entries must net to zero.</t>
  </si>
  <si>
    <r>
      <t xml:space="preserve">Were there any </t>
    </r>
    <r>
      <rPr>
        <u/>
        <sz val="10"/>
        <rFont val="Arial"/>
        <family val="2"/>
      </rPr>
      <t>adjustments</t>
    </r>
    <r>
      <rPr>
        <sz val="10"/>
        <rFont val="Arial"/>
        <family val="2"/>
      </rPr>
      <t xml:space="preserve"> in the current year for prior year claims?  
</t>
    </r>
    <r>
      <rPr>
        <sz val="8"/>
        <color indexed="10"/>
        <rFont val="Arial"/>
        <family val="2"/>
      </rPr>
      <t>Please enter reductions as negative amounts and increases as positive amounts.</t>
    </r>
  </si>
  <si>
    <r>
      <t xml:space="preserve">Were there any </t>
    </r>
    <r>
      <rPr>
        <u/>
        <sz val="10"/>
        <rFont val="Arial"/>
        <family val="2"/>
      </rPr>
      <t>adjustments</t>
    </r>
    <r>
      <rPr>
        <sz val="10"/>
        <rFont val="Arial"/>
        <family val="2"/>
      </rPr>
      <t xml:space="preserve"> to these account balances during the year? </t>
    </r>
    <r>
      <rPr>
        <sz val="8"/>
        <color indexed="10"/>
        <rFont val="Arial"/>
        <family val="2"/>
      </rPr>
      <t xml:space="preserve"> Please enter reductions as negative amounts and increases as positive amounts.</t>
    </r>
  </si>
  <si>
    <t>A</t>
  </si>
  <si>
    <t>B</t>
  </si>
  <si>
    <t>C</t>
  </si>
  <si>
    <t>D</t>
  </si>
  <si>
    <t>E</t>
  </si>
  <si>
    <t>F</t>
  </si>
  <si>
    <t>G</t>
  </si>
  <si>
    <t>H</t>
  </si>
  <si>
    <t>I</t>
  </si>
  <si>
    <t>From Section Above</t>
  </si>
  <si>
    <t>General government - capital grants &amp; contributions</t>
  </si>
  <si>
    <t>l</t>
  </si>
  <si>
    <r>
      <t xml:space="preserve">In order to present the net cost per function in the Statement of Activities, any "doubling up" of expenditures or revenues must be eliminated. This occurs when administrative activities such as printing, data processing, accounting staff, etc. are accounted for in function/fund #1 and charged out or allocated to other functions or funds </t>
    </r>
    <r>
      <rPr>
        <u/>
        <sz val="10"/>
        <rFont val="Arial"/>
        <family val="2"/>
      </rPr>
      <t>where the payment for the service is treated as revenue in function #1.</t>
    </r>
    <r>
      <rPr>
        <sz val="10"/>
        <rFont val="Arial"/>
        <family val="2"/>
      </rPr>
      <t xml:space="preserve"> In this scenario, the expenditures are presented twice and the revenues are overstated for governmental activities. In this case, the costs should be presented in the functions that were charged and the revenue and expense in function/fund #1 must be eliminated. </t>
    </r>
    <r>
      <rPr>
        <b/>
        <sz val="10"/>
        <rFont val="Arial"/>
        <family val="2"/>
      </rPr>
      <t>IF THE PAYMENTS FROM THE USERS ARE TREATED AS A REIMBURSEMENT</t>
    </r>
    <r>
      <rPr>
        <sz val="10"/>
        <rFont val="Arial"/>
        <family val="2"/>
      </rPr>
      <t xml:space="preserve"> </t>
    </r>
    <r>
      <rPr>
        <b/>
        <sz val="10"/>
        <rFont val="Arial"/>
        <family val="2"/>
      </rPr>
      <t>(the expenditure in function/fund #1 is reduced by payment from the user function),  NO ADJUSTMENT IS NECESSARY.</t>
    </r>
    <r>
      <rPr>
        <sz val="10"/>
        <rFont val="Arial"/>
        <family val="2"/>
      </rPr>
      <t xml:space="preserve"> The entry created will reduce revenues and expenses in function/fund #1 for the expenditure amount allocated to other functions. Profits or losses are presumed to be immaterial in this entry. If material, any profit or loss must be allocated back to the functions using the service by a manual entry to the worksheet.</t>
    </r>
  </si>
  <si>
    <t>Capital assets, all governmental activities</t>
  </si>
  <si>
    <t>Gross Capital</t>
  </si>
  <si>
    <t>Net Capital Assets</t>
  </si>
  <si>
    <t>Accum.</t>
  </si>
  <si>
    <t xml:space="preserve">Net Capital </t>
  </si>
  <si>
    <t xml:space="preserve">  Unmerited liabilities related to debt</t>
  </si>
  <si>
    <t xml:space="preserve">  Unmerited assets related to debt</t>
  </si>
  <si>
    <t>K.1-3</t>
  </si>
  <si>
    <t>Other enterprise #1</t>
  </si>
  <si>
    <t>Other enterprise #2</t>
  </si>
  <si>
    <t>There may be instances in the individual worksheets where negative debits or credits are generated in an entry and we did not create formulas to reclassify as a positive number. If this occurs do not be alarmed, it will be corrected in the final columns of the Conversion Worksheet.</t>
  </si>
  <si>
    <r>
      <t xml:space="preserve">Debt Issues: </t>
    </r>
    <r>
      <rPr>
        <sz val="10"/>
        <rFont val="Arial"/>
        <family val="2"/>
      </rPr>
      <t>addresses all other debt transactions including new debt issues, refunding, and amortization.</t>
    </r>
  </si>
  <si>
    <r>
      <t xml:space="preserve">Other Asset Entries: </t>
    </r>
    <r>
      <rPr>
        <sz val="10"/>
        <rFont val="Arial"/>
        <family val="2"/>
      </rPr>
      <t>addresses the asset accounts, equity interest in joint venture, prepaid expenses, inventory, and advance funding of pensions.</t>
    </r>
  </si>
  <si>
    <r>
      <t xml:space="preserve">Most of the workbook is protected to prevent accidental changes in formulas and the mapping of cells.  The </t>
    </r>
    <r>
      <rPr>
        <b/>
        <sz val="10"/>
        <rFont val="Arial"/>
        <family val="2"/>
      </rPr>
      <t xml:space="preserve">password </t>
    </r>
    <r>
      <rPr>
        <sz val="10"/>
        <rFont val="Arial"/>
        <family val="2"/>
      </rPr>
      <t>to unlock the workbook is</t>
    </r>
    <r>
      <rPr>
        <b/>
        <sz val="10"/>
        <rFont val="Arial"/>
        <family val="2"/>
      </rPr>
      <t xml:space="preserve"> gasb34</t>
    </r>
    <r>
      <rPr>
        <sz val="10"/>
        <rFont val="Arial"/>
        <family val="2"/>
      </rPr>
      <t xml:space="preserve"> (must be entered in lower case, no spaces).  Only users with advanced Excel skills should attempt to change the workbook by releasing the protection.</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</si>
  <si>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</si>
  <si>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r>
      <t xml:space="preserve">From the financial records, indicate the appropriate program classification to which the revenue should be reclassified.
</t>
    </r>
    <r>
      <rPr>
        <sz val="10"/>
        <rFont val="Arial"/>
        <family val="2"/>
      </rPr>
      <t>The total of Section B must agree to the total of Section A above.</t>
    </r>
  </si>
  <si>
    <t>Assets</t>
  </si>
  <si>
    <t>Liabilities</t>
  </si>
  <si>
    <t>Unamortized assets related to capital debt</t>
  </si>
  <si>
    <t xml:space="preserve">    Unamortized liabilities related to capital debt</t>
  </si>
  <si>
    <t>Intangible Asset - Advance Funding of Pension - (net negative pension obligation. -  Net pension liability found on Worksheet J.)</t>
  </si>
  <si>
    <t>Public safety expenditures</t>
  </si>
  <si>
    <t>Transportation expenditures</t>
  </si>
  <si>
    <r>
      <t xml:space="preserve">Enter the cost by function for the increment above, e.g. for Retirees Healthcare. If plans exist covering employees then their respective function should be charged. The total for the detail in step 3 must equal the amount in step 2. </t>
    </r>
    <r>
      <rPr>
        <sz val="8"/>
        <color indexed="10"/>
        <rFont val="Arial"/>
        <family val="2"/>
      </rPr>
      <t>(If the change above is negative, the sum of step 3 should also be negative.)</t>
    </r>
  </si>
  <si>
    <t>Environmental protection expenditures</t>
  </si>
  <si>
    <r>
      <t>The information collected in this worksheet and presented in the gold colored cells will provide the specific information that must be input into Worksheet L. Section</t>
    </r>
    <r>
      <rPr>
        <sz val="10"/>
        <rFont val="Times New Roman"/>
        <family val="1"/>
      </rPr>
      <t xml:space="preserve"> </t>
    </r>
    <r>
      <rPr>
        <sz val="10"/>
        <rFont val="Arial"/>
        <family val="2"/>
      </rPr>
      <t>J</t>
    </r>
    <r>
      <rPr>
        <sz val="10"/>
        <rFont val="Arial"/>
        <family val="2"/>
      </rPr>
      <t>. Entering these final numbers into worksheet L should complete the conversion process.</t>
    </r>
  </si>
  <si>
    <t>Donations of assets and transfers in from an enterprise or internal service fund reported as business-type activity, are not recorded in the fund statements; however, this data would have been picked up previously in the capital asset note under additions. For reporting on the government-wide statements, the donations must be reflected as revenue and as an increase to the specific asset account. The revenue amount will be reflected in "miscellaneous general revenues" or as a special item if appropriate. The transfers in of capital assets from business type activities must be reported as transfers.  Enter amounts in section D.</t>
  </si>
  <si>
    <r>
      <t>Sales that qualify as a "special item" for statement presentation:</t>
    </r>
    <r>
      <rPr>
        <sz val="10"/>
        <color indexed="10"/>
        <rFont val="Arial"/>
        <family val="2"/>
      </rPr>
      <t>*</t>
    </r>
  </si>
  <si>
    <t>Total of F.1, F.2, F.3 and F.4</t>
  </si>
  <si>
    <r>
      <t xml:space="preserve">What is the net book values of any assets </t>
    </r>
    <r>
      <rPr>
        <b/>
        <sz val="10"/>
        <rFont val="Arial"/>
        <family val="2"/>
      </rPr>
      <t xml:space="preserve">donated from or transferred in </t>
    </r>
    <r>
      <rPr>
        <sz val="10"/>
        <rFont val="Arial"/>
        <family val="2"/>
      </rPr>
      <t>from</t>
    </r>
    <r>
      <rPr>
        <sz val="10"/>
        <rFont val="Arial"/>
        <family val="2"/>
      </rPr>
      <t xml:space="preserve"> the Enterprise Funds or an Internal Service Fund accounted for in Business-type activities included in the amount above?</t>
    </r>
  </si>
  <si>
    <t>Indicate any amounts from above that would qualify as a special item.</t>
  </si>
  <si>
    <r>
      <t>Of any assets donated above, what is the net book value (</t>
    </r>
    <r>
      <rPr>
        <i/>
        <sz val="10"/>
        <rFont val="Arial"/>
        <family val="2"/>
      </rPr>
      <t>cost less total accum. deprec. for all asset classes</t>
    </r>
    <r>
      <rPr>
        <sz val="10"/>
        <rFont val="Arial"/>
        <family val="2"/>
      </rPr>
      <t xml:space="preserve">) of any assets </t>
    </r>
    <r>
      <rPr>
        <b/>
        <sz val="10"/>
        <rFont val="Arial"/>
        <family val="2"/>
      </rPr>
      <t>donated to</t>
    </r>
    <r>
      <rPr>
        <sz val="10"/>
        <rFont val="Arial"/>
        <family val="2"/>
      </rPr>
      <t xml:space="preserve"> the Enterprise Funds or an Internal Service Fund reported in business-type activities?</t>
    </r>
  </si>
  <si>
    <r>
      <t xml:space="preserve">Property taxes:  </t>
    </r>
    <r>
      <rPr>
        <sz val="10"/>
        <rFont val="Arial"/>
        <family val="2"/>
      </rPr>
      <t>addresses the prior year and current year revenue recognition for ad valorem taxes.</t>
    </r>
  </si>
  <si>
    <r>
      <t xml:space="preserve">Other revenues: </t>
    </r>
    <r>
      <rPr>
        <sz val="10"/>
        <rFont val="Arial"/>
        <family val="2"/>
      </rPr>
      <t>addresses the prior year and current year revenue recognition for all other revenue.</t>
    </r>
  </si>
  <si>
    <r>
      <t xml:space="preserve">Debt Service: </t>
    </r>
    <r>
      <rPr>
        <sz val="10"/>
        <rFont val="Arial"/>
        <family val="2"/>
      </rPr>
      <t>converts debt service expenditures to the proper reductions in liability accounts.</t>
    </r>
  </si>
  <si>
    <t xml:space="preserve">Expenditures recorded under the modified accrual basis of accounting for the purchase or construction of capital assets must be reported as additions to capital assets under the full accrual basis of accounting on the government-wide statements. The capital assets acquired in these transactions will be added to the amounts previously recorded when the Capital Assets were entered on the conversion worksheet. Note that all expenditures for capital assets may not have been coded as capital outlay so a careful review of expenditures is needed to find all transactions related to capital assets such as expenditures for land or infrastructure coded as street improvements. </t>
  </si>
  <si>
    <r>
      <t xml:space="preserve">What was the amount of new debt issued by category for all governmental funds?  </t>
    </r>
    <r>
      <rPr>
        <b/>
        <sz val="10"/>
        <color indexed="10"/>
        <rFont val="Arial"/>
        <family val="2"/>
      </rPr>
      <t>(Exclude refunding bonds.)</t>
    </r>
  </si>
  <si>
    <r>
      <t xml:space="preserve">The Predominant Activity Type is 
(business or governmental):  --  </t>
    </r>
    <r>
      <rPr>
        <sz val="8"/>
        <color indexed="10"/>
        <rFont val="Arial"/>
        <family val="2"/>
      </rPr>
      <t xml:space="preserve">automatic calculation   </t>
    </r>
  </si>
  <si>
    <t>Must be manually posted to business type worksheet elsewhere on the website.</t>
  </si>
  <si>
    <t>Public safety</t>
  </si>
  <si>
    <t>General government</t>
  </si>
  <si>
    <t xml:space="preserve">Environmental protection </t>
  </si>
  <si>
    <t>m</t>
  </si>
  <si>
    <t>Net Pension Obligation</t>
  </si>
  <si>
    <t>A.1</t>
  </si>
  <si>
    <t>A.2</t>
  </si>
  <si>
    <t>B.1</t>
  </si>
  <si>
    <t>B.2</t>
  </si>
  <si>
    <t>C.1</t>
  </si>
  <si>
    <t>D.1</t>
  </si>
  <si>
    <t>Special item - revenue</t>
  </si>
  <si>
    <t>Notes 1 &amp; 2  ---  Data is entered</t>
  </si>
  <si>
    <t>Note 4 -- Entry A.1  from</t>
  </si>
  <si>
    <t>Special item - expenditure</t>
  </si>
  <si>
    <t>Total of new debt</t>
  </si>
  <si>
    <t>Claims and judgments</t>
  </si>
  <si>
    <t>Debt Service -principal retirement</t>
  </si>
  <si>
    <t>Installment purchases/COPs</t>
  </si>
  <si>
    <t>Adjustments to Other Asset Accounts</t>
  </si>
  <si>
    <t xml:space="preserve">Beginning </t>
  </si>
  <si>
    <t>Balance</t>
  </si>
  <si>
    <t>Current year</t>
  </si>
  <si>
    <t>Earned</t>
  </si>
  <si>
    <t>Used</t>
  </si>
  <si>
    <t xml:space="preserve">Ending </t>
  </si>
  <si>
    <t xml:space="preserve">Transportation </t>
  </si>
  <si>
    <t>Restricted cash</t>
  </si>
  <si>
    <t>Taxes receivable</t>
  </si>
  <si>
    <t>Accounts receivable</t>
  </si>
  <si>
    <t>Due from other funds</t>
  </si>
  <si>
    <t>Due from other governments</t>
  </si>
  <si>
    <t>Due from component unit</t>
  </si>
  <si>
    <t>Inventories</t>
  </si>
  <si>
    <t>Prepaid items</t>
  </si>
  <si>
    <t>Due to other funds</t>
  </si>
  <si>
    <t>Customer deposits</t>
  </si>
  <si>
    <t>Due to primary government</t>
  </si>
  <si>
    <t>Intergovernmental payable</t>
  </si>
  <si>
    <t>General obligation bonds</t>
  </si>
  <si>
    <t>8.</t>
  </si>
  <si>
    <r>
      <t xml:space="preserve">General Government </t>
    </r>
    <r>
      <rPr>
        <sz val="8"/>
        <color indexed="10"/>
        <rFont val="Arial"/>
        <family val="2"/>
      </rPr>
      <t>- expense</t>
    </r>
  </si>
  <si>
    <t>Debt service - interest and fees</t>
  </si>
  <si>
    <t>What was the amount of the Reserve for Prepaid Expenses at the end of the prior year?</t>
  </si>
  <si>
    <t>What was the amount of Reserve for Prepaid Expenses at the end of the current year?</t>
  </si>
  <si>
    <t>Change in reserve for prepaid expenses</t>
  </si>
  <si>
    <t>Change in reserve for inventories</t>
  </si>
  <si>
    <t xml:space="preserve">What expenditures classified as "capital outlay" were spent for assets where the city does not hold title to the asset, (e.g. economic development project)? </t>
  </si>
  <si>
    <r>
      <t xml:space="preserve">WORK SECTION - </t>
    </r>
    <r>
      <rPr>
        <sz val="11"/>
        <rFont val="Arial"/>
        <family val="2"/>
      </rPr>
      <t>Entries for each step above</t>
    </r>
    <r>
      <rPr>
        <b/>
        <sz val="11"/>
        <rFont val="Arial"/>
        <family val="2"/>
      </rPr>
      <t>.</t>
    </r>
  </si>
  <si>
    <t>General government - charge for service</t>
  </si>
  <si>
    <t>Public Safety - charge for service</t>
  </si>
  <si>
    <t>Transportation - charge for service</t>
  </si>
  <si>
    <t>Economic &amp; physical development - charge for service</t>
  </si>
  <si>
    <t>Environmental protection - charge for service</t>
  </si>
  <si>
    <t>Cultural and recreation - charge for service</t>
  </si>
  <si>
    <t>j</t>
  </si>
  <si>
    <t>k</t>
  </si>
  <si>
    <t>Public Safety - capital grants &amp; contributions</t>
  </si>
  <si>
    <t>Transportation - capital grants and contributions</t>
  </si>
  <si>
    <t xml:space="preserve">Enter the amount of the new levy in the function below where the proceeds will be/have been expended. The sum below must equal the amount in step 2. </t>
  </si>
  <si>
    <t xml:space="preserve">   </t>
  </si>
  <si>
    <t>d.</t>
  </si>
  <si>
    <t>Building</t>
  </si>
  <si>
    <t>Improvement</t>
  </si>
  <si>
    <t>Vehicles +</t>
  </si>
  <si>
    <t>Mot. Equip</t>
  </si>
  <si>
    <t>Miscellaneous Revenue</t>
  </si>
  <si>
    <t>Net book value of capital assets sold</t>
  </si>
  <si>
    <t>Indicate by amount the appropriate full accrual revenue classification. The sum of amounts in step 3 must equal the amount in step 2.</t>
  </si>
  <si>
    <t>Sales and services</t>
  </si>
  <si>
    <t>* In this scenario the governmental activities, as primary beneficiary, will have a balance payable to the business type activity of $304 which will be posted to the internal balance account to avoid an elimination entry later.</t>
  </si>
  <si>
    <r>
      <t xml:space="preserve">What was the prior year internal balance entry for the internal service fund allocation for governmental type activity? </t>
    </r>
    <r>
      <rPr>
        <sz val="8"/>
        <color indexed="10"/>
        <rFont val="Arial"/>
        <family val="2"/>
      </rPr>
      <t>Indicate sign - this amount will be negative if government activities owe (have a balance payable to) business type activities, and positive if government type activities have a balance receivable from business type activities.</t>
    </r>
  </si>
  <si>
    <r>
      <t xml:space="preserve"> If the</t>
    </r>
    <r>
      <rPr>
        <b/>
        <sz val="9"/>
        <color indexed="10"/>
        <rFont val="Arial"/>
        <family val="2"/>
      </rPr>
      <t xml:space="preserve"> predominant activity is business type</t>
    </r>
    <r>
      <rPr>
        <sz val="9"/>
        <color indexed="10"/>
        <rFont val="Arial"/>
        <family val="2"/>
      </rPr>
      <t xml:space="preserve">, please copy your numbers into the business type activities worksheet contained in the conversion worksheet for business type activities and </t>
    </r>
    <r>
      <rPr>
        <u/>
        <sz val="9"/>
        <color indexed="10"/>
        <rFont val="Arial"/>
        <family val="2"/>
      </rPr>
      <t>delete</t>
    </r>
    <r>
      <rPr>
        <sz val="9"/>
        <color indexed="10"/>
        <rFont val="Arial"/>
        <family val="2"/>
      </rPr>
      <t xml:space="preserve"> them here. </t>
    </r>
  </si>
  <si>
    <t xml:space="preserve">OFS - Transfers in </t>
  </si>
  <si>
    <r>
      <t xml:space="preserve">OFS - Installment purchase/COPS </t>
    </r>
    <r>
      <rPr>
        <sz val="8"/>
        <color indexed="10"/>
        <rFont val="Arial"/>
        <family val="2"/>
      </rPr>
      <t>(proceeds)</t>
    </r>
  </si>
  <si>
    <r>
      <t xml:space="preserve">OFS - Bonds issued </t>
    </r>
    <r>
      <rPr>
        <sz val="8"/>
        <color indexed="10"/>
        <rFont val="Arial"/>
        <family val="2"/>
      </rPr>
      <t>(proceeds)</t>
    </r>
  </si>
  <si>
    <t xml:space="preserve">OFS - Premiums on debt issued </t>
  </si>
  <si>
    <t>OFU - Discounts on debt issued</t>
  </si>
  <si>
    <t>OFU - Payments to escrow agent</t>
  </si>
  <si>
    <t>This workbook is mapped using cell references.  Any addition of columns and/or rows could alter the formulas and corrupt the data.  There are columns and rows placed in the program in areas where we felt that you may need to add additional text and data. Using these columns and rows will help prevent the altering of formulas and cell references. In most cases they are named "other" funds or "other" accounts, etc. They should be obvious.</t>
  </si>
  <si>
    <r>
      <t xml:space="preserve">Enter net book value of traded asset calculated above into the cell for the asset class for the newly acquired asset?  </t>
    </r>
    <r>
      <rPr>
        <sz val="10"/>
        <color indexed="10"/>
        <rFont val="Arial"/>
        <family val="2"/>
      </rPr>
      <t>(</t>
    </r>
    <r>
      <rPr>
        <i/>
        <sz val="10"/>
        <color indexed="10"/>
        <rFont val="Arial"/>
        <family val="2"/>
      </rPr>
      <t>typically it will be the same asset class as the old asset but it may be a different class.)</t>
    </r>
    <r>
      <rPr>
        <i/>
        <sz val="10"/>
        <rFont val="Arial"/>
        <family val="2"/>
      </rPr>
      <t xml:space="preserve"> </t>
    </r>
  </si>
  <si>
    <t xml:space="preserve">What is the amount of installment purchases/COPs payable that will be due and payable within one year? </t>
  </si>
  <si>
    <t>Determine the proportionate participation of each function by matching the charge for service with the functional category and determine which activity primarily benefits from the internal service fund - governmental or business type in Step A. If business type activity is determined as the primary beneficiary, please delete data from this form and enter it in the business type worksheet provided on the website.</t>
  </si>
  <si>
    <r>
      <t xml:space="preserve">The following entries will be done in two stages. The first journal entry will reverse the beginning of year entry and restate fund balance. The second entry will reverse the ending balance and recognize revenue on the full accrual basis. </t>
    </r>
    <r>
      <rPr>
        <b/>
        <sz val="10"/>
        <rFont val="Arial"/>
        <family val="2"/>
      </rPr>
      <t>It is posted only to the conversion worksheet, not to the general ledger or accounting system.</t>
    </r>
    <r>
      <rPr>
        <sz val="10"/>
        <rFont val="Arial"/>
        <family val="2"/>
      </rPr>
      <t xml:space="preserve"> Unearned revenue for prepaid taxes at year end will not be adjusted.</t>
    </r>
  </si>
  <si>
    <t>L.4</t>
  </si>
  <si>
    <t>L.5</t>
  </si>
  <si>
    <t xml:space="preserve">Transportation - charge for service </t>
  </si>
  <si>
    <t>L.6</t>
  </si>
  <si>
    <t>Compensated absences - current</t>
  </si>
  <si>
    <t>L.7</t>
  </si>
  <si>
    <t>Capital related</t>
  </si>
  <si>
    <t>Operating</t>
  </si>
  <si>
    <t>What was the amount of the pension obligation at the end of the year. If multiple benefit plans are involved enter the sum of all plans.</t>
  </si>
  <si>
    <t>Change in pension obligation during the year</t>
  </si>
  <si>
    <t>Net change in value over the year</t>
  </si>
  <si>
    <t>Transfers in</t>
  </si>
  <si>
    <t>Transfers out</t>
  </si>
  <si>
    <t>Review the different revenue accounts - any amounts earned but not available under modified accrual should be adjusted if not previously covered in this worksheet or in the Property Taxes Revenue worksheet ( Worksheet B.) Any amount not earned at year end would not be adjusted.</t>
  </si>
  <si>
    <t>What are the accrued investment earnings at the end of the current year?</t>
  </si>
  <si>
    <t>Reclassifies material losses on sale of cap. assets as expense of Gen. Govt. or records as special exp item</t>
  </si>
  <si>
    <r>
      <t xml:space="preserve">Controlled Substance Abuse Tax  </t>
    </r>
    <r>
      <rPr>
        <b/>
        <sz val="9"/>
        <rFont val="Arial"/>
        <family val="2"/>
      </rPr>
      <t>(Restricted governmental for Modified Accrual  --  Public Safety - operating for Full Accrual)</t>
    </r>
  </si>
  <si>
    <r>
      <t xml:space="preserve">Telecommunications Tax  </t>
    </r>
    <r>
      <rPr>
        <b/>
        <sz val="9"/>
        <rFont val="Arial"/>
        <family val="2"/>
      </rPr>
      <t>(Unrestricted governmental for Modified Accrual  --  Unrestricted - General for Full Accrual)</t>
    </r>
  </si>
  <si>
    <t>Other program 1 - Operating grants and contributions</t>
  </si>
  <si>
    <t>Other program 1 - Capital grants and contributions</t>
  </si>
  <si>
    <t>* Interest is typically a general revenue but if earned on investments legally restricted for a specific program it will follow the initial revenue source as in this capital grant.</t>
  </si>
  <si>
    <t>Taxes - ad valorem*</t>
  </si>
  <si>
    <t>Taxes - Ad valorem*</t>
  </si>
  <si>
    <t xml:space="preserve">Work Section to compile numbers for entry in Section E - </t>
  </si>
  <si>
    <r>
      <t xml:space="preserve">Sale of assets:          </t>
    </r>
    <r>
      <rPr>
        <b/>
        <sz val="10"/>
        <color indexed="17"/>
        <rFont val="Arial"/>
        <family val="2"/>
      </rPr>
      <t/>
    </r>
  </si>
  <si>
    <t>Adjust Other Revenues From Modified Accrual to Full Accrual</t>
  </si>
  <si>
    <t>F.</t>
  </si>
  <si>
    <t>G.</t>
  </si>
  <si>
    <t>Other taxes and licenses</t>
  </si>
  <si>
    <t>Intergovernmental - restricted</t>
  </si>
  <si>
    <t>Intergovernmental - unrestricted</t>
  </si>
  <si>
    <t>Other revenue 1</t>
  </si>
  <si>
    <t>There are asset accounts that may not be recorded on the fund statements which will be required to be reported in the government-wide financial statements. These assets include such items as equity interests in joint ventures, advance funding of pension costs, and prepaid expenses and inventory when the purchases method is used. If the consumption method was used, no entry is required, but if the purchases method was used an adjustment must be made if the amount is material. If inventories or prepaid expenses are not recorded in the fund financial statements because they are not material, they are assumed not to be material to the government-wide statements. The results will be need to be posted to the unit's permanent accounts to properly reflect next year's beginning balances.</t>
  </si>
  <si>
    <r>
      <t xml:space="preserve">The amounts recorded are the ending balances from the prior year (this year's beginning balances) plus any reductions resulting from changes in capitalization threshold. </t>
    </r>
    <r>
      <rPr>
        <b/>
        <sz val="10"/>
        <rFont val="Arial"/>
        <family val="2"/>
      </rPr>
      <t>Current year activity will be recorded in a later step.</t>
    </r>
  </si>
  <si>
    <t>Under the full accrual basis of accounting, accrued interest on uncollected taxes should be recognized as revenue after adjusting for uncollectible amounts. It may be necessary to estimate the amount of that receivable. Penalties that are known at year-end should already be recorded in taxes receivable. Penalties related to discoveries should be recorded when the discovery occurs.</t>
  </si>
  <si>
    <t>Public Safety - operating grants &amp; contributions</t>
  </si>
  <si>
    <t>Installment purchases/COPS</t>
  </si>
  <si>
    <t>H.1</t>
  </si>
  <si>
    <t>OFS - Sale of capital assets</t>
  </si>
  <si>
    <t>Deferred Charges - refunding</t>
  </si>
  <si>
    <t>Change in reserve for prepaid expense</t>
  </si>
  <si>
    <t>Change in reserve for inventory</t>
  </si>
  <si>
    <t>Change in Reserve for prepaid expense</t>
  </si>
  <si>
    <t>Other L.T. Liability 2</t>
  </si>
  <si>
    <t>Other L.T. Liability 1</t>
  </si>
  <si>
    <r>
      <t xml:space="preserve">Entry for Conversion worksheet to record changes in assets.  (Entry </t>
    </r>
    <r>
      <rPr>
        <b/>
        <sz val="10"/>
        <rFont val="Times New Roman"/>
        <family val="1"/>
      </rPr>
      <t>I.1</t>
    </r>
    <r>
      <rPr>
        <b/>
        <sz val="10"/>
        <rFont val="Arial"/>
        <family val="2"/>
      </rPr>
      <t>)</t>
    </r>
  </si>
  <si>
    <t>Investments</t>
  </si>
  <si>
    <t>Complete section B of the worksheet indicating the functional and categorical reclassifications of the amounts in Section A., then the entry required for the Conversion worksheet will be created in Section C.  Any items that qualify for the definitions of special items or extraordinary items should be reported separately in order to be properly reported on the Statement of Activities. See definitions in the comment fields - place cursor over the field with a red triangle in the corner.</t>
  </si>
  <si>
    <t>Indicate to which function the net change in inventory reserve apply. The sum of the amounts below must equal the amount in the net change field above.</t>
  </si>
  <si>
    <t>Purchases method</t>
  </si>
  <si>
    <t>Change in reserve for Inventory</t>
  </si>
  <si>
    <t>Indicate insurance recovery amount if received in this fiscal year?</t>
  </si>
  <si>
    <t>What was the payment to the escrow agent to defease old debt?</t>
  </si>
  <si>
    <r>
      <t xml:space="preserve">Other Liability &amp; Expenses: </t>
    </r>
    <r>
      <rPr>
        <sz val="10"/>
        <rFont val="Arial"/>
        <family val="2"/>
      </rPr>
      <t>addresses compensated absences, claims &amp; judgments, net pension obligation, net OPEB liability and other long-term liabilities.</t>
    </r>
  </si>
  <si>
    <r>
      <t xml:space="preserve">What was the balance at the end of the </t>
    </r>
    <r>
      <rPr>
        <u/>
        <sz val="10"/>
        <rFont val="Arial"/>
        <family val="2"/>
      </rPr>
      <t>prior year</t>
    </r>
    <r>
      <rPr>
        <sz val="10"/>
        <rFont val="Arial"/>
        <family val="2"/>
      </rPr>
      <t xml:space="preserve"> for other long-term liabilities?</t>
    </r>
  </si>
  <si>
    <t>General Instructions for Use</t>
  </si>
  <si>
    <t>K.</t>
  </si>
  <si>
    <t>L.</t>
  </si>
  <si>
    <t>M.</t>
  </si>
  <si>
    <r>
      <t>Specific Instructions</t>
    </r>
    <r>
      <rPr>
        <sz val="10"/>
        <rFont val="Arial"/>
        <family val="2"/>
      </rPr>
      <t xml:space="preserve"> - </t>
    </r>
    <r>
      <rPr>
        <sz val="9"/>
        <rFont val="Arial"/>
        <family val="2"/>
      </rPr>
      <t>continued</t>
    </r>
  </si>
  <si>
    <t xml:space="preserve">Deferred Charges - refunding </t>
  </si>
  <si>
    <t>Premium - GO Bonds</t>
  </si>
  <si>
    <t>J.1</t>
  </si>
  <si>
    <t xml:space="preserve">   Notes and loans payable</t>
  </si>
  <si>
    <t>Notes and loans payable</t>
  </si>
  <si>
    <r>
      <t xml:space="preserve">   Fund balance - </t>
    </r>
    <r>
      <rPr>
        <sz val="8"/>
        <color indexed="10"/>
        <rFont val="Arial"/>
        <family val="2"/>
      </rPr>
      <t>Beginning balance</t>
    </r>
  </si>
  <si>
    <t xml:space="preserve">   Interest and fees </t>
  </si>
  <si>
    <t>What is the amount of interfund receivables and payables between governmental funds in the "advances to/from" account?  This is the amount only between governmental funds. Do not include any advances to/from between governmental and enterprise funds.</t>
  </si>
  <si>
    <t>Economic &amp; physical development-capital grts &amp; cont.</t>
  </si>
  <si>
    <t>Environmental protection-capital grants &amp; contributions</t>
  </si>
  <si>
    <t>Cultural and recreation-capital grants &amp; contributions</t>
  </si>
  <si>
    <t>Other program 1-capital grants &amp; contributions</t>
  </si>
  <si>
    <t>lines to which entries are posted.</t>
  </si>
  <si>
    <t>A.</t>
  </si>
  <si>
    <t>B.</t>
  </si>
  <si>
    <t>4.</t>
  </si>
  <si>
    <t>5.</t>
  </si>
  <si>
    <t xml:space="preserve">Unearned revenue  </t>
  </si>
  <si>
    <t>Transportation - Capital grants and contributions</t>
  </si>
  <si>
    <t>Environmental protection - Charges for services</t>
  </si>
  <si>
    <t>Environmental protection - Operating grants and contributions</t>
  </si>
  <si>
    <r>
      <t xml:space="preserve">What is the amount of payables -"due to other funds" due to the business type activities from the governmental activities? </t>
    </r>
    <r>
      <rPr>
        <sz val="8"/>
        <color indexed="10"/>
        <rFont val="Arial"/>
        <family val="2"/>
      </rPr>
      <t>Follow the directions in step 1 above - entering the number from the Conversion worksheet - exclude fiduciary funds portion.</t>
    </r>
  </si>
  <si>
    <t>From the financial records, determine the amount in the following categories that must be reclassified to functional revenues, special or extraordinary items.  Also, include any items that were special or extraordinary items at the fund level that will be general revenues in the government-wide statements.</t>
  </si>
  <si>
    <t xml:space="preserve">Any expenditures during the year on completed projects at year end should be recorded in the appropriate category rather than in construction in progress. </t>
  </si>
  <si>
    <t>Enter the  function which paid the amount above. For the amount for the Law Enforcement Officer's Separation Allowance, the  Public Safety function would have made the overpayment. If multiple functions contribute to other plans, the overpayment may be prorated based on total payments. The sum of these amounts must equal the  amount in the change in pension obligation field above.</t>
  </si>
  <si>
    <r>
      <t xml:space="preserve">Indicate the amount of </t>
    </r>
    <r>
      <rPr>
        <u/>
        <sz val="10"/>
        <rFont val="Arial"/>
        <family val="2"/>
      </rPr>
      <t>payments</t>
    </r>
    <r>
      <rPr>
        <sz val="10"/>
        <rFont val="Arial"/>
        <family val="2"/>
      </rPr>
      <t xml:space="preserve"> made on claims &amp; judgments during current year.</t>
    </r>
  </si>
  <si>
    <r>
      <t xml:space="preserve">Ending balance for claims &amp; judgments for the current year. </t>
    </r>
    <r>
      <rPr>
        <sz val="8"/>
        <color indexed="10"/>
        <rFont val="Arial"/>
        <family val="2"/>
      </rPr>
      <t>- calculated</t>
    </r>
  </si>
  <si>
    <r>
      <t xml:space="preserve">General Government </t>
    </r>
    <r>
      <rPr>
        <sz val="8"/>
        <color indexed="10"/>
        <rFont val="Arial"/>
        <family val="2"/>
      </rPr>
      <t>(expense)</t>
    </r>
  </si>
  <si>
    <r>
      <t>General Instructions:</t>
    </r>
    <r>
      <rPr>
        <sz val="10"/>
        <rFont val="Arial"/>
        <family val="2"/>
      </rPr>
      <t xml:space="preserve"> synopsis and general guidelines for use of the workbook. </t>
    </r>
  </si>
  <si>
    <r>
      <t>What is the amount of payables -"Advances from other funds" due to the business type activities from the governmental activities?</t>
    </r>
    <r>
      <rPr>
        <sz val="8"/>
        <color indexed="10"/>
        <rFont val="Arial"/>
        <family val="2"/>
      </rPr>
      <t xml:space="preserve"> Follow the directions in step 1 above - entering the number from the Conversion worksheet - exclude fiduciary funds portion.</t>
    </r>
  </si>
  <si>
    <t>Accrued interest receivable on taxes</t>
  </si>
  <si>
    <t>Includes penalties</t>
  </si>
  <si>
    <t>Public Safety</t>
  </si>
  <si>
    <t>Transportation</t>
  </si>
  <si>
    <t>Environmental Protection</t>
  </si>
  <si>
    <t>Debt Service</t>
  </si>
  <si>
    <t>Principal retirement</t>
  </si>
  <si>
    <t>Interest and fees</t>
  </si>
  <si>
    <t>Non-major Governmental Funds</t>
  </si>
  <si>
    <t xml:space="preserve">Total </t>
  </si>
  <si>
    <t>Allowance for uncollectible accounts</t>
  </si>
  <si>
    <t>Allowance for uncollectible interest</t>
  </si>
  <si>
    <t>Allowance for uncollectible tax accounts</t>
  </si>
  <si>
    <t>Cultural &amp; Recreation</t>
  </si>
  <si>
    <t>Capital Outlay</t>
  </si>
  <si>
    <t>Dr</t>
  </si>
  <si>
    <t>Cr</t>
  </si>
  <si>
    <t>Accum. Depreciation - Improvements</t>
  </si>
  <si>
    <t>Accum. Depreciation - Equipment</t>
  </si>
  <si>
    <t>Accum. Depreciation - Infrastructure</t>
  </si>
  <si>
    <t>Ref</t>
  </si>
  <si>
    <t>Leave this section blank if a separate account(s) entitled "Due to/from fiduciary funds" has been used at the fund level.</t>
  </si>
  <si>
    <t xml:space="preserve">What is the amount in "Due from other funds" that is due from fiduciary funds ? </t>
  </si>
  <si>
    <t>+</t>
  </si>
  <si>
    <t>-</t>
  </si>
  <si>
    <t>Debt for assets to which the city does 
not hold title</t>
  </si>
  <si>
    <t>Enter the amount of debt related to capital assets.
Enter as a positive number.</t>
  </si>
  <si>
    <t>Note:</t>
  </si>
  <si>
    <t>Other revenue 2</t>
  </si>
  <si>
    <t>Operating Accounts - Expenditures</t>
  </si>
  <si>
    <t>Other financing sources (uses)</t>
  </si>
  <si>
    <t>Special item</t>
  </si>
  <si>
    <t>Extraordinary item</t>
  </si>
  <si>
    <t>Other program 1</t>
  </si>
  <si>
    <t>Investment in joint venture</t>
  </si>
  <si>
    <t>Net investment in joint venture</t>
  </si>
  <si>
    <t>Equity in joint ventures is defined by GASB 14 and should be recorded as an asset if there is an underlying contract which creates an explicit, measurable equity interest. The increase (or decrease) will be recognized as revenue (or loss) on the Statement of Activities.</t>
  </si>
  <si>
    <t>I.1</t>
  </si>
  <si>
    <t>Fund balance</t>
  </si>
  <si>
    <t>Other Enterprise 1</t>
  </si>
  <si>
    <t>Other Enterprise 2</t>
  </si>
  <si>
    <t>Other enterprise 1</t>
  </si>
  <si>
    <t>Other enterprise 2</t>
  </si>
  <si>
    <t>`</t>
  </si>
  <si>
    <t>It is assumed that the balance at the beginning of the year for construction in progress for projects that were completed during the year has been reclassified to the appropriate category.</t>
  </si>
  <si>
    <t xml:space="preserve">Record any entries from Internal Service Fund Allocation where the Business type activity was dominant. </t>
  </si>
  <si>
    <t>What is the amount in "Due to other funds" that is due to fiduciary funds?</t>
  </si>
  <si>
    <t>Interest Expense</t>
  </si>
  <si>
    <t>Internal balance</t>
  </si>
  <si>
    <t>---  Computed  ---</t>
  </si>
  <si>
    <t>-- Computed --</t>
  </si>
  <si>
    <t>Total revenue to be reclassified</t>
  </si>
  <si>
    <t>*</t>
  </si>
  <si>
    <t>1.</t>
  </si>
  <si>
    <t>2.</t>
  </si>
  <si>
    <t>3.</t>
  </si>
  <si>
    <t>Working Column</t>
  </si>
  <si>
    <t>Economic &amp; physical development - capital grants &amp; contributions</t>
  </si>
  <si>
    <t>Environmental protection - capital grants &amp; contributions</t>
  </si>
  <si>
    <t>Reclasses external</t>
  </si>
  <si>
    <t>receivables &amp; payables</t>
  </si>
  <si>
    <t>of interfunction activity</t>
  </si>
  <si>
    <t>Eliminates doubling up effect</t>
  </si>
  <si>
    <t>Reclass program revenue</t>
  </si>
  <si>
    <t>not adjusted previously</t>
  </si>
  <si>
    <t>Record internal service</t>
  </si>
  <si>
    <t xml:space="preserve">fund allocation where </t>
  </si>
  <si>
    <t>Classify for liquidity</t>
  </si>
  <si>
    <t>General government -operating grants &amp; contributions</t>
  </si>
  <si>
    <t>Public Safety-operating grants &amp; contributions</t>
  </si>
  <si>
    <t>Transportation-operating grants &amp; contributions</t>
  </si>
  <si>
    <t>Economic &amp; physical development-operating grts &amp; contrib.</t>
  </si>
  <si>
    <t>Environmental protection-operating grants &amp; contributions</t>
  </si>
  <si>
    <t xml:space="preserve">Revenues must be adjusted to the full accrual basis of accounting on the Statement of Activities. Under modified accrual, taxes must be both measurable and available (for full accrual they are measurable and earned.)  This means that some revenue received in the current year may have actually  been earned in the prior year and some revenue deferred for the current year due to unavailability may actually be earned for full accrual. Taxes collected in advance of the period the taxes are intended to finance will be "unearned revenue" under both full and modified accrual. Estimates for uncollectibles is the same for both methods, if material.  </t>
  </si>
  <si>
    <t>F.4</t>
  </si>
  <si>
    <t>What is (or was) the restoration cost ? (Amount would have been included in the capital outlay entry - Tab E - if spent in the same fiscal year.)</t>
  </si>
  <si>
    <t>Impairment Loss Calculation</t>
  </si>
  <si>
    <t>Extraordinary loss</t>
  </si>
  <si>
    <t>Extraordinary gain</t>
  </si>
  <si>
    <t>Based on the computation in 5.b above. Enter the gain or loss against the proper accounts below:</t>
  </si>
  <si>
    <t>Assets physically damaged during the year from accidents or natural causes which have been or are planned to be restored:</t>
  </si>
  <si>
    <r>
      <t>Governmental funds have the option to record inventories and prepaid expenses using the purchases method; i.e. recognizing an expenditure at the time of purchase rather than based on consumption. GASB 34 requires that inventories and prepaid expenses be accounted for as assets regardless of their treatment in the fund financial statements</t>
    </r>
    <r>
      <rPr>
        <sz val="10"/>
        <rFont val="Arial"/>
        <family val="2"/>
      </rPr>
      <t xml:space="preserve"> </t>
    </r>
    <r>
      <rPr>
        <u/>
        <sz val="10"/>
        <rFont val="Arial"/>
        <family val="2"/>
      </rPr>
      <t>if material</t>
    </r>
    <r>
      <rPr>
        <sz val="10"/>
        <rFont val="Arial"/>
        <family val="2"/>
      </rPr>
      <t>. Therefore balances remaining in inventories or prepaid expenses must be recorded as assets for the government-wide statements and the corresponding expenditures must be reduced.</t>
    </r>
  </si>
  <si>
    <r>
      <t xml:space="preserve">Misc. Revenue - </t>
    </r>
    <r>
      <rPr>
        <sz val="8"/>
        <color indexed="10"/>
        <rFont val="Arial"/>
        <family val="2"/>
      </rPr>
      <t>[Net Income (loss) in joint venture]</t>
    </r>
  </si>
  <si>
    <r>
      <t>Misc. Rev</t>
    </r>
    <r>
      <rPr>
        <sz val="8"/>
        <color indexed="10"/>
        <rFont val="Arial"/>
        <family val="2"/>
      </rPr>
      <t>-Net Inc/(loss) in joint venture</t>
    </r>
  </si>
  <si>
    <t xml:space="preserve">Compensated absences earned during the current period must be reported as an expense under full accrual accounting. This may be a number that is not easily determined. Typically, you will know the beginning and ending balances and either the leave earned during the current year (Method 1) or the leave used during the current year (Method 2).  Choose ONE of the tables below in Section A. Enter the data in the yellow fields. The cells in blue with the red caption will be calculated. The information must be entered by function in order to calculate functional expense for the current year and prior years. This data will provide the information to create the entry to record current year expense and  the entry to eliminate expenditures related to prior years. (Choose only one method, if data is entered into both tables the resulting entry will be overstated.) </t>
  </si>
  <si>
    <t>This amount will be classified as a "transfer out" for the governmental activities column. It should also be included as a reconciling item to the fund statements.</t>
  </si>
  <si>
    <t>This amount will be classified as a "transfer in" for the governmental activities column. It should also be included as a reconciling item to the fund statements.</t>
  </si>
  <si>
    <t>OFS - Transfer In</t>
  </si>
  <si>
    <t>OFU - Transfer Out</t>
  </si>
  <si>
    <r>
      <t xml:space="preserve">Identify assets by function and calculate the annual depreciation in section A below. For those items that are shared and no clear allocation method is available, place those figures into General Government or the unallocated depreciation line </t>
    </r>
    <r>
      <rPr>
        <sz val="8"/>
        <rFont val="Arial"/>
        <family val="2"/>
      </rPr>
      <t xml:space="preserve">(use of "unallocated depreciation" will typically be the exception). </t>
    </r>
  </si>
  <si>
    <t>Proof Totals:</t>
  </si>
  <si>
    <t>Does not include penalties (accounted for in Agency Fund).</t>
  </si>
  <si>
    <t>Determination of Proportionate Participation</t>
  </si>
  <si>
    <t>$</t>
  </si>
  <si>
    <t>%</t>
  </si>
  <si>
    <t>Internal Charges</t>
  </si>
  <si>
    <t>Governmental Activities:</t>
  </si>
  <si>
    <t>Culture and recreation</t>
  </si>
  <si>
    <t>Total Governmental Activities</t>
  </si>
  <si>
    <t>Business-type Activities:</t>
  </si>
  <si>
    <t>Water and sewer</t>
  </si>
  <si>
    <t>Electric</t>
  </si>
  <si>
    <t>Total Business-type Activities</t>
  </si>
  <si>
    <t>Total Internal Charges</t>
  </si>
  <si>
    <t>External Charges</t>
  </si>
  <si>
    <t>Total Charges for Services</t>
  </si>
  <si>
    <t>Expenses for services provided externally</t>
  </si>
  <si>
    <t>What is the depreciation expense for the current year up to the
 date of sale for the assets above?</t>
  </si>
  <si>
    <t>Indicate revenue account to which items were recorded?</t>
  </si>
  <si>
    <t xml:space="preserve">What is the original cost at the beginning of the year for assets traded-in during current year? </t>
  </si>
  <si>
    <t>What is the accumulated depreciation at the beginning of the year for the assets traded-in a. above?</t>
  </si>
  <si>
    <t>What is the depreciation expense for the current year up to the
 date of trade-in for the asset above?</t>
  </si>
  <si>
    <t>Net book value of capital assets traded</t>
  </si>
  <si>
    <t>Final Entry to Conversion Worksheet for sales, disposals, donations to the unit of capital assets and asset impairment loss:   [Entry F.1, 2, 3 &amp; 4]</t>
  </si>
  <si>
    <t>Record permanent balance sheet accounts.</t>
  </si>
  <si>
    <t>Enter unallocated amounts</t>
  </si>
  <si>
    <t xml:space="preserve">Interest expense </t>
  </si>
  <si>
    <t xml:space="preserve">General government </t>
  </si>
  <si>
    <t>L.8</t>
  </si>
  <si>
    <t>Cultural and recreation - capital grants &amp; contributions</t>
  </si>
  <si>
    <t>Accrued interest rec. on ad valorem - "end of year"</t>
  </si>
  <si>
    <t>Indicate the annual depreciation expense by function:</t>
  </si>
  <si>
    <t>Indicate the appropriate asset class for the depreciation amount computed in section A above.</t>
  </si>
  <si>
    <t>Investment earnings</t>
  </si>
  <si>
    <t>Workbook Contents:</t>
  </si>
  <si>
    <t xml:space="preserve">  Total debt, gross</t>
  </si>
  <si>
    <t>Unexpended proceeds</t>
  </si>
  <si>
    <t xml:space="preserve">Other debt not issued for capital </t>
  </si>
  <si>
    <t xml:space="preserve">Note that any revenue items or other financing sources qualifying as "special" or "extraordinary" as defined by GASB 34 will have to </t>
  </si>
  <si>
    <r>
      <t xml:space="preserve">Special item  </t>
    </r>
    <r>
      <rPr>
        <i/>
        <sz val="10"/>
        <rFont val="Arial"/>
        <family val="2"/>
      </rPr>
      <t>(revenue)</t>
    </r>
  </si>
  <si>
    <t>Accrued interest payable</t>
  </si>
  <si>
    <t>Beginning fund balance</t>
  </si>
  <si>
    <t>Interest expense</t>
  </si>
  <si>
    <t>What was the interest activity for debt over the year?</t>
  </si>
  <si>
    <t>Major Fund #4</t>
  </si>
  <si>
    <t>Education</t>
  </si>
  <si>
    <t>Net Proceeds of New Debt Issue:</t>
  </si>
  <si>
    <r>
      <t xml:space="preserve">What was the </t>
    </r>
    <r>
      <rPr>
        <u/>
        <sz val="10"/>
        <rFont val="Arial"/>
        <family val="2"/>
      </rPr>
      <t>net</t>
    </r>
    <r>
      <rPr>
        <sz val="10"/>
        <rFont val="Arial"/>
        <family val="2"/>
      </rPr>
      <t xml:space="preserve"> amount of transfers between the governmental funds and the internal service funds whose predominant user is governmental?</t>
    </r>
  </si>
  <si>
    <t>Other long-term debt #2</t>
  </si>
  <si>
    <t>Other long-term debt liabilities - What are adjustments to expenses and liabilities?</t>
  </si>
  <si>
    <r>
      <t xml:space="preserve">What was the amount of </t>
    </r>
    <r>
      <rPr>
        <u/>
        <sz val="10"/>
        <rFont val="Arial"/>
        <family val="2"/>
      </rPr>
      <t>new claims</t>
    </r>
    <r>
      <rPr>
        <sz val="10"/>
        <rFont val="Arial"/>
        <family val="2"/>
      </rPr>
      <t xml:space="preserve"> incurred during this current year?</t>
    </r>
  </si>
  <si>
    <t>Adjustments</t>
  </si>
  <si>
    <t>Indicate to which asset class the loss in 3a or 3b should be credited. Should be same class as that indicated in 1 above.</t>
  </si>
  <si>
    <r>
      <t xml:space="preserve">What was the prior year internal balance entry for internal service funds allocation for business type activity? </t>
    </r>
    <r>
      <rPr>
        <sz val="8"/>
        <color indexed="10"/>
        <rFont val="Arial"/>
        <family val="2"/>
      </rPr>
      <t>Indicate sign - this amount will be negative if business type activities owe (have a balance payable to) government type activities and positive if business type activities have a balance receivable from government type activities.</t>
    </r>
  </si>
  <si>
    <t>*  This amount will become the reconciling amount to be entered in Section C, steps 1 &amp; 2 for the next year. In subsequent years the amount for Section C becomes cumulative, with year 1's balance added to year 2 etc. over time.</t>
  </si>
  <si>
    <r>
      <t xml:space="preserve">* </t>
    </r>
    <r>
      <rPr>
        <i/>
        <sz val="10"/>
        <rFont val="Arial"/>
        <family val="2"/>
      </rPr>
      <t xml:space="preserve">Special item - Subject to management control and unusual in nature (possessing a high degree of abnormality and clearly unrelated to ordinary or typical activity) </t>
    </r>
    <r>
      <rPr>
        <i/>
        <u/>
        <sz val="10"/>
        <rFont val="Arial"/>
        <family val="2"/>
      </rPr>
      <t>or</t>
    </r>
    <r>
      <rPr>
        <i/>
        <sz val="10"/>
        <rFont val="Arial"/>
        <family val="2"/>
      </rPr>
      <t xml:space="preserve"> infrequent in occurrence; should be a material amount to justify such treatment. </t>
    </r>
  </si>
  <si>
    <r>
      <t xml:space="preserve">Special item - expense </t>
    </r>
    <r>
      <rPr>
        <sz val="8"/>
        <color indexed="10"/>
        <rFont val="Arial"/>
        <family val="2"/>
      </rPr>
      <t>(loss on sale or disposal of assets)</t>
    </r>
  </si>
  <si>
    <t xml:space="preserve">As previously stated, revenues that result in the ownership of a capital asset are classified as capital. If no capital asset results, the revenue should be classified as operating. </t>
  </si>
  <si>
    <t>Computer software</t>
  </si>
  <si>
    <t>Restricted for Stabilization by State Statute</t>
  </si>
  <si>
    <t>Stabilization by State Statute</t>
  </si>
  <si>
    <t>Reserved for Stabilization by State Statute</t>
  </si>
  <si>
    <t>Economic Development Fund</t>
  </si>
  <si>
    <t>E 911 Fund *,**</t>
  </si>
  <si>
    <t>Grant Projects Fund *,**</t>
  </si>
  <si>
    <t>Cash and receivables in Cemetery Care Permanent Fund *</t>
  </si>
  <si>
    <r>
      <t xml:space="preserve">Payables </t>
    </r>
    <r>
      <rPr>
        <b/>
        <sz val="10"/>
        <color indexed="10"/>
        <rFont val="Arial"/>
        <family val="2"/>
      </rPr>
      <t>**</t>
    </r>
  </si>
  <si>
    <r>
      <t xml:space="preserve">Receivables </t>
    </r>
    <r>
      <rPr>
        <b/>
        <sz val="10"/>
        <color indexed="10"/>
        <rFont val="Arial"/>
        <family val="2"/>
      </rPr>
      <t>*</t>
    </r>
  </si>
  <si>
    <t>Economic development CRF</t>
  </si>
  <si>
    <t>This workbook is set up in a series of worksheets that address the various entries required to convert from modified to full accrual. Some entries must be initially recorded, some are simple reclassifications, and others are allocations to programs or functions. The workbook is based on the premise of answering a series of questions for those areas where modified and full accrual differ in their treatment of a transaction. The answers to these questions will generate accounting entries which are automatically mapped or linked to the conversion worksheet. Many entries are recorded only in this conversion worksheet and are not to be recorded in the general ledger, but some affect permanent accounts like capital assets, depreciation, and liabilities. These entries must be posted to the unit's ledger accounts in order to properly reflect the beginning balances for the next year. In each case, the specific instructions to the individual worksheets indicate whether an entry to the permanent accounts is required.</t>
  </si>
  <si>
    <r>
      <t xml:space="preserve">The first worksheet is the "summary" sheet titled </t>
    </r>
    <r>
      <rPr>
        <b/>
        <sz val="10"/>
        <rFont val="Arial"/>
        <family val="2"/>
      </rPr>
      <t>"Conversion Worksheet."</t>
    </r>
    <r>
      <rPr>
        <sz val="10"/>
        <rFont val="Arial"/>
        <family val="2"/>
      </rPr>
      <t xml:space="preserve"> This is the sheet to which all the other sheets flow. It is also the sheet where you will begin your data entry. The far most left columns are the trial balance columns. Please enter your adjusted pre-closing trial balance numbers here. We have assumed that you have prepared your fund statements at this point and that the trial balance is adjusted to reflect any changes that are needed to be made at the fund level. The</t>
    </r>
    <r>
      <rPr>
        <u/>
        <sz val="10"/>
        <rFont val="Arial"/>
        <family val="2"/>
      </rPr>
      <t xml:space="preserve"> prior year's ending balances</t>
    </r>
    <r>
      <rPr>
        <sz val="10"/>
        <rFont val="Arial"/>
        <family val="2"/>
      </rPr>
      <t xml:space="preserve"> for capital assets and long-term liabilities must also be manually posted to the "Capital Assets and Long-term Debt" column.  </t>
    </r>
  </si>
  <si>
    <r>
      <t xml:space="preserve">Revenue by function : </t>
    </r>
    <r>
      <rPr>
        <sz val="10"/>
        <rFont val="Arial"/>
        <family val="2"/>
      </rPr>
      <t>allocates revenue to the proper government-wide financial statement categories (Charges for Services, Operating Grants and Contributions, and Capital Grants and Contributions) and their respective programs/functions for presentation on the Statement of Activities. Note that these reclassification entries only change the presentation of revenue and will not be a factor in the reconciliation from modified to full accrual.</t>
    </r>
  </si>
  <si>
    <r>
      <t xml:space="preserve">Other Capital Asset Entries: </t>
    </r>
    <r>
      <rPr>
        <sz val="10"/>
        <rFont val="Arial"/>
        <family val="2"/>
      </rPr>
      <t>addresses all other capital asset entries, sales, trades, retirements, donations, impairment losses/gains, etc. and generates the correct entry to asset classes, programs/functions, and revenue or expenditure accounts. Please be aware that any reductions that result from a change in capitalization threshold should be recorded with the beginning capital asset numbers in columns AF and AG of the conversion worksheet.</t>
    </r>
  </si>
  <si>
    <r>
      <t xml:space="preserve">K.1 - K.3 Internal Service Fund Allocation: </t>
    </r>
    <r>
      <rPr>
        <sz val="10"/>
        <rFont val="Arial"/>
        <family val="2"/>
      </rPr>
      <t xml:space="preserve">There are worksheets for three internal service funds, </t>
    </r>
    <r>
      <rPr>
        <u/>
        <sz val="10"/>
        <rFont val="Arial"/>
        <family val="2"/>
      </rPr>
      <t>each of which must serve governmental funds as the primary beneficiary</t>
    </r>
    <r>
      <rPr>
        <sz val="10"/>
        <rFont val="Arial"/>
        <family val="2"/>
      </rPr>
      <t xml:space="preserve">. If enterprise funds are the primary beneficiary then they should be entered in the Business-type conversion worksheet elsewhere on the website. </t>
    </r>
  </si>
  <si>
    <r>
      <t xml:space="preserve">Net Position Calculation: </t>
    </r>
    <r>
      <rPr>
        <sz val="10"/>
        <rFont val="Arial"/>
        <family val="2"/>
      </rPr>
      <t>facilitates the determination of the net position equity section. The resulting numbers are not mapped but are provided for manual entry into worksheet L to avoid circular logic.</t>
    </r>
  </si>
  <si>
    <r>
      <t>Program revenues must be reclassified for presentation on the Statement of Activities to report</t>
    </r>
    <r>
      <rPr>
        <sz val="10"/>
        <rFont val="Arial"/>
        <family val="2"/>
      </rPr>
      <t xml:space="preserve"> revenues by function (program)</t>
    </r>
    <r>
      <rPr>
        <sz val="10"/>
        <rFont val="Arial"/>
        <family val="2"/>
      </rPr>
      <t xml:space="preserve">. Ad valorem taxes and other revenues that will be classified as general revenue will not be affected in this entry. These program revenues will be categorized into charges for services, operating grants and contributions, and capital grants and contributions. In order for grants or contributions to be classified as capital in nature, the </t>
    </r>
    <r>
      <rPr>
        <u/>
        <sz val="10"/>
        <rFont val="Arial"/>
        <family val="2"/>
      </rPr>
      <t>unit must own the asset</t>
    </r>
    <r>
      <rPr>
        <sz val="10"/>
        <rFont val="Arial"/>
        <family val="2"/>
      </rPr>
      <t xml:space="preserve">. Grants that can be considered either operating or capital at the recipient's discretion are classified as operating grants. </t>
    </r>
  </si>
  <si>
    <t>Determine beginning of year balances for unavailable (previously non-cash deferred revenue) revenue and accrued interest receivable of ad valorem taxes. Enter those amounts in section A below.</t>
  </si>
  <si>
    <t>Determine end of year balances for unavailable (previously non-cash deferred revenue) revenue and accrued interest receivable on ad valorem taxes. Enter those amounts in section B below.</t>
  </si>
  <si>
    <t>What was the amount in unavailable tax receipts at the beginning of the year?  -  (Exclude prepaid taxes.)
What was the amount of accrued interest receivable on tax receipts at the beginning of the year?</t>
  </si>
  <si>
    <t>Unavailable revenue (ad valorem tax) - "beginning of year"</t>
  </si>
  <si>
    <t>What was amount in unavailable tax receipts at the end of the year?  -  (Exclude prepaid taxes.)
What was the amount of accrued interest receivable on tax receipts at the end of the year?</t>
  </si>
  <si>
    <t>Unavailable revenue (ad valorem tax) - "end of year"</t>
  </si>
  <si>
    <t>Unavailable Revenues*</t>
  </si>
  <si>
    <t>In addition to ad valorem taxes, other revenues must be adjusted to reflect the full accrual basis of accounting on the Statement of Activities. The availability criteria is not considered for revenue recognition under full accrual accounting.  This means that some unavailable revenue at year end under modified accrual will be recognized as revenue under full accrual on the Statement of Activities. Also, revenues recorded under modified accrual in the current year which were unavailable in the prior year were already recognized as revenue under full accrual in the prior year. Receipts that have not been earned at year end will not be recognized as revenue under the full accrual basis of accounting.</t>
  </si>
  <si>
    <t>It is presumed that unavailable revenues not recorded on the fund's modified accrual statements because of materiality, will not be material on the government-wide statements. A work section, presented in this spreadsheet following the final entry, shows the individual entries for each section in Worksheet C. It is not included in the normal print range. If you wish to print the work section, you will need to adjust the print range.</t>
  </si>
  <si>
    <t>Determine ending balance from prior fiscal year (or beginning of year balances) in unavailable revenue for each revenue source below. Enter the amount in question 1 of each section below.</t>
  </si>
  <si>
    <t>Determine end of current year balances for unavailable revenue for all revenue sources listed below. Enter those amounts for question 2 in each section below.</t>
  </si>
  <si>
    <r>
      <t xml:space="preserve">Alcoholic Beverage Tax  </t>
    </r>
    <r>
      <rPr>
        <b/>
        <sz val="9"/>
        <rFont val="Arial"/>
        <family val="2"/>
      </rPr>
      <t xml:space="preserve"> (Unrestricted intergovernmental for Modified Accrual -- Unrestricted - General for Full Accrual)</t>
    </r>
  </si>
  <si>
    <r>
      <t xml:space="preserve">Indicate the amount of beer and wine excise tax included in unavailable revenue utilizing the modified accrual basis of accounting at the end of the </t>
    </r>
    <r>
      <rPr>
        <u/>
        <sz val="10"/>
        <rFont val="Arial"/>
        <family val="2"/>
      </rPr>
      <t>prior year</t>
    </r>
    <r>
      <rPr>
        <sz val="10"/>
        <rFont val="Arial"/>
        <family val="2"/>
      </rPr>
      <t>.</t>
    </r>
  </si>
  <si>
    <r>
      <t xml:space="preserve">Indicate the amount of beer and wine excise tax included in unavailable revenue utilizing the modified accrual basis of accounting at the end of the </t>
    </r>
    <r>
      <rPr>
        <u/>
        <sz val="10"/>
        <rFont val="Arial"/>
        <family val="2"/>
      </rPr>
      <t>current year.</t>
    </r>
  </si>
  <si>
    <r>
      <t xml:space="preserve">Indicate the amount of piped natural gas tax included in unavailable revenue utilizing the modified accrual basis of accounting at the end of the </t>
    </r>
    <r>
      <rPr>
        <u/>
        <sz val="10"/>
        <rFont val="Arial"/>
        <family val="2"/>
      </rPr>
      <t>prior year</t>
    </r>
    <r>
      <rPr>
        <sz val="10"/>
        <rFont val="Arial"/>
        <family val="2"/>
      </rPr>
      <t>.</t>
    </r>
  </si>
  <si>
    <r>
      <t xml:space="preserve">Indicate the amount of piped natural gas tax included in unavailable revenue utilizing the modified accrual basis of accounting at the end of the </t>
    </r>
    <r>
      <rPr>
        <u/>
        <sz val="10"/>
        <rFont val="Arial"/>
        <family val="2"/>
      </rPr>
      <t>current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</si>
  <si>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prior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</si>
  <si>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current year</t>
    </r>
    <r>
      <rPr>
        <sz val="10"/>
        <rFont val="Arial"/>
        <family val="2"/>
      </rPr>
      <t>.</t>
    </r>
  </si>
  <si>
    <r>
      <t xml:space="preserve">Indicate the amount of utility franchise tax included in unavailable revenue utilizing the modified accrual basis of accounting at the end of the </t>
    </r>
    <r>
      <rPr>
        <u/>
        <sz val="10"/>
        <rFont val="Arial"/>
        <family val="2"/>
      </rPr>
      <t>prior year</t>
    </r>
    <r>
      <rPr>
        <sz val="10"/>
        <rFont val="Arial"/>
        <family val="2"/>
      </rPr>
      <t>.</t>
    </r>
  </si>
  <si>
    <r>
      <t xml:space="preserve">Indicate the amount of utility franchise tax included in unavailable revenue utilizing the modified accrual basis of accounting at the end of the </t>
    </r>
    <r>
      <rPr>
        <u/>
        <sz val="10"/>
        <rFont val="Arial"/>
        <family val="2"/>
      </rPr>
      <t>current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</si>
  <si>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prior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</si>
  <si>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current year</t>
    </r>
    <r>
      <rPr>
        <sz val="10"/>
        <rFont val="Arial"/>
        <family val="2"/>
      </rPr>
      <t>.</t>
    </r>
  </si>
  <si>
    <r>
      <t xml:space="preserve">Indicate the amount of special assessments included in unavailable revenue utilizing the modified accrual basis of accounting at the end of the </t>
    </r>
    <r>
      <rPr>
        <u/>
        <sz val="10"/>
        <rFont val="Arial"/>
        <family val="2"/>
      </rPr>
      <t>prior year</t>
    </r>
    <r>
      <rPr>
        <sz val="10"/>
        <rFont val="Arial"/>
        <family val="2"/>
      </rPr>
      <t>.</t>
    </r>
  </si>
  <si>
    <r>
      <t xml:space="preserve">Indicate the amount of special assessments included in unavailable revenue utilizing the modified accrual basis of accounting at the end of the </t>
    </r>
    <r>
      <rPr>
        <u/>
        <sz val="10"/>
        <rFont val="Arial"/>
        <family val="2"/>
      </rPr>
      <t>current year</t>
    </r>
    <r>
      <rPr>
        <sz val="10"/>
        <rFont val="Arial"/>
        <family val="2"/>
      </rPr>
      <t>.</t>
    </r>
  </si>
  <si>
    <r>
      <t xml:space="preserve">Indicate the amount of other revenues included in unavailable revenue utilizing the modified accrual basis of accounting at the end of the </t>
    </r>
    <r>
      <rPr>
        <u/>
        <sz val="10"/>
        <rFont val="Arial"/>
        <family val="2"/>
      </rPr>
      <t xml:space="preserve">prior year </t>
    </r>
    <r>
      <rPr>
        <sz val="10"/>
        <rFont val="Arial"/>
        <family val="2"/>
      </rPr>
      <t>that were not recognized as revenue because they were not considered available.</t>
    </r>
    <r>
      <rPr>
        <sz val="10"/>
        <rFont val="Arial"/>
        <family val="2"/>
      </rPr>
      <t xml:space="preserve"> Also, indicate by amount the appropriate full accrual revenue classification.</t>
    </r>
  </si>
  <si>
    <r>
      <t xml:space="preserve">Indicate the amount of other revenues included in unavailable revenue utilizing the modified accrual basis of accounting at the end of the </t>
    </r>
    <r>
      <rPr>
        <u/>
        <sz val="10"/>
        <rFont val="Arial"/>
        <family val="2"/>
      </rPr>
      <t>current year</t>
    </r>
    <r>
      <rPr>
        <sz val="10"/>
        <rFont val="Arial"/>
        <family val="2"/>
      </rPr>
      <t xml:space="preserve"> that were not recognized as revenue because they were not considered available</t>
    </r>
    <r>
      <rPr>
        <sz val="10"/>
        <rFont val="Arial"/>
        <family val="2"/>
      </rPr>
      <t>. Be careful not to duplicate unavailable revenues that have been handled in previous entries.</t>
    </r>
  </si>
  <si>
    <t>Unavailable revenue</t>
  </si>
  <si>
    <t xml:space="preserve">Depreciation expense must be calculated and reported in relation to all of the unit's depreciable capital assets. Some units may have a capital asset software system that can easily calculate annual depreciation expense. Others may need to calculate the expense manually. This function has previously been done for all the proprietary or business-type activities funds. It has now been expanded to general capital assets.  The challenge may be the requirement to record the expense by function, e.g. the depreciation for police cars must be charged to public safety. If function or department codes are not currently in the capital asset system, perhaps location can identify the function. Capital assets that can be specifically identified with a function or program will have their depreciation charged respectively. For those units that prepare CAFRs the capital asset schedules required for that publication should give you helpful information about classifying your capital assets by function. </t>
  </si>
  <si>
    <t xml:space="preserve">Also be aware that some expenditures may fall below the capitalization threshold that the Governing Board has set for your unit. If certain purchases fall below the capitalization threshold,  a legitimate balance may remain in Capital Outlay after this adjustment. For example, if the unit has chosen $1,000 as the minimum for capitalization, any items purchased costing less than that amount would remain an expenditure with no addition made to the various capital asset accounts. Only those items above the unit's capitalization threshold would be adjusted and reported as capital assets in the government-wide statement of net position.  </t>
  </si>
  <si>
    <t>The issuance of debt needs to be reflected in the proper liability accounts rather than as other financing sources in order to prepare the government-wide Statement of Net Position. Also, corresponding transactions for premiums, discounts and prepaid insurance costs must be adjusted from other financing uses to assets, liabilities, contra-liabilities, and deferred inflows of resources. Refunding bonds must also be adjusted to the proper permanent accounts. Refunding bonds and their corresponding defeased debt will be handled together in the same section below. Prepaid insurance costs and deferred charges must be amortized over the life of any debt issued from the year of implementation forward to correctly state expenses on the Statement of Activities. The unit's permanent accounts will need to be adjusted to properly reflect next year's beginning balances for debt related accounts.</t>
  </si>
  <si>
    <t>Prepaid</t>
  </si>
  <si>
    <t>Insurance</t>
  </si>
  <si>
    <t>Unamortized Prepaid Insurance Cost =</t>
  </si>
  <si>
    <t>Amortize deferred charges for the current year.</t>
  </si>
  <si>
    <t>What is the current year annual amortization for prepaid insurance costs?</t>
  </si>
  <si>
    <t>Deferred Charges - prepaid insurance cost</t>
  </si>
  <si>
    <t>Debt service - prepaid insurance cost</t>
  </si>
  <si>
    <t>Deferred Charge - prepaid insurance cost</t>
  </si>
  <si>
    <r>
      <t>Prepaid expenses  -</t>
    </r>
    <r>
      <rPr>
        <sz val="10"/>
        <rFont val="Arial"/>
        <family val="2"/>
      </rPr>
      <t xml:space="preserve"> if recorded at the fund level using the purchases method. This does not include prepaid insurance costs associated with bond refundings.</t>
    </r>
  </si>
  <si>
    <r>
      <t xml:space="preserve">Adjust for the prior year's internal balance in Step C. This adjusts beginning net position to match the government-wide presentation. </t>
    </r>
    <r>
      <rPr>
        <sz val="13"/>
        <rFont val="Wingdings 2"/>
        <family val="1"/>
        <charset val="2"/>
      </rPr>
      <t>k</t>
    </r>
    <r>
      <rPr>
        <sz val="10"/>
        <rFont val="Arial"/>
        <family val="2"/>
      </rPr>
      <t xml:space="preserve"> 
</t>
    </r>
  </si>
  <si>
    <t>Section D is the actual allocation of the residual profit or loss computation. These are the amounts that will be included in your reconciliation from the fund balance on the fund statements to the government-wide net position amount.</t>
  </si>
  <si>
    <t>Record the trial balance for permanent balance sheet accounts of the internal service fund. Amounts should be ending balances except for net position (fund balance.) It should be recorded at the beginning amount for the fiscal year. In step 2 enter the amounts for those items which should be eliminated when allocating the Internal Service fund's net profit or loss. In step 3 enter the amount for "Change in Net Position" from the income statement.</t>
  </si>
  <si>
    <r>
      <t xml:space="preserve">   Net position - </t>
    </r>
    <r>
      <rPr>
        <sz val="8"/>
        <color indexed="10"/>
        <rFont val="Arial"/>
        <family val="2"/>
      </rPr>
      <t>Beginning balance</t>
    </r>
  </si>
  <si>
    <t>From fund Statement of Net Position at end of year</t>
  </si>
  <si>
    <t>Changes in Net Position</t>
  </si>
  <si>
    <r>
      <t xml:space="preserve">Enter the fund's "change in net position"    </t>
    </r>
    <r>
      <rPr>
        <sz val="8"/>
        <rFont val="Arial"/>
        <family val="2"/>
      </rPr>
      <t>Enter a positive amount for income; enter a negative amount for a loss.</t>
    </r>
  </si>
  <si>
    <t>From fund Statement of Revenues, Expenses, and Changes in Net Position</t>
  </si>
  <si>
    <r>
      <t xml:space="preserve">Adjust beginning net position (fund balance) for prior year consolidation(s) of internal service funds. (This amount will be the Internal balance amount created from last year's final entry for this fund and will become cumulative over time.) 
</t>
    </r>
    <r>
      <rPr>
        <b/>
        <sz val="10"/>
        <color indexed="10"/>
        <rFont val="Arial"/>
        <family val="2"/>
      </rPr>
      <t>This will not be an issue in year 1 of implementation. It will only be required in later years.</t>
    </r>
  </si>
  <si>
    <t xml:space="preserve">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 </t>
  </si>
  <si>
    <t>Section D is the actual allocation of the residual profit or loss computation. These are the amounts that will be included in your reconciliation from the fund balance to the government-wide net position amount.</t>
  </si>
  <si>
    <r>
      <t xml:space="preserve">Adjust beginning net position (fund balance) for prior year consolidation of internal service funds. (This amount will be the Internal balance amount created from last year's final entry for this fund.) 
</t>
    </r>
    <r>
      <rPr>
        <b/>
        <sz val="10"/>
        <color indexed="10"/>
        <rFont val="Arial"/>
        <family val="2"/>
      </rPr>
      <t>This will not be an issue in year 1 of implementation. It will only be required in later years.</t>
    </r>
  </si>
  <si>
    <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t>
  </si>
  <si>
    <t>The balances remaining after eliminating the activity between governmental funds should be the activity between governmental activities and business-type activities. These reciprocal balances between activity types must be eliminated and reclassified as internal balances. The numbers for the entry will be pulled from the Conversion worksheet by going to the appropriate account and looking for the balance reported in the Statement of Net Position column. Once the entries in Section C and D have posted to the worksheet, all of these accounts should have a zero balance and an "internal balance" account should remain with the net difference.</t>
  </si>
  <si>
    <t>The Statement of Net Position should be presented in order of liquidity and the current portion of long-term liabilities such as bonds and notes payable, compensated liabilities, and other long-term liabilities must be identified separately. For compensated absences, this will depend on the assumption of FIFO or LIFO as the method for computing leave to be taken. For the FIFO method, typically the estimate will be based on expected leave or average leave taken over the last several years. Indicate the amount to be paid from current resources in Section F below. If the LIFO method is used, the assumption is made that typically employees take leave as it is earned and that there is no current portion. If the portion payable and due within one year for other liability accounts has been handled elsewhere, the question can be left blank.</t>
  </si>
  <si>
    <t>Worksheets K.1-3 only handled internal service funds if the governmental activities were the primary users. For those internal service funds where the business-type activity was the primary user and the allocation entries were created in the business-type conversion worksheet, those entries applying to governmental activities must be entered in Section H below.</t>
  </si>
  <si>
    <r>
      <t xml:space="preserve">Fund balance must be reclassified to the net position categories required for the presentation on the government-wide statements. Data for this entry is entered manually to avoid circular logic. </t>
    </r>
    <r>
      <rPr>
        <b/>
        <sz val="10"/>
        <rFont val="Arial"/>
        <family val="2"/>
      </rPr>
      <t>It should be one of the last steps performed</t>
    </r>
    <r>
      <rPr>
        <sz val="10"/>
        <rFont val="Arial"/>
        <family val="2"/>
      </rPr>
      <t xml:space="preserve">. Worksheet M has been presented to help you calculate the correct amounts to enter into Section </t>
    </r>
    <r>
      <rPr>
        <sz val="10"/>
        <rFont val="Arial"/>
        <family val="2"/>
      </rPr>
      <t>J.</t>
    </r>
    <r>
      <rPr>
        <sz val="10"/>
        <rFont val="Arial"/>
        <family val="2"/>
      </rPr>
      <t xml:space="preserve"> below.</t>
    </r>
  </si>
  <si>
    <r>
      <t xml:space="preserve">What is the amount of receivables -"due from other funds" due to the governmental activities from business type activities? </t>
    </r>
    <r>
      <rPr>
        <sz val="8"/>
        <color indexed="10"/>
        <rFont val="Arial"/>
        <family val="2"/>
      </rPr>
      <t xml:space="preserve"> Go to the conversion worksheet and look at the balance in the Statement of Net Position column for this account. Enter that amount (less any portion related to fiduciary funds) in the box to the right. </t>
    </r>
  </si>
  <si>
    <t>Net position - unrestricted</t>
  </si>
  <si>
    <r>
      <t xml:space="preserve">Reclassify fund balance to net position.    </t>
    </r>
    <r>
      <rPr>
        <b/>
        <sz val="8"/>
        <color indexed="10"/>
        <rFont val="Arial"/>
        <family val="2"/>
      </rPr>
      <t xml:space="preserve"> (See worksheet M for assistance with computation of this entry.) </t>
    </r>
  </si>
  <si>
    <t>Net investment in capital assets:</t>
  </si>
  <si>
    <r>
      <t>Total net position</t>
    </r>
    <r>
      <rPr>
        <sz val="10"/>
        <rFont val="Arial"/>
        <family val="2"/>
      </rPr>
      <t xml:space="preserve">  </t>
    </r>
    <r>
      <rPr>
        <sz val="8"/>
        <rFont val="Arial"/>
        <family val="2"/>
      </rPr>
      <t>………….. (from entries above)</t>
    </r>
  </si>
  <si>
    <t>Net investment in capital assets</t>
  </si>
  <si>
    <t xml:space="preserve">Classifies net position and maps to the Statement of Net Position Column </t>
  </si>
  <si>
    <t>Net Position</t>
  </si>
  <si>
    <t>Prepaid insurance costs</t>
  </si>
  <si>
    <t>Deferred Charges - Prepaid insurance cost</t>
  </si>
  <si>
    <t>Deferred Outflows of Resources</t>
  </si>
  <si>
    <t xml:space="preserve">Unavailable revenue (previously non-cash deferred revenue).  Unearned revenues (from cash receipts) typically found below.  </t>
  </si>
  <si>
    <t>Deferred Inflows of Resources</t>
  </si>
  <si>
    <t xml:space="preserve">     Change in net position</t>
  </si>
  <si>
    <t xml:space="preserve">     Reclassification to net position</t>
  </si>
  <si>
    <t>Net Investment in Capital Assets</t>
  </si>
  <si>
    <t>Change in Net Position</t>
  </si>
  <si>
    <t>Proof totals for Net Position</t>
  </si>
  <si>
    <t>Calculation of Net Position</t>
  </si>
  <si>
    <t>Calculation of Net Position-Governmental Activities</t>
  </si>
  <si>
    <t>Fund balance must be reclassified to a Net Position presentation for the government-wide statements. This worksheet will assist you in the calculation of the numbers that must be entered manually into worksheet L. Worksheet L creates the entry that posts to the conversion worksheet to reclassify net position. It was not automatically generated in order to avoid circular logic. This step will be one of the last performed in finalizing data in the conversion worksheet.</t>
  </si>
  <si>
    <t>Restricted Net  Position - Data From Fund Statements</t>
  </si>
  <si>
    <t>Position</t>
  </si>
  <si>
    <t>Total Net Position</t>
  </si>
  <si>
    <t>Less Restricted Net Position</t>
  </si>
  <si>
    <t>Less Net Investment in Capital Assets</t>
  </si>
  <si>
    <t>Unrestricted Net Position</t>
  </si>
  <si>
    <r>
      <rPr>
        <sz val="10"/>
        <color indexed="10"/>
        <rFont val="Arial"/>
        <family val="2"/>
      </rPr>
      <t>**</t>
    </r>
    <r>
      <rPr>
        <sz val="10"/>
        <rFont val="Arial"/>
        <family val="2"/>
      </rPr>
      <t xml:space="preserve"> Payables are included in the Payable column up to the amount that will not make Restricted Net Position negative.</t>
    </r>
  </si>
  <si>
    <t>Capital asset data pulled from the St. of Net Position Column in Conversion Worksheet</t>
  </si>
  <si>
    <r>
      <rPr>
        <sz val="10"/>
        <color indexed="10"/>
        <rFont val="Arial"/>
        <family val="2"/>
      </rPr>
      <t>*</t>
    </r>
    <r>
      <rPr>
        <sz val="10"/>
        <rFont val="Arial"/>
        <family val="2"/>
      </rPr>
      <t xml:space="preserve">  Receivables offset by unavailable revenues should not be included in the Receivables column</t>
    </r>
  </si>
  <si>
    <t xml:space="preserve">Unavailable revenue (previously non-cash deferred revenue).   </t>
  </si>
  <si>
    <t>Agency Number</t>
  </si>
  <si>
    <t>Deferred Outflows Of Resources</t>
  </si>
  <si>
    <t>Deferred Inflows Of Resources</t>
  </si>
  <si>
    <t>Pension Expense</t>
  </si>
  <si>
    <t>Agency</t>
  </si>
  <si>
    <t>Net Pension Liability - End of Year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</si>
  <si>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</si>
  <si>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</si>
  <si>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</si>
  <si>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</si>
  <si>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</si>
  <si>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</si>
  <si>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</si>
  <si>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Net Pension Liability</t>
  </si>
  <si>
    <t>Eastern Band Of Cherokee Indians</t>
  </si>
  <si>
    <t>Misenheimer, Village Of</t>
  </si>
  <si>
    <t>Piedmont Triad Airport Authority</t>
  </si>
  <si>
    <t>Sparta, Town Of</t>
  </si>
  <si>
    <t>Yancey County</t>
  </si>
  <si>
    <t>Yancey Soil &amp; Water Conservation District</t>
  </si>
  <si>
    <t>Burnsville, Town Of</t>
  </si>
  <si>
    <t>Martin-Tyrell-Washington D.H.D</t>
  </si>
  <si>
    <t xml:space="preserve">Pas.-Per.-Camden-Chowan D.H.D. </t>
  </si>
  <si>
    <t xml:space="preserve">Toe River District Health Department </t>
  </si>
  <si>
    <t>Appalachian District Health Department</t>
  </si>
  <si>
    <t>Alamance County</t>
  </si>
  <si>
    <t>Burlington, City Of</t>
  </si>
  <si>
    <t>Mebane, Town Of</t>
  </si>
  <si>
    <t>Burlington-Graham A.B.C. Board</t>
  </si>
  <si>
    <t>Graham, City Of</t>
  </si>
  <si>
    <t>Elon College, Town Of</t>
  </si>
  <si>
    <t>Haw River, Town Of</t>
  </si>
  <si>
    <t>Alamance, Village Of</t>
  </si>
  <si>
    <t>Green Level, Town Of</t>
  </si>
  <si>
    <t>Alexander County</t>
  </si>
  <si>
    <t>Alexander County Health Department</t>
  </si>
  <si>
    <t>Alexander County Library</t>
  </si>
  <si>
    <t>Alexander County Welfare Department</t>
  </si>
  <si>
    <t>Taylorsville, Town Of</t>
  </si>
  <si>
    <t>Alleghany County</t>
  </si>
  <si>
    <t>Northwestern Regional Library</t>
  </si>
  <si>
    <t>Sparta A.B.C. Board</t>
  </si>
  <si>
    <t>Anson County</t>
  </si>
  <si>
    <t>Wadesboro, Town Of</t>
  </si>
  <si>
    <t>Wadesboro Housing Authority</t>
  </si>
  <si>
    <t>Wadesboro A.B.C. Board</t>
  </si>
  <si>
    <t>Lilesville, Town Of</t>
  </si>
  <si>
    <t>Polkton, Town Of</t>
  </si>
  <si>
    <t>Peachland, Town Of</t>
  </si>
  <si>
    <t>Ansonville, Town Of</t>
  </si>
  <si>
    <t>Morven, Town Of</t>
  </si>
  <si>
    <t>Ashe County</t>
  </si>
  <si>
    <t>WEST JEFFERSON ABC BOARD</t>
  </si>
  <si>
    <t>Jefferson, Town Of</t>
  </si>
  <si>
    <t>West Jefferson, Town Of</t>
  </si>
  <si>
    <t>Avery County</t>
  </si>
  <si>
    <t>Avery-Mitchell-Yancey Dist. Library</t>
  </si>
  <si>
    <t>Banner Elk, Town Of</t>
  </si>
  <si>
    <t>High Country Municipal A.B.C. Board</t>
  </si>
  <si>
    <t>Newland, Town Of</t>
  </si>
  <si>
    <t>Beech Mountain, Town Of</t>
  </si>
  <si>
    <t>Elk Park, Town Of</t>
  </si>
  <si>
    <t>Sugar Mountain, Town Of</t>
  </si>
  <si>
    <t>Beaufort County</t>
  </si>
  <si>
    <t>Beaufort County A.B.C. Board</t>
  </si>
  <si>
    <t>B.H.M. Regional Library</t>
  </si>
  <si>
    <t>Mideast Economic Development Comm</t>
  </si>
  <si>
    <t>Washington, City Of</t>
  </si>
  <si>
    <t>Aurora, Town Of</t>
  </si>
  <si>
    <t>Belhaven, Town Of</t>
  </si>
  <si>
    <t>Washington Park, Town Of</t>
  </si>
  <si>
    <t>Chocowinity, Town Of</t>
  </si>
  <si>
    <t>Bertie County</t>
  </si>
  <si>
    <t>Bertie County A.B.C. Board</t>
  </si>
  <si>
    <t>Albemarle Regional Library</t>
  </si>
  <si>
    <t>Bertie-Martin Regional Jail Comm</t>
  </si>
  <si>
    <t>Aulander, Town Of</t>
  </si>
  <si>
    <t>Windsor, Town Of</t>
  </si>
  <si>
    <t>Colerain, Town Of</t>
  </si>
  <si>
    <t>Lewiston-Woodville, Town Of</t>
  </si>
  <si>
    <t>Bladen County</t>
  </si>
  <si>
    <t>Elizabethtown, Town Of</t>
  </si>
  <si>
    <t>Elizabethtown A.B.C. Board</t>
  </si>
  <si>
    <t>Southeastern Economic Develop. Com</t>
  </si>
  <si>
    <t>White Lake, Town Of</t>
  </si>
  <si>
    <t>Clarkton, Town Of</t>
  </si>
  <si>
    <t>Bladenboro, Town Of</t>
  </si>
  <si>
    <t>Brunswick County</t>
  </si>
  <si>
    <t>Leland, Town Of</t>
  </si>
  <si>
    <t>Brunswick County Health Department</t>
  </si>
  <si>
    <t>Brunswick County A.B.C. Board</t>
  </si>
  <si>
    <t>Brunswick County Welfare Department</t>
  </si>
  <si>
    <t>Calabash A.B.C. Board</t>
  </si>
  <si>
    <t>Cape Fear Council Of Governments</t>
  </si>
  <si>
    <t>Brunswick County Tourism Develop. Authority</t>
  </si>
  <si>
    <t>Calabash, Town Of</t>
  </si>
  <si>
    <t>Southport, City Of</t>
  </si>
  <si>
    <t>Northwest, City Of</t>
  </si>
  <si>
    <t>Holden Beach, Town Of</t>
  </si>
  <si>
    <t>Southport A.B.C. Board</t>
  </si>
  <si>
    <t>Belville, Town Of</t>
  </si>
  <si>
    <t>Oak Island, Town Of</t>
  </si>
  <si>
    <t>Carolina Shores, Town of</t>
  </si>
  <si>
    <t>TOWN OF NAVASSA</t>
  </si>
  <si>
    <t>Oak Island A.B.C. Board</t>
  </si>
  <si>
    <t>St. James, Town Of</t>
  </si>
  <si>
    <t>Sunset Beach, Town Of</t>
  </si>
  <si>
    <t>North Brunswick Sanitary District</t>
  </si>
  <si>
    <t>Sunset Beach A.B.C. Board</t>
  </si>
  <si>
    <t>Caswell Beach, Town Of</t>
  </si>
  <si>
    <t>Shallotte A.B.C. Board</t>
  </si>
  <si>
    <t>Ocean Isle Beach, Town Of</t>
  </si>
  <si>
    <t>Ocean Isle A.B.C. Board</t>
  </si>
  <si>
    <t>Boiling Spring Lakes, City Of</t>
  </si>
  <si>
    <t>Boiling Spring Lakes A.B.C. Board</t>
  </si>
  <si>
    <t>Shallotte, Town Of</t>
  </si>
  <si>
    <t>Bald Head Island, Village Of</t>
  </si>
  <si>
    <t>Buncombe County</t>
  </si>
  <si>
    <t>Land-Of-Sky Regional Council</t>
  </si>
  <si>
    <t>Woodfin ABC Commission</t>
  </si>
  <si>
    <t>Western NC Regional Air Pollution Control</t>
  </si>
  <si>
    <t>Metro Sewerage Dist Of Buncombe County</t>
  </si>
  <si>
    <t>Woodfin Sanitary Water &amp; Sewer District</t>
  </si>
  <si>
    <t>Biltmore Forest, Town Of</t>
  </si>
  <si>
    <t>WESTERN HIGHLAND AREA AUTHORITY</t>
  </si>
  <si>
    <t>West Buncombe Fire Department</t>
  </si>
  <si>
    <t>Asheville, City Of</t>
  </si>
  <si>
    <t>Asheville A.B.C. Board</t>
  </si>
  <si>
    <t>Asheville Regional Airport Authority</t>
  </si>
  <si>
    <t>Skyland Volunteer Fire Department</t>
  </si>
  <si>
    <t>Weaverville, Town Of</t>
  </si>
  <si>
    <t>Weaverville A.B.C. Board</t>
  </si>
  <si>
    <t>Black Mountain, Town Of</t>
  </si>
  <si>
    <t>Black Mountain A.B.C. Board</t>
  </si>
  <si>
    <t>Montreat, Town Of</t>
  </si>
  <si>
    <t>Woodfin, Town Of</t>
  </si>
  <si>
    <t>Burke County</t>
  </si>
  <si>
    <t>Burke-Catawba Dist. Confinement Fa</t>
  </si>
  <si>
    <t>Burke County Health Department</t>
  </si>
  <si>
    <t>Burke County Welfare Department</t>
  </si>
  <si>
    <t xml:space="preserve">Burke County Tourism Development Authority </t>
  </si>
  <si>
    <t>Valdese, Town Of</t>
  </si>
  <si>
    <t>Valdese Housing Authority</t>
  </si>
  <si>
    <t>Rutherford College, Town of</t>
  </si>
  <si>
    <t>Morganton A.B.C. Board</t>
  </si>
  <si>
    <t>Drexel, Town Of</t>
  </si>
  <si>
    <t>Morganton, City Of</t>
  </si>
  <si>
    <t>Morganton Housing Authority</t>
  </si>
  <si>
    <t>Glen Alpine, Town Of</t>
  </si>
  <si>
    <t>Hildebrand, Town Of</t>
  </si>
  <si>
    <t>Connelly Springs, Town Of</t>
  </si>
  <si>
    <t>Cabarrus County</t>
  </si>
  <si>
    <t>Water &amp; Sewer Authority Of Cabarrus County</t>
  </si>
  <si>
    <t>Cabarrus Co. Public Health Auth</t>
  </si>
  <si>
    <t>Cabarrus Co. Tourism Auth</t>
  </si>
  <si>
    <t>Concord, City Of</t>
  </si>
  <si>
    <t>Concord A.B.C. Board</t>
  </si>
  <si>
    <t>Mount Pleasant, Town Of</t>
  </si>
  <si>
    <t>Mt. Pleasant A.B.C. Board</t>
  </si>
  <si>
    <t>Kannapolis, Town Of</t>
  </si>
  <si>
    <t>Midland, Town of</t>
  </si>
  <si>
    <t>Caldwell County</t>
  </si>
  <si>
    <t>Granite Falls, Town Of</t>
  </si>
  <si>
    <t>Granite Falls A.B.C. Board</t>
  </si>
  <si>
    <t>Sawmills, Town Of</t>
  </si>
  <si>
    <t>Lenoir Housing Authority</t>
  </si>
  <si>
    <t>Hudson, Town Of</t>
  </si>
  <si>
    <t>Harrisburg, Town Of</t>
  </si>
  <si>
    <t>Lenoir, City Of</t>
  </si>
  <si>
    <t>Lenoir A.B.C. Board</t>
  </si>
  <si>
    <t>Cajah's Mountain, Town Of</t>
  </si>
  <si>
    <t>Camden County</t>
  </si>
  <si>
    <t>Camden County A.B.C. Board</t>
  </si>
  <si>
    <t>Carteret County</t>
  </si>
  <si>
    <t>Carteret County A.B.C. Board</t>
  </si>
  <si>
    <t>Western Cartert Interlocal Agency</t>
  </si>
  <si>
    <t>Morehead City, Town Of</t>
  </si>
  <si>
    <t>Newport, Town Of</t>
  </si>
  <si>
    <t>Beaufort, Town Of</t>
  </si>
  <si>
    <t>Beaufort Housing Authority</t>
  </si>
  <si>
    <t>Pine Knoll Shores, Town Of</t>
  </si>
  <si>
    <t>Emerald Isle, Town Of</t>
  </si>
  <si>
    <t>Indian Beach, Town Of</t>
  </si>
  <si>
    <t>Cape Carteret, Town Of</t>
  </si>
  <si>
    <t>Atlantic Beach, Town Of</t>
  </si>
  <si>
    <t>Cedar Point, Town Of</t>
  </si>
  <si>
    <t>Caswell County</t>
  </si>
  <si>
    <t>Caswell County A.B.C. Board</t>
  </si>
  <si>
    <t>Caswell County Welfare Department</t>
  </si>
  <si>
    <t>Yanceyville, Town Of</t>
  </si>
  <si>
    <t>Catawba County</t>
  </si>
  <si>
    <t>Catawba County A.B.C. Board</t>
  </si>
  <si>
    <t>Hickory, City Of</t>
  </si>
  <si>
    <t>Hickory/Conover Tourism Dev. Authority</t>
  </si>
  <si>
    <t>Hickory Housing Authority</t>
  </si>
  <si>
    <t>Western Piedmont Council of Governments</t>
  </si>
  <si>
    <t>Western Piedmont Regional Transit Authority</t>
  </si>
  <si>
    <t>Claremont, Town Of</t>
  </si>
  <si>
    <t>Maiden, Town Of</t>
  </si>
  <si>
    <t>Long View, Town Of</t>
  </si>
  <si>
    <t>Conover, Town Of</t>
  </si>
  <si>
    <t>Brookford, Town Of</t>
  </si>
  <si>
    <t>Newton, Town Of</t>
  </si>
  <si>
    <t>Catawba, Town Of</t>
  </si>
  <si>
    <t>Chatham County</t>
  </si>
  <si>
    <t>Chatham County Housing Authority</t>
  </si>
  <si>
    <t>Chatham County A.B.C. Board</t>
  </si>
  <si>
    <t>Goldston-Gulf Sanitary District</t>
  </si>
  <si>
    <t>Siler City, Town Of</t>
  </si>
  <si>
    <t>Siler City A.B.C. Board</t>
  </si>
  <si>
    <t>Pittsboro, Town Of</t>
  </si>
  <si>
    <t>Cherokee County</t>
  </si>
  <si>
    <t>Nantahala Regional Library</t>
  </si>
  <si>
    <t>Murphy, Town Of</t>
  </si>
  <si>
    <t>Murphy A.B.C. Board</t>
  </si>
  <si>
    <t>Andrews, Town Of</t>
  </si>
  <si>
    <t>Chowan County</t>
  </si>
  <si>
    <t>Chowan County A.B.C. Board</t>
  </si>
  <si>
    <t>Albemarle Regional Plan. &amp; Develop. Com</t>
  </si>
  <si>
    <t>Edenton, Town Of</t>
  </si>
  <si>
    <t>The New Edenton Housing Authority</t>
  </si>
  <si>
    <t>Clay County</t>
  </si>
  <si>
    <t>Cleveland County</t>
  </si>
  <si>
    <t>Cleveland County Sanitary District</t>
  </si>
  <si>
    <t>Shelby, City Of</t>
  </si>
  <si>
    <t>Shelby A.B.C. Board</t>
  </si>
  <si>
    <t>Kings Mountain, City Of</t>
  </si>
  <si>
    <t>Kings Mountain A.B.C. Board</t>
  </si>
  <si>
    <t>Boiling Springs, Town Of</t>
  </si>
  <si>
    <t>Lawndale, Town Of</t>
  </si>
  <si>
    <t>Grover, Town Of</t>
  </si>
  <si>
    <t>Columbus County</t>
  </si>
  <si>
    <t>Whiteville Housing Authority</t>
  </si>
  <si>
    <t>Whiteville, City Of</t>
  </si>
  <si>
    <t>TOWN OF BOLTON</t>
  </si>
  <si>
    <t>Whiteville A.B.C. Board</t>
  </si>
  <si>
    <t>Brunswick, Town Of</t>
  </si>
  <si>
    <t>Lake Waccamaw A.B.C. Board</t>
  </si>
  <si>
    <t>Fair Bluff, Town Of</t>
  </si>
  <si>
    <t>Chadbourn, Town Of</t>
  </si>
  <si>
    <t>Chadburn A.B.C. Board</t>
  </si>
  <si>
    <t>Tabor City, Town Of</t>
  </si>
  <si>
    <t>Lake Woccamaw, Town Of</t>
  </si>
  <si>
    <t>Craven County</t>
  </si>
  <si>
    <t>First Craven Sanitary District</t>
  </si>
  <si>
    <t>Craven County A.B.C. Board</t>
  </si>
  <si>
    <t>Craven-Pamlico-Carteret Regional Library</t>
  </si>
  <si>
    <t>Craven County Airport Authority</t>
  </si>
  <si>
    <t>Neuse River Council Of Governments</t>
  </si>
  <si>
    <t>Coastal Regional Waste Management Authority</t>
  </si>
  <si>
    <t>Neuse Clinic</t>
  </si>
  <si>
    <t>New Bern, City Of</t>
  </si>
  <si>
    <t>Trent Woods, Town Of</t>
  </si>
  <si>
    <t>Havelock, City Of</t>
  </si>
  <si>
    <t>River Bend, Town Of</t>
  </si>
  <si>
    <t>Vanceboro, Town Of</t>
  </si>
  <si>
    <t>Bridgeton, Town Of</t>
  </si>
  <si>
    <t>Cove City, Town Of</t>
  </si>
  <si>
    <t>Cumberland County</t>
  </si>
  <si>
    <t>Westarea Volunteer Fire Department</t>
  </si>
  <si>
    <t>Cumberland County A.B.C. Board</t>
  </si>
  <si>
    <t>Region M Council Of Governments</t>
  </si>
  <si>
    <t>Cumberland Memorial Auditorium Com</t>
  </si>
  <si>
    <t>Fayetteville, City Of</t>
  </si>
  <si>
    <t>Fayetteville Metro. Housing Authority</t>
  </si>
  <si>
    <t>Fayetteville Public Works Commission</t>
  </si>
  <si>
    <t>Stedman, Town Of</t>
  </si>
  <si>
    <t>Hope Mills, Town Of</t>
  </si>
  <si>
    <t>Wade, Town Of</t>
  </si>
  <si>
    <t>Linden, Town Of</t>
  </si>
  <si>
    <t>Spring Lake, Town Of</t>
  </si>
  <si>
    <t>Falcon, Town Of</t>
  </si>
  <si>
    <t>Eastover, Town Of</t>
  </si>
  <si>
    <t>Currituck County</t>
  </si>
  <si>
    <t>Currituck County A.B.C. Board</t>
  </si>
  <si>
    <t>Dare County</t>
  </si>
  <si>
    <t>Dare County Tourism Board</t>
  </si>
  <si>
    <t>Dare County A.B.C. Board</t>
  </si>
  <si>
    <t>Nags Head, Town Of</t>
  </si>
  <si>
    <t>Kill Devil Hills, Town Of</t>
  </si>
  <si>
    <t>Manteo, Town Of</t>
  </si>
  <si>
    <t>Southern Shores, Town Of</t>
  </si>
  <si>
    <t>Kitty Hawk, Town Of</t>
  </si>
  <si>
    <t>Duck, Town Of</t>
  </si>
  <si>
    <t>Davidson County</t>
  </si>
  <si>
    <t>Thomasville, City Of</t>
  </si>
  <si>
    <t>Thomasville Housing Authority</t>
  </si>
  <si>
    <t>Lexington A.B.C. Board</t>
  </si>
  <si>
    <t>Denton, Town Of</t>
  </si>
  <si>
    <t>Lexington, City Of</t>
  </si>
  <si>
    <t>TOWN OF MIDWAY</t>
  </si>
  <si>
    <t>Davie County</t>
  </si>
  <si>
    <t>Davie Soil &amp; Water Conservation District</t>
  </si>
  <si>
    <t>Mocksville, Town Of</t>
  </si>
  <si>
    <t>Bermuda Run, Town Of</t>
  </si>
  <si>
    <t>Cooleemee A.B.C. Board</t>
  </si>
  <si>
    <t>Cooleemee, Town Of</t>
  </si>
  <si>
    <t>Duplin County</t>
  </si>
  <si>
    <t>Duplin-Sampson Area Mental Health</t>
  </si>
  <si>
    <t>Beulaville, Town Of</t>
  </si>
  <si>
    <t>Kenansville, Town Of</t>
  </si>
  <si>
    <t>Kenansville A.B.C. Board</t>
  </si>
  <si>
    <t>Warsaw, Town Of</t>
  </si>
  <si>
    <t>Warsaw A.B.C. Board</t>
  </si>
  <si>
    <t>Faison, Town Of</t>
  </si>
  <si>
    <t>Wallace, Town Of</t>
  </si>
  <si>
    <t>Wallace A.B.C. Board</t>
  </si>
  <si>
    <t>Rose Hill, Town Of</t>
  </si>
  <si>
    <t>Calypso, Town Of</t>
  </si>
  <si>
    <t>Teachey, Town Of</t>
  </si>
  <si>
    <t>Magnolia, Town Of</t>
  </si>
  <si>
    <t>Durham County</t>
  </si>
  <si>
    <t>Parkwood Fire Department</t>
  </si>
  <si>
    <t>Durham County A.B.C. Board</t>
  </si>
  <si>
    <t>Alliance Behavioral Healthcare</t>
  </si>
  <si>
    <t>Durham, City Of</t>
  </si>
  <si>
    <t>Durham Convention and Visitors Bureau</t>
  </si>
  <si>
    <t>Triangle J Council Of Governments</t>
  </si>
  <si>
    <t>Edgecombe County</t>
  </si>
  <si>
    <t>Edgecombe County A.B.C. Board</t>
  </si>
  <si>
    <t>Edgecombe-Nash Memorial Library</t>
  </si>
  <si>
    <t>Region L Council Of Governments</t>
  </si>
  <si>
    <t>Tarboro, Town Of</t>
  </si>
  <si>
    <t>Tarboro Redevelopment Commission</t>
  </si>
  <si>
    <t>Rocky Mount, City Of</t>
  </si>
  <si>
    <t>Rocky Mount-Wilson Airport Authority</t>
  </si>
  <si>
    <t>Pinetops, Town Of</t>
  </si>
  <si>
    <t>Rocky Mount Housing Authority</t>
  </si>
  <si>
    <t>Macclesfield, Town Of</t>
  </si>
  <si>
    <t>Princeville, Town Of</t>
  </si>
  <si>
    <t>Forsyth County</t>
  </si>
  <si>
    <t>Airport Commission Of Forsyth County</t>
  </si>
  <si>
    <t>Piedmont Triad Regional Council</t>
  </si>
  <si>
    <t>Forsyth-Stokes Mental Health Authority</t>
  </si>
  <si>
    <t>Winston-Salem, City Of</t>
  </si>
  <si>
    <t>Winston-Salem Housing Authority</t>
  </si>
  <si>
    <t>Winston-Salem A.B.C. Board</t>
  </si>
  <si>
    <t>Kernersville, Town Of</t>
  </si>
  <si>
    <t>Rural Hall, Town Of</t>
  </si>
  <si>
    <t>Clemmons,  Village Of</t>
  </si>
  <si>
    <t>Clemmons Fire Department</t>
  </si>
  <si>
    <t>Lewisville, Town Of</t>
  </si>
  <si>
    <t>Walkertown, Town Of</t>
  </si>
  <si>
    <t>Tobaccoville,  Village Of</t>
  </si>
  <si>
    <t>Franklin County</t>
  </si>
  <si>
    <t>Franklinton, Town Of</t>
  </si>
  <si>
    <t>Franklinton A.B.C. Board</t>
  </si>
  <si>
    <t>Louisburg, Town Of</t>
  </si>
  <si>
    <t>Louisburg A.B.C. Board</t>
  </si>
  <si>
    <t>Bunn, Town Of</t>
  </si>
  <si>
    <t>Bunn A.B.C. Board</t>
  </si>
  <si>
    <t>Youngsville, Town Of</t>
  </si>
  <si>
    <t>Gaston County</t>
  </si>
  <si>
    <t>Stanley, Town Of</t>
  </si>
  <si>
    <t>Gaston-Lincoln Area Mental Health</t>
  </si>
  <si>
    <t>Mcadenville, Town Of</t>
  </si>
  <si>
    <t>Gastonia, City Of</t>
  </si>
  <si>
    <t>Gastonia A.B.C. Board</t>
  </si>
  <si>
    <t>Gaston Co. Economic Dev. Commission</t>
  </si>
  <si>
    <t>Belmont, City Of</t>
  </si>
  <si>
    <t>Belmont Housing Authority</t>
  </si>
  <si>
    <t>Cramerton, Town Of</t>
  </si>
  <si>
    <t>Cherryville, City Of</t>
  </si>
  <si>
    <t>Cherryville A.B.C. Board</t>
  </si>
  <si>
    <t>Dallas, Town Of</t>
  </si>
  <si>
    <t>Lowell, Town Of</t>
  </si>
  <si>
    <t>Bessemer City, City Of</t>
  </si>
  <si>
    <t>BESSEMER CITY A.B.C. BOARD</t>
  </si>
  <si>
    <t>Ranlo, Town Of</t>
  </si>
  <si>
    <t>Mt. Holly, City Of</t>
  </si>
  <si>
    <t>Gates County</t>
  </si>
  <si>
    <t>Gates County A.B.C. Board</t>
  </si>
  <si>
    <t>Graham County</t>
  </si>
  <si>
    <t>Graham County Health Department</t>
  </si>
  <si>
    <t>Graham County Welfare Department</t>
  </si>
  <si>
    <t>Robbinsville, Town of</t>
  </si>
  <si>
    <t>Granville County</t>
  </si>
  <si>
    <t>Granville County A.B.C. Board</t>
  </si>
  <si>
    <t>Granville County Hospital</t>
  </si>
  <si>
    <t>Granville-Vance Health District</t>
  </si>
  <si>
    <t>South Granville Water and Sewer Authority</t>
  </si>
  <si>
    <t>Oxford, City Of</t>
  </si>
  <si>
    <t>Oxford Housing Authority</t>
  </si>
  <si>
    <t>Stovall, Town Of</t>
  </si>
  <si>
    <t>Creedmoor, City Of</t>
  </si>
  <si>
    <t>Butner, Town Of</t>
  </si>
  <si>
    <t>Greene County</t>
  </si>
  <si>
    <t>Maury Sanitary Land District</t>
  </si>
  <si>
    <t>Greene County A.B.C. Board</t>
  </si>
  <si>
    <t>Neuse Regional Library - Greene County</t>
  </si>
  <si>
    <t>Hookerton, Town Of</t>
  </si>
  <si>
    <t>Snow Hill, Town Of</t>
  </si>
  <si>
    <t>Walstonburg, Town Of</t>
  </si>
  <si>
    <t>Guilford, County Of</t>
  </si>
  <si>
    <t>Guil-Rand Fire Department</t>
  </si>
  <si>
    <t>Pinecroft-Sedgefield Fire District</t>
  </si>
  <si>
    <t>Alamance Community Fire Dist.,Inc</t>
  </si>
  <si>
    <t>Greensboro, City Of</t>
  </si>
  <si>
    <t>Piedmont Triad Regional Water Authority</t>
  </si>
  <si>
    <t>Greensboro A.B.C. Board</t>
  </si>
  <si>
    <t>Guilford Fire District</t>
  </si>
  <si>
    <t>High Point, City Of</t>
  </si>
  <si>
    <t>High Point A.B.C. Board</t>
  </si>
  <si>
    <t>Jamestown, Town Of</t>
  </si>
  <si>
    <t>Gibsonville, Town Of</t>
  </si>
  <si>
    <t>Gibsonville A.B.C. Board</t>
  </si>
  <si>
    <t>Oak Ridge, Town Of</t>
  </si>
  <si>
    <t>Colfax Volunteer Fire Department</t>
  </si>
  <si>
    <t>Summerfield, Town Of</t>
  </si>
  <si>
    <t>Summerfield Fire District</t>
  </si>
  <si>
    <t>Halifax County</t>
  </si>
  <si>
    <t>Halifax County A.B.C. Board</t>
  </si>
  <si>
    <t>Halifax County Tourism Development Authority</t>
  </si>
  <si>
    <t>Roanoke Rapids Sanitary District</t>
  </si>
  <si>
    <t>Enfield, Town Of</t>
  </si>
  <si>
    <t>Roanoke Rapids, City Of</t>
  </si>
  <si>
    <t>Weldon, Town Of</t>
  </si>
  <si>
    <t>Scotland Neck, Town Of</t>
  </si>
  <si>
    <t>Hobgood, Town Of</t>
  </si>
  <si>
    <t>Littleton, Town Of</t>
  </si>
  <si>
    <t>Harnett County</t>
  </si>
  <si>
    <t>Dunn, Town Of</t>
  </si>
  <si>
    <t>Dunn Housing Authority</t>
  </si>
  <si>
    <t>Dunn A.B.C. Board</t>
  </si>
  <si>
    <t>Lillington, Town Of</t>
  </si>
  <si>
    <t>Erwin, Town Of</t>
  </si>
  <si>
    <t>Coats, Town Of</t>
  </si>
  <si>
    <t>Angier A.B.C. Board</t>
  </si>
  <si>
    <t>Angier, Town Of</t>
  </si>
  <si>
    <t>Haywood County</t>
  </si>
  <si>
    <t>Haywood Medical Center</t>
  </si>
  <si>
    <t>Junaluska Sanitary District</t>
  </si>
  <si>
    <t>Waynesville, Town Of</t>
  </si>
  <si>
    <t>Waynesville A.B.C. Board</t>
  </si>
  <si>
    <t>Maggie Valley, Town Of</t>
  </si>
  <si>
    <t>Maggie Valley A.B.C. Board</t>
  </si>
  <si>
    <t>Maggie Valley Sanitary District</t>
  </si>
  <si>
    <t>Canton, Town Of</t>
  </si>
  <si>
    <t>Canton A.B.C. Board</t>
  </si>
  <si>
    <t>Henderson County</t>
  </si>
  <si>
    <t>Hendersonville, City Of</t>
  </si>
  <si>
    <t>Hendersonville Water Commission</t>
  </si>
  <si>
    <t>Hendersonville A.B.C. Board</t>
  </si>
  <si>
    <t>Laurel Park, Town Of</t>
  </si>
  <si>
    <t>Laurel Park A.B.C. Board</t>
  </si>
  <si>
    <t>Flat Rock, Village Of</t>
  </si>
  <si>
    <t>Blue Ridge Fire Department</t>
  </si>
  <si>
    <t>Fletcher, Town Of</t>
  </si>
  <si>
    <t>Fletcher A.B.C. Board</t>
  </si>
  <si>
    <t>Mills River, Town Of</t>
  </si>
  <si>
    <t>Hertford County</t>
  </si>
  <si>
    <t>Hertford County A.B.C. Board</t>
  </si>
  <si>
    <t>Hertford County Public Health Authority</t>
  </si>
  <si>
    <t>Ahoskie, Town Of</t>
  </si>
  <si>
    <t>Murfreesboro, Town Of</t>
  </si>
  <si>
    <t>Winton, Town Of</t>
  </si>
  <si>
    <t>Cofield, Town Of</t>
  </si>
  <si>
    <t>Hoke County</t>
  </si>
  <si>
    <t>Hoke County A.B.C. Board</t>
  </si>
  <si>
    <t>Raeford, Town Of</t>
  </si>
  <si>
    <t>Hyde County</t>
  </si>
  <si>
    <t>Hyde County A.B.C. Board</t>
  </si>
  <si>
    <t>Ocracoke Sanitary District</t>
  </si>
  <si>
    <t>Iredell County</t>
  </si>
  <si>
    <t>Greater Statesville Development Co</t>
  </si>
  <si>
    <t>Statesville, City Of</t>
  </si>
  <si>
    <t>Statesville A.B.C. Board</t>
  </si>
  <si>
    <t>Mooresville, City Of</t>
  </si>
  <si>
    <t>Mooresville Housing Authority</t>
  </si>
  <si>
    <t>Mooresville A.B.C. Board</t>
  </si>
  <si>
    <t>Troutman, Town Of</t>
  </si>
  <si>
    <t>MI Connection Communications System</t>
  </si>
  <si>
    <t>Jackson County</t>
  </si>
  <si>
    <t>Tuckaseigee Water And Sewer Auth</t>
  </si>
  <si>
    <t>Fontana Regional Library</t>
  </si>
  <si>
    <t>Southwestern Plan. &amp; Econ. Dev. Co</t>
  </si>
  <si>
    <t>Smoky Mountain Mental Health Center</t>
  </si>
  <si>
    <t>Sylva, Town Of</t>
  </si>
  <si>
    <t>Sylva A.B.C. Board</t>
  </si>
  <si>
    <t>Johnston County</t>
  </si>
  <si>
    <t>Benson Housing Authority</t>
  </si>
  <si>
    <t>Johnston County A.B.C. Board</t>
  </si>
  <si>
    <t>Johnston County Public Library</t>
  </si>
  <si>
    <t>Archer Lodge, Town Of</t>
  </si>
  <si>
    <t>Johnston County Memorial Hospital Authority</t>
  </si>
  <si>
    <t>Smithfield, Town Of</t>
  </si>
  <si>
    <t>Smithfield Housing Authority</t>
  </si>
  <si>
    <t>Selma, Town Of</t>
  </si>
  <si>
    <t>Micro, Town of</t>
  </si>
  <si>
    <t>Selma Housing Authority</t>
  </si>
  <si>
    <t>Clayton, Town Of</t>
  </si>
  <si>
    <t>Benson, Town Of</t>
  </si>
  <si>
    <t>Four Oaks, Town Of</t>
  </si>
  <si>
    <t>Pine Level, Town Of</t>
  </si>
  <si>
    <t>Kenly, Town Of</t>
  </si>
  <si>
    <t>Princeton, Town Of</t>
  </si>
  <si>
    <t>Wilson's Mills, Town Of</t>
  </si>
  <si>
    <t>Jones County</t>
  </si>
  <si>
    <t>Jones County A.B.C. Board</t>
  </si>
  <si>
    <t>Neuse Regional Library - Jones County</t>
  </si>
  <si>
    <t>Pollocksville, Town Of</t>
  </si>
  <si>
    <t>Maysville, Town Of</t>
  </si>
  <si>
    <t>Lee County</t>
  </si>
  <si>
    <t>Sanford, City Of</t>
  </si>
  <si>
    <t>Sanford A.B.C. Board</t>
  </si>
  <si>
    <t>Broadway, Town Of</t>
  </si>
  <si>
    <t>Lenoir County</t>
  </si>
  <si>
    <t>Lenoir County A.B.C. Board</t>
  </si>
  <si>
    <t>Neuse Regional Library</t>
  </si>
  <si>
    <t>Kinston, City Of</t>
  </si>
  <si>
    <t>Global Transpark Development Comm</t>
  </si>
  <si>
    <t>Kinston Housing Authority</t>
  </si>
  <si>
    <t>Kinston-Lenoir County Library</t>
  </si>
  <si>
    <t>Pink Hill, Town Of</t>
  </si>
  <si>
    <t>Lagrange, Town Of</t>
  </si>
  <si>
    <t>Lincoln County</t>
  </si>
  <si>
    <t>Lincoln County A.B.C. Board</t>
  </si>
  <si>
    <t>Lincolnton, City Of</t>
  </si>
  <si>
    <t>Lincolnton Housing Authority</t>
  </si>
  <si>
    <t>Lincolnton A.B.C. Board</t>
  </si>
  <si>
    <t>Macon County</t>
  </si>
  <si>
    <t>Franklin, Town Of</t>
  </si>
  <si>
    <t>Highlands A.B.C. Board</t>
  </si>
  <si>
    <t>Highlands, Town Of</t>
  </si>
  <si>
    <t>Madison County</t>
  </si>
  <si>
    <t>Mars Hill, Town Of</t>
  </si>
  <si>
    <t>Marshall, Town Of</t>
  </si>
  <si>
    <t>Hot Springs Housing Authority</t>
  </si>
  <si>
    <t>Martin County</t>
  </si>
  <si>
    <t>Martin County Travel &amp; Tourism Authority</t>
  </si>
  <si>
    <t>Martin County A B C Board</t>
  </si>
  <si>
    <t>Williamston, City Of</t>
  </si>
  <si>
    <t>Williamston Housing Authority</t>
  </si>
  <si>
    <t>Oak City, Town Of</t>
  </si>
  <si>
    <t>Hamilton, Town Of</t>
  </si>
  <si>
    <t>Jamesville, Town Of</t>
  </si>
  <si>
    <t>Robersonville, Town Of</t>
  </si>
  <si>
    <t>Robersonville Housing Authority</t>
  </si>
  <si>
    <t>Mc Dowell County</t>
  </si>
  <si>
    <t>Pleasant Garden Fire Department</t>
  </si>
  <si>
    <t>Marion, Town Of</t>
  </si>
  <si>
    <t>Marion A.B.C. Board</t>
  </si>
  <si>
    <t>Old Fort, Town Of</t>
  </si>
  <si>
    <t>Mecklenburg County</t>
  </si>
  <si>
    <t>Charlott Housing Authority</t>
  </si>
  <si>
    <t>Mecklenburg County A.B.C. Board</t>
  </si>
  <si>
    <t>Charlotte-Mecklenburg Public Libra</t>
  </si>
  <si>
    <t>Mecklenburg County Ems Agency</t>
  </si>
  <si>
    <t>Centralina Council Of Governments</t>
  </si>
  <si>
    <t>Charlotte, City Of</t>
  </si>
  <si>
    <t>Charlotte Auditorium-Coliseum</t>
  </si>
  <si>
    <t>Charlotte Fire Ret Sys Board of Trust</t>
  </si>
  <si>
    <t>Pineville, Town Of</t>
  </si>
  <si>
    <t>Mint Hill, Town Of</t>
  </si>
  <si>
    <t>Huntersville, Town Of</t>
  </si>
  <si>
    <t>Cornelius, Town Of</t>
  </si>
  <si>
    <t>Stallings, Town Of</t>
  </si>
  <si>
    <t>Matthews, Town Of</t>
  </si>
  <si>
    <t>Davidson, Town Of</t>
  </si>
  <si>
    <t>Mitchell County</t>
  </si>
  <si>
    <t>Mitchell Soil &amp; Water Conserv. District</t>
  </si>
  <si>
    <t>Spruce Pine, Town Of</t>
  </si>
  <si>
    <t>Bakersville, Town Of</t>
  </si>
  <si>
    <t>Montgomery County</t>
  </si>
  <si>
    <t>Montgomery-Municipal A.B.C. Board</t>
  </si>
  <si>
    <t>Star, Town Of</t>
  </si>
  <si>
    <t>Troy, Town Of</t>
  </si>
  <si>
    <t>Biscoe, Town Of</t>
  </si>
  <si>
    <t>Candor, Town Of</t>
  </si>
  <si>
    <t>Mount Gilead, Town Of</t>
  </si>
  <si>
    <t>Moore County</t>
  </si>
  <si>
    <t>Taylortown, Town Of</t>
  </si>
  <si>
    <t>Moore County A.B.C. Board</t>
  </si>
  <si>
    <t>Moore County Tourism Develop. Auth.</t>
  </si>
  <si>
    <t>Moore County Airport Authority</t>
  </si>
  <si>
    <t>Southern Pines, Town Of</t>
  </si>
  <si>
    <t>Cameron, Town Of</t>
  </si>
  <si>
    <t>Vass, Town Of</t>
  </si>
  <si>
    <t>Aberdeen, Town Of</t>
  </si>
  <si>
    <t>Robbins, Town Of</t>
  </si>
  <si>
    <t>Pinehurst, Village Of</t>
  </si>
  <si>
    <t>Pinebluff, Town Of</t>
  </si>
  <si>
    <t>Whispering Pines, Village Of</t>
  </si>
  <si>
    <t>Foxfire Village</t>
  </si>
  <si>
    <t>Carthage, Town Of</t>
  </si>
  <si>
    <t>Nash County</t>
  </si>
  <si>
    <t>Nash County A.B.C. Board</t>
  </si>
  <si>
    <t>Braswell Memorial Library</t>
  </si>
  <si>
    <t>Spring Hope, Town Of</t>
  </si>
  <si>
    <t>Nashville, Town Of</t>
  </si>
  <si>
    <t>Middlesex, Town Of</t>
  </si>
  <si>
    <t>Whitakers, Town Of</t>
  </si>
  <si>
    <t>Bailey, Town Of</t>
  </si>
  <si>
    <t>Sharpsburg, Town of</t>
  </si>
  <si>
    <t>New Hanover County</t>
  </si>
  <si>
    <t>New Hanover Airport Authority</t>
  </si>
  <si>
    <t>Wilmington Housing Authority</t>
  </si>
  <si>
    <t>New Hanover County A.B.C. Board</t>
  </si>
  <si>
    <t>Cape Fear Public Utility Authority</t>
  </si>
  <si>
    <t>Lower Cape Fear Water &amp; Sewer Auth</t>
  </si>
  <si>
    <t>Wrightsville Beach, Town Of</t>
  </si>
  <si>
    <t>Cape Fear Public Transportation Authority</t>
  </si>
  <si>
    <t>Coastal Care</t>
  </si>
  <si>
    <t>Carolina Beach, Town Of</t>
  </si>
  <si>
    <t>Wilmington, City Of</t>
  </si>
  <si>
    <t>Kure Beach, Town Of</t>
  </si>
  <si>
    <t>Northampton County</t>
  </si>
  <si>
    <t>Northampton County A.B.C. Board</t>
  </si>
  <si>
    <t>Rich Square, Town Of</t>
  </si>
  <si>
    <t>Choanoke Public Transportation Authority</t>
  </si>
  <si>
    <t>Woodland, Town Of</t>
  </si>
  <si>
    <t>Garysburg, Town Of</t>
  </si>
  <si>
    <t>Conway, Town Of</t>
  </si>
  <si>
    <t>Gaston, Town Of</t>
  </si>
  <si>
    <t>Jackson, Town Of</t>
  </si>
  <si>
    <t>Severn, Town Of</t>
  </si>
  <si>
    <t>Seaboard, Town Of</t>
  </si>
  <si>
    <t>Onslow County</t>
  </si>
  <si>
    <t>Onslow County A.B.C. Board</t>
  </si>
  <si>
    <t>Onslow Water &amp; Sewage Authority</t>
  </si>
  <si>
    <t>Jacksonville, City Of</t>
  </si>
  <si>
    <t>Swansboro, Town Of</t>
  </si>
  <si>
    <t>Holly Ridge, Town Of</t>
  </si>
  <si>
    <t>Holly Ridge Housing Authority</t>
  </si>
  <si>
    <t>Richlands, Town Of</t>
  </si>
  <si>
    <t>North Topsail Beach, Town Of</t>
  </si>
  <si>
    <t>Orange County</t>
  </si>
  <si>
    <t>Orange County A.B.C. Board</t>
  </si>
  <si>
    <t>Orange Water &amp; Sewer Authority</t>
  </si>
  <si>
    <t>Chapel Hill, Town Of</t>
  </si>
  <si>
    <t>Carrboro, Town Of</t>
  </si>
  <si>
    <t>Hillsborough, Town Of</t>
  </si>
  <si>
    <t>Pamlico County</t>
  </si>
  <si>
    <t>Bayboro, Town Of</t>
  </si>
  <si>
    <t>Oriental, Town Of</t>
  </si>
  <si>
    <t>Bay River Metro Sewerage District</t>
  </si>
  <si>
    <t>Pasquotank County</t>
  </si>
  <si>
    <t>Pasquotank-Camden Ambulance Service</t>
  </si>
  <si>
    <t>Pasquotank County A.B.C Board</t>
  </si>
  <si>
    <t>East Albemarle Regional Library</t>
  </si>
  <si>
    <t>Albemarle District Jail Commission</t>
  </si>
  <si>
    <t>Albemarle Hospital Authority</t>
  </si>
  <si>
    <t>Elizabeth City</t>
  </si>
  <si>
    <t>Elizabeth-Pasquotank Co Airport Au</t>
  </si>
  <si>
    <t>Elizabeth City - Pasquotank Co. Tourism Dev. Auth.</t>
  </si>
  <si>
    <t>Pasquotank-Camden Library</t>
  </si>
  <si>
    <t>Elizabeth-Pasquotank Co Ind Dev Co</t>
  </si>
  <si>
    <t>Pender County</t>
  </si>
  <si>
    <t>Pender County A.B.C. Board</t>
  </si>
  <si>
    <t>Burgaw, Town Of</t>
  </si>
  <si>
    <t>Topsail Beach, Town Of</t>
  </si>
  <si>
    <t>Surf City</t>
  </si>
  <si>
    <t>Perquimans County</t>
  </si>
  <si>
    <t>Hertford, Town Of</t>
  </si>
  <si>
    <t>Hertford Housing Authority</t>
  </si>
  <si>
    <t>Hertford A.B.C. Board</t>
  </si>
  <si>
    <t>Winfall, Town Of</t>
  </si>
  <si>
    <t>Person County</t>
  </si>
  <si>
    <t>Person County A.B.C. Board</t>
  </si>
  <si>
    <t>Roxboro, City Of</t>
  </si>
  <si>
    <t>Pitt County</t>
  </si>
  <si>
    <t>Pitt-Greenville Convention &amp; Visitors Authority</t>
  </si>
  <si>
    <t>Pitt County A.B.C. Board</t>
  </si>
  <si>
    <t>Sheppard Memorial Library</t>
  </si>
  <si>
    <t>Contentnea Metro. Sewage District</t>
  </si>
  <si>
    <t>Greenville, City Of</t>
  </si>
  <si>
    <t>Greenville Utilities Commission</t>
  </si>
  <si>
    <t>Greenville Housing Authority</t>
  </si>
  <si>
    <t>Farmville, City Of</t>
  </si>
  <si>
    <t>Farmville Housing Authority</t>
  </si>
  <si>
    <t>Grifton, Town Of</t>
  </si>
  <si>
    <t>Bethel, Town Of</t>
  </si>
  <si>
    <t>Winterville, Town Of</t>
  </si>
  <si>
    <t>Ayden, Town Of</t>
  </si>
  <si>
    <t>Ayden Housing Authority</t>
  </si>
  <si>
    <t>Grimesland, Town Of</t>
  </si>
  <si>
    <t>Simpson, Village Of</t>
  </si>
  <si>
    <t>Fountain, Town of</t>
  </si>
  <si>
    <t>Polk County</t>
  </si>
  <si>
    <t>Tryon, Town Of</t>
  </si>
  <si>
    <t>Columbus, Town Of</t>
  </si>
  <si>
    <t>Saluda, Town Of</t>
  </si>
  <si>
    <t>Randolph County</t>
  </si>
  <si>
    <t>Asheboro A.B.C. Board</t>
  </si>
  <si>
    <t>Asheboro, City Of</t>
  </si>
  <si>
    <t>Asheboro Housing Authority</t>
  </si>
  <si>
    <t>Randleman, City Of</t>
  </si>
  <si>
    <t>Randleman Housing Authority</t>
  </si>
  <si>
    <t>Randleman A.B.C. Board</t>
  </si>
  <si>
    <t>Liberty, Town Of</t>
  </si>
  <si>
    <t>Liberty A.B.C. Board</t>
  </si>
  <si>
    <t>Ramseur, Town Of</t>
  </si>
  <si>
    <t>Archdale, City Of</t>
  </si>
  <si>
    <t>Trinity, City Of</t>
  </si>
  <si>
    <t>Richmond County</t>
  </si>
  <si>
    <t>Sandhill Regional Library</t>
  </si>
  <si>
    <t>Rockingham, City Of</t>
  </si>
  <si>
    <t>Rockingham Housing Authority</t>
  </si>
  <si>
    <t>Hamlet A.B.C. Board</t>
  </si>
  <si>
    <t>Hamlet, City Of</t>
  </si>
  <si>
    <t>Rockingham A.B.C. Board</t>
  </si>
  <si>
    <t>Ellerbe, Town Of</t>
  </si>
  <si>
    <t>Robeson County</t>
  </si>
  <si>
    <t>Lumber River Council Of Governments</t>
  </si>
  <si>
    <t>Robeson County Housing Authority</t>
  </si>
  <si>
    <t>Robeson County Public Library</t>
  </si>
  <si>
    <t>Lumberton, City Of</t>
  </si>
  <si>
    <t>Lumberton A.B.C. Board</t>
  </si>
  <si>
    <t>Lumberton Airport Commission</t>
  </si>
  <si>
    <t>Fairmont, Town Of</t>
  </si>
  <si>
    <t>Fairmont Housing Authority</t>
  </si>
  <si>
    <t>St. Pauls, Town Of</t>
  </si>
  <si>
    <t>Saint Paul's A.B.C. Board</t>
  </si>
  <si>
    <t>Maxton, Town Of</t>
  </si>
  <si>
    <t>Town of Parkton</t>
  </si>
  <si>
    <t>Maxton A.B.C. Board</t>
  </si>
  <si>
    <t>Pembroke, Town Of</t>
  </si>
  <si>
    <t>Pembroke Housing Authority</t>
  </si>
  <si>
    <t>Rowland, Town Of</t>
  </si>
  <si>
    <t>Red Springs, Town of</t>
  </si>
  <si>
    <t>Red Springs A.B.C. Board</t>
  </si>
  <si>
    <t>Rockingham County</t>
  </si>
  <si>
    <t>Reidsville, Town Of</t>
  </si>
  <si>
    <t>New Reidsville Housing Authority</t>
  </si>
  <si>
    <t>Reidsville A.B.C. Board</t>
  </si>
  <si>
    <t>Mayodan, Town Of</t>
  </si>
  <si>
    <t>Stoneville, Town Of</t>
  </si>
  <si>
    <t>Madison, Town Of</t>
  </si>
  <si>
    <t>Madison A.B.C. Board</t>
  </si>
  <si>
    <t>Madison-Mayodan Recreation Comm</t>
  </si>
  <si>
    <t>Eden, City Of</t>
  </si>
  <si>
    <t>Eden A.B.C. Board</t>
  </si>
  <si>
    <t>Rowan County</t>
  </si>
  <si>
    <t>Rowan County Tourism Development Board</t>
  </si>
  <si>
    <t>Rowan County Housing Authority</t>
  </si>
  <si>
    <t>Rowan County A.B.C. Board</t>
  </si>
  <si>
    <t>Rowan Soil and Water Conservation. Dist</t>
  </si>
  <si>
    <t>Salisbury, City Of</t>
  </si>
  <si>
    <t>Salisbury Housing Authority</t>
  </si>
  <si>
    <t>East Spencer, Town Of</t>
  </si>
  <si>
    <t>East Spencer Housing Authority</t>
  </si>
  <si>
    <t>Spencer, Town Of</t>
  </si>
  <si>
    <t>China Grove, Town Of</t>
  </si>
  <si>
    <t>Landis, Town Of</t>
  </si>
  <si>
    <t>Granite Quarry, Town Of</t>
  </si>
  <si>
    <t>Rockwell, Town Of</t>
  </si>
  <si>
    <t>Faith, Town Of</t>
  </si>
  <si>
    <t>Cleveland, Town Of</t>
  </si>
  <si>
    <t>Rutherford County</t>
  </si>
  <si>
    <t>Broad River Water Authority</t>
  </si>
  <si>
    <t>Rutherford-Polk-Mc Dowell D.H.D</t>
  </si>
  <si>
    <t>Forest City A.B.C. Board</t>
  </si>
  <si>
    <t>Isothermal Planning &amp; Develop Comm</t>
  </si>
  <si>
    <t>Forest City</t>
  </si>
  <si>
    <t>Forest City Housing Authority</t>
  </si>
  <si>
    <t>Spindale, Town Of</t>
  </si>
  <si>
    <t>Lake Lure, Town Of</t>
  </si>
  <si>
    <t>Rutherfordton, Town Of</t>
  </si>
  <si>
    <t>Rutherfordton A.B.C. Board</t>
  </si>
  <si>
    <t>Ellenboro, Town Of</t>
  </si>
  <si>
    <t>Sampson County</t>
  </si>
  <si>
    <t>J.C. Holliday Memorial Library</t>
  </si>
  <si>
    <t>Clinton, City Of</t>
  </si>
  <si>
    <t>Clinton A.B.C. Board</t>
  </si>
  <si>
    <t>Salemburg, Town Of</t>
  </si>
  <si>
    <t>Newton Grove, Town Of</t>
  </si>
  <si>
    <t>Roseboro A.B.C. Board</t>
  </si>
  <si>
    <t>Garland, Town Of</t>
  </si>
  <si>
    <t>Turkey, Town Of</t>
  </si>
  <si>
    <t>Roseboro, Town Of</t>
  </si>
  <si>
    <t>Autryville, Town Of</t>
  </si>
  <si>
    <t>Scotland County</t>
  </si>
  <si>
    <t>Scotland County A.B.C. Board</t>
  </si>
  <si>
    <t>Laurinburg-Maxton Airport Commission</t>
  </si>
  <si>
    <t>Laurinburg, City Of</t>
  </si>
  <si>
    <t>Laurenburg Housing Authority</t>
  </si>
  <si>
    <t>Wagram, Town Of</t>
  </si>
  <si>
    <t>Gibson, Town Of</t>
  </si>
  <si>
    <t>Stanly County</t>
  </si>
  <si>
    <t>Albemarle, City Of</t>
  </si>
  <si>
    <t>Albemarle A.B.C. Board</t>
  </si>
  <si>
    <t>Norwood, Town Of</t>
  </si>
  <si>
    <t>Norwood A.B.C. Board</t>
  </si>
  <si>
    <t>Locust, City Of</t>
  </si>
  <si>
    <t>Oakboro, Town Of</t>
  </si>
  <si>
    <t>Badin, Town Of</t>
  </si>
  <si>
    <t>Stanfield, Town Of</t>
  </si>
  <si>
    <t>Stokes County</t>
  </si>
  <si>
    <t>Walnut Cove, Town Of</t>
  </si>
  <si>
    <t>Walnut Cove A.B.C. Board</t>
  </si>
  <si>
    <t>King, Town Of</t>
  </si>
  <si>
    <t>Surry County</t>
  </si>
  <si>
    <t>Pilot Mountain A.B.C. Board</t>
  </si>
  <si>
    <t>Yadkin Valley Sewer Authority</t>
  </si>
  <si>
    <t>Pilot Mountain, Town Of</t>
  </si>
  <si>
    <t>Dobson, Town Of</t>
  </si>
  <si>
    <t>Dobson A.B.C. Board</t>
  </si>
  <si>
    <t>Mount Airy, Town Of</t>
  </si>
  <si>
    <t>Mt. Airy Alcoholic Board Of Control</t>
  </si>
  <si>
    <t>Elkin, Town Of</t>
  </si>
  <si>
    <t>Elkin A.B.C. Board</t>
  </si>
  <si>
    <t>Swain County</t>
  </si>
  <si>
    <t>Bryson City, Town Of</t>
  </si>
  <si>
    <t>Bryson City A.B.C. Board</t>
  </si>
  <si>
    <t>Transylvania County</t>
  </si>
  <si>
    <t>Brevard, City Of</t>
  </si>
  <si>
    <t>Brevard A.B.C. Board</t>
  </si>
  <si>
    <t>Tyrrell County</t>
  </si>
  <si>
    <t>Tyrrell County A.B.C. Board</t>
  </si>
  <si>
    <t>Columbia, Town Of</t>
  </si>
  <si>
    <t>Union County</t>
  </si>
  <si>
    <t>Monroe, City Of</t>
  </si>
  <si>
    <t>Monroe Housing Authority</t>
  </si>
  <si>
    <t>Monroe A.B.C. Board</t>
  </si>
  <si>
    <t>Marshville, Town Of</t>
  </si>
  <si>
    <t>TOWN OF MINERAL SPRINGS</t>
  </si>
  <si>
    <t>Wingate, Town Of</t>
  </si>
  <si>
    <t>Waxhaw, Town Of</t>
  </si>
  <si>
    <t>Waxhaw A.B.C. Board</t>
  </si>
  <si>
    <t>Indian Trail, Town Of</t>
  </si>
  <si>
    <t>Unionville, Town of</t>
  </si>
  <si>
    <t>Weddington, Town Of</t>
  </si>
  <si>
    <t>Marvin, Village Of</t>
  </si>
  <si>
    <t>Wesley Chapel, Village Of</t>
  </si>
  <si>
    <t>Vance County</t>
  </si>
  <si>
    <t>Vance County A.B.C. Board</t>
  </si>
  <si>
    <t>Kerr-Tar Regional Council Of Governments</t>
  </si>
  <si>
    <t>Kerr-Area Transportation Authority</t>
  </si>
  <si>
    <t>Henderson, City Of</t>
  </si>
  <si>
    <t>Wake County</t>
  </si>
  <si>
    <t>Holly Springs, Town Of</t>
  </si>
  <si>
    <t>Rolesville, Town Of</t>
  </si>
  <si>
    <t>Wake County A.B.C. Board</t>
  </si>
  <si>
    <t>Morrisville, Town Of</t>
  </si>
  <si>
    <t>Wake County Housing Authority</t>
  </si>
  <si>
    <t>Bayleaf Fire Department</t>
  </si>
  <si>
    <t>Electricities Of N.C., Inc</t>
  </si>
  <si>
    <t>Raleigh, City Of</t>
  </si>
  <si>
    <t>Durham Highway Fire Protection Age</t>
  </si>
  <si>
    <t>Raleigh Housing Authority</t>
  </si>
  <si>
    <t>Raleigh-Durham Airport Authority</t>
  </si>
  <si>
    <t>Cary, Town Of</t>
  </si>
  <si>
    <t>Centennial Authority, The</t>
  </si>
  <si>
    <t>Wendell, Town Of</t>
  </si>
  <si>
    <t>Zebulon, Town Of</t>
  </si>
  <si>
    <t>Garner, Town Of</t>
  </si>
  <si>
    <t>Garner Fire Department</t>
  </si>
  <si>
    <t>Fuquay-Varina, Town Of</t>
  </si>
  <si>
    <t>Apex, Town Of</t>
  </si>
  <si>
    <t>Wake Forest, Town Of</t>
  </si>
  <si>
    <t>Knightdale, Town Of</t>
  </si>
  <si>
    <t>Warren County</t>
  </si>
  <si>
    <t>Warren County A.B.C. Board</t>
  </si>
  <si>
    <t>Norlina, Town Of</t>
  </si>
  <si>
    <t>Warrenton, Town Of</t>
  </si>
  <si>
    <t>Washington County</t>
  </si>
  <si>
    <t>Washington County A.B.C. Board</t>
  </si>
  <si>
    <t>Pettigrew Regional Library</t>
  </si>
  <si>
    <t>Plymouth, Town Of</t>
  </si>
  <si>
    <t>Plymouth Housing Authority</t>
  </si>
  <si>
    <t>Roper, Town Of</t>
  </si>
  <si>
    <t>Creswell, Town Of</t>
  </si>
  <si>
    <t>Watauga County</t>
  </si>
  <si>
    <t>Region D Council Of Governments</t>
  </si>
  <si>
    <t>Blowing Rock Tourism Development Authority</t>
  </si>
  <si>
    <t>Watauga County Tourism Develop. Auth.</t>
  </si>
  <si>
    <t>Boone, Town Of</t>
  </si>
  <si>
    <t>Blowing Rock, Town Of</t>
  </si>
  <si>
    <t>Blowing Rock A.B.C. Board</t>
  </si>
  <si>
    <t>Seven Devils, Town Of</t>
  </si>
  <si>
    <t>Wayne County</t>
  </si>
  <si>
    <t>Fork Township Sanitary District</t>
  </si>
  <si>
    <t>Eastern Carolina Reg. Housing Auth</t>
  </si>
  <si>
    <t>Wayne County A.B.C. Board</t>
  </si>
  <si>
    <t>Southern Wayne Sanitary District</t>
  </si>
  <si>
    <t>Eastern Wayne Sanitary District</t>
  </si>
  <si>
    <t>Goldsboro, City Of</t>
  </si>
  <si>
    <t>Housing Auth. Of City Of Goldsboro</t>
  </si>
  <si>
    <t>Mount Olive, Town Of</t>
  </si>
  <si>
    <t>Mount Olive Housing Authority</t>
  </si>
  <si>
    <t>Fremont, Town Of</t>
  </si>
  <si>
    <t>Pikeville, Town Of</t>
  </si>
  <si>
    <t>Walnut Creek, Village Of</t>
  </si>
  <si>
    <t>Wilkes County</t>
  </si>
  <si>
    <t>Appalachian Regional Library</t>
  </si>
  <si>
    <t>North Wilkesboro, Town Of</t>
  </si>
  <si>
    <t>North Wilkesboro A.B.C. Board</t>
  </si>
  <si>
    <t>Wilkesboro, Town Of</t>
  </si>
  <si>
    <t>Wilkesboro A.B.C. Board</t>
  </si>
  <si>
    <t>Wilson County</t>
  </si>
  <si>
    <t>Wilson County Tourism Develop. Authority</t>
  </si>
  <si>
    <t>Wilson County A.B.C. Board</t>
  </si>
  <si>
    <t>Wilson, City Of</t>
  </si>
  <si>
    <t>Wilson Economic Development Council</t>
  </si>
  <si>
    <t>City of Wilson Cemetery Commission</t>
  </si>
  <si>
    <t>Stantonsburg, Town Of</t>
  </si>
  <si>
    <t>Black Creek, Town Of</t>
  </si>
  <si>
    <t>Lucama, Town Of</t>
  </si>
  <si>
    <t>Elm City, Town Of</t>
  </si>
  <si>
    <t>Yadkin County</t>
  </si>
  <si>
    <t>Yadkinville, Town Of</t>
  </si>
  <si>
    <t>Jonesville, Town Of</t>
  </si>
  <si>
    <t>East Bend, Town Of</t>
  </si>
  <si>
    <t>Boonville, Town Of</t>
  </si>
  <si>
    <t>N.C. Association Of County Comm</t>
  </si>
  <si>
    <t>N.C. League Of Municipalities</t>
  </si>
  <si>
    <t>TOTAL</t>
  </si>
  <si>
    <t>Agency Name (select from drop-down list)</t>
  </si>
  <si>
    <t>Deferred Outflow - Measurement Period Contributions</t>
  </si>
  <si>
    <t>debit</t>
  </si>
  <si>
    <t>credit</t>
  </si>
  <si>
    <r>
      <t xml:space="preserve">Entry for Conversion worksheet to record proportionate share of net pensions liability, pension expense, and deferred outflows and deferred inflows of resources related to pensions.  (Entry </t>
    </r>
    <r>
      <rPr>
        <b/>
        <sz val="10"/>
        <rFont val="Times New Roman"/>
        <family val="1"/>
      </rPr>
      <t>N1</t>
    </r>
    <r>
      <rPr>
        <b/>
        <sz val="10"/>
        <rFont val="Arial"/>
        <family val="2"/>
      </rPr>
      <t>)</t>
    </r>
  </si>
  <si>
    <t>Governmental Activities allocation percentage</t>
  </si>
  <si>
    <t xml:space="preserve">     Revenue - Support from the State</t>
  </si>
  <si>
    <r>
      <t xml:space="preserve">Entry for Conversion worksheet to record proportionate share of net pension expense and revenue related to support received from the State.  (Entry </t>
    </r>
    <r>
      <rPr>
        <b/>
        <sz val="10"/>
        <rFont val="Times New Roman"/>
        <family val="1"/>
      </rPr>
      <t>N2</t>
    </r>
    <r>
      <rPr>
        <b/>
        <sz val="10"/>
        <rFont val="Arial"/>
        <family val="2"/>
      </rPr>
      <t>)</t>
    </r>
  </si>
  <si>
    <t>GASB 68 Entries - LGERS</t>
  </si>
  <si>
    <t>GASB 68 Entries - FRSWPF</t>
  </si>
  <si>
    <t>Net pension asset</t>
  </si>
  <si>
    <t>N.1</t>
  </si>
  <si>
    <t>N.2</t>
  </si>
  <si>
    <t>Deferred Outflows for LGERS pension contributions made during the year.</t>
  </si>
  <si>
    <t>Deferred outflows - pensions</t>
  </si>
  <si>
    <t>Enterprise Funds - pension allocation percentage</t>
  </si>
  <si>
    <t>Total (should = 100%)</t>
  </si>
  <si>
    <t>(percentages entered in this section should be percentages of the whole government, not percentages of the Governmental Activities)</t>
  </si>
  <si>
    <t>General Government allocation percentage</t>
  </si>
  <si>
    <t>Public Safety allocation percentage</t>
  </si>
  <si>
    <t>Transportation allocation percentage</t>
  </si>
  <si>
    <t>Economic and Physical Development allocation percentage</t>
  </si>
  <si>
    <t>Cultural and Recreation allocation percentage</t>
  </si>
  <si>
    <t>Other program 1 allocation percentage</t>
  </si>
  <si>
    <t>Total (should = Governmental Activities Allocation)</t>
  </si>
  <si>
    <t>Other program 2 allocation percentage</t>
  </si>
  <si>
    <t>Entry to reclassify out of pension expense and into deferred outflows - pensions</t>
  </si>
  <si>
    <t>Enter the appropriate allocations</t>
  </si>
  <si>
    <t>From J</t>
  </si>
  <si>
    <t>Pension Expense - Public Safety</t>
  </si>
  <si>
    <t>Pension Expense - Transportation</t>
  </si>
  <si>
    <t>Pension Expense - Economic and Physical Development</t>
  </si>
  <si>
    <t>Pension Expense - Environmental Protection</t>
  </si>
  <si>
    <t>Pension Expense - Cultural and Recreation</t>
  </si>
  <si>
    <t>Pension Expense - Other program 1</t>
  </si>
  <si>
    <t>Pension Expense - Other program 2</t>
  </si>
  <si>
    <t>Work Section for Conversion entry N1</t>
  </si>
  <si>
    <t>Working Subtotal</t>
  </si>
  <si>
    <t>* In this scenario the governmental activities, as primary beneficiary, will have a balance payable to the business type activity of $300 which will be posted to the internal balance account to avoid an elimination entry later.</t>
  </si>
  <si>
    <t>Deferred inflows of resources - changes in assumptions</t>
  </si>
  <si>
    <t>Deferred inflows of resources - difference between actual and projected earnings on plan investments</t>
  </si>
  <si>
    <t>Deferred inflows of resources - difference between expected and actual experience</t>
  </si>
  <si>
    <t>Deferred inflows of resources - changes in proportion and differences between contributions and proportionate share of contributions</t>
  </si>
  <si>
    <t>Internal Service Funds (governmental activities)</t>
  </si>
  <si>
    <t>Internal service funds (governmental activities)</t>
  </si>
  <si>
    <t>K. 1-3</t>
  </si>
  <si>
    <t>Governmental Activities allocation percentage (excluding ISFs)</t>
  </si>
  <si>
    <t xml:space="preserve">Contributions made to the LGERS pension plan on the full accrual basis subsequent to the measurement date are presented as deferred inflows of resources.  The contributions made for the current fiscal year should be allocated among all applicable functions or departments.  </t>
  </si>
  <si>
    <t>What is the amount of full accrual contributions made to LGERS for the current fiscal year?</t>
  </si>
  <si>
    <t>FRSWPF eligible employees in current fiscal year</t>
  </si>
  <si>
    <t>Current fiscal year FRSWPF pension expense per eligible employee</t>
  </si>
  <si>
    <t>Enter the number of your FRSWPF plan eligible employees for the current fiscal year.</t>
  </si>
  <si>
    <t>Note:  The number entered below should not include volunteers.  The number entered below should also not include employees who were not eligible to participate in the FRSWPF plan during the current fiscal year.</t>
  </si>
  <si>
    <t>Current Proportional Share</t>
  </si>
  <si>
    <t>Prior Proportional Share</t>
  </si>
  <si>
    <t>Contributions - July 1, 2014 through June 30, 2015</t>
  </si>
  <si>
    <t>Net Pension Asset - Beginning of the Year</t>
  </si>
  <si>
    <t>No additional agency chosen</t>
  </si>
  <si>
    <t>AVERY COUNTY FIRE COMMISSION</t>
  </si>
  <si>
    <t>DUPLIN COUNTY TOURISM DEVELOPMENT AUTHORITY</t>
  </si>
  <si>
    <t>Aberdeen</t>
  </si>
  <si>
    <t>Ahoskie</t>
  </si>
  <si>
    <t>Alamance</t>
  </si>
  <si>
    <t>Albemarle</t>
  </si>
  <si>
    <t>Andrews</t>
  </si>
  <si>
    <t>Angier</t>
  </si>
  <si>
    <t>Ansonville</t>
  </si>
  <si>
    <t>Apex</t>
  </si>
  <si>
    <t>Archdale</t>
  </si>
  <si>
    <t>Archer Lodge</t>
  </si>
  <si>
    <t>Asheboro</t>
  </si>
  <si>
    <t>Asheville</t>
  </si>
  <si>
    <t>Atlantic Beach</t>
  </si>
  <si>
    <t>Aulander</t>
  </si>
  <si>
    <t>Aurora</t>
  </si>
  <si>
    <t>Autryville</t>
  </si>
  <si>
    <t>Ayden</t>
  </si>
  <si>
    <t>Badin</t>
  </si>
  <si>
    <t>Bailey</t>
  </si>
  <si>
    <t>Bakersville</t>
  </si>
  <si>
    <t>Bald Head Island</t>
  </si>
  <si>
    <t>Banner Elk</t>
  </si>
  <si>
    <t>Bayboro</t>
  </si>
  <si>
    <t>Beaufort</t>
  </si>
  <si>
    <t>Beech Mountain</t>
  </si>
  <si>
    <t>Belhaven</t>
  </si>
  <si>
    <t>Belmont</t>
  </si>
  <si>
    <t>Belville</t>
  </si>
  <si>
    <t>Benson</t>
  </si>
  <si>
    <t>Bermuda Run</t>
  </si>
  <si>
    <t>Bessemer City</t>
  </si>
  <si>
    <t>Bessemer City ABC Board</t>
  </si>
  <si>
    <t>Bethel</t>
  </si>
  <si>
    <t>Beulaville</t>
  </si>
  <si>
    <t>Biltmore Forest</t>
  </si>
  <si>
    <t>Biscoe</t>
  </si>
  <si>
    <t>Black Creek</t>
  </si>
  <si>
    <t>Black Mountain</t>
  </si>
  <si>
    <t>Bladenboro</t>
  </si>
  <si>
    <t>Blowing Rock</t>
  </si>
  <si>
    <t>Boiling Spring Lakes</t>
  </si>
  <si>
    <t>Boiling Springs</t>
  </si>
  <si>
    <t>Bolton</t>
  </si>
  <si>
    <t>Boone</t>
  </si>
  <si>
    <t>Boonville</t>
  </si>
  <si>
    <t>Brevard</t>
  </si>
  <si>
    <t>Bridgeton</t>
  </si>
  <si>
    <t>Broadway</t>
  </si>
  <si>
    <t>Brookford</t>
  </si>
  <si>
    <t>Brunswick</t>
  </si>
  <si>
    <t>Bryson City</t>
  </si>
  <si>
    <t>Bunn</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</si>
  <si>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</si>
  <si>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</si>
  <si>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</si>
  <si>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</si>
  <si>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</si>
  <si>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</si>
  <si>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</si>
  <si>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</si>
  <si>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</si>
  <si>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</si>
  <si>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</si>
  <si>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</si>
  <si>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</si>
  <si>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</si>
  <si>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</si>
  <si>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</si>
  <si>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</si>
  <si>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</si>
  <si>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</si>
  <si>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</si>
  <si>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</si>
  <si>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Charlotte</t>
  </si>
  <si>
    <t>Cherryville</t>
  </si>
  <si>
    <t>China Grove</t>
  </si>
  <si>
    <t>Chocowinity</t>
  </si>
  <si>
    <t>Claremont</t>
  </si>
  <si>
    <t>Clarkton</t>
  </si>
  <si>
    <t>Clayton</t>
  </si>
  <si>
    <t>Clemmons</t>
  </si>
  <si>
    <t>Cleveland</t>
  </si>
  <si>
    <t>Clinton</t>
  </si>
  <si>
    <t>Coats</t>
  </si>
  <si>
    <t>Cofield</t>
  </si>
  <si>
    <t>Colerain</t>
  </si>
  <si>
    <t>Columbia</t>
  </si>
  <si>
    <t>Columbus</t>
  </si>
  <si>
    <t>Concord</t>
  </si>
  <si>
    <t>Connelly Springs</t>
  </si>
  <si>
    <t>Conover</t>
  </si>
  <si>
    <t>Conway</t>
  </si>
  <si>
    <t>Cooleemee</t>
  </si>
  <si>
    <t>Cornelius</t>
  </si>
  <si>
    <t>Cove City</t>
  </si>
  <si>
    <t>Cramerton</t>
  </si>
  <si>
    <t>Creedmoor</t>
  </si>
  <si>
    <t>Creswell</t>
  </si>
  <si>
    <t>Dallas</t>
  </si>
  <si>
    <t>Davidson</t>
  </si>
  <si>
    <t>Denton</t>
  </si>
  <si>
    <t>Dobson</t>
  </si>
  <si>
    <t>Drexel</t>
  </si>
  <si>
    <t>Duck</t>
  </si>
  <si>
    <t>Dunn</t>
  </si>
  <si>
    <t>Duplin County Tourism Development Authority</t>
  </si>
  <si>
    <t>Durham</t>
  </si>
  <si>
    <t>East Bend</t>
  </si>
  <si>
    <t>East Spencer</t>
  </si>
  <si>
    <t>Eastover</t>
  </si>
  <si>
    <t>Eden</t>
  </si>
  <si>
    <t>Edenton</t>
  </si>
  <si>
    <t>Elizabethtown</t>
  </si>
  <si>
    <t>Elk Park</t>
  </si>
  <si>
    <t>Elkin</t>
  </si>
  <si>
    <t>Ellenboro</t>
  </si>
  <si>
    <t>Ellerbe</t>
  </si>
  <si>
    <t>Elm City</t>
  </si>
  <si>
    <t>Elon College</t>
  </si>
  <si>
    <t>Emerald Isle</t>
  </si>
  <si>
    <t>Enfield</t>
  </si>
  <si>
    <t>Erwin</t>
  </si>
  <si>
    <t>Fair Bluff</t>
  </si>
  <si>
    <t>Fairmont</t>
  </si>
  <si>
    <t>Faison</t>
  </si>
  <si>
    <t>Faith</t>
  </si>
  <si>
    <t>Falcon</t>
  </si>
  <si>
    <t>Farmville</t>
  </si>
  <si>
    <t>Fayetteville</t>
  </si>
  <si>
    <t>Flat Rock</t>
  </si>
  <si>
    <t>Fletcher</t>
  </si>
  <si>
    <t>Fountain</t>
  </si>
  <si>
    <t>Four Oaks</t>
  </si>
  <si>
    <t>Franklin</t>
  </si>
  <si>
    <t>Franklinton</t>
  </si>
  <si>
    <t>Fremont</t>
  </si>
  <si>
    <t>Fuquay-Varina</t>
  </si>
  <si>
    <t>Garland</t>
  </si>
  <si>
    <t>Garner</t>
  </si>
  <si>
    <t>Garysburg</t>
  </si>
  <si>
    <t>Gaston</t>
  </si>
  <si>
    <t>Gastonia</t>
  </si>
  <si>
    <t>Gibson</t>
  </si>
  <si>
    <t>Gibsonville</t>
  </si>
  <si>
    <t>Glen Alpine</t>
  </si>
  <si>
    <t>Goldsboro</t>
  </si>
  <si>
    <t>Graham</t>
  </si>
  <si>
    <t>Granite Falls</t>
  </si>
  <si>
    <t>Granite Quarry</t>
  </si>
  <si>
    <t>Green Level</t>
  </si>
  <si>
    <t>Greensboro</t>
  </si>
  <si>
    <t>Greenville</t>
  </si>
  <si>
    <t>Grifton</t>
  </si>
  <si>
    <t>Grimesland</t>
  </si>
  <si>
    <t>Grover</t>
  </si>
  <si>
    <t>Guilford County</t>
  </si>
  <si>
    <t>Hamilton</t>
  </si>
  <si>
    <t>Hamlet</t>
  </si>
  <si>
    <t>Harrisburg</t>
  </si>
  <si>
    <t>Havelock</t>
  </si>
  <si>
    <t>Haw River</t>
  </si>
  <si>
    <t>Henderson</t>
  </si>
  <si>
    <t>Hendersonville</t>
  </si>
  <si>
    <t>Hertford</t>
  </si>
  <si>
    <t>Hickory</t>
  </si>
  <si>
    <t>High Point</t>
  </si>
  <si>
    <t>Highlands</t>
  </si>
  <si>
    <t>Hildebrand</t>
  </si>
  <si>
    <t>Hillsborough</t>
  </si>
  <si>
    <t>Hobgood</t>
  </si>
  <si>
    <t>Holden Beach</t>
  </si>
  <si>
    <t>Holly Ridge</t>
  </si>
  <si>
    <t>Holly Springs</t>
  </si>
  <si>
    <t>Hookerton</t>
  </si>
  <si>
    <t>Hope Mills</t>
  </si>
  <si>
    <t>Hudson</t>
  </si>
  <si>
    <t>Huntersville</t>
  </si>
  <si>
    <t>Indian Beach</t>
  </si>
  <si>
    <t>Indian Trail</t>
  </si>
  <si>
    <t>Jackson</t>
  </si>
  <si>
    <t>Jacksonville</t>
  </si>
  <si>
    <t>Jamestown</t>
  </si>
  <si>
    <t>Jamesville</t>
  </si>
  <si>
    <t>Jefferson</t>
  </si>
  <si>
    <t>Jonesville</t>
  </si>
  <si>
    <t>Kannapolis</t>
  </si>
  <si>
    <t>Kenansville</t>
  </si>
  <si>
    <t>Kenly</t>
  </si>
  <si>
    <t>Kernersville</t>
  </si>
  <si>
    <t>Kill Devil Hills</t>
  </si>
  <si>
    <t>King</t>
  </si>
  <si>
    <t>Kings Mountain</t>
  </si>
  <si>
    <t>Kinston</t>
  </si>
  <si>
    <t>Kitty Hawk</t>
  </si>
  <si>
    <t>Knightdale</t>
  </si>
  <si>
    <t>Kure Beach</t>
  </si>
  <si>
    <t>Lagrange</t>
  </si>
  <si>
    <t>Lake Lure</t>
  </si>
  <si>
    <t>Lake Woccamaw</t>
  </si>
  <si>
    <t>Landis</t>
  </si>
  <si>
    <t>Laurel Park</t>
  </si>
  <si>
    <t>Laurinburg</t>
  </si>
  <si>
    <t>Lawndale</t>
  </si>
  <si>
    <t>Leland</t>
  </si>
  <si>
    <t>Lenoir</t>
  </si>
  <si>
    <t>Lewiston-Woodville</t>
  </si>
  <si>
    <t>Lewisville</t>
  </si>
  <si>
    <t>Lexington</t>
  </si>
  <si>
    <t>Liberty</t>
  </si>
  <si>
    <t>Lilesville</t>
  </si>
  <si>
    <t>Lillington</t>
  </si>
  <si>
    <t>Lincolnton</t>
  </si>
  <si>
    <t>Linden</t>
  </si>
  <si>
    <t>Littleton</t>
  </si>
  <si>
    <t>Locust</t>
  </si>
  <si>
    <t>Long View</t>
  </si>
  <si>
    <t>Louisburg</t>
  </si>
  <si>
    <t>Lowell</t>
  </si>
  <si>
    <t>Lucama</t>
  </si>
  <si>
    <t>Lumberton</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</si>
  <si>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</si>
  <si>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</si>
  <si>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</si>
  <si>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</si>
  <si>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</si>
  <si>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</si>
  <si>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</si>
  <si>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</si>
  <si>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</si>
  <si>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</si>
  <si>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</si>
  <si>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</si>
  <si>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</si>
  <si>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</si>
  <si>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</si>
  <si>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</si>
  <si>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Mebane</t>
  </si>
  <si>
    <t>Micro</t>
  </si>
  <si>
    <t>Middlesex</t>
  </si>
  <si>
    <t>Midland</t>
  </si>
  <si>
    <t>Midway</t>
  </si>
  <si>
    <t>Mills River</t>
  </si>
  <si>
    <t>Mineral Springs</t>
  </si>
  <si>
    <t>Mint Hill</t>
  </si>
  <si>
    <t>Misenheimer</t>
  </si>
  <si>
    <t>Mocksville</t>
  </si>
  <si>
    <t>Monroe</t>
  </si>
  <si>
    <t>Montreat</t>
  </si>
  <si>
    <t>Mooresville</t>
  </si>
  <si>
    <t>Morehead City</t>
  </si>
  <si>
    <t>Morganton</t>
  </si>
  <si>
    <t>Morrisville</t>
  </si>
  <si>
    <t>Morven</t>
  </si>
  <si>
    <t>Mount Airy</t>
  </si>
  <si>
    <t>Mount Gilead</t>
  </si>
  <si>
    <t>Mount Olive</t>
  </si>
  <si>
    <t>Mount Pleasant</t>
  </si>
  <si>
    <t>Mt. Holly</t>
  </si>
  <si>
    <t>Murfreesboro</t>
  </si>
  <si>
    <t>Murphy</t>
  </si>
  <si>
    <t>Nags Head</t>
  </si>
  <si>
    <t>Nashville</t>
  </si>
  <si>
    <t>Navassa</t>
  </si>
  <si>
    <t>New Bern</t>
  </si>
  <si>
    <t>Newland</t>
  </si>
  <si>
    <t>Newport</t>
  </si>
  <si>
    <t>Newton</t>
  </si>
  <si>
    <t>Newton Grove</t>
  </si>
  <si>
    <t>Norlina</t>
  </si>
  <si>
    <t>North Topsail Beach</t>
  </si>
  <si>
    <t>North Wilkesboro</t>
  </si>
  <si>
    <t>Northwest</t>
  </si>
  <si>
    <t>Norwood</t>
  </si>
  <si>
    <t>Oak City</t>
  </si>
  <si>
    <t>Oak Island</t>
  </si>
  <si>
    <t>Oak Ridge</t>
  </si>
  <si>
    <t>Oakboro</t>
  </si>
  <si>
    <t>Ocean Isle Beach</t>
  </si>
  <si>
    <t>Old Fort</t>
  </si>
  <si>
    <t>Oriental</t>
  </si>
  <si>
    <t>Oxford</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</si>
  <si>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</si>
  <si>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</si>
  <si>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</si>
  <si>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</si>
  <si>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</si>
  <si>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</si>
  <si>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</si>
  <si>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</si>
  <si>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</si>
  <si>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</si>
  <si>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</si>
  <si>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</si>
  <si>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</si>
  <si>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</si>
  <si>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</si>
  <si>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</si>
  <si>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</si>
  <si>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</si>
  <si>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Raleigh</t>
  </si>
  <si>
    <t>Ramseur</t>
  </si>
  <si>
    <t>Randleman</t>
  </si>
  <si>
    <t>Ranlo</t>
  </si>
  <si>
    <t>Red Springs</t>
  </si>
  <si>
    <t>Reidsville</t>
  </si>
  <si>
    <t>Rich Square</t>
  </si>
  <si>
    <t>Richlands</t>
  </si>
  <si>
    <t>River Bend</t>
  </si>
  <si>
    <t>Roanoke Rapids</t>
  </si>
  <si>
    <t>Robbins</t>
  </si>
  <si>
    <t>Robbinsville</t>
  </si>
  <si>
    <t>Robersonville</t>
  </si>
  <si>
    <t>Rockingham</t>
  </si>
  <si>
    <t>Rockwell</t>
  </si>
  <si>
    <t>Rocky Mount</t>
  </si>
  <si>
    <t>Rolesville</t>
  </si>
  <si>
    <t>Roper</t>
  </si>
  <si>
    <t>Rose Hill</t>
  </si>
  <si>
    <t>Roseboro</t>
  </si>
  <si>
    <t>Rowland</t>
  </si>
  <si>
    <t>Roxboro</t>
  </si>
  <si>
    <t>Rural Hall</t>
  </si>
  <si>
    <t>Rutherford College</t>
  </si>
  <si>
    <t>Rutherfordton</t>
  </si>
  <si>
    <t>Salemburg</t>
  </si>
  <si>
    <t>Salisbury</t>
  </si>
  <si>
    <t>Saluda</t>
  </si>
  <si>
    <t>Sanford</t>
  </si>
  <si>
    <t>Sawmills</t>
  </si>
  <si>
    <t>Scotland Neck</t>
  </si>
  <si>
    <t>Seaboard</t>
  </si>
  <si>
    <t>Selma</t>
  </si>
  <si>
    <t>Seven Devils</t>
  </si>
  <si>
    <t>Severn</t>
  </si>
  <si>
    <t>Shallotte</t>
  </si>
  <si>
    <t>Sharpsburg</t>
  </si>
  <si>
    <t>Shelby</t>
  </si>
  <si>
    <t>Siler City</t>
  </si>
  <si>
    <t>Simpson</t>
  </si>
  <si>
    <t>Smithfield</t>
  </si>
  <si>
    <t>Snow Hill</t>
  </si>
  <si>
    <t>Southern Pines</t>
  </si>
  <si>
    <t>Southern Shores</t>
  </si>
  <si>
    <t>Southport</t>
  </si>
  <si>
    <t>Sparta</t>
  </si>
  <si>
    <t>Spencer</t>
  </si>
  <si>
    <t>Spindale</t>
  </si>
  <si>
    <t>Spring Hope</t>
  </si>
  <si>
    <t>Spring Lake</t>
  </si>
  <si>
    <t>Spruce Pine</t>
  </si>
  <si>
    <t>St. James</t>
  </si>
  <si>
    <t>St. Pauls</t>
  </si>
  <si>
    <t>Stallings</t>
  </si>
  <si>
    <t>Stanfield</t>
  </si>
  <si>
    <t>Stanley</t>
  </si>
  <si>
    <t>Stantonsburg</t>
  </si>
  <si>
    <t>Star</t>
  </si>
  <si>
    <t>Statesville</t>
  </si>
  <si>
    <t>Stedman</t>
  </si>
  <si>
    <t>Stoneville</t>
  </si>
  <si>
    <t>Stovall</t>
  </si>
  <si>
    <t>Sugar Mountain</t>
  </si>
  <si>
    <t>Summerfield</t>
  </si>
  <si>
    <t>Sunset Beach</t>
  </si>
  <si>
    <t>Swansboro</t>
  </si>
  <si>
    <t>Sylva</t>
  </si>
  <si>
    <t>Tabor City</t>
  </si>
  <si>
    <t>Tarboro</t>
  </si>
  <si>
    <t>Taylorsville</t>
  </si>
  <si>
    <t>Taylortown</t>
  </si>
  <si>
    <t>Teachey</t>
  </si>
  <si>
    <t>Thomasville</t>
  </si>
  <si>
    <t>Tobaccoville</t>
  </si>
  <si>
    <t>Topsail Beach</t>
  </si>
  <si>
    <t>Trent Woods</t>
  </si>
  <si>
    <t>Trinity</t>
  </si>
  <si>
    <t>Troutman</t>
  </si>
  <si>
    <t>Troy</t>
  </si>
  <si>
    <t>Tryon</t>
  </si>
  <si>
    <t>Turkey</t>
  </si>
  <si>
    <t>Unionville</t>
  </si>
  <si>
    <t>Valdese</t>
  </si>
  <si>
    <t>Vanceboro</t>
  </si>
  <si>
    <t>Vass</t>
  </si>
  <si>
    <t>Wade</t>
  </si>
  <si>
    <t>Wadesboro</t>
  </si>
  <si>
    <t>Wagram</t>
  </si>
  <si>
    <t>Wake Forest</t>
  </si>
  <si>
    <t>Walkertown</t>
  </si>
  <si>
    <t>Wallace</t>
  </si>
  <si>
    <t>Walnut Cove</t>
  </si>
  <si>
    <t>Walnut Creek</t>
  </si>
  <si>
    <t>Walstonburg</t>
  </si>
  <si>
    <t>Warrenton</t>
  </si>
  <si>
    <t>Warsaw</t>
  </si>
  <si>
    <t>Washington</t>
  </si>
  <si>
    <t>Washington Park</t>
  </si>
  <si>
    <t>Waxhaw</t>
  </si>
  <si>
    <t>Waynesville</t>
  </si>
  <si>
    <t>Weaverville</t>
  </si>
  <si>
    <t>Weddington</t>
  </si>
  <si>
    <t>Weldon</t>
  </si>
  <si>
    <t>Wendell</t>
  </si>
  <si>
    <t>Wesley Chapel</t>
  </si>
  <si>
    <t>West Jefferson</t>
  </si>
  <si>
    <t>Western Highland Area Authority</t>
  </si>
  <si>
    <t>Whispering Pines</t>
  </si>
  <si>
    <t>Whitakers</t>
  </si>
  <si>
    <t>White Lake</t>
  </si>
  <si>
    <t>Whiteville</t>
  </si>
  <si>
    <t>Wilkesboro</t>
  </si>
  <si>
    <t>Williamston</t>
  </si>
  <si>
    <t>Wilmington</t>
  </si>
  <si>
    <t>Wilson</t>
  </si>
  <si>
    <t>Wilson's Mills</t>
  </si>
  <si>
    <t>Windsor</t>
  </si>
  <si>
    <t>Winfall</t>
  </si>
  <si>
    <t>Wingate</t>
  </si>
  <si>
    <t>Winston-Salem</t>
  </si>
  <si>
    <t>Winterville</t>
  </si>
  <si>
    <t>Winton</t>
  </si>
  <si>
    <t>Woodfin</t>
  </si>
  <si>
    <t>Woodland</t>
  </si>
  <si>
    <t>Wrightsville Beach</t>
  </si>
  <si>
    <t>Yadkinville</t>
  </si>
  <si>
    <t>Yanceyville</t>
  </si>
  <si>
    <t>Youngsville</t>
  </si>
  <si>
    <t>Zebulon</t>
  </si>
  <si>
    <t>Dogwood</t>
  </si>
  <si>
    <t>9xxxx</t>
  </si>
  <si>
    <t>Change in Proportional Share</t>
  </si>
  <si>
    <t>ORBIT Unit Contributions to Plan in Measurement Year</t>
  </si>
  <si>
    <t>Net Pension Liability BOY</t>
  </si>
  <si>
    <t>Net Pension Liability EOY</t>
  </si>
  <si>
    <t>Total Employer Pension Expense*</t>
  </si>
  <si>
    <t>CURRENT YEAR</t>
  </si>
  <si>
    <t>Total All Employer Agencies</t>
  </si>
  <si>
    <t>PRIOR YEAR</t>
  </si>
  <si>
    <t>Additional Agency Name (if applicable)</t>
  </si>
  <si>
    <t>Net Pension Asset</t>
  </si>
  <si>
    <t>Net pension liability</t>
  </si>
  <si>
    <t>Pensions - Net Difference Between Actual and Expected Earnings on Plan Investments - All Years</t>
  </si>
  <si>
    <t>Net pension liability - LGERS</t>
  </si>
  <si>
    <t>Pursuant to loan requirements</t>
  </si>
  <si>
    <t>Capital Assets, Long-term Debt</t>
  </si>
  <si>
    <t>and Beginning Pension Accounts</t>
  </si>
  <si>
    <t>Note that the beginning asset and liability balances related to pensions, including deferred inflows and outflows, have been mapped to the Capital Assets, Long-term Debt and Beginning Pension Balances columns AF and AG (Conversion Worksheet tab) from the N tabs.  Cell C17 on tab N.1 must be completed as part of the population of the beginning balances in the Conversion Worksheet tab.  As the conversion worksheet converts all governmental funds into governmental activities for the full accrual statement of activities and statement of net position, allocating the beginning pension asset and liability balances between governmental funds is not necessary.</t>
  </si>
  <si>
    <t>source : LGERS GASB 68 FYE2017 - Client</t>
  </si>
  <si>
    <t>Contributions - July 1, 2015 through June 30, 2016</t>
  </si>
  <si>
    <t>Net Pension Liability - Beginning of the Year</t>
  </si>
  <si>
    <t>THE EASTERN BAND OF CHEROKEE INDIANS</t>
  </si>
  <si>
    <t>VILLAGE OF MISENHEIMER</t>
  </si>
  <si>
    <t>PIEDMONT TRIAD AIRPORT AUTHORITY</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</si>
  <si>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</si>
  <si>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</si>
  <si>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</si>
  <si>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</si>
  <si>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</si>
  <si>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</si>
  <si>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</si>
  <si>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</si>
  <si>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</si>
  <si>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</si>
  <si>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</si>
  <si>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</si>
  <si>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</si>
  <si>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</si>
  <si>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</si>
  <si>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</si>
  <si>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</si>
  <si>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</si>
  <si>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</si>
  <si>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</si>
  <si>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</si>
  <si>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</si>
  <si>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</si>
  <si>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</si>
  <si>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</si>
  <si>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</si>
  <si>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</si>
  <si>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</si>
  <si>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</si>
  <si>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</si>
  <si>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</si>
  <si>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</si>
  <si>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</si>
  <si>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</si>
  <si>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</si>
  <si>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</si>
  <si>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</si>
  <si>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</si>
  <si>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</si>
  <si>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</si>
  <si>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</si>
  <si>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</si>
  <si>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</si>
  <si>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</si>
  <si>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</si>
  <si>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COUNTY OF BEAUFORT</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</si>
  <si>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</si>
  <si>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</si>
  <si>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</si>
  <si>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</si>
  <si>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</si>
  <si>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</si>
  <si>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</si>
  <si>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</si>
  <si>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</si>
  <si>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</si>
  <si>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</si>
  <si>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</si>
  <si>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</si>
  <si>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</si>
  <si>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</si>
  <si>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</si>
  <si>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</si>
  <si>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</si>
  <si>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</si>
  <si>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</si>
  <si>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</si>
  <si>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</si>
  <si>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</si>
  <si>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</si>
  <si>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</si>
  <si>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</si>
  <si>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</si>
  <si>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</si>
  <si>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</si>
  <si>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</si>
  <si>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</si>
  <si>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</si>
  <si>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</si>
  <si>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</si>
  <si>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</si>
  <si>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</si>
  <si>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</si>
  <si>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</si>
  <si>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</si>
  <si>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</si>
  <si>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</si>
  <si>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</si>
  <si>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</si>
  <si>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</si>
  <si>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</si>
  <si>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</si>
  <si>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</si>
  <si>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</si>
  <si>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</si>
  <si>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</si>
  <si>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</si>
  <si>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</si>
  <si>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</si>
  <si>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</si>
  <si>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</si>
  <si>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</si>
  <si>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AIR POLLUTION CTL</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</si>
  <si>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</si>
  <si>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</si>
  <si>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</si>
  <si>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</si>
  <si>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</si>
  <si>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</si>
  <si>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</si>
  <si>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</si>
  <si>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</si>
  <si>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</si>
  <si>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</si>
  <si>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</si>
  <si>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</si>
  <si>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</si>
  <si>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</si>
  <si>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</si>
  <si>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</si>
  <si>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</si>
  <si>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</si>
  <si>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</si>
  <si>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</si>
  <si>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</si>
  <si>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</si>
  <si>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</si>
  <si>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</si>
  <si>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</si>
  <si>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</si>
  <si>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</si>
  <si>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</si>
  <si>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</si>
  <si>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</si>
  <si>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</si>
  <si>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</si>
  <si>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</si>
  <si>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</si>
  <si>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</si>
  <si>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</si>
  <si>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</si>
  <si>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</si>
  <si>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</si>
  <si>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</si>
  <si>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</si>
  <si>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</si>
  <si>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</si>
  <si>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</si>
  <si>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</si>
  <si>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</si>
  <si>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</si>
  <si>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</si>
  <si>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</si>
  <si>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</si>
  <si>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</si>
  <si>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</si>
  <si>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</si>
  <si>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</si>
  <si>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</si>
  <si>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</si>
  <si>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</si>
  <si>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</si>
  <si>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</si>
  <si>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</si>
  <si>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</si>
  <si>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</si>
  <si>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</si>
  <si>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</si>
  <si>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</si>
  <si>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</si>
  <si>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</si>
  <si>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</si>
  <si>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</si>
  <si>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</si>
  <si>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</si>
  <si>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</si>
  <si>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</si>
  <si>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</si>
  <si>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</si>
  <si>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</si>
  <si>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</si>
  <si>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</si>
  <si>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</si>
  <si>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</si>
  <si>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</si>
  <si>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</si>
  <si>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</si>
  <si>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</si>
  <si>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</si>
  <si>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</si>
  <si>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</si>
  <si>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</si>
  <si>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</si>
  <si>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</si>
  <si>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</si>
  <si>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</si>
  <si>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</si>
  <si>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</si>
  <si>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</si>
  <si>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</si>
  <si>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</si>
  <si>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</si>
  <si>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</si>
  <si>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</si>
  <si>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 SANITARY DIST</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</si>
  <si>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</si>
  <si>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</si>
  <si>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</si>
  <si>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</si>
  <si>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</si>
  <si>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</si>
  <si>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</si>
  <si>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</si>
  <si>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</si>
  <si>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</si>
  <si>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</si>
  <si>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</si>
  <si>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</si>
  <si>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</si>
  <si>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</si>
  <si>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</si>
  <si>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</si>
  <si>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</si>
  <si>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</si>
  <si>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</si>
  <si>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</si>
  <si>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</si>
  <si>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</si>
  <si>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</si>
  <si>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</si>
  <si>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EAST CAROLINA BEHAVORIAL HEALTHCARE</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</si>
  <si>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</si>
  <si>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</si>
  <si>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</si>
  <si>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</si>
  <si>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</si>
  <si>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</si>
  <si>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</si>
  <si>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</si>
  <si>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</si>
  <si>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</si>
  <si>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</si>
  <si>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</si>
  <si>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</si>
  <si>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</si>
  <si>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</si>
  <si>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</si>
  <si>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</si>
  <si>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</si>
  <si>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</si>
  <si>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</si>
  <si>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</si>
  <si>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</si>
  <si>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</si>
  <si>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</si>
  <si>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</si>
  <si>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</si>
  <si>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</si>
  <si>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</si>
  <si>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</si>
  <si>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</si>
  <si>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</si>
  <si>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</si>
  <si>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</si>
  <si>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</si>
  <si>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</si>
  <si>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</si>
  <si>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</si>
  <si>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</si>
  <si>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</si>
  <si>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</si>
  <si>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</si>
  <si>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</si>
  <si>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</si>
  <si>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</si>
  <si>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</si>
  <si>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</si>
  <si>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</si>
  <si>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</si>
  <si>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</si>
  <si>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</si>
  <si>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</si>
  <si>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</si>
  <si>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</si>
  <si>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</si>
  <si>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</si>
  <si>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</si>
  <si>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</si>
  <si>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</si>
  <si>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</si>
  <si>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</si>
  <si>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</si>
  <si>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</si>
  <si>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</si>
  <si>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</si>
  <si>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</si>
  <si>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</si>
  <si>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</si>
  <si>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</si>
  <si>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</si>
  <si>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</si>
  <si>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</si>
  <si>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</si>
  <si>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</si>
  <si>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</si>
  <si>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</si>
  <si>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</si>
  <si>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</si>
  <si>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</si>
  <si>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</si>
  <si>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</si>
  <si>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</si>
  <si>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</si>
  <si>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</si>
  <si>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</si>
  <si>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</si>
  <si>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</si>
  <si>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</si>
  <si>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</si>
  <si>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</si>
  <si>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</si>
  <si>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</si>
  <si>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</si>
  <si>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</si>
  <si>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</si>
  <si>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</si>
  <si>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</si>
  <si>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</si>
  <si>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</si>
  <si>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</si>
  <si>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</si>
  <si>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</si>
  <si>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</si>
  <si>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</si>
  <si>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</si>
  <si>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</si>
  <si>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</si>
  <si>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</si>
  <si>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</si>
  <si>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</si>
  <si>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</si>
  <si>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</si>
  <si>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</si>
  <si>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</si>
  <si>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</si>
  <si>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</si>
  <si>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</si>
  <si>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</si>
  <si>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</si>
  <si>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COUNTY OF GATES</t>
  </si>
  <si>
    <t>GATES COUNTY ABC BOARD</t>
  </si>
  <si>
    <t>GRAHAM COUNTY</t>
  </si>
  <si>
    <t>GRAHAM CO HEALTH DEPT</t>
  </si>
  <si>
    <t>GRAHAM COUNTY DEPT OF S S</t>
  </si>
  <si>
    <t>TOWN OF ROBBINSVILLE</t>
  </si>
  <si>
    <t>GRANVILLE COUNTY</t>
  </si>
  <si>
    <t>GRANVILLE CO ABC BD</t>
  </si>
  <si>
    <t>GRANVILLE COUNTY HOSPITAL</t>
  </si>
  <si>
    <t>GRANVILLE-VANCE HEALTH DIST</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</si>
  <si>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</si>
  <si>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</si>
  <si>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</si>
  <si>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</si>
  <si>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</si>
  <si>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</si>
  <si>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</si>
  <si>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</si>
  <si>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</si>
  <si>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</si>
  <si>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</si>
  <si>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</si>
  <si>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</si>
  <si>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</si>
  <si>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</si>
  <si>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</si>
  <si>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</si>
  <si>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</si>
  <si>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</si>
  <si>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</si>
  <si>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</si>
  <si>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</si>
  <si>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</si>
  <si>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</si>
  <si>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</si>
  <si>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</si>
  <si>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</si>
  <si>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</si>
  <si>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</si>
  <si>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</si>
  <si>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</si>
  <si>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</si>
  <si>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</si>
  <si>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</si>
  <si>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</si>
  <si>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</si>
  <si>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</si>
  <si>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</si>
  <si>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</si>
  <si>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</si>
  <si>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</si>
  <si>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</si>
  <si>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</si>
  <si>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</si>
  <si>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</si>
  <si>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</si>
  <si>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</si>
  <si>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</si>
  <si>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</si>
  <si>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CO</t>
  </si>
  <si>
    <t>HAYWOOD MEDICAL CENTER</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</si>
  <si>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</si>
  <si>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</si>
  <si>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</si>
  <si>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</si>
  <si>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</si>
  <si>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</si>
  <si>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</si>
  <si>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</si>
  <si>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</si>
  <si>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</si>
  <si>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</si>
  <si>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</si>
  <si>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</si>
  <si>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</si>
  <si>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</si>
  <si>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</si>
  <si>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</si>
  <si>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</si>
  <si>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</si>
  <si>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</si>
  <si>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</si>
  <si>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</si>
  <si>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</si>
  <si>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</si>
  <si>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</si>
  <si>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</si>
  <si>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</si>
  <si>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</si>
  <si>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</si>
  <si>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</si>
  <si>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</si>
  <si>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</si>
  <si>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</si>
  <si>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</si>
  <si>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</si>
  <si>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</si>
  <si>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</si>
  <si>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</si>
  <si>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</si>
  <si>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</si>
  <si>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</si>
  <si>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</si>
  <si>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</si>
  <si>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</si>
  <si>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</si>
  <si>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SMOKY MOUNTAIN M H C</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</si>
  <si>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</si>
  <si>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</si>
  <si>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</si>
  <si>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</si>
  <si>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</si>
  <si>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</si>
  <si>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</si>
  <si>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</si>
  <si>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</si>
  <si>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</si>
  <si>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</si>
  <si>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</si>
  <si>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</si>
  <si>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</si>
  <si>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</si>
  <si>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</si>
  <si>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</si>
  <si>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</si>
  <si>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</si>
  <si>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</si>
  <si>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</si>
  <si>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</si>
  <si>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</si>
  <si>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</si>
  <si>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</si>
  <si>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</si>
  <si>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</si>
  <si>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</si>
  <si>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</si>
  <si>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</si>
  <si>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</si>
  <si>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</si>
  <si>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</si>
  <si>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</si>
  <si>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</si>
  <si>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</si>
  <si>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</si>
  <si>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</si>
  <si>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</si>
  <si>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</si>
  <si>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</si>
  <si>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</si>
  <si>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</si>
  <si>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</si>
  <si>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</si>
  <si>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</si>
  <si>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</si>
  <si>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</si>
  <si>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</si>
  <si>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</si>
  <si>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</si>
  <si>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</si>
  <si>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</si>
  <si>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</si>
  <si>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</si>
  <si>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</si>
  <si>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</si>
  <si>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</si>
  <si>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</si>
  <si>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</si>
  <si>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</si>
  <si>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</si>
  <si>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</si>
  <si>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</si>
  <si>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</si>
  <si>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</si>
  <si>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</si>
  <si>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</si>
  <si>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</si>
  <si>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</si>
  <si>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</si>
  <si>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</si>
  <si>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</si>
  <si>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</si>
  <si>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</si>
  <si>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</si>
  <si>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</si>
  <si>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</si>
  <si>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</si>
  <si>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</si>
  <si>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</si>
  <si>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</si>
  <si>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</si>
  <si>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</si>
  <si>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</si>
  <si>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</si>
  <si>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</si>
  <si>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</si>
  <si>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</si>
  <si>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</si>
  <si>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</si>
  <si>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</si>
  <si>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</si>
  <si>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</si>
  <si>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</si>
  <si>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</si>
  <si>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</si>
  <si>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</si>
  <si>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</si>
  <si>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</si>
  <si>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</si>
  <si>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</si>
  <si>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</si>
  <si>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</si>
  <si>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</si>
  <si>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</si>
  <si>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</si>
  <si>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</si>
  <si>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</si>
  <si>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</si>
  <si>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</si>
  <si>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</si>
  <si>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</si>
  <si>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</si>
  <si>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</si>
  <si>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</si>
  <si>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</si>
  <si>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</si>
  <si>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</si>
  <si>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</si>
  <si>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HOUSING AUTH OF THE CITY OF WILMINGTON</t>
  </si>
  <si>
    <t>NEW HANOVER COUNTY ABC BOARD</t>
  </si>
  <si>
    <t>CAPE FEAR PUBLIC UTILITY AUTHORITY</t>
  </si>
  <si>
    <t>LOWER CAPE FEAR WATER &amp; SEWER AUTH</t>
  </si>
  <si>
    <t>TOWN OF WRIGHTSVILLE BEACH</t>
  </si>
  <si>
    <t>CAPE FEAR PUBLIC TRANSPORTATION AUTHORITY</t>
  </si>
  <si>
    <t>COASTALCARE</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</si>
  <si>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</si>
  <si>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</si>
  <si>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</si>
  <si>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</si>
  <si>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</si>
  <si>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</si>
  <si>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</si>
  <si>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</si>
  <si>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</si>
  <si>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</si>
  <si>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</si>
  <si>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</si>
  <si>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</si>
  <si>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</si>
  <si>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</si>
  <si>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</si>
  <si>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</si>
  <si>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</si>
  <si>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</si>
  <si>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</si>
  <si>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</si>
  <si>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</si>
  <si>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</si>
  <si>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</si>
  <si>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</si>
  <si>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</si>
  <si>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</si>
  <si>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</si>
  <si>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</si>
  <si>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</si>
  <si>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</si>
  <si>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</si>
  <si>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</si>
  <si>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</si>
  <si>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</si>
  <si>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</si>
  <si>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</si>
  <si>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</si>
  <si>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</si>
  <si>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</si>
  <si>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</si>
  <si>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</si>
  <si>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</si>
  <si>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</si>
  <si>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</si>
  <si>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</si>
  <si>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</si>
  <si>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</si>
  <si>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</si>
  <si>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</si>
  <si>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</si>
  <si>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</si>
  <si>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</si>
  <si>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</si>
  <si>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</si>
  <si>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</si>
  <si>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</si>
  <si>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</si>
  <si>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</si>
  <si>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</si>
  <si>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</si>
  <si>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</si>
  <si>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</si>
  <si>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</si>
  <si>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</si>
  <si>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</si>
  <si>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</si>
  <si>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</si>
  <si>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</si>
  <si>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</si>
  <si>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</si>
  <si>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</si>
  <si>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</si>
  <si>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</si>
  <si>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</si>
  <si>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</si>
  <si>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</si>
  <si>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</si>
  <si>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</si>
  <si>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</si>
  <si>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</si>
  <si>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</si>
  <si>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</si>
  <si>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</si>
  <si>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</si>
  <si>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</si>
  <si>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</si>
  <si>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</si>
  <si>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</si>
  <si>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</si>
  <si>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</si>
  <si>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</si>
  <si>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</si>
  <si>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</si>
  <si>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</si>
  <si>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</si>
  <si>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</si>
  <si>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</si>
  <si>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</si>
  <si>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COUNTY OF ROBESON</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</si>
  <si>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</si>
  <si>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</si>
  <si>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</si>
  <si>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</si>
  <si>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</si>
  <si>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</si>
  <si>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</si>
  <si>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</si>
  <si>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</si>
  <si>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</si>
  <si>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</si>
  <si>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</si>
  <si>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</si>
  <si>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</si>
  <si>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</si>
  <si>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</si>
  <si>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</si>
  <si>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</si>
  <si>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</si>
  <si>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</si>
  <si>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</si>
  <si>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</si>
  <si>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</si>
  <si>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</si>
  <si>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</si>
  <si>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</si>
  <si>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</si>
  <si>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</si>
  <si>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</si>
  <si>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</si>
  <si>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</si>
  <si>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</si>
  <si>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</si>
  <si>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</si>
  <si>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</si>
  <si>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</si>
  <si>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</si>
  <si>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</si>
  <si>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</si>
  <si>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</si>
  <si>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</si>
  <si>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</si>
  <si>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</si>
  <si>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</si>
  <si>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</si>
  <si>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</si>
  <si>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</si>
  <si>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</si>
  <si>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</si>
  <si>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</si>
  <si>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</si>
  <si>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</si>
  <si>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</si>
  <si>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</si>
  <si>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</si>
  <si>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</si>
  <si>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</si>
  <si>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</si>
  <si>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</si>
  <si>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</si>
  <si>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</si>
  <si>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</si>
  <si>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</si>
  <si>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</si>
  <si>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</si>
  <si>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</si>
  <si>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</si>
  <si>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</si>
  <si>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</si>
  <si>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</si>
  <si>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</si>
  <si>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</si>
  <si>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</si>
  <si>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</si>
  <si>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</si>
  <si>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</si>
  <si>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CITY OF ALBEMARLE</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</si>
  <si>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</si>
  <si>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</si>
  <si>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</si>
  <si>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</si>
  <si>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</si>
  <si>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</si>
  <si>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</si>
  <si>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</si>
  <si>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</si>
  <si>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</si>
  <si>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</si>
  <si>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</si>
  <si>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</si>
  <si>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</si>
  <si>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</si>
  <si>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</si>
  <si>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</si>
  <si>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</si>
  <si>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</si>
  <si>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</si>
  <si>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</si>
  <si>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ELKIN ABC BOARD</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</si>
  <si>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</si>
  <si>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</si>
  <si>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</si>
  <si>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</si>
  <si>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</si>
  <si>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</si>
  <si>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</si>
  <si>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</si>
  <si>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</si>
  <si>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</si>
  <si>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</si>
  <si>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</si>
  <si>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</si>
  <si>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</si>
  <si>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</si>
  <si>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</si>
  <si>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</si>
  <si>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</si>
  <si>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</si>
  <si>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</si>
  <si>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</si>
  <si>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</si>
  <si>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</si>
  <si>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</si>
  <si>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</si>
  <si>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</si>
  <si>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</si>
  <si>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</si>
  <si>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</si>
  <si>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</si>
  <si>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</si>
  <si>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</si>
  <si>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</si>
  <si>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HOUSING AUTHORITY OF THE COUNTY OF WAKE</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</si>
  <si>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</si>
  <si>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</si>
  <si>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</si>
  <si>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</si>
  <si>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</si>
  <si>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</si>
  <si>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</si>
  <si>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</si>
  <si>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</si>
  <si>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</si>
  <si>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</si>
  <si>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</si>
  <si>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</si>
  <si>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</si>
  <si>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</si>
  <si>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</si>
  <si>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</si>
  <si>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</si>
  <si>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</si>
  <si>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</si>
  <si>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</si>
  <si>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</si>
  <si>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</si>
  <si>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</si>
  <si>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</si>
  <si>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</si>
  <si>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</si>
  <si>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</si>
  <si>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</si>
  <si>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</si>
  <si>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</si>
  <si>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</si>
  <si>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</si>
  <si>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</si>
  <si>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</si>
  <si>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</si>
  <si>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</si>
  <si>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</si>
  <si>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</si>
  <si>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</si>
  <si>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</si>
  <si>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</si>
  <si>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</si>
  <si>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</si>
  <si>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</si>
  <si>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</si>
  <si>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</si>
  <si>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</si>
  <si>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</si>
  <si>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</si>
  <si>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</si>
  <si>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</si>
  <si>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</si>
  <si>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</si>
  <si>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</si>
  <si>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</si>
  <si>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</si>
  <si>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</si>
  <si>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</si>
  <si>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</si>
  <si>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</si>
  <si>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</si>
  <si>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</si>
  <si>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</si>
  <si>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</si>
  <si>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</si>
  <si>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</si>
  <si>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</si>
  <si>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</si>
  <si>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</si>
  <si>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</si>
  <si>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Alamance Municipal ABC Board</t>
  </si>
  <si>
    <t>Albemarle Regional Health Services</t>
  </si>
  <si>
    <t>Brunswick County Dept of Social Services</t>
  </si>
  <si>
    <t>Brunswick Regional Water and Sewer H2GO</t>
  </si>
  <si>
    <t>Burke County Dept of Social Services</t>
  </si>
  <si>
    <t>Caswell County Dept of Social Services</t>
  </si>
  <si>
    <t>Centerpoint Human Services</t>
  </si>
  <si>
    <t>Charlotte Regional Visitors Authority</t>
  </si>
  <si>
    <t>Contennea Metro Sewer District</t>
  </si>
  <si>
    <t>East Carolina Behavorial Healthcare</t>
  </si>
  <si>
    <t>Eastpointe Human Services</t>
  </si>
  <si>
    <t>Goldsboro Housing Authority</t>
  </si>
  <si>
    <t>Graham County Dept of Social Services</t>
  </si>
  <si>
    <t>Indian Trail ABC Board</t>
  </si>
  <si>
    <t>Jackson County ABC Board</t>
  </si>
  <si>
    <t>Johnston Health Center</t>
  </si>
  <si>
    <t>McDowell County</t>
  </si>
  <si>
    <t>Mid-Carolina Council of Governments</t>
  </si>
  <si>
    <t>Mideast Commission</t>
  </si>
  <si>
    <t>Mineral Springs, Town of</t>
  </si>
  <si>
    <t>Parkton, Town of</t>
  </si>
  <si>
    <t>Partners Behavioral Health Management</t>
  </si>
  <si>
    <t>Rowan Convention and Visitors Bureau</t>
  </si>
  <si>
    <t>Sandhills Center</t>
  </si>
  <si>
    <t>Southeast Brunswick Sanitary District</t>
  </si>
  <si>
    <t>Triad Municipal ABC Board</t>
  </si>
  <si>
    <t>Trillium Health Resources</t>
  </si>
  <si>
    <t>Upper Coastal Plain Council of Governments</t>
  </si>
  <si>
    <t>West Columbus ABC Board</t>
  </si>
  <si>
    <t>Yadkin Valley ABC Board</t>
  </si>
  <si>
    <t>Beginning NPL</t>
  </si>
  <si>
    <t>Ending NPL</t>
  </si>
  <si>
    <t>Beginning DO - Experience</t>
  </si>
  <si>
    <t>Beginning DO - Earnings</t>
  </si>
  <si>
    <t>Beginning DO - Assumptions</t>
  </si>
  <si>
    <t>Beginning DO - Employer proportions</t>
  </si>
  <si>
    <t>Beginning DI - Experience</t>
  </si>
  <si>
    <t>Beginning DI - Earnings</t>
  </si>
  <si>
    <t>Beginning DI - Assumptions</t>
  </si>
  <si>
    <t>Beginning DI - Employer Proportions</t>
  </si>
  <si>
    <t>Ending DO - Experience</t>
  </si>
  <si>
    <t>Ending DO - Earnings</t>
  </si>
  <si>
    <t>Ending DO - Assumptions</t>
  </si>
  <si>
    <t>Ending DO - Employer proportions</t>
  </si>
  <si>
    <t>Ending DI - Experience</t>
  </si>
  <si>
    <t>Ending DI - Earnings</t>
  </si>
  <si>
    <t>Ending DI - Assumptions</t>
  </si>
  <si>
    <t>Ending DI - Employer Proportions</t>
  </si>
  <si>
    <t>Beginning DO - Contributions subsequent to PY measurement date</t>
  </si>
  <si>
    <t>Pension Expense - Actuary</t>
  </si>
  <si>
    <t>Pension Expense - Measurement period contributions b/w Actuary and Agency</t>
  </si>
  <si>
    <t>Pension Expense - Rounding</t>
  </si>
  <si>
    <t xml:space="preserve">Deferred Outflow - Changes in Proportion and Differences Between Employer Contributions and Proportionate Share of Contributions </t>
  </si>
  <si>
    <t xml:space="preserve">Deferred Outflow - Differences Between Expected and Actual Experience </t>
  </si>
  <si>
    <t xml:space="preserve">Deferred Outflow - Changes in Assumptions </t>
  </si>
  <si>
    <t xml:space="preserve">Deferred Inflow - Differences Between Expected and Actual Experience </t>
  </si>
  <si>
    <t xml:space="preserve">Deferred Inflow - Net Difference Between Projected and Actual Investment Earnings on Plan Investments </t>
  </si>
  <si>
    <t>Deferred Inflow - Changes in Proportion and Differences Between Employer Contributions and Proportionate Share of Contributions</t>
  </si>
  <si>
    <t xml:space="preserve">Deferred Inflow - Changes in Assumptions </t>
  </si>
  <si>
    <t>Pensions - Change in Proportion and Differences in Employer Contributions and Proportionate Share of Contributions</t>
  </si>
  <si>
    <t xml:space="preserve">Pensions - Differences Between Actual and Expected Experience </t>
  </si>
  <si>
    <t xml:space="preserve">Pensions - Changes in Assumptions </t>
  </si>
  <si>
    <t xml:space="preserve">Pensions - Change in Proportion and Differences in Employer Contributions and Proportionate Share of Contributions </t>
  </si>
  <si>
    <t>Change in pension obligation during the year to be restated.</t>
  </si>
  <si>
    <t>Total Pension Liability - Beginning of Year</t>
  </si>
  <si>
    <t>Total Pension Liability - End of Year</t>
  </si>
  <si>
    <t>From "Reconciliation of Total Pension Liability" table in Actuary Report</t>
  </si>
  <si>
    <t>Benefit Payments</t>
  </si>
  <si>
    <t>From "Pension Expense" table in Actuary Report</t>
  </si>
  <si>
    <t>From "Amortization of the Change due to the Difference between Expected and Actual Experience" table in Actuary Report</t>
  </si>
  <si>
    <t>From "Amortization of the Change due to Assumption Changes" table in Actuary Report</t>
  </si>
  <si>
    <t>Ending total pension liability</t>
  </si>
  <si>
    <t>Deferred outflows of resources - Difference b/w Expected and Actual Experience END</t>
  </si>
  <si>
    <t>Deferred inflows of resources - Difference b/w Expected and Actual Experience END</t>
  </si>
  <si>
    <t>Deferred outflows of resources - Change of Assumptions END</t>
  </si>
  <si>
    <t>Deferred inflows of resources - Change of Assumptions END</t>
  </si>
  <si>
    <t>To record current year activity from actuary report</t>
  </si>
  <si>
    <t>Deferred outflows of resources - employer benefit payments after the measurement date thru FYE</t>
  </si>
  <si>
    <t>To record deferred outflows of resources for benefit payments subsequent to measurement date</t>
  </si>
  <si>
    <t>Deferred outflows of resources - Pension administration costs subsequent to the measurement date thru FYE</t>
  </si>
  <si>
    <t>To record deferred outflows of resources for administration costs subsequent to the measurement date</t>
  </si>
  <si>
    <t xml:space="preserve">This worksheet prepares the journal entry to record the entity's proportionate share of the net pension liability, pension expense, and deferred outflows of the Local Governmental Employees' Retirement System (LGERS) in accordance with GASB 68, with the exception of the accounting for current year contributions to the LGERS plan.  See J. for accounting for current year contributions to the LGERS plan.
</t>
  </si>
  <si>
    <t>GASB 73 Entries - LEO</t>
  </si>
  <si>
    <t xml:space="preserve">This worksheet prepares the journal entry to record the entity's total pension liability, pension expense, and deferred outflows of the Law Enforcement Officers Pension Plan (LEO) in accordance with GASB 73.  This is the implementation year for GASB 73 and, as a result, the worksheet will include an entry to restate the beginning fund balance for the beginning GASB 73 total pension liability, measurement period benefit payments, and measurement period administrative costs. See J. for accounting for the prior year's net pension obligation for LEO under the old standard.
</t>
  </si>
  <si>
    <t>Enter amounts below from the actuarial report.</t>
  </si>
  <si>
    <t>Total Pension Liability</t>
  </si>
  <si>
    <t>Deferred Outflow - Benefit Payments and Administrative Costs subsequent to the measurement date</t>
  </si>
  <si>
    <t>Work Section for Conversion entry O1</t>
  </si>
  <si>
    <t>O.1</t>
  </si>
  <si>
    <t>Pensions - Current Year Contributions, Benefit Payments, Administrative Costs</t>
  </si>
  <si>
    <t>To select your agency from the drop down list, click in cell C13 and choose your unit name.</t>
  </si>
  <si>
    <t>Entry for Conversion worksheet to record total pension liability, pension expense, and deferred outflows and deferred inflows of resources related to pensions.  (Entry O1)</t>
  </si>
  <si>
    <t>2017 (Inflow)/Outflow Deferred Balance - Difference b/w Expected and Actual Experience</t>
  </si>
  <si>
    <t>2017 (Inflow)/Outflow Deferred Balance - Assumption Changes</t>
  </si>
  <si>
    <t>Pension Expense - include administrative expense here</t>
  </si>
  <si>
    <t>Beginning total pension liability</t>
  </si>
  <si>
    <t>Deferred outflows of resources - Difference b/w Expected and Actual Experience BEG</t>
  </si>
  <si>
    <t xml:space="preserve">Deferred inflows of resources - Difference b/w Expected and Actual Experience BEG </t>
  </si>
  <si>
    <t xml:space="preserve">Deferred outflows of resources - Change of Assumptions BEG </t>
  </si>
  <si>
    <t>Deferred inflows of resources - Change of Assumptions BEG</t>
  </si>
  <si>
    <t xml:space="preserve">Deferred outflows of resources - Employer benefit payments for the measurement period </t>
  </si>
  <si>
    <t xml:space="preserve">From prior year.  </t>
  </si>
  <si>
    <t>Enter information below</t>
  </si>
  <si>
    <t>1) Benefit payments that were recorded as a deferred outflows of resources for contributions subsequent to the measurement date in your prior year's audited financial statements</t>
  </si>
  <si>
    <t>2) Benefit payments that were made between the prior fiscal year end and the current year's measurement date</t>
  </si>
  <si>
    <t>4) LEOSSA administration costs that were recorded as a deferred outflows of resources for contributions subsequent to the measurement date in your prior year's audited financial statements</t>
  </si>
  <si>
    <t>5) LEOSSA administration costs that were made between the prior fiscal year end and the current year's measurement date</t>
  </si>
  <si>
    <t>Measurement date 6/30/2017</t>
  </si>
  <si>
    <t>Recognition period - 5.00 years</t>
  </si>
  <si>
    <t>Total Deferred Outflows of Resources</t>
  </si>
  <si>
    <t>Total Deferred Inflows of Resources</t>
  </si>
  <si>
    <t>TOWN OF SEAGROVE</t>
  </si>
  <si>
    <t>BEAUFORT COUNTY</t>
  </si>
  <si>
    <t>WESTERN NC REGIONAL AIR QUALITY</t>
  </si>
  <si>
    <t>WATER &amp; SEWER AUTH OF CABARRUS CNTY</t>
  </si>
  <si>
    <t>CLEVELAND COUNTY WATER</t>
  </si>
  <si>
    <t>THOMASVILLE ABC BOARD</t>
  </si>
  <si>
    <t>GATES COUNTY</t>
  </si>
  <si>
    <t>GRANVILLE-VANCE PUBLIC HEALTH</t>
  </si>
  <si>
    <t>HAYWOOD COUNTY</t>
  </si>
  <si>
    <t>HAYWOOD COUNTY TOURISM DEVELOPMENT AUTHORITY</t>
  </si>
  <si>
    <t>VAYA HEALTH</t>
  </si>
  <si>
    <t>WILMINGTON HOUSING AUTHORITY</t>
  </si>
  <si>
    <t>ROBESON COUNTY</t>
  </si>
  <si>
    <t>LOCUST ABC BOARD</t>
  </si>
  <si>
    <t>WAKE COUNTY HOUSING AUTHORITY</t>
  </si>
  <si>
    <t>Alamance Comm Fire Dist</t>
  </si>
  <si>
    <t>Albemarle ABC Board</t>
  </si>
  <si>
    <t>Albemarle Regnl Planning &amp; Development Comm</t>
  </si>
  <si>
    <t>Alexander County Dept Of S S</t>
  </si>
  <si>
    <t>Alexander County Health Dept</t>
  </si>
  <si>
    <t>Alexander County Public Library</t>
  </si>
  <si>
    <t>Alliance Behavioral Healthcre</t>
  </si>
  <si>
    <t>Angier ABC Board</t>
  </si>
  <si>
    <t>Appalachian District Health Dept</t>
  </si>
  <si>
    <t>Asheboro ABC Board</t>
  </si>
  <si>
    <t>Asheboro Housing Auth</t>
  </si>
  <si>
    <t>Asheville ABC Board</t>
  </si>
  <si>
    <t>Avery County Fire Commission</t>
  </si>
  <si>
    <t>Avery-Mitchell-Yancey Reg Library</t>
  </si>
  <si>
    <t>B H M Regional Library</t>
  </si>
  <si>
    <t>Beaufort County ABC Board</t>
  </si>
  <si>
    <t>Beaufort Housing Auth</t>
  </si>
  <si>
    <t>Bertie County ABC Board</t>
  </si>
  <si>
    <t>Black Mtn ABC Board</t>
  </si>
  <si>
    <t>Blowing Rock ABC Bd</t>
  </si>
  <si>
    <t>Boiling Sprg Lakes</t>
  </si>
  <si>
    <t>Boiling Spring Lakes ABC Board</t>
  </si>
  <si>
    <t>Brevard ABC Board</t>
  </si>
  <si>
    <t>Brunswick Co Dept Of Social Services</t>
  </si>
  <si>
    <t>Brunswick Co Health Dept</t>
  </si>
  <si>
    <t>Brunswick County ABC Board</t>
  </si>
  <si>
    <t>Brunswick County Tourism Authority</t>
  </si>
  <si>
    <t>Brunswick Regional Water And Sewer H2Go</t>
  </si>
  <si>
    <t>Bryson City ABC Board</t>
  </si>
  <si>
    <t>Bunn ABC Board</t>
  </si>
  <si>
    <t>Burke Co Dept Of Social Services</t>
  </si>
  <si>
    <t>Burke Co Health Dept</t>
  </si>
  <si>
    <t>Burke County Tourism Dev. Authority</t>
  </si>
  <si>
    <t>Burke-Catawba Dist Confinement</t>
  </si>
  <si>
    <t>Cabarrus Co Public Health Auth</t>
  </si>
  <si>
    <t>Cabarrus County Tourism Authority</t>
  </si>
  <si>
    <t>Cajah'S Mountain</t>
  </si>
  <si>
    <t>Calabash ABC Board</t>
  </si>
  <si>
    <t>Camden County ABC Board</t>
  </si>
  <si>
    <t>Canton ABC Board</t>
  </si>
  <si>
    <t>Carteret County ABC Board</t>
  </si>
  <si>
    <t>Caswell Co Dept Of Social Services</t>
  </si>
  <si>
    <t>Caswell County ABC Board</t>
  </si>
  <si>
    <t>Catawba County ABC Board</t>
  </si>
  <si>
    <t>Centennial Authority</t>
  </si>
  <si>
    <t>Charlotte Firemen'S Ret Sys</t>
  </si>
  <si>
    <t>Charlotte Housing Authority</t>
  </si>
  <si>
    <t>Charlotte Mecklenburg Public Library</t>
  </si>
  <si>
    <t>Chatham Co Housing Auth</t>
  </si>
  <si>
    <t>Chatham County ABC Board</t>
  </si>
  <si>
    <t>Cherryville ABC Board</t>
  </si>
  <si>
    <t>Choanoke Public Transportation Auth</t>
  </si>
  <si>
    <t>Chowan County Abc Board</t>
  </si>
  <si>
    <t>Cleveland County Water</t>
  </si>
  <si>
    <t>Clinton ABC Board</t>
  </si>
  <si>
    <t>Coastal Carolina Regional Airport</t>
  </si>
  <si>
    <t>Coastal Regional Solid Waste Mngt Auth</t>
  </si>
  <si>
    <t>Concord ABC Board</t>
  </si>
  <si>
    <t>Contennea Metropolitan Sewerage Dist</t>
  </si>
  <si>
    <t>Cooleemee ABC Board</t>
  </si>
  <si>
    <t>County Of Henderson</t>
  </si>
  <si>
    <t>Craven Co ABC Bd</t>
  </si>
  <si>
    <t>Cumberland Co ABC Board</t>
  </si>
  <si>
    <t>Currituck Co ABC Board</t>
  </si>
  <si>
    <t>Dare County ABC Board</t>
  </si>
  <si>
    <t>Davie Soil And Water Conservation Dist</t>
  </si>
  <si>
    <t>Dobson ABC Bd</t>
  </si>
  <si>
    <t>Dunn ABC Board</t>
  </si>
  <si>
    <t>Durham Convention &amp; Visitors Bureau</t>
  </si>
  <si>
    <t>Durham County ABC Board</t>
  </si>
  <si>
    <t>Durham Hwy Fire Protection Assoc</t>
  </si>
  <si>
    <t>Eastern Carolina Reg'L Housing Auth</t>
  </si>
  <si>
    <t>Eastern Wayne Sanitary Dist</t>
  </si>
  <si>
    <t>Eden ABC Board</t>
  </si>
  <si>
    <t>Edgecombe County ABC Board</t>
  </si>
  <si>
    <t>Edgecombe County Memorial Library</t>
  </si>
  <si>
    <t>Electricities Of Nc</t>
  </si>
  <si>
    <t>Elizabeth City Pasquotank County Tda</t>
  </si>
  <si>
    <t>Elizabeth City-Pasquotank Co Airport Auth</t>
  </si>
  <si>
    <t>Elizabeth Cty-Pasquotank Co Industrl Development C</t>
  </si>
  <si>
    <t>Elizabethtown ABC Board</t>
  </si>
  <si>
    <t>Elon</t>
  </si>
  <si>
    <t>Fayetteville Metropolitan Housing Auth</t>
  </si>
  <si>
    <t>First Craven Sanitary Dist</t>
  </si>
  <si>
    <t>Fletcher ABC Board</t>
  </si>
  <si>
    <t>Forest City ABC Board 168</t>
  </si>
  <si>
    <t>Fork Township Sanitary Dist</t>
  </si>
  <si>
    <t>Fountain, Town Of</t>
  </si>
  <si>
    <t>Franklinton ABC Board</t>
  </si>
  <si>
    <t>Garner Fire Dept</t>
  </si>
  <si>
    <t>Gaston County Economic Dev. Commission</t>
  </si>
  <si>
    <t>Gastonia ABC Board</t>
  </si>
  <si>
    <t>Gates County ABC Board</t>
  </si>
  <si>
    <t>Gibsonville ABC Board</t>
  </si>
  <si>
    <t>Graham Co Health Dept</t>
  </si>
  <si>
    <t>Graham County Dept Of S S</t>
  </si>
  <si>
    <t>Granite Falls ABC Board</t>
  </si>
  <si>
    <t>Granville Co ABC Bd</t>
  </si>
  <si>
    <t>Granville-Vance Public Health</t>
  </si>
  <si>
    <t>Greater Statesville Development Corp</t>
  </si>
  <si>
    <t>Greene County ABC Board</t>
  </si>
  <si>
    <t>Greensboro ABC Bd</t>
  </si>
  <si>
    <t>Guilford Fire District # 13 Inc</t>
  </si>
  <si>
    <t>Halifax County ABC Board</t>
  </si>
  <si>
    <t>Hamlet ABC Board</t>
  </si>
  <si>
    <t>Haywood County Tourism Development Authority</t>
  </si>
  <si>
    <t>Hendersonville ABC Bd</t>
  </si>
  <si>
    <t>Hertford ABC Board</t>
  </si>
  <si>
    <t>Hertford County ABC Board</t>
  </si>
  <si>
    <t>Hertford Housing Auth</t>
  </si>
  <si>
    <t>Hickory Conover Tourism Dev Auth</t>
  </si>
  <si>
    <t>Hickory Public Housing Authority</t>
  </si>
  <si>
    <t>High Country ABC Board</t>
  </si>
  <si>
    <t>High Point ABC Bd</t>
  </si>
  <si>
    <t>Highlands ABC Board</t>
  </si>
  <si>
    <t>HighPoint</t>
  </si>
  <si>
    <t>Hildebran</t>
  </si>
  <si>
    <t>Hoke County ABC Board</t>
  </si>
  <si>
    <t>Housing Auth For The Cty Of Kinston</t>
  </si>
  <si>
    <t>Housing Auth Of The Cty Of Salisbury</t>
  </si>
  <si>
    <t>Housing Authority Of Goldsboro</t>
  </si>
  <si>
    <t>Hyde County ABC Board</t>
  </si>
  <si>
    <t>Isothermal Planning And Dev Comm</t>
  </si>
  <si>
    <t>J C Holiday Mem Library</t>
  </si>
  <si>
    <t>Johnston County ABC Board</t>
  </si>
  <si>
    <t>Jones County ABC Board</t>
  </si>
  <si>
    <t>Kenansville ABC Board</t>
  </si>
  <si>
    <t>Kerr Area Transportation Authority</t>
  </si>
  <si>
    <t>Kerr-Tar Regional Council Of Govts</t>
  </si>
  <si>
    <t>Kings Mountain ABC Board</t>
  </si>
  <si>
    <t>KingsMountain</t>
  </si>
  <si>
    <t>Kinston-Lenoir Co Pub Library</t>
  </si>
  <si>
    <t>Lake Waccamaw</t>
  </si>
  <si>
    <t>Lake Waccamaw ABC Board</t>
  </si>
  <si>
    <t>Laurel Park ABC Board</t>
  </si>
  <si>
    <t>Laurinburg Housing Authority</t>
  </si>
  <si>
    <t>Lenoir County ABC Board</t>
  </si>
  <si>
    <t>LenoirABCBoard</t>
  </si>
  <si>
    <t>Lewiston Woodville</t>
  </si>
  <si>
    <t>Lexington ABC Board</t>
  </si>
  <si>
    <t>Liberty ABC Board</t>
  </si>
  <si>
    <t>Lincoln County ABC Board</t>
  </si>
  <si>
    <t>Lincolnton ABC Board</t>
  </si>
  <si>
    <t>Locust ABC Board</t>
  </si>
  <si>
    <t>Longview</t>
  </si>
  <si>
    <t>Louisburg ABC Board</t>
  </si>
  <si>
    <t>Lumberton ABC Board</t>
  </si>
  <si>
    <t>Lumberton Airport Comm</t>
  </si>
  <si>
    <t>Madison ABC Board</t>
  </si>
  <si>
    <t>Maggie Valley ABC Board</t>
  </si>
  <si>
    <t>Maggie Valley Sanitary Dist</t>
  </si>
  <si>
    <t>Marion ABC Board</t>
  </si>
  <si>
    <t>Martin Co Travel &amp; Tourism Auth</t>
  </si>
  <si>
    <t>Martin County ABC Board</t>
  </si>
  <si>
    <t>Martin-Tyrrell-Washington Dist Health Dept</t>
  </si>
  <si>
    <t>Maxton ABC Board</t>
  </si>
  <si>
    <t>Mcdowell County</t>
  </si>
  <si>
    <t>Mecklenburg County ABC Board</t>
  </si>
  <si>
    <t>Mecklenburg Emer Med Svcs Agcy</t>
  </si>
  <si>
    <t>Mi Connection Communications System</t>
  </si>
  <si>
    <t>Mid-Carolina Council Of Governments</t>
  </si>
  <si>
    <t>Mitchell Soil &amp; Water Conservation Dist</t>
  </si>
  <si>
    <t>Monroe ABC Board</t>
  </si>
  <si>
    <t>MonroeHousingAuthority</t>
  </si>
  <si>
    <t>Montgomery-Municipal ABC Board</t>
  </si>
  <si>
    <t>Moore County ABC Board</t>
  </si>
  <si>
    <t>Moore County Tourism Development Authority</t>
  </si>
  <si>
    <t>Mooresville ABC Board</t>
  </si>
  <si>
    <t>Morganton ABC Board</t>
  </si>
  <si>
    <t>Mount Airy Alcoholic Board Of Control</t>
  </si>
  <si>
    <t>MountAiry</t>
  </si>
  <si>
    <t>MountHolly</t>
  </si>
  <si>
    <t>Mt Olive Housing Authority</t>
  </si>
  <si>
    <t>Mt Pleasant ABC Board</t>
  </si>
  <si>
    <t>Murphy ABC Board</t>
  </si>
  <si>
    <t>N C Assoc Of Co Commissioners</t>
  </si>
  <si>
    <t>N C League Of Municipalities</t>
  </si>
  <si>
    <t>Nash County ABC Board</t>
  </si>
  <si>
    <t>Neuse Regional Library-Greene County</t>
  </si>
  <si>
    <t>Neuse Regional Library-Jones County</t>
  </si>
  <si>
    <t>New Edenton Housing Auth</t>
  </si>
  <si>
    <t>New Hanover Airport Auth</t>
  </si>
  <si>
    <t>New Hanover County ABC Board</t>
  </si>
  <si>
    <t>New Reidsville Housing Auth</t>
  </si>
  <si>
    <t>NewBern</t>
  </si>
  <si>
    <t>North Wilkesboro ABC Board</t>
  </si>
  <si>
    <t>Northampton County ABC Board</t>
  </si>
  <si>
    <t>Norwood ABC Bd</t>
  </si>
  <si>
    <t>Oak Island ABC Bd</t>
  </si>
  <si>
    <t>Ocean Isle Beach ABC Board</t>
  </si>
  <si>
    <t>Ocracoke Sanitary Dist</t>
  </si>
  <si>
    <t>Onslow County ABC Board</t>
  </si>
  <si>
    <t>Onslow Water &amp; Sewer Authority</t>
  </si>
  <si>
    <t>Orange County ABC Board</t>
  </si>
  <si>
    <t>Orange Water And Sewer Authority</t>
  </si>
  <si>
    <t>Parkton</t>
  </si>
  <si>
    <t>Pasquotank Co ABC Board</t>
  </si>
  <si>
    <t>Pender County ABC Board</t>
  </si>
  <si>
    <t>Person Co ABC Bd</t>
  </si>
  <si>
    <t>Piedmont Triad Reg Water Auth</t>
  </si>
  <si>
    <t>Pilot Mountain ABC Board</t>
  </si>
  <si>
    <t>Pinecroft-Sedgefield Fire Dist Inc</t>
  </si>
  <si>
    <t>Pitt County ABC Board</t>
  </si>
  <si>
    <t>Pitt-Greenville Conv &amp; Vistors</t>
  </si>
  <si>
    <t>Pleasant Garden Fire Dept</t>
  </si>
  <si>
    <t>Public Library Of Johnston Co And Smithfield</t>
  </si>
  <si>
    <t>Public Works Comm Cty Of Fayetteville</t>
  </si>
  <si>
    <t>RaleighHousingAuthority</t>
  </si>
  <si>
    <t>RandlemanABCBoard</t>
  </si>
  <si>
    <t>RandlemanHousingAuthority</t>
  </si>
  <si>
    <t>Red Springs ABC Board</t>
  </si>
  <si>
    <t>Reidsville ABC Board</t>
  </si>
  <si>
    <t>RoanokeRapids</t>
  </si>
  <si>
    <t>RockinghamABCBoard</t>
  </si>
  <si>
    <t>Rocky Mt Housing Authority</t>
  </si>
  <si>
    <t>RockyMount</t>
  </si>
  <si>
    <t>Roseboro ABC Board</t>
  </si>
  <si>
    <t>Rowan Co Housing Authority</t>
  </si>
  <si>
    <t>Rowan Co Soil &amp; Water Conv Dist</t>
  </si>
  <si>
    <t>Rowan Convention &amp; Vistors Bureau</t>
  </si>
  <si>
    <t>Rowan County ABC Board</t>
  </si>
  <si>
    <t>Rutherford Polk Mcdowell Dist Brd Of Health</t>
  </si>
  <si>
    <t>Rutherfordton ABC Brd</t>
  </si>
  <si>
    <t>Sanford ABC Board</t>
  </si>
  <si>
    <t>Scotland County ABC Board</t>
  </si>
  <si>
    <t>Seagrove</t>
  </si>
  <si>
    <t>Shallotte ABC Board</t>
  </si>
  <si>
    <t>Shelby ABC Board</t>
  </si>
  <si>
    <t>Siler City ABC Board</t>
  </si>
  <si>
    <t>Skyland Vol Fire Dept</t>
  </si>
  <si>
    <t>South Eastern Economic Development Comm</t>
  </si>
  <si>
    <t>South Granville Water And Sewer Authority</t>
  </si>
  <si>
    <t>SouthportABCBoard</t>
  </si>
  <si>
    <t>Southwestern Nc Planning &amp; Econ.Dev.Commis.</t>
  </si>
  <si>
    <t>Sparta ABC Board</t>
  </si>
  <si>
    <t>St James</t>
  </si>
  <si>
    <t>St Pauls</t>
  </si>
  <si>
    <t>St Paul'S Brd Of Alcoholic Ctl</t>
  </si>
  <si>
    <t>Statesville ABC Board</t>
  </si>
  <si>
    <t>Sunset Beach ABC Board</t>
  </si>
  <si>
    <t>Thomasville ABC Board</t>
  </si>
  <si>
    <t>Toe River Health District</t>
  </si>
  <si>
    <t>Tuckaseigee Water Authority</t>
  </si>
  <si>
    <t>Tyrrell Co ABC Board</t>
  </si>
  <si>
    <t>Upper Coastal Plain Council Of Governments</t>
  </si>
  <si>
    <t>Vance County ABC Bd</t>
  </si>
  <si>
    <t>Vaya Health</t>
  </si>
  <si>
    <t>Wadesboro ABC Board</t>
  </si>
  <si>
    <t>Wake County ABC Board</t>
  </si>
  <si>
    <t>Wallace ABC Bd</t>
  </si>
  <si>
    <t>Walnut Cove ABC Board</t>
  </si>
  <si>
    <t>Warren County ABC Board</t>
  </si>
  <si>
    <t>Warsaw ABC Board</t>
  </si>
  <si>
    <t>Washington County ABC Board</t>
  </si>
  <si>
    <t>Watauga County District U Tda</t>
  </si>
  <si>
    <t>Water &amp; Sewer Auth Of Cabarrus Cnty</t>
  </si>
  <si>
    <t>Waxhaw ABC Board</t>
  </si>
  <si>
    <t>Wayne County ABC Board</t>
  </si>
  <si>
    <t>Waynesville ABC Board</t>
  </si>
  <si>
    <t>Weaverville ABC Board</t>
  </si>
  <si>
    <t>West Buncombe Fire Dept</t>
  </si>
  <si>
    <t>West Jefferson ABC Board</t>
  </si>
  <si>
    <t>Westarea Volunteer Fire Dept</t>
  </si>
  <si>
    <t>Western Carteret Interlocal Cooperation Agency</t>
  </si>
  <si>
    <t>Western Nc Regional Air Quality</t>
  </si>
  <si>
    <t>Western Piedmont Council Of Gvmts</t>
  </si>
  <si>
    <t>Whiteville ABC Board</t>
  </si>
  <si>
    <t>Wilkesboro ABC Board</t>
  </si>
  <si>
    <t>Wilson Cemetery Commission</t>
  </si>
  <si>
    <t>Wilson County ABC Board</t>
  </si>
  <si>
    <t>Wilson County Tourism Development Auth</t>
  </si>
  <si>
    <t>Wilson Economic Dev Council</t>
  </si>
  <si>
    <t>Wilson'S Mills</t>
  </si>
  <si>
    <t>Woodfin Sanitary Water And Sewer Dist</t>
  </si>
  <si>
    <t>Yancey Soil &amp; Water Cons</t>
  </si>
  <si>
    <t>Measurement date 6/30/2016</t>
  </si>
  <si>
    <t>Recognition period - 4.86 years</t>
  </si>
  <si>
    <r>
      <t xml:space="preserve">Net DO/DI for Difference Between Projected and Actual Investment Earnings on Plan Investements </t>
    </r>
    <r>
      <rPr>
        <b/>
        <sz val="11"/>
        <color rgb="FFFF0000"/>
        <rFont val="Calibri"/>
        <family val="2"/>
        <scheme val="minor"/>
      </rPr>
      <t>(added by LGC)</t>
    </r>
  </si>
  <si>
    <t>Agency Num</t>
  </si>
  <si>
    <t>Agency Name</t>
  </si>
  <si>
    <t>FY 2017 Total Contributions</t>
  </si>
  <si>
    <t>(Normal Contributions, Plus Liability Contributions, net of Court Costs Offsets)</t>
  </si>
  <si>
    <t>CAPE FEAR REGIONAL JETPORT</t>
  </si>
  <si>
    <t>COLUMBUS ABC BOARD</t>
  </si>
  <si>
    <t>TOWN OF NEW LONDON</t>
  </si>
  <si>
    <t>Totals:</t>
  </si>
  <si>
    <t>Deferred Outflow - Benefit payments made during the measurement period</t>
  </si>
  <si>
    <t xml:space="preserve">Pensions - Measurement Year Benefit Payments </t>
  </si>
  <si>
    <t>LGERS - Deferred outflows of resources contributions made to pension plan subsequent to measurement date</t>
  </si>
  <si>
    <t>LGERS - Deferred outflows of resources - changes in assumptions</t>
  </si>
  <si>
    <t>LGERS - Deferred outflows of resources - difference between actual and projected earnings on plan investments</t>
  </si>
  <si>
    <t>LGERS - Deferred outflows of resources - difference between expected and actual experience</t>
  </si>
  <si>
    <t>LGERS - Deferred outflows of resources - changes in proportion and differences between contributions and proportionate share of contributions</t>
  </si>
  <si>
    <t>OPEB - Deferred outflows of resources - changes in assumptions</t>
  </si>
  <si>
    <t>OPEB - Deferred outflows of resources - difference between expected and actual experience</t>
  </si>
  <si>
    <t>LGERS - Deferred inflows of resources - changes in assumptions</t>
  </si>
  <si>
    <t>LGERS - Deferred inflows of resources - difference between actual and projected earnings on plan investments</t>
  </si>
  <si>
    <t>LGERS - Deferred inflows of resources - difference between expected and actual experience</t>
  </si>
  <si>
    <t>LGERS - Deferred inflows of resources - changes in proportion and differences between contributions and proportionate share of contributions</t>
  </si>
  <si>
    <t>OPEB - Deferred inflows of resources - changes in assumptions</t>
  </si>
  <si>
    <t>OPEB - Deferred inflows of resources - difference between expected and actual experience</t>
  </si>
  <si>
    <t xml:space="preserve">OPEB - Differences Between Actual and Expected Experience </t>
  </si>
  <si>
    <t xml:space="preserve">OPEB - Changes in Assumptions </t>
  </si>
  <si>
    <t>OPEB - Deferred outflows of resources  - benefit payments and admin costs made subsequent to the measurement date</t>
  </si>
  <si>
    <t>OPEB - Deferred outflows of resources benefit payments and admin costs made subsequent to measurement date</t>
  </si>
  <si>
    <t>OPEB - Current Year Contributions, Benefit Payments, Administrative Costs</t>
  </si>
  <si>
    <t xml:space="preserve">Benefit payments </t>
  </si>
  <si>
    <t>Deferred Outflow - Benefit Payments made during measurement period</t>
  </si>
  <si>
    <t>Total/net pension liability (LEO)</t>
  </si>
  <si>
    <r>
      <t xml:space="preserve">What was the amount of the net OPEB obligation at the beginning of the year? If multiple benefit plans are involved enter the sum of all plans. </t>
    </r>
    <r>
      <rPr>
        <sz val="8"/>
        <color indexed="10"/>
        <rFont val="Arial"/>
        <family val="2"/>
      </rPr>
      <t>(Beginning balances for Governmental Funds only were recorded in Columns AF &amp; AG in the main Conversion Worksheet.)</t>
    </r>
  </si>
  <si>
    <t>1) Benefit payments that were made between the current year's measurement date and the current fiscal year end (reporting date)</t>
  </si>
  <si>
    <t>4) OPEB administration costs that were recorded as a deferred outflows of resources for contributions subsequent to the measurement date in your prior year's audited financial statements</t>
  </si>
  <si>
    <t>5) OPEB administration costs that were made between the prior fiscal year end and the current year's measurement date</t>
  </si>
  <si>
    <t>Net OPEB Liability (Asset)- Beginning of Year</t>
  </si>
  <si>
    <t>Net OPEB Liability (Asset) - End of Year</t>
  </si>
  <si>
    <t>Benefit payments</t>
  </si>
  <si>
    <t xml:space="preserve">Total OPEB Expense </t>
  </si>
  <si>
    <t>OPEB administrative expense only</t>
  </si>
  <si>
    <t>Ending Outflow/(Inflow) Deferred Balance - Difference b/w Expected and Actual Experience</t>
  </si>
  <si>
    <t>From valuation report</t>
  </si>
  <si>
    <t>Ending Outflow/(Inflow) Deferred Balance - Assumption Changes</t>
  </si>
  <si>
    <t>Beginning Outflow/(Inflow) Deferred Balance - Difference b/w Expected and Actual Experience</t>
  </si>
  <si>
    <t>From prior year.  Should be $0 in year of implementation.</t>
  </si>
  <si>
    <t>Beginning Outflow/(Inflow) Deferred Balance - Assumption Changes</t>
  </si>
  <si>
    <t>Beginning Outflow/(Inflow) Deferred Balance - Difference b/w Projected and Actual Investment Earnings</t>
  </si>
  <si>
    <t>GASB 75 Entries - OPEB</t>
  </si>
  <si>
    <t>Enter amounts from the actuarial valuation</t>
  </si>
  <si>
    <t>Enter information below from your financial records</t>
  </si>
  <si>
    <t>Total OPEB Liability</t>
  </si>
  <si>
    <t>Deferred Outflow - Benefit Payments and Administrative Costs made subsequent to measurement date</t>
  </si>
  <si>
    <t>P.1</t>
  </si>
  <si>
    <t>Adjustment to Beginning Fund Equity for LGERS</t>
  </si>
  <si>
    <t>Adjustment to Beginning Fund Equity for LEOSSA</t>
  </si>
  <si>
    <t>Deferred Outflow - Benefit Payments and Administrative Costs made subsequent to the measurement date</t>
  </si>
  <si>
    <t xml:space="preserve">Entry for Conversion worksheet to record proportionate share of net pensions liability, pension expense, and deferred outflows and deferred inflows of resources related to pensions.  </t>
  </si>
  <si>
    <t>General Government OPEB expense</t>
  </si>
  <si>
    <t>Public Safety OPEB expense</t>
  </si>
  <si>
    <t>Transportation OPEB expense</t>
  </si>
  <si>
    <t>Economic and Physical Development OPEB expense</t>
  </si>
  <si>
    <t>Cultural and Recreation OPEB expense</t>
  </si>
  <si>
    <t>Other program 1 OPEB expense</t>
  </si>
  <si>
    <t>Other program 2 OPEB expense</t>
  </si>
  <si>
    <t>Pension Expense - General Government</t>
  </si>
  <si>
    <t>General Government administrative expense</t>
  </si>
  <si>
    <t>Public Safety administrative expense</t>
  </si>
  <si>
    <t>Transportation administrative expense</t>
  </si>
  <si>
    <t>Economic and Physical Development administrative expense</t>
  </si>
  <si>
    <t>Cultural and Recreation administrative expense</t>
  </si>
  <si>
    <t>Other program 1 administrative expense</t>
  </si>
  <si>
    <t>Other program 2 administrative expense</t>
  </si>
  <si>
    <t>General Government benefit payments</t>
  </si>
  <si>
    <t>Public Safety benefit payments</t>
  </si>
  <si>
    <t>Transportation benefit payments</t>
  </si>
  <si>
    <t>Economic and Physical Development benefit payments</t>
  </si>
  <si>
    <t>Cultural and Recreation benefit payments</t>
  </si>
  <si>
    <t>Other program 1 benefit payments</t>
  </si>
  <si>
    <t>Other program 2 benefit payments</t>
  </si>
  <si>
    <t>3) Benefit payments that were made between the current year's measurement date and the current fiscal year end (reporting date)</t>
  </si>
  <si>
    <t>DO</t>
  </si>
  <si>
    <t xml:space="preserve">  Total OPEB liability</t>
  </si>
  <si>
    <t>Total OPEB liability/obligation</t>
  </si>
  <si>
    <t>LGERS - Deferred outflows of resources contributions made to pension plan</t>
  </si>
  <si>
    <t xml:space="preserve">   Net pension Liability</t>
  </si>
  <si>
    <t xml:space="preserve">   Net Pension Liability</t>
  </si>
  <si>
    <t xml:space="preserve">   Net pension liability</t>
  </si>
  <si>
    <t>Total OPEB liability</t>
  </si>
  <si>
    <t>Entries from Worksheets B - J and N1-P3</t>
  </si>
  <si>
    <r>
      <t xml:space="preserve">Note 3 - Data except for pension and OPEB amounts must be </t>
    </r>
    <r>
      <rPr>
        <b/>
        <sz val="8"/>
        <rFont val="Arial"/>
        <family val="2"/>
      </rPr>
      <t>entered</t>
    </r>
    <r>
      <rPr>
        <sz val="8"/>
        <rFont val="Arial"/>
        <family val="2"/>
      </rPr>
      <t xml:space="preserve"> below to the proper accounts</t>
    </r>
  </si>
  <si>
    <t>P.1-3</t>
  </si>
  <si>
    <t>2) OPEB administration costs that were made between the current year's measurement date and the current fiscal year end (reporting date)</t>
  </si>
  <si>
    <t>Administrative costs</t>
  </si>
  <si>
    <t>O.</t>
  </si>
  <si>
    <t>P.</t>
  </si>
  <si>
    <r>
      <t xml:space="preserve">GASB 68 LGERS: </t>
    </r>
    <r>
      <rPr>
        <sz val="10"/>
        <rFont val="Arial"/>
        <family val="2"/>
      </rPr>
      <t>provides pension amounts for LGERS cost-sharing plan</t>
    </r>
  </si>
  <si>
    <r>
      <t xml:space="preserve">GASB 68 FRSWP: </t>
    </r>
    <r>
      <rPr>
        <sz val="10"/>
        <rFont val="Arial"/>
        <family val="2"/>
      </rPr>
      <t>provides pension amounts for FRSWP cost-sharing plan</t>
    </r>
  </si>
  <si>
    <r>
      <t xml:space="preserve">GASB 68 LEO: </t>
    </r>
    <r>
      <rPr>
        <sz val="10"/>
        <rFont val="Arial"/>
        <family val="2"/>
      </rPr>
      <t>provides pension amounts for LEOSSA single-employer plan</t>
    </r>
  </si>
  <si>
    <r>
      <t xml:space="preserve">GASB 75 OPEB: </t>
    </r>
    <r>
      <rPr>
        <sz val="10"/>
        <rFont val="Arial"/>
        <family val="2"/>
      </rPr>
      <t>provides pension amounts for single-employer OPEB plan with no trust</t>
    </r>
  </si>
  <si>
    <t>Measurement date 6/30/2018</t>
  </si>
  <si>
    <t xml:space="preserve"> SEAGROVE</t>
  </si>
  <si>
    <t xml:space="preserve"> SPARTA</t>
  </si>
  <si>
    <t xml:space="preserve"> BURNSVILLE</t>
  </si>
  <si>
    <t xml:space="preserve"> ELON</t>
  </si>
  <si>
    <t xml:space="preserve"> HAW RIVER</t>
  </si>
  <si>
    <t xml:space="preserve"> ALAMANCE</t>
  </si>
  <si>
    <t xml:space="preserve"> GREEN LEVEL</t>
  </si>
  <si>
    <t xml:space="preserve"> TAYLORSVILLE</t>
  </si>
  <si>
    <t xml:space="preserve"> SPARTA ABC BOARD</t>
  </si>
  <si>
    <t xml:space="preserve"> WADESBORO</t>
  </si>
  <si>
    <t xml:space="preserve"> LILESVILLE</t>
  </si>
  <si>
    <t xml:space="preserve"> POLKTON</t>
  </si>
  <si>
    <t xml:space="preserve"> PEACHLAND</t>
  </si>
  <si>
    <t xml:space="preserve"> ANSONVILLE</t>
  </si>
  <si>
    <t xml:space="preserve"> MORVEN</t>
  </si>
  <si>
    <t xml:space="preserve"> JEFFERSON</t>
  </si>
  <si>
    <t xml:space="preserve"> WEST JEFFERSON</t>
  </si>
  <si>
    <t xml:space="preserve"> BANNER ELK</t>
  </si>
  <si>
    <t xml:space="preserve"> NEWLAND</t>
  </si>
  <si>
    <t xml:space="preserve"> BEECH MOUNTAIN</t>
  </si>
  <si>
    <t xml:space="preserve"> ELK PARK</t>
  </si>
  <si>
    <t xml:space="preserve"> SUGAR MOUNTAIN</t>
  </si>
  <si>
    <t xml:space="preserve"> AURORA</t>
  </si>
  <si>
    <t xml:space="preserve"> BELHAVEN</t>
  </si>
  <si>
    <t xml:space="preserve"> WASHINGTON PARK</t>
  </si>
  <si>
    <t xml:space="preserve"> CHOCOWINITY</t>
  </si>
  <si>
    <t xml:space="preserve"> AULANDER</t>
  </si>
  <si>
    <t xml:space="preserve"> WINDSOR</t>
  </si>
  <si>
    <t xml:space="preserve"> COLERAIN</t>
  </si>
  <si>
    <t xml:space="preserve"> LEWISTON WOODVILLE</t>
  </si>
  <si>
    <t xml:space="preserve"> ELIZABETHTOWN</t>
  </si>
  <si>
    <t xml:space="preserve"> WHITE LAKE</t>
  </si>
  <si>
    <t xml:space="preserve"> CLARKTON</t>
  </si>
  <si>
    <t xml:space="preserve"> BLADENBORO</t>
  </si>
  <si>
    <t xml:space="preserve"> LELAND</t>
  </si>
  <si>
    <t xml:space="preserve"> CALABASH</t>
  </si>
  <si>
    <t xml:space="preserve"> HOLDEN BEACH</t>
  </si>
  <si>
    <t xml:space="preserve"> BELVILLE</t>
  </si>
  <si>
    <t xml:space="preserve"> OAK ISLAND</t>
  </si>
  <si>
    <t xml:space="preserve"> CAROLINA SHORES</t>
  </si>
  <si>
    <t xml:space="preserve"> NAVASSA</t>
  </si>
  <si>
    <t xml:space="preserve"> ST JAMES</t>
  </si>
  <si>
    <t xml:space="preserve"> SUNSET BEACH</t>
  </si>
  <si>
    <t xml:space="preserve"> SUNSET BEACH ABC BOARD</t>
  </si>
  <si>
    <t xml:space="preserve"> CASWELL BEACH</t>
  </si>
  <si>
    <t xml:space="preserve"> OCEAN ISLE BEACH</t>
  </si>
  <si>
    <t xml:space="preserve"> SHALLOTTE</t>
  </si>
  <si>
    <t xml:space="preserve"> BALD HEAD ISLAND</t>
  </si>
  <si>
    <t xml:space="preserve"> BILTMORE FOREST</t>
  </si>
  <si>
    <t xml:space="preserve"> WEAVERVILLE</t>
  </si>
  <si>
    <t xml:space="preserve"> BLACK MOUNTAIN</t>
  </si>
  <si>
    <t xml:space="preserve"> MONTREAT</t>
  </si>
  <si>
    <t xml:space="preserve"> WOODFIN</t>
  </si>
  <si>
    <t xml:space="preserve"> VALDESE</t>
  </si>
  <si>
    <t xml:space="preserve"> RUTHERFORD COLLEGE</t>
  </si>
  <si>
    <t xml:space="preserve"> DREXEL</t>
  </si>
  <si>
    <t xml:space="preserve"> GLEN ALPINE</t>
  </si>
  <si>
    <t xml:space="preserve"> HILDEBRAN</t>
  </si>
  <si>
    <t xml:space="preserve"> CONNELLY SPRINGS</t>
  </si>
  <si>
    <t>WATER &amp; SEWER AUTHORITY OF CABARRUS CNTY</t>
  </si>
  <si>
    <t>CABARRUS CO PUBLIC HEALTH AUTHORITY</t>
  </si>
  <si>
    <t xml:space="preserve"> MOUNT PLEASANT</t>
  </si>
  <si>
    <t xml:space="preserve"> MIDLAND</t>
  </si>
  <si>
    <t xml:space="preserve"> GRANITE FALLS</t>
  </si>
  <si>
    <t xml:space="preserve"> SAWMILLS</t>
  </si>
  <si>
    <t xml:space="preserve"> HUDSON</t>
  </si>
  <si>
    <t xml:space="preserve"> HARRISBURG</t>
  </si>
  <si>
    <t xml:space="preserve"> CAJAH'S MOUNTAIN</t>
  </si>
  <si>
    <t xml:space="preserve"> MOREHEAD CITY</t>
  </si>
  <si>
    <t xml:space="preserve"> NEWPORT</t>
  </si>
  <si>
    <t xml:space="preserve"> BEAUFORT</t>
  </si>
  <si>
    <t>BEAUFORT HOUSING AUTHORITY</t>
  </si>
  <si>
    <t xml:space="preserve"> PINE KNOLL SHORES</t>
  </si>
  <si>
    <t xml:space="preserve"> EMERALD ISLE</t>
  </si>
  <si>
    <t xml:space="preserve"> INDIAN BEACH</t>
  </si>
  <si>
    <t xml:space="preserve"> CAPE CARTERET</t>
  </si>
  <si>
    <t xml:space="preserve"> ATLANTIC BEACH</t>
  </si>
  <si>
    <t xml:space="preserve"> CEDAR POINT</t>
  </si>
  <si>
    <t xml:space="preserve"> YANCEYVILLE</t>
  </si>
  <si>
    <t>HICKORY CONOVER TOURISM DEV AUTHORITY</t>
  </si>
  <si>
    <t xml:space="preserve"> MAIDEN</t>
  </si>
  <si>
    <t>THE  LONGVIEW</t>
  </si>
  <si>
    <t xml:space="preserve"> CONOVER</t>
  </si>
  <si>
    <t xml:space="preserve"> BROOKFORD</t>
  </si>
  <si>
    <t xml:space="preserve"> CATAWBA</t>
  </si>
  <si>
    <t>CHATHAM CO HOUSING AUTHORITY</t>
  </si>
  <si>
    <t xml:space="preserve"> SILER CITY</t>
  </si>
  <si>
    <t xml:space="preserve"> PITTSBORO</t>
  </si>
  <si>
    <t xml:space="preserve"> MURPHY</t>
  </si>
  <si>
    <t xml:space="preserve"> ANDREWS</t>
  </si>
  <si>
    <t xml:space="preserve"> EDENTON</t>
  </si>
  <si>
    <t>THE NEW EDENTON HOUSING AUTHORITY</t>
  </si>
  <si>
    <t>CLAY COUNTY ABC BOARD</t>
  </si>
  <si>
    <t xml:space="preserve"> BOILING SPRINGS</t>
  </si>
  <si>
    <t xml:space="preserve"> LAWNDALE</t>
  </si>
  <si>
    <t xml:space="preserve"> GROVER</t>
  </si>
  <si>
    <t xml:space="preserve"> BOLTON</t>
  </si>
  <si>
    <t xml:space="preserve"> BRUNSWICK</t>
  </si>
  <si>
    <t xml:space="preserve"> FAIR BLUFF</t>
  </si>
  <si>
    <t xml:space="preserve"> CHADBOURN</t>
  </si>
  <si>
    <t xml:space="preserve"> TABOR CITY</t>
  </si>
  <si>
    <t xml:space="preserve"> LAKE WACCAMAW</t>
  </si>
  <si>
    <t>COASTAL REGIONAL SOLID WASTE MNGT AUTHORITY</t>
  </si>
  <si>
    <t>96519M</t>
  </si>
  <si>
    <t>COASTALCARE- MERGED WITH TRILLIUM</t>
  </si>
  <si>
    <t>92509M</t>
  </si>
  <si>
    <t>EAST CAROLINA BEHAVORIAL HEALTH - MERGED WITH TRILLIUM</t>
  </si>
  <si>
    <t>92513M</t>
  </si>
  <si>
    <t>TRILLIUM HEALTH RESOURCES (INCLUDES EAST CAROLINA BEHAVIORAL HEALTHCARE AND COASTALCARE)</t>
  </si>
  <si>
    <t xml:space="preserve"> TRENT WOODS</t>
  </si>
  <si>
    <t xml:space="preserve"> RIVER BEND</t>
  </si>
  <si>
    <t xml:space="preserve"> VANCEBORO</t>
  </si>
  <si>
    <t xml:space="preserve"> BRIDGETON</t>
  </si>
  <si>
    <t xml:space="preserve"> COVE CITY</t>
  </si>
  <si>
    <t>FAYETTEVILLE METROPOLITAN HOUSING AUTHORITY</t>
  </si>
  <si>
    <t xml:space="preserve"> STEDMAN</t>
  </si>
  <si>
    <t xml:space="preserve"> HOPE MILLS</t>
  </si>
  <si>
    <t xml:space="preserve"> WADE</t>
  </si>
  <si>
    <t xml:space="preserve"> LINDEN</t>
  </si>
  <si>
    <t xml:space="preserve"> SPRING LAKE</t>
  </si>
  <si>
    <t xml:space="preserve"> FALCON</t>
  </si>
  <si>
    <t xml:space="preserve"> EASTOVER</t>
  </si>
  <si>
    <t xml:space="preserve"> NAGS HEAD</t>
  </si>
  <si>
    <t xml:space="preserve"> KILL DEVIL HILLS</t>
  </si>
  <si>
    <t xml:space="preserve"> MANTEO</t>
  </si>
  <si>
    <t xml:space="preserve"> SOUTHERN SHORES</t>
  </si>
  <si>
    <t xml:space="preserve"> KITTY HAWK</t>
  </si>
  <si>
    <t xml:space="preserve"> DUCK</t>
  </si>
  <si>
    <t xml:space="preserve"> DENTON</t>
  </si>
  <si>
    <t xml:space="preserve"> MIDWAY</t>
  </si>
  <si>
    <t xml:space="preserve"> MOCKSVILLE</t>
  </si>
  <si>
    <t xml:space="preserve"> BERMUDA RUN</t>
  </si>
  <si>
    <t xml:space="preserve"> COOLEEMEE</t>
  </si>
  <si>
    <t xml:space="preserve"> BEULAVILLE</t>
  </si>
  <si>
    <t xml:space="preserve"> KENANSVILLE</t>
  </si>
  <si>
    <t xml:space="preserve"> WARSAW</t>
  </si>
  <si>
    <t xml:space="preserve"> FAISON</t>
  </si>
  <si>
    <t xml:space="preserve"> WALLACE</t>
  </si>
  <si>
    <t xml:space="preserve"> ROSE HILL</t>
  </si>
  <si>
    <t xml:space="preserve"> CALYPSO</t>
  </si>
  <si>
    <t xml:space="preserve"> TEACHEY</t>
  </si>
  <si>
    <t xml:space="preserve"> MAGNOLIA</t>
  </si>
  <si>
    <t xml:space="preserve"> TARBORO</t>
  </si>
  <si>
    <t xml:space="preserve"> PINETOPS</t>
  </si>
  <si>
    <t xml:space="preserve"> MACCLESFIELD</t>
  </si>
  <si>
    <t xml:space="preserve"> PRINCEVILLE</t>
  </si>
  <si>
    <t xml:space="preserve"> KERNERSVILLE</t>
  </si>
  <si>
    <t xml:space="preserve"> RURAL HALL</t>
  </si>
  <si>
    <t xml:space="preserve"> CLEMMONS</t>
  </si>
  <si>
    <t xml:space="preserve"> LEWISVILLE</t>
  </si>
  <si>
    <t>WALKERTOWN</t>
  </si>
  <si>
    <t>TOBACCOVILLE</t>
  </si>
  <si>
    <t xml:space="preserve"> FRANKLINTON</t>
  </si>
  <si>
    <t xml:space="preserve"> LOUISBURG</t>
  </si>
  <si>
    <t>BUNN</t>
  </si>
  <si>
    <t>ABC BOARD -  BUNN</t>
  </si>
  <si>
    <t xml:space="preserve"> YOUNGSVILLE</t>
  </si>
  <si>
    <t>STANLEY</t>
  </si>
  <si>
    <t>CRAMERTON ABC BOARD</t>
  </si>
  <si>
    <t>MCADENVILLE</t>
  </si>
  <si>
    <t xml:space="preserve"> CRAMERTON</t>
  </si>
  <si>
    <t xml:space="preserve"> DALLAS</t>
  </si>
  <si>
    <t xml:space="preserve"> RANLO</t>
  </si>
  <si>
    <t xml:space="preserve"> ROBBINSVILLE</t>
  </si>
  <si>
    <t xml:space="preserve"> STOVALL</t>
  </si>
  <si>
    <t xml:space="preserve"> BUTNER</t>
  </si>
  <si>
    <t xml:space="preserve"> HOOKERTON</t>
  </si>
  <si>
    <t xml:space="preserve"> SNOW HILL</t>
  </si>
  <si>
    <t xml:space="preserve"> WALSTONBURG</t>
  </si>
  <si>
    <t>PIEDMONT TRIAD REG WATER AUTHORITY</t>
  </si>
  <si>
    <t xml:space="preserve"> JAMESTOWN</t>
  </si>
  <si>
    <t xml:space="preserve"> GIBSONVILLE</t>
  </si>
  <si>
    <t xml:space="preserve"> OAK RIDGE</t>
  </si>
  <si>
    <t xml:space="preserve"> SUMMERFIELD</t>
  </si>
  <si>
    <t xml:space="preserve"> ENFIELD</t>
  </si>
  <si>
    <t xml:space="preserve"> WELDON</t>
  </si>
  <si>
    <t xml:space="preserve"> SCOTLAND NECK</t>
  </si>
  <si>
    <t xml:space="preserve"> HOBGOOD</t>
  </si>
  <si>
    <t xml:space="preserve"> LITTLETON</t>
  </si>
  <si>
    <t xml:space="preserve"> LILLINGTON</t>
  </si>
  <si>
    <t xml:space="preserve"> ERWIN</t>
  </si>
  <si>
    <t xml:space="preserve"> COATS</t>
  </si>
  <si>
    <t xml:space="preserve"> ANGIER ABC BOARD</t>
  </si>
  <si>
    <t xml:space="preserve"> ANGIER</t>
  </si>
  <si>
    <t xml:space="preserve"> WAYNESVILLE</t>
  </si>
  <si>
    <t xml:space="preserve"> MAGGIE VALLEY</t>
  </si>
  <si>
    <t xml:space="preserve"> CANTON</t>
  </si>
  <si>
    <t xml:space="preserve"> LAUREL PARK</t>
  </si>
  <si>
    <t>THE  FLAT ROCK</t>
  </si>
  <si>
    <t xml:space="preserve"> FLETCHER</t>
  </si>
  <si>
    <t xml:space="preserve"> MILLS RIVER</t>
  </si>
  <si>
    <t xml:space="preserve"> AHOSKIE</t>
  </si>
  <si>
    <t xml:space="preserve"> MURFREESBORO</t>
  </si>
  <si>
    <t xml:space="preserve"> WINTON</t>
  </si>
  <si>
    <t xml:space="preserve"> COFIELD</t>
  </si>
  <si>
    <t xml:space="preserve"> RAEFORD</t>
  </si>
  <si>
    <t xml:space="preserve"> TROUTMAN</t>
  </si>
  <si>
    <t xml:space="preserve"> TROUTMAN ABC BOARD</t>
  </si>
  <si>
    <t>VALDESE ABC BOARD</t>
  </si>
  <si>
    <t xml:space="preserve"> SYLVA</t>
  </si>
  <si>
    <t xml:space="preserve"> ARCHER LODGE</t>
  </si>
  <si>
    <t xml:space="preserve"> SMITHFIELD</t>
  </si>
  <si>
    <t xml:space="preserve"> SELMA</t>
  </si>
  <si>
    <t xml:space="preserve"> MICRO</t>
  </si>
  <si>
    <t xml:space="preserve"> CLAYTON</t>
  </si>
  <si>
    <t xml:space="preserve"> BENSON</t>
  </si>
  <si>
    <t xml:space="preserve"> FOUR OAKS</t>
  </si>
  <si>
    <t xml:space="preserve"> PINE LEVEL</t>
  </si>
  <si>
    <t xml:space="preserve"> KENLY</t>
  </si>
  <si>
    <t xml:space="preserve"> PRINCETON</t>
  </si>
  <si>
    <t xml:space="preserve"> WILSON'S MILLS</t>
  </si>
  <si>
    <t xml:space="preserve"> POLLOCKSVILLE</t>
  </si>
  <si>
    <t xml:space="preserve"> MAYSVILLE</t>
  </si>
  <si>
    <t xml:space="preserve"> BROADWAY</t>
  </si>
  <si>
    <t>HOUSING AUTHORITY FOR THE CTY OF KINSTON</t>
  </si>
  <si>
    <t xml:space="preserve"> PINK HILL</t>
  </si>
  <si>
    <t xml:space="preserve"> LAGRANGE</t>
  </si>
  <si>
    <t xml:space="preserve"> LINCOLNTON ABC BOARD</t>
  </si>
  <si>
    <t xml:space="preserve"> FRANKLIN</t>
  </si>
  <si>
    <t xml:space="preserve"> HIGHLANDS</t>
  </si>
  <si>
    <t xml:space="preserve"> MARS HILL</t>
  </si>
  <si>
    <t xml:space="preserve"> MARSHALL</t>
  </si>
  <si>
    <t>MARTIN CO TRAVEL &amp; TOURISM AUTHORITY</t>
  </si>
  <si>
    <t xml:space="preserve"> WILLIAMSTON</t>
  </si>
  <si>
    <t xml:space="preserve"> OAK CITY</t>
  </si>
  <si>
    <t xml:space="preserve"> HAMILTON</t>
  </si>
  <si>
    <t xml:space="preserve"> JAMESVILLE</t>
  </si>
  <si>
    <t xml:space="preserve"> ROBERSONVILLE</t>
  </si>
  <si>
    <t xml:space="preserve"> MARION</t>
  </si>
  <si>
    <t xml:space="preserve"> OLD FORT</t>
  </si>
  <si>
    <t xml:space="preserve"> PINEVILLE</t>
  </si>
  <si>
    <t xml:space="preserve"> MINT HILL</t>
  </si>
  <si>
    <t xml:space="preserve"> HUNTERSVILLE</t>
  </si>
  <si>
    <t xml:space="preserve"> CORNELIUS</t>
  </si>
  <si>
    <t xml:space="preserve"> STALLINGS</t>
  </si>
  <si>
    <t xml:space="preserve"> MATTHEWS</t>
  </si>
  <si>
    <t xml:space="preserve"> DAVIDSON</t>
  </si>
  <si>
    <t xml:space="preserve"> SPRUCE PINE</t>
  </si>
  <si>
    <t xml:space="preserve"> BAKERSVILLE</t>
  </si>
  <si>
    <t xml:space="preserve"> STAR</t>
  </si>
  <si>
    <t xml:space="preserve"> TROY</t>
  </si>
  <si>
    <t xml:space="preserve"> BISCOE</t>
  </si>
  <si>
    <t xml:space="preserve"> CANDOR</t>
  </si>
  <si>
    <t xml:space="preserve"> MOUNT GILEAD</t>
  </si>
  <si>
    <t xml:space="preserve"> TAYLORTOWN</t>
  </si>
  <si>
    <t xml:space="preserve"> SOUTHERN PINES</t>
  </si>
  <si>
    <t xml:space="preserve"> CAMERON</t>
  </si>
  <si>
    <t xml:space="preserve"> VASS</t>
  </si>
  <si>
    <t xml:space="preserve"> ABERDEEN</t>
  </si>
  <si>
    <t xml:space="preserve"> ROBBINS</t>
  </si>
  <si>
    <t xml:space="preserve"> PINEHURST</t>
  </si>
  <si>
    <t xml:space="preserve"> PINEBLUFF</t>
  </si>
  <si>
    <t xml:space="preserve"> WHISPERING PINES</t>
  </si>
  <si>
    <t xml:space="preserve"> CARTHAGE</t>
  </si>
  <si>
    <t xml:space="preserve"> SPRING HOPE</t>
  </si>
  <si>
    <t xml:space="preserve"> NASHVILLE</t>
  </si>
  <si>
    <t xml:space="preserve"> MIDDLESEX</t>
  </si>
  <si>
    <t xml:space="preserve"> WHITAKERS</t>
  </si>
  <si>
    <t xml:space="preserve"> BAILEY</t>
  </si>
  <si>
    <t xml:space="preserve"> SHARPSBURG</t>
  </si>
  <si>
    <t>NEW HANOVER AIRPORT AUTHORITY</t>
  </si>
  <si>
    <t>LOWER CAPE FEAR WATER &amp; SEWER AUTHORITY</t>
  </si>
  <si>
    <t xml:space="preserve"> WRIGHTSVILLE BEACH</t>
  </si>
  <si>
    <t xml:space="preserve"> CAROLINA BEACH</t>
  </si>
  <si>
    <t xml:space="preserve"> KURE BEACH</t>
  </si>
  <si>
    <t xml:space="preserve"> RICH SQUARE</t>
  </si>
  <si>
    <t>CHOANOKE PUBLIC TRANSPORTATION AUTHORITY</t>
  </si>
  <si>
    <t xml:space="preserve"> WOODLAND</t>
  </si>
  <si>
    <t xml:space="preserve"> GARYSBURG</t>
  </si>
  <si>
    <t xml:space="preserve"> CONWAY</t>
  </si>
  <si>
    <t xml:space="preserve"> GASTON</t>
  </si>
  <si>
    <t xml:space="preserve"> JACKSON</t>
  </si>
  <si>
    <t xml:space="preserve"> SEVERN</t>
  </si>
  <si>
    <t xml:space="preserve"> SEABOARD</t>
  </si>
  <si>
    <t xml:space="preserve"> SWANSBORO</t>
  </si>
  <si>
    <t xml:space="preserve"> HOLLY RIDGE</t>
  </si>
  <si>
    <t xml:space="preserve"> RICHLANDS</t>
  </si>
  <si>
    <t xml:space="preserve"> N TOPSAIL BEACH</t>
  </si>
  <si>
    <t xml:space="preserve"> CHAPEL HILL</t>
  </si>
  <si>
    <t xml:space="preserve"> CARRBORO</t>
  </si>
  <si>
    <t xml:space="preserve"> HILLSBOROUGH</t>
  </si>
  <si>
    <t xml:space="preserve"> BAYBORO</t>
  </si>
  <si>
    <t xml:space="preserve"> ORIENTAL</t>
  </si>
  <si>
    <t>ELIZABETH CITY-PASQUOTANK CO AIRPORT AUTHORITY</t>
  </si>
  <si>
    <t xml:space="preserve"> BURGAW</t>
  </si>
  <si>
    <t xml:space="preserve"> TOPSAIL BEACH</t>
  </si>
  <si>
    <t xml:space="preserve"> SURF CITY</t>
  </si>
  <si>
    <t xml:space="preserve"> HERTFORD</t>
  </si>
  <si>
    <t>HERTFORD HOUSING AUTHORITY</t>
  </si>
  <si>
    <t xml:space="preserve"> HERTFORD ABC BOARD</t>
  </si>
  <si>
    <t xml:space="preserve"> WINFALL</t>
  </si>
  <si>
    <t xml:space="preserve"> FARMVILLE</t>
  </si>
  <si>
    <t xml:space="preserve"> GRIFTON</t>
  </si>
  <si>
    <t xml:space="preserve"> BETHEL</t>
  </si>
  <si>
    <t xml:space="preserve"> WINTERVILLE</t>
  </si>
  <si>
    <t>97461M</t>
  </si>
  <si>
    <t xml:space="preserve"> AYDEN</t>
  </si>
  <si>
    <t>97463M</t>
  </si>
  <si>
    <t>AYDEN HOUSING AUTHORITY MERGED WITH TOWN OF AYDEN</t>
  </si>
  <si>
    <t xml:space="preserve"> GRIMESLAND</t>
  </si>
  <si>
    <t xml:space="preserve"> SIMPSON</t>
  </si>
  <si>
    <t xml:space="preserve">FOUNTAIN, </t>
  </si>
  <si>
    <t xml:space="preserve"> TRYON</t>
  </si>
  <si>
    <t xml:space="preserve"> COLUMBUS</t>
  </si>
  <si>
    <t>ASHEBORO HOUSING AUTHORITY</t>
  </si>
  <si>
    <t xml:space="preserve"> LIBERTY</t>
  </si>
  <si>
    <t xml:space="preserve"> RAMSEUR</t>
  </si>
  <si>
    <t xml:space="preserve"> ELLERBE</t>
  </si>
  <si>
    <t xml:space="preserve"> FAIRMONT</t>
  </si>
  <si>
    <t xml:space="preserve"> ST PAULS</t>
  </si>
  <si>
    <t xml:space="preserve"> MAXTON</t>
  </si>
  <si>
    <t xml:space="preserve"> PARKTON</t>
  </si>
  <si>
    <t xml:space="preserve"> PEMBROKE</t>
  </si>
  <si>
    <t xml:space="preserve"> ROWLAND</t>
  </si>
  <si>
    <t xml:space="preserve"> RED SPRINGS</t>
  </si>
  <si>
    <t>THE NEW REIDSVILLE HOUSING AUTHORITY</t>
  </si>
  <si>
    <t xml:space="preserve"> MAYODAN</t>
  </si>
  <si>
    <t xml:space="preserve"> STONEVILLE</t>
  </si>
  <si>
    <t xml:space="preserve"> MADISON</t>
  </si>
  <si>
    <t>HOUSING AUTHORITY OF THE CTY OF SALISBURY</t>
  </si>
  <si>
    <t xml:space="preserve"> EAST SPENCER</t>
  </si>
  <si>
    <t xml:space="preserve"> SPENCER</t>
  </si>
  <si>
    <t xml:space="preserve"> CHINA GROVE</t>
  </si>
  <si>
    <t xml:space="preserve"> LANDIS</t>
  </si>
  <si>
    <t xml:space="preserve"> GRANITE QUARRY</t>
  </si>
  <si>
    <t xml:space="preserve"> ROCKWELL</t>
  </si>
  <si>
    <t xml:space="preserve"> FAITH</t>
  </si>
  <si>
    <t xml:space="preserve"> CLEVELAND</t>
  </si>
  <si>
    <t xml:space="preserve"> FOREST CITY</t>
  </si>
  <si>
    <t xml:space="preserve"> SPINDALE</t>
  </si>
  <si>
    <t xml:space="preserve"> LAKE LURE</t>
  </si>
  <si>
    <t xml:space="preserve"> RUTHERFORDTON</t>
  </si>
  <si>
    <t xml:space="preserve"> RUTHERFORDTON ABC BRD</t>
  </si>
  <si>
    <t xml:space="preserve"> ELLENBORO</t>
  </si>
  <si>
    <t xml:space="preserve"> SALEMBURG</t>
  </si>
  <si>
    <t xml:space="preserve"> NEWTON GROVE</t>
  </si>
  <si>
    <t xml:space="preserve"> GARLAND</t>
  </si>
  <si>
    <t xml:space="preserve"> TURKEY</t>
  </si>
  <si>
    <t xml:space="preserve"> ROSEBORO</t>
  </si>
  <si>
    <t xml:space="preserve"> AUTRYVILLE</t>
  </si>
  <si>
    <t xml:space="preserve"> WAGRAM</t>
  </si>
  <si>
    <t xml:space="preserve"> GIBSON</t>
  </si>
  <si>
    <t>98414M</t>
  </si>
  <si>
    <t xml:space="preserve"> MISENHEIMER</t>
  </si>
  <si>
    <t>71786M</t>
  </si>
  <si>
    <t xml:space="preserve"> NORWOOD</t>
  </si>
  <si>
    <t xml:space="preserve"> OAKBORO</t>
  </si>
  <si>
    <t xml:space="preserve"> BADIN</t>
  </si>
  <si>
    <t xml:space="preserve"> NEW LONDON</t>
  </si>
  <si>
    <t xml:space="preserve"> STANFIELD</t>
  </si>
  <si>
    <t xml:space="preserve"> WALNUT COVE</t>
  </si>
  <si>
    <t>98604M</t>
  </si>
  <si>
    <t>98647M</t>
  </si>
  <si>
    <t>ELKIN ABC BOARD - merged with Yakdin Valley ABC Board</t>
  </si>
  <si>
    <t xml:space="preserve"> PILOT MOUNTAIN</t>
  </si>
  <si>
    <t xml:space="preserve"> DOBSON</t>
  </si>
  <si>
    <t xml:space="preserve"> ELKIN</t>
  </si>
  <si>
    <t xml:space="preserve"> BRYSON CITY</t>
  </si>
  <si>
    <t xml:space="preserve"> COLUMBIA</t>
  </si>
  <si>
    <t xml:space="preserve"> MARSHVILLE</t>
  </si>
  <si>
    <t xml:space="preserve"> MINERAL SPRINGS</t>
  </si>
  <si>
    <t xml:space="preserve"> WINGATE</t>
  </si>
  <si>
    <t xml:space="preserve"> WAXHAW</t>
  </si>
  <si>
    <t xml:space="preserve"> INDIAN TRAIL</t>
  </si>
  <si>
    <t xml:space="preserve"> UNIONVILLE</t>
  </si>
  <si>
    <t xml:space="preserve"> WEDDINGTON</t>
  </si>
  <si>
    <t xml:space="preserve"> MARVIN</t>
  </si>
  <si>
    <t xml:space="preserve"> WESLEY CHAPEL</t>
  </si>
  <si>
    <t xml:space="preserve"> HOLLY SPRINGS</t>
  </si>
  <si>
    <t xml:space="preserve"> ROLESVILLE</t>
  </si>
  <si>
    <t xml:space="preserve"> MORRISVILLE</t>
  </si>
  <si>
    <t xml:space="preserve"> CARY</t>
  </si>
  <si>
    <t xml:space="preserve"> WENDELL</t>
  </si>
  <si>
    <t xml:space="preserve"> ZEBULON</t>
  </si>
  <si>
    <t xml:space="preserve"> GARNER</t>
  </si>
  <si>
    <t xml:space="preserve"> FUQUAY-VARINA</t>
  </si>
  <si>
    <t xml:space="preserve"> APEX</t>
  </si>
  <si>
    <t xml:space="preserve"> WAKE FOREST</t>
  </si>
  <si>
    <t xml:space="preserve"> KNIGHTDALE</t>
  </si>
  <si>
    <t xml:space="preserve"> NORLINA</t>
  </si>
  <si>
    <t xml:space="preserve"> WARRENTON</t>
  </si>
  <si>
    <t xml:space="preserve"> PLYMOUTH</t>
  </si>
  <si>
    <t xml:space="preserve"> ROPER</t>
  </si>
  <si>
    <t xml:space="preserve"> CRESWELL</t>
  </si>
  <si>
    <t xml:space="preserve"> BOONE</t>
  </si>
  <si>
    <t xml:space="preserve"> BLOWING ROCK</t>
  </si>
  <si>
    <t xml:space="preserve"> SEVEN DEVILS</t>
  </si>
  <si>
    <t>EASTERN CAROLINA REG'L HOUSING AUTHORITY</t>
  </si>
  <si>
    <t xml:space="preserve"> MOUNT OLIVE</t>
  </si>
  <si>
    <t>MOUNT OLIVE HOUSING AUTHORITY</t>
  </si>
  <si>
    <t xml:space="preserve"> FREMONT</t>
  </si>
  <si>
    <t xml:space="preserve"> PIKEVILLE</t>
  </si>
  <si>
    <t xml:space="preserve"> WALNUT CREEK</t>
  </si>
  <si>
    <t xml:space="preserve"> N WILKESBORO</t>
  </si>
  <si>
    <t xml:space="preserve"> N WILKESBORO ABC BOARD</t>
  </si>
  <si>
    <t xml:space="preserve"> WILKESBORO</t>
  </si>
  <si>
    <t>WILSON COUNTY TOURISM DEVELOPMENT AUTHORITY</t>
  </si>
  <si>
    <t>WILSON</t>
  </si>
  <si>
    <t>WILSON CEMETERY COMMISSION</t>
  </si>
  <si>
    <t xml:space="preserve"> STANTONSBURG</t>
  </si>
  <si>
    <t xml:space="preserve"> BLACK CREEK</t>
  </si>
  <si>
    <t xml:space="preserve"> LUCAMA</t>
  </si>
  <si>
    <t xml:space="preserve"> ELM CITY</t>
  </si>
  <si>
    <t xml:space="preserve"> YADKINVILLE</t>
  </si>
  <si>
    <t xml:space="preserve"> JONESVILLE</t>
  </si>
  <si>
    <t xml:space="preserve"> EAST BEND</t>
  </si>
  <si>
    <t xml:space="preserve"> BOONVILLE</t>
  </si>
  <si>
    <t>Check total</t>
  </si>
  <si>
    <t>ABERDEEN</t>
  </si>
  <si>
    <t>AHOSKIE</t>
  </si>
  <si>
    <t>ALAMANCE</t>
  </si>
  <si>
    <t>ALBEMARLE</t>
  </si>
  <si>
    <t>ANDREWS</t>
  </si>
  <si>
    <t>ANGIER</t>
  </si>
  <si>
    <t>ANGIER ABC BOARD</t>
  </si>
  <si>
    <t>ANSONVILLE</t>
  </si>
  <si>
    <t>APEX</t>
  </si>
  <si>
    <t>ARCHDALE</t>
  </si>
  <si>
    <t>ARCHER LODGE</t>
  </si>
  <si>
    <t>ASHEBORO</t>
  </si>
  <si>
    <t>ASHEVILLE</t>
  </si>
  <si>
    <t>ATLANTIC BEACH</t>
  </si>
  <si>
    <t>AULANDER</t>
  </si>
  <si>
    <t>AURORA</t>
  </si>
  <si>
    <t>AUTRYVILLE</t>
  </si>
  <si>
    <t>AYDEN</t>
  </si>
  <si>
    <t>AYDEN HOUSING AUTHORITY - MERGED WITH TOWN OF AYDEN</t>
  </si>
  <si>
    <t>BADIN</t>
  </si>
  <si>
    <t>BAILEY</t>
  </si>
  <si>
    <t>BAKERSVILLE</t>
  </si>
  <si>
    <t>BALD HEAD ISLAND</t>
  </si>
  <si>
    <t>BANNER ELK</t>
  </si>
  <si>
    <t>BAYBORO</t>
  </si>
  <si>
    <t>BEAUFORT</t>
  </si>
  <si>
    <t>BEECH MOUNTAIN</t>
  </si>
  <si>
    <t>BELHAVEN</t>
  </si>
  <si>
    <t>BELMONT</t>
  </si>
  <si>
    <t>BELVILLE</t>
  </si>
  <si>
    <t>BENSON</t>
  </si>
  <si>
    <t>BERMUDA RUN</t>
  </si>
  <si>
    <t>BESSEMER CITY ABC BOARD</t>
  </si>
  <si>
    <t>BETHEL</t>
  </si>
  <si>
    <t>BEULAVILLE</t>
  </si>
  <si>
    <t>BILTMORE FOREST</t>
  </si>
  <si>
    <t>BISCOE</t>
  </si>
  <si>
    <t>BLACK CREEK</t>
  </si>
  <si>
    <t>BLACK MOUNTAIN</t>
  </si>
  <si>
    <t>BLADENBORO</t>
  </si>
  <si>
    <t>BLOWING ROCK</t>
  </si>
  <si>
    <t>BOILING SPRING LAKES</t>
  </si>
  <si>
    <t>BOILING SPRINGS</t>
  </si>
  <si>
    <t>BOLTON</t>
  </si>
  <si>
    <t>BOONE</t>
  </si>
  <si>
    <t>BOONVILLE</t>
  </si>
  <si>
    <t>BREVARD</t>
  </si>
  <si>
    <t>BRIDGETON</t>
  </si>
  <si>
    <t>BROADWAY</t>
  </si>
  <si>
    <t>BROOKFORD</t>
  </si>
  <si>
    <t>BRUNSWICK</t>
  </si>
  <si>
    <t>BRUNSWICK COUNTY DEPT OF SOCIAL SERVICES</t>
  </si>
  <si>
    <t>BRUNSWICK COUNTY HEALTH DEPT</t>
  </si>
  <si>
    <t>BRYSON CITY</t>
  </si>
  <si>
    <t>BUNN ABC BOARD</t>
  </si>
  <si>
    <t>BURGAW</t>
  </si>
  <si>
    <t>BURKE COUNTY DEPT OF SOCIAL SERVICES</t>
  </si>
  <si>
    <t>BURKE COUNTY HEALTH DEPT</t>
  </si>
  <si>
    <t>BURLINGTON</t>
  </si>
  <si>
    <t>BURNSVILLE</t>
  </si>
  <si>
    <t>BUTNER</t>
  </si>
  <si>
    <t>CABARRUS COUNTY PUBLIC HEALTH AUTHORITY</t>
  </si>
  <si>
    <t>CAJAH'S MOUNTAIN</t>
  </si>
  <si>
    <t>CALABASH</t>
  </si>
  <si>
    <t>CALYPSO</t>
  </si>
  <si>
    <t>CAMERON</t>
  </si>
  <si>
    <t>CANDOR</t>
  </si>
  <si>
    <t>CANTON</t>
  </si>
  <si>
    <t>CAPE CARTERET</t>
  </si>
  <si>
    <t>CAROLINA BEACH</t>
  </si>
  <si>
    <t>CAROLINA SHORES</t>
  </si>
  <si>
    <t>CARRBORO</t>
  </si>
  <si>
    <t>CARTHAGE</t>
  </si>
  <si>
    <t>CARY</t>
  </si>
  <si>
    <t>CASWELL BEACH</t>
  </si>
  <si>
    <t>CASWELL COUNTY DEPT OF SOCIAL SERVICES</t>
  </si>
  <si>
    <t>CATAWBA</t>
  </si>
  <si>
    <t>CEDAR POINT</t>
  </si>
  <si>
    <t>CHADBOURN</t>
  </si>
  <si>
    <t>CHAPEL HILL</t>
  </si>
  <si>
    <t>CHARLOTTE</t>
  </si>
  <si>
    <t>CHATHAM COUNTY HOUSING AUTHORITY</t>
  </si>
  <si>
    <t>CHERRYVILLE</t>
  </si>
  <si>
    <t>CHINA GROVE</t>
  </si>
  <si>
    <t>CHOCOWINITY</t>
  </si>
  <si>
    <t>CLAREMONT</t>
  </si>
  <si>
    <t>CLARKTON</t>
  </si>
  <si>
    <t>CLAYTON</t>
  </si>
  <si>
    <t>CLEMMONS</t>
  </si>
  <si>
    <t>CLEVELAND</t>
  </si>
  <si>
    <t>CLINTON</t>
  </si>
  <si>
    <t>COASTALCARE - MERGED WITH TRILLIUM</t>
  </si>
  <si>
    <t>COATS</t>
  </si>
  <si>
    <t>COFIELD</t>
  </si>
  <si>
    <t>COLERAIN</t>
  </si>
  <si>
    <t>COLUMBIA</t>
  </si>
  <si>
    <t>COLUMBUS</t>
  </si>
  <si>
    <t>CONCORD</t>
  </si>
  <si>
    <t>CONNELLY SPRINGS</t>
  </si>
  <si>
    <t>CONOVER</t>
  </si>
  <si>
    <t>CONWAY</t>
  </si>
  <si>
    <t>COOLEEMEE</t>
  </si>
  <si>
    <t>CORNELIUS</t>
  </si>
  <si>
    <t>COVE CITY</t>
  </si>
  <si>
    <t>CRAMERTON</t>
  </si>
  <si>
    <t>CREEDMOOR</t>
  </si>
  <si>
    <t>CRESWELL</t>
  </si>
  <si>
    <t>DALLAS</t>
  </si>
  <si>
    <t>DAVIDSON</t>
  </si>
  <si>
    <t>DENTON</t>
  </si>
  <si>
    <t>DOBSON</t>
  </si>
  <si>
    <t>DREXEL</t>
  </si>
  <si>
    <t>DUCK</t>
  </si>
  <si>
    <t>DUNN</t>
  </si>
  <si>
    <t>DURHAM</t>
  </si>
  <si>
    <t>EAST BEND</t>
  </si>
  <si>
    <t>EAST CAROLINA BEHAVORIAL HEALTHCARE - MERGED WITH TRILLIUM</t>
  </si>
  <si>
    <t>EAST SPENCER</t>
  </si>
  <si>
    <t>EASTERN BAND OF CHEROKEE INDIANS</t>
  </si>
  <si>
    <t>EASTOVER</t>
  </si>
  <si>
    <t>EDEN</t>
  </si>
  <si>
    <t>EDENTON</t>
  </si>
  <si>
    <t>ELIZABETHTOWN</t>
  </si>
  <si>
    <t>ELK PARK</t>
  </si>
  <si>
    <t>ELKIN</t>
  </si>
  <si>
    <t>ELKIN ABC BOARD (merged with Yadkin Valley ABC Board)</t>
  </si>
  <si>
    <t>ELLENBORO</t>
  </si>
  <si>
    <t>ELLERBE</t>
  </si>
  <si>
    <t>ELM CITY</t>
  </si>
  <si>
    <t>ELON</t>
  </si>
  <si>
    <t>EMERALD ISLE</t>
  </si>
  <si>
    <t>ENFIELD</t>
  </si>
  <si>
    <t>ERWIN</t>
  </si>
  <si>
    <t>FAIR BLUFF</t>
  </si>
  <si>
    <t>FAIRMONT</t>
  </si>
  <si>
    <t>FAISON</t>
  </si>
  <si>
    <t>FAITH</t>
  </si>
  <si>
    <t>FALCON</t>
  </si>
  <si>
    <t>FARMVILLE</t>
  </si>
  <si>
    <t>FAYETTEVILLE</t>
  </si>
  <si>
    <t>FAYETTEVILLE PUBLIC WORKS COMMISSION</t>
  </si>
  <si>
    <t>FLAT ROCK</t>
  </si>
  <si>
    <t>FLETCHER</t>
  </si>
  <si>
    <t>FOREST CITY</t>
  </si>
  <si>
    <t>FOUNTAIN</t>
  </si>
  <si>
    <t>FOUR OAKS</t>
  </si>
  <si>
    <t>FRANKLIN</t>
  </si>
  <si>
    <t>FRANKLINTON</t>
  </si>
  <si>
    <t>FREMONT</t>
  </si>
  <si>
    <t>FUQUAY-VARINA</t>
  </si>
  <si>
    <t>GARLAND</t>
  </si>
  <si>
    <t>GARNER</t>
  </si>
  <si>
    <t>GARYSBURG</t>
  </si>
  <si>
    <t>GASTON</t>
  </si>
  <si>
    <t>GASTONIA</t>
  </si>
  <si>
    <t>GIBSON</t>
  </si>
  <si>
    <t>GIBSONVILLE</t>
  </si>
  <si>
    <t>GLEN ALPINE</t>
  </si>
  <si>
    <t>GOLDSBORO</t>
  </si>
  <si>
    <t xml:space="preserve">GOLDSBORO HOUSING AUTHORITY </t>
  </si>
  <si>
    <t>GRAHAM</t>
  </si>
  <si>
    <t>GRANITE FALLS</t>
  </si>
  <si>
    <t>GRANITE QUARRY</t>
  </si>
  <si>
    <t>GRANVILLE CO ABC BOARD</t>
  </si>
  <si>
    <t>GREEN LEVEL</t>
  </si>
  <si>
    <t>GREENSBORO</t>
  </si>
  <si>
    <t>GREENSBORO ABC BOARD</t>
  </si>
  <si>
    <t>GREENVILLE</t>
  </si>
  <si>
    <t>GRIFTON</t>
  </si>
  <si>
    <t>GRIMESLAND</t>
  </si>
  <si>
    <t>GROVER</t>
  </si>
  <si>
    <t>HAMILTON</t>
  </si>
  <si>
    <t>HAMLET</t>
  </si>
  <si>
    <t>HARRISBURG</t>
  </si>
  <si>
    <t>HAVELOCK</t>
  </si>
  <si>
    <t>HAW RIVER</t>
  </si>
  <si>
    <t>HENDERSON</t>
  </si>
  <si>
    <t>HENDERSON COUNTY</t>
  </si>
  <si>
    <t>HENDERSONVILLE</t>
  </si>
  <si>
    <t>HENDERSONVILLE ABC BOARD</t>
  </si>
  <si>
    <t>HERTFORD</t>
  </si>
  <si>
    <t>HERTFORD ABC BOARD</t>
  </si>
  <si>
    <t>HICKORY</t>
  </si>
  <si>
    <t>HIGH POINT</t>
  </si>
  <si>
    <t>HIGH POINT ABC BOARD</t>
  </si>
  <si>
    <t>HIGHLANDS</t>
  </si>
  <si>
    <t>HILDEBRAN</t>
  </si>
  <si>
    <t>HILLSBOROUGH</t>
  </si>
  <si>
    <t>HOBGOOD</t>
  </si>
  <si>
    <t>HOLDEN BEACH</t>
  </si>
  <si>
    <t>HOLLY RIDGE</t>
  </si>
  <si>
    <t>HOLLY SPRINGS</t>
  </si>
  <si>
    <t>HOOKERTON</t>
  </si>
  <si>
    <t>HOPE MILLS</t>
  </si>
  <si>
    <t>HUDSON</t>
  </si>
  <si>
    <t>HUNTERSVILLE</t>
  </si>
  <si>
    <t>INDIAN BEACH</t>
  </si>
  <si>
    <t>INDIAN TRAIL</t>
  </si>
  <si>
    <t>J C HOLIDAY MEMORIAL LIBRARY</t>
  </si>
  <si>
    <t>JACKSON</t>
  </si>
  <si>
    <t>JACKSONVILLE</t>
  </si>
  <si>
    <t>JAMESTOWN</t>
  </si>
  <si>
    <t>JAMESVILLE</t>
  </si>
  <si>
    <t>JEFFERSON</t>
  </si>
  <si>
    <t>JONESVILLE</t>
  </si>
  <si>
    <t>KANNAPOLIS</t>
  </si>
  <si>
    <t>KENANSVILLE</t>
  </si>
  <si>
    <t>KENLY</t>
  </si>
  <si>
    <t>KERNERSVILLE</t>
  </si>
  <si>
    <t>KERR-TAR REGIONAL COUNCIL OF GOVERNMENTS</t>
  </si>
  <si>
    <t>KILL DEVIL HILLS</t>
  </si>
  <si>
    <t>KING</t>
  </si>
  <si>
    <t>KINGS MOUNTAIN</t>
  </si>
  <si>
    <t>KINSTON</t>
  </si>
  <si>
    <t xml:space="preserve">KINSTON HOUSING AUTHORITY </t>
  </si>
  <si>
    <t>KINSTON-LENOIR CO PUBLIC LIBRARY</t>
  </si>
  <si>
    <t>KITTY HAWK</t>
  </si>
  <si>
    <t>KNIGHTDALE</t>
  </si>
  <si>
    <t>KURE BEACH</t>
  </si>
  <si>
    <t>LAGRANGE</t>
  </si>
  <si>
    <t>LAKE LURE</t>
  </si>
  <si>
    <t>LAKE WACCAMAW</t>
  </si>
  <si>
    <t>LANDIS</t>
  </si>
  <si>
    <t>LAUREL PARK</t>
  </si>
  <si>
    <t>LAURINBURG</t>
  </si>
  <si>
    <t>LAWNDALE</t>
  </si>
  <si>
    <t>LELAND</t>
  </si>
  <si>
    <t>LENOIR</t>
  </si>
  <si>
    <t>LENOIR ABC BOARD</t>
  </si>
  <si>
    <t>LEWISTON WOODVILLE</t>
  </si>
  <si>
    <t>LEWISVILLE</t>
  </si>
  <si>
    <t>LEXINGTON</t>
  </si>
  <si>
    <t>LIBERTY</t>
  </si>
  <si>
    <t>LILESVILLE</t>
  </si>
  <si>
    <t>LILLINGTON</t>
  </si>
  <si>
    <t>LINCOLNTON</t>
  </si>
  <si>
    <t>LINCOLNTON ABC BOARD</t>
  </si>
  <si>
    <t>LINDEN</t>
  </si>
  <si>
    <t>LITTLETON</t>
  </si>
  <si>
    <t>LOCUST</t>
  </si>
  <si>
    <t>LONGVIEW</t>
  </si>
  <si>
    <t>LOUISBURG</t>
  </si>
  <si>
    <t>LOWELL</t>
  </si>
  <si>
    <t>LUCAMA</t>
  </si>
  <si>
    <t>LUMBERTON</t>
  </si>
  <si>
    <t>LUMBERTON AIRPORT COMMISSION</t>
  </si>
  <si>
    <t>MACCLESFIELD</t>
  </si>
  <si>
    <t>MADISON</t>
  </si>
  <si>
    <t>MAGGIE VALLEY</t>
  </si>
  <si>
    <t>MAGGIE VALLEY SANITARY DISTRICT</t>
  </si>
  <si>
    <t>MAGNOLIA</t>
  </si>
  <si>
    <t>MAIDEN</t>
  </si>
  <si>
    <t>MANTEO</t>
  </si>
  <si>
    <t>MARION</t>
  </si>
  <si>
    <t>MARS HILL</t>
  </si>
  <si>
    <t>MARSHALL</t>
  </si>
  <si>
    <t>MARSHVILLE</t>
  </si>
  <si>
    <t>MARTIN-TYRRELL-WASHINGTON DISTRICT HEALTH DEPT</t>
  </si>
  <si>
    <t>MARVIN</t>
  </si>
  <si>
    <t>MATTHEWS</t>
  </si>
  <si>
    <t>MAXTON</t>
  </si>
  <si>
    <t>MAYODAN</t>
  </si>
  <si>
    <t>MAYSVILLE</t>
  </si>
  <si>
    <t>MEBANE</t>
  </si>
  <si>
    <t>MECKLENBURG EMERGENCY MEDICAL SVCS AGCY</t>
  </si>
  <si>
    <t>MICRO</t>
  </si>
  <si>
    <t>MIDDLESEX</t>
  </si>
  <si>
    <t>MIDLAND</t>
  </si>
  <si>
    <t>MIDWAY</t>
  </si>
  <si>
    <t>MILLS RIVER</t>
  </si>
  <si>
    <t>MINERAL SPRINGS</t>
  </si>
  <si>
    <t>MINT HILL</t>
  </si>
  <si>
    <t>MISENHEIMER</t>
  </si>
  <si>
    <t>MITCHELL SOIL &amp; WATER CONSERVATION DISTRICT</t>
  </si>
  <si>
    <t>MOCKSVILLE</t>
  </si>
  <si>
    <t>MONROE</t>
  </si>
  <si>
    <t>MONROE HOUSING AUTHORITY</t>
  </si>
  <si>
    <t>MONTREAT</t>
  </si>
  <si>
    <t>MOORESVILLE</t>
  </si>
  <si>
    <t>MOREHEAD CITY</t>
  </si>
  <si>
    <t>MORGANTON</t>
  </si>
  <si>
    <t>MORRISVILLE</t>
  </si>
  <si>
    <t>MORVEN</t>
  </si>
  <si>
    <t>MOUNT AIRY</t>
  </si>
  <si>
    <t>MOUNT GILEAD</t>
  </si>
  <si>
    <t>MOUNT HOLLY</t>
  </si>
  <si>
    <t>MOUNT OLIVE</t>
  </si>
  <si>
    <t>MOUNT PLEASANT</t>
  </si>
  <si>
    <t>MOUNT PLEASANT ABC BOARD</t>
  </si>
  <si>
    <t>MURFREESBORO</t>
  </si>
  <si>
    <t>MURPHY</t>
  </si>
  <si>
    <t>NAGS HEAD</t>
  </si>
  <si>
    <t>NASHVILLE</t>
  </si>
  <si>
    <t>NAVASSA</t>
  </si>
  <si>
    <t>NEW BERN</t>
  </si>
  <si>
    <t>NEW EDENTON HOUSING AUTHORITY</t>
  </si>
  <si>
    <t>NEW LONDON</t>
  </si>
  <si>
    <t>NEW REIDSVILLE HOUSING AUTHORITY</t>
  </si>
  <si>
    <t>NEWLAND</t>
  </si>
  <si>
    <t>NEWPORT</t>
  </si>
  <si>
    <t>NEWTON</t>
  </si>
  <si>
    <t>NEWTON GROVE</t>
  </si>
  <si>
    <t>NORLINA</t>
  </si>
  <si>
    <t>NORTH TOPSAIL BEACH</t>
  </si>
  <si>
    <t>NORTH WILKESBORO</t>
  </si>
  <si>
    <t>NORTH WILKESBORO ABC BOARD</t>
  </si>
  <si>
    <t>NORTHWEST</t>
  </si>
  <si>
    <t>NORWOOD</t>
  </si>
  <si>
    <t>NORWOOD ABC BOARD</t>
  </si>
  <si>
    <t>OAK CITY</t>
  </si>
  <si>
    <t>OAK ISLAND</t>
  </si>
  <si>
    <t>OAK ISLAND ABC BOARD</t>
  </si>
  <si>
    <t>OAK RIDGE</t>
  </si>
  <si>
    <t>OAKBORO</t>
  </si>
  <si>
    <t>OCEAN ISLE BEACH</t>
  </si>
  <si>
    <t>OCRACOKE SANITARY DISTRICT</t>
  </si>
  <si>
    <t>OLD FORT</t>
  </si>
  <si>
    <t>ORIENTAL</t>
  </si>
  <si>
    <t>OXFORD</t>
  </si>
  <si>
    <t>PARKTON</t>
  </si>
  <si>
    <t>PEACHLAND</t>
  </si>
  <si>
    <t>PEMBROKE</t>
  </si>
  <si>
    <t>PERSON CO ABC BOARD</t>
  </si>
  <si>
    <t>PIKEVILLE</t>
  </si>
  <si>
    <t>PILOT MOUNTAIN</t>
  </si>
  <si>
    <t>PINE KNOLL SHORES</t>
  </si>
  <si>
    <t>PINE LEVEL</t>
  </si>
  <si>
    <t>PINEBLUFF</t>
  </si>
  <si>
    <t>PINEHURST</t>
  </si>
  <si>
    <t>PINETOPS</t>
  </si>
  <si>
    <t>PINEVILLE</t>
  </si>
  <si>
    <t>PINK HILL</t>
  </si>
  <si>
    <t>PITT-GREENVILLE CONVENTION &amp; VISTORS BUREAU</t>
  </si>
  <si>
    <t>PITTSBORO</t>
  </si>
  <si>
    <t>PLYMOUTH</t>
  </si>
  <si>
    <t>POLKTON</t>
  </si>
  <si>
    <t>POLLOCKSVILLE</t>
  </si>
  <si>
    <t>PRINCETON</t>
  </si>
  <si>
    <t>PRINCEVILLE</t>
  </si>
  <si>
    <t>RAEFORD</t>
  </si>
  <si>
    <t>RALEIGH</t>
  </si>
  <si>
    <t>RALEIGH HOUSING AUTHORITY</t>
  </si>
  <si>
    <t>RAMSEUR</t>
  </si>
  <si>
    <t>RANDLEMAN</t>
  </si>
  <si>
    <t>RANDLEMAN ABC BOARD</t>
  </si>
  <si>
    <t>RANDLEMAN HOUSING AUTHORITY</t>
  </si>
  <si>
    <t>RANLO</t>
  </si>
  <si>
    <t>RED SPRINGS</t>
  </si>
  <si>
    <t>REIDSVILLE</t>
  </si>
  <si>
    <t>RICH SQUARE</t>
  </si>
  <si>
    <t>RICHLANDS</t>
  </si>
  <si>
    <t>RIVER BEND</t>
  </si>
  <si>
    <t>ROANOKE RAPIDS</t>
  </si>
  <si>
    <t>ROBBINS</t>
  </si>
  <si>
    <t>ROBBINSVILLE</t>
  </si>
  <si>
    <t>ROBERSONVILLE</t>
  </si>
  <si>
    <t>ROCKINGHAM</t>
  </si>
  <si>
    <t>ROCKINGHAM ABC BOARD</t>
  </si>
  <si>
    <t>ROCKWELL</t>
  </si>
  <si>
    <t>ROCKY MOUNT</t>
  </si>
  <si>
    <t>ROLESVILLE</t>
  </si>
  <si>
    <t>ROPER</t>
  </si>
  <si>
    <t>ROSE HILL</t>
  </si>
  <si>
    <t>ROSEBORO</t>
  </si>
  <si>
    <t>ROWAN CO SOIL &amp; WATER CONV DISTRICT</t>
  </si>
  <si>
    <t>ROWLAND</t>
  </si>
  <si>
    <t>ROXBORO</t>
  </si>
  <si>
    <t>RURAL HALL</t>
  </si>
  <si>
    <t>RUTHERFORD COLLEGE</t>
  </si>
  <si>
    <t>RUTHERFORD POLK MCDOWELL DIST BOARD OF HEALTH</t>
  </si>
  <si>
    <t>RUTHERFORDTON</t>
  </si>
  <si>
    <t>RUTHERFORDTON ABC BOARD</t>
  </si>
  <si>
    <t>SAINT JAMES</t>
  </si>
  <si>
    <t>SAINT PAULS</t>
  </si>
  <si>
    <t>SAINT PAUL'S BOARD OF ALCOHOLIC CONTROL</t>
  </si>
  <si>
    <t>SALEMBURG</t>
  </si>
  <si>
    <t>SALISBURY</t>
  </si>
  <si>
    <t xml:space="preserve">SALISBURY HOUSING AUTHORITY </t>
  </si>
  <si>
    <t>SALUDA</t>
  </si>
  <si>
    <t>SANFORD</t>
  </si>
  <si>
    <t>SAWMILLS</t>
  </si>
  <si>
    <t>SCOTLAND NECK</t>
  </si>
  <si>
    <t>SEABOARD</t>
  </si>
  <si>
    <t>SEAGROVE</t>
  </si>
  <si>
    <t>SELMA</t>
  </si>
  <si>
    <t>SEVEN DEVILS</t>
  </si>
  <si>
    <t>SEVERN</t>
  </si>
  <si>
    <t>SHALLOTTE</t>
  </si>
  <si>
    <t>SHARPSBURG</t>
  </si>
  <si>
    <t>SHELBY</t>
  </si>
  <si>
    <t>SILER CITY</t>
  </si>
  <si>
    <t>SIMPSON</t>
  </si>
  <si>
    <t>SMITHFIELD</t>
  </si>
  <si>
    <t>SNOW HILL</t>
  </si>
  <si>
    <t>SOUTHERN PINES</t>
  </si>
  <si>
    <t>SOUTHERN SHORES</t>
  </si>
  <si>
    <t>SOUTHPORT</t>
  </si>
  <si>
    <t>SOUTHPORT ABC BOARD</t>
  </si>
  <si>
    <t>SPARTA</t>
  </si>
  <si>
    <t>SPARTA ABC BOARD</t>
  </si>
  <si>
    <t>SPENCER</t>
  </si>
  <si>
    <t>SPINDALE</t>
  </si>
  <si>
    <t>SPRING HOPE</t>
  </si>
  <si>
    <t>SPRING LAKE</t>
  </si>
  <si>
    <t>SPRUCE PINE</t>
  </si>
  <si>
    <t>STALLINGS</t>
  </si>
  <si>
    <t>STANFIELD</t>
  </si>
  <si>
    <t>STANTONSBURG</t>
  </si>
  <si>
    <t>STAR</t>
  </si>
  <si>
    <t>STATESVILLE</t>
  </si>
  <si>
    <t>STEDMAN</t>
  </si>
  <si>
    <t>STONEVILLE</t>
  </si>
  <si>
    <t>STOVALL</t>
  </si>
  <si>
    <t>SUGAR MOUNTAIN</t>
  </si>
  <si>
    <t>SUMMERFIELD</t>
  </si>
  <si>
    <t>SUNSET BEACH</t>
  </si>
  <si>
    <t>SUNSET BEACH ABC BOARD</t>
  </si>
  <si>
    <t>SURF CITY</t>
  </si>
  <si>
    <t>SWANSBORO</t>
  </si>
  <si>
    <t>SYLVA</t>
  </si>
  <si>
    <t>TABOR CITY</t>
  </si>
  <si>
    <t>TARBORO</t>
  </si>
  <si>
    <t>TAYLORSVILLE</t>
  </si>
  <si>
    <t>TAYLORTOWN</t>
  </si>
  <si>
    <t>TEACHEY</t>
  </si>
  <si>
    <t>THOMASVILLE</t>
  </si>
  <si>
    <t>TOPSAIL BEACH</t>
  </si>
  <si>
    <t>TRENT WOODS</t>
  </si>
  <si>
    <t>TRINITY</t>
  </si>
  <si>
    <t>TROUTMAN</t>
  </si>
  <si>
    <t>TROUTMAN ABC BOARD</t>
  </si>
  <si>
    <t>TROY</t>
  </si>
  <si>
    <t>TRYON</t>
  </si>
  <si>
    <t>TURKEY</t>
  </si>
  <si>
    <t>TYRRELL COUNTY ABC BOARD</t>
  </si>
  <si>
    <t>UNIONVILLE</t>
  </si>
  <si>
    <t>VALDESE</t>
  </si>
  <si>
    <t>VANCE COUNTY ABC BOARD</t>
  </si>
  <si>
    <t>VANCEBORO</t>
  </si>
  <si>
    <t>VASS</t>
  </si>
  <si>
    <t>WADE</t>
  </si>
  <si>
    <t>WADESBORO</t>
  </si>
  <si>
    <t>WAGRAM</t>
  </si>
  <si>
    <t>WAKE FOREST</t>
  </si>
  <si>
    <t>WALLACE</t>
  </si>
  <si>
    <t>WALNUT COVE</t>
  </si>
  <si>
    <t>WALNUT CREEK</t>
  </si>
  <si>
    <t>WALSTONBURG</t>
  </si>
  <si>
    <t>WARRENTON</t>
  </si>
  <si>
    <t>WARSAW</t>
  </si>
  <si>
    <t>WASHINGTON</t>
  </si>
  <si>
    <t>WASHINGTON PARK</t>
  </si>
  <si>
    <t>WATER &amp; SEWER AUTHORITY OF CABARRUS COUNTY</t>
  </si>
  <si>
    <t>WAXHAW</t>
  </si>
  <si>
    <t>WAYNESVILLE</t>
  </si>
  <si>
    <t>WEAVERVILLE</t>
  </si>
  <si>
    <t>WEDDINGTON</t>
  </si>
  <si>
    <t>WELDON</t>
  </si>
  <si>
    <t>WENDELL</t>
  </si>
  <si>
    <t>WESLEY CHAPEL</t>
  </si>
  <si>
    <t>WEST JEFFERSON</t>
  </si>
  <si>
    <t>WESTERN PIEDMONT COUNCIL OF GOVERNMENTS</t>
  </si>
  <si>
    <t>WHISPERING PINES</t>
  </si>
  <si>
    <t>WHITAKERS</t>
  </si>
  <si>
    <t>WHITE LAKE</t>
  </si>
  <si>
    <t>WHITEVILLE</t>
  </si>
  <si>
    <t>WILKESBORO</t>
  </si>
  <si>
    <t>WILLIAMSTON</t>
  </si>
  <si>
    <t>WILMINGTON</t>
  </si>
  <si>
    <t>WILSON'S MILLS</t>
  </si>
  <si>
    <t>WINDSOR</t>
  </si>
  <si>
    <t>WINFALL</t>
  </si>
  <si>
    <t>WINGATE</t>
  </si>
  <si>
    <t>WINSTON-SALEM</t>
  </si>
  <si>
    <t>WINTERVILLE</t>
  </si>
  <si>
    <t>WINTON</t>
  </si>
  <si>
    <t>WOODFIN</t>
  </si>
  <si>
    <t>WOODFIN SANITARY WATER AND SEWER DISTRICT</t>
  </si>
  <si>
    <t>WOODLAND</t>
  </si>
  <si>
    <t>WRIGHTSVILLE BEACH</t>
  </si>
  <si>
    <t>YADKIN VALLEY ABC BOARD (includes Elkin ABC Board)</t>
  </si>
  <si>
    <t>YADKINVILLE</t>
  </si>
  <si>
    <t>YANCEY SOIL &amp; WATER CONSERVATION DISTRICT</t>
  </si>
  <si>
    <t>YANCEYVILLE</t>
  </si>
  <si>
    <t>YOUNGSVILLE</t>
  </si>
  <si>
    <t>ZEBULON</t>
  </si>
  <si>
    <t>DOGWOOD</t>
  </si>
  <si>
    <t>FY 2018 Total Contributions</t>
  </si>
  <si>
    <t>VILLAGE OF SUGAR MOUNTAIN</t>
  </si>
  <si>
    <t>TOWN OF TROUTMAN ABC BOARD</t>
  </si>
  <si>
    <t xml:space="preserve">Following participants have been added by LGC for consistency - </t>
  </si>
  <si>
    <t>2018 (Inflow)/Outflow Deferred Balance - Difference b/w Expected and Actual Experience</t>
  </si>
  <si>
    <t>2018 Outflow Deferred Balance - Assumption Changes</t>
  </si>
  <si>
    <t>2018 Inflow Deferred Balance - Assumption Changes</t>
  </si>
  <si>
    <t xml:space="preserve">This worksheet prepares the journal entry to record the entity's total pension liability, pension expense, and deferred outflows of Other Postemployment Benefits (OPEB) in accordance with GASB 75.  
</t>
  </si>
  <si>
    <t xml:space="preserve">This worksheet prepares the journal entry to record the entity's total pension liability, pension expense, and deferred outflows of Other Postemployment Benefits (OPEB) in accordance with GASB 75. 
</t>
  </si>
  <si>
    <t xml:space="preserve">This worksheet prepares the journal entry to record the entity's total pension liability, pension expense, and deferred outflows of Other Postemployment Benefits (OPEB) in accordance with GASB 75.  
</t>
  </si>
  <si>
    <t xml:space="preserve">Please read descriptions carefully.  Depending on the measurement date, you may not have to fill out all cells.   However, in order to record amounts accurately in your accounting system, the measurement date must be considered.  For example, if your fiscal year end is June 30, 2020 and your measurement date is June 30, 2019, you should answer only items 1,3,4,6. Units with a 12/31/2019 measurement date and a June 30, 2020 fiscal year end should answer all 6 items. </t>
  </si>
  <si>
    <t>1/1/2019-6/3.0/2019</t>
  </si>
  <si>
    <t>6/30/2019-12/31/2019</t>
  </si>
  <si>
    <t>12/31/2019-6/30/2020</t>
  </si>
  <si>
    <t>Total Plan - FYE 2020</t>
  </si>
  <si>
    <t>Enter the amount of contributions subsequent to the measurement date that you recorded as a deferred outflow of resources in your June 30, 2019 financial statement for LGERS</t>
  </si>
  <si>
    <t>Lease receivable</t>
  </si>
  <si>
    <t>Leases</t>
  </si>
  <si>
    <r>
      <t xml:space="preserve">OFS - Leases </t>
    </r>
    <r>
      <rPr>
        <sz val="8"/>
        <color indexed="10"/>
        <rFont val="Arial"/>
        <family val="2"/>
      </rPr>
      <t>(proceeds)</t>
    </r>
  </si>
  <si>
    <t xml:space="preserve">Adjust Capital Outlay Expenditures for GASB 87 Leases to Full Accrual </t>
  </si>
  <si>
    <t>Expenditures recorded under the modified accrual basis of accounting for the acquisition of lease assets must be reported as additions to right-to-use assets under the full accrual basis of accounting on the government-wide statements. The right-to-use assets acquired in these transactions will be added to the amounts previously recorded when the right-to-use assets were entered on the conversion worksheet.</t>
  </si>
  <si>
    <r>
      <t xml:space="preserve">What was the amount of capital outlay for right-to-use leased assets to be capitalized by function in all governmental funds?  </t>
    </r>
    <r>
      <rPr>
        <b/>
        <i/>
        <sz val="10"/>
        <color indexed="10"/>
        <rFont val="Arial"/>
        <family val="2"/>
      </rPr>
      <t>This amount is the same as the initial lease asset acquired during the fiscal year.</t>
    </r>
  </si>
  <si>
    <t>Q.1</t>
  </si>
  <si>
    <t>Right-to-use leased assets</t>
  </si>
  <si>
    <t>Journal entry for conversion worksheet to capitalize right-to-use leased assets and record lease liability.   [Entry Q.1]</t>
  </si>
  <si>
    <t>Enter information below for your GASB 87 lessee leases</t>
  </si>
  <si>
    <r>
      <t xml:space="preserve">Note:  These entries are only applicable to leases as defined in GASB 87.  Further, these entries are only applicable to such leases where the government is the lessee.  All GASB 87 </t>
    </r>
    <r>
      <rPr>
        <b/>
        <sz val="10"/>
        <rFont val="Arial"/>
        <family val="2"/>
      </rPr>
      <t>lessor</t>
    </r>
    <r>
      <rPr>
        <sz val="10"/>
        <rFont val="Arial"/>
        <family val="2"/>
      </rPr>
      <t xml:space="preserve"> type entries for full accrual statements are the same as those made in modified accrual financial statements, therefore</t>
    </r>
    <r>
      <rPr>
        <b/>
        <sz val="10"/>
        <rFont val="Arial"/>
        <family val="2"/>
      </rPr>
      <t xml:space="preserve"> there is no need for conversion entries for lessor type leases.</t>
    </r>
  </si>
  <si>
    <t>1) What is the amount of lease asset amortization expense by functional area for the FY?</t>
  </si>
  <si>
    <t>Lease liabilities</t>
  </si>
  <si>
    <t>Also included are entries to record the amortization of lease assets.  Note that there are no conversion entries for variable rental expense payments as such payments are recorded the same in both types of financial statements (modified and full accrual).</t>
  </si>
  <si>
    <t>Journal entry for conversion worksheet to amortize lease asset.   [Entry Q.2]</t>
  </si>
  <si>
    <t>Q.2</t>
  </si>
  <si>
    <t>Accumulated amortization - right-to-use lease</t>
  </si>
  <si>
    <t>Lease liabilities - current</t>
  </si>
  <si>
    <t xml:space="preserve">What is the amount of leases liabilities that will be due and payable within one year? </t>
  </si>
  <si>
    <r>
      <t xml:space="preserve">OFS - Lease liabilities </t>
    </r>
    <r>
      <rPr>
        <sz val="8"/>
        <color indexed="10"/>
        <rFont val="Arial"/>
        <family val="2"/>
      </rPr>
      <t>(proceeds)</t>
    </r>
  </si>
  <si>
    <t>Fines and Forfeitures</t>
  </si>
  <si>
    <t>key in numbers from JE Template found on DST website</t>
  </si>
  <si>
    <t>this number comes from the FRSWPF Memo for the FY which is posted on the DST website here</t>
  </si>
  <si>
    <t>https://www.nctreasurer.com/state-and-local-government-finance-division/local-government-commission/memo-document</t>
  </si>
  <si>
    <t>Total Plan - FYE 2021</t>
  </si>
  <si>
    <r>
      <rPr>
        <b/>
        <sz val="10"/>
        <rFont val="Arial"/>
        <family val="2"/>
      </rPr>
      <t>Note to Preparer:</t>
    </r>
    <r>
      <rPr>
        <sz val="10"/>
        <rFont val="Arial"/>
        <family val="2"/>
      </rPr>
      <t xml:space="preserve">
Please note that the amounts in the pension and OPEB tabs need to be keyed directly from the unit's  completed Journal Entry Template found on the DST website : https://www.nctreasurer.com/divisions/state-and-local-government-finance/lgc/local-fiscal-management/annual-audit/financial-statement-resources/municipalities#pension-resources</t>
    </r>
    <r>
      <rPr>
        <sz val="10"/>
        <rFont val="Arial"/>
        <family val="2"/>
      </rPr>
      <t xml:space="preserve">. If the data is not entered in tab N.1 then the error #VALUE will display in N.1 column on the conversion worksheet. </t>
    </r>
  </si>
  <si>
    <r>
      <t xml:space="preserve">Capital Outlay: </t>
    </r>
    <r>
      <rPr>
        <sz val="10"/>
        <rFont val="Arial"/>
        <family val="2"/>
      </rPr>
      <t>converts capital outlay expenditures for items above the capitalization threshold (other than the outlays related to leases and IT Subscriptions) to the proper asset class and reduces respective program/function expenditures. The capital outlays for Leases and IT Subscriptions are converted on tabs Q and R, respectively.</t>
    </r>
  </si>
  <si>
    <t>Q.</t>
  </si>
  <si>
    <t>R.</t>
  </si>
  <si>
    <t xml:space="preserve">Adjust Capital Outlay Expenditures for GASB 96 IT Subscriptions to Full Accrual </t>
  </si>
  <si>
    <t>Expenditures recorded under the modified accrual basis of accounting for the acquisition of IT subscription assets must be reported as additions to right-to-use assets under the full accrual basis of accounting on the government-wide statements. The right-to-use assets acquired in these transactions will be added to the amounts previously recorded when the right-to-use assets were entered on the conversion worksheet.</t>
  </si>
  <si>
    <t>Also included are entries to record the amortization of IT subscription assets.  Note that there are no conversion entries for variable payments as such payments are recorded the same in both types of financial statements (modified and full accrual).</t>
  </si>
  <si>
    <r>
      <t xml:space="preserve">What was the amount of capital outlay for right-to-use IT subscription assets to be capitalized by function in all governmental funds?  </t>
    </r>
    <r>
      <rPr>
        <b/>
        <i/>
        <sz val="10"/>
        <color indexed="10"/>
        <rFont val="Arial"/>
        <family val="2"/>
      </rPr>
      <t>This amount is generally the same as the initial IT subscription asset acquired during the fiscal year.</t>
    </r>
  </si>
  <si>
    <t>Journal entry for conversion worksheet to capitalize right-to-use IT subscription assets.   [Entry Q.1]</t>
  </si>
  <si>
    <t>Right-to-use IT subscription assets</t>
  </si>
  <si>
    <t>Enter information below for your GASB 96 IT subscriptions</t>
  </si>
  <si>
    <t>1) What is the amount of IT subscription asset amortization expense by functional area for the FY?</t>
  </si>
  <si>
    <t>Journal entry for conversion worksheet to amortize IT subscription asset.   [Entry Q.2]</t>
  </si>
  <si>
    <t>Accrued interest receivable - lease</t>
  </si>
  <si>
    <t>Right to use assets - IT subscriptions</t>
  </si>
  <si>
    <t>R.1</t>
  </si>
  <si>
    <t>Accumulated amortization - right-to-use IT subscription</t>
  </si>
  <si>
    <t>R.2</t>
  </si>
  <si>
    <t>IT subscription liabilities - current</t>
  </si>
  <si>
    <t>IT subscriptions liabilities</t>
  </si>
  <si>
    <t>What is the amount of IT subscriptions liabilities what will be due and payable within one year?</t>
  </si>
  <si>
    <t>IT subscriptions liabilities - current</t>
  </si>
  <si>
    <t>IT subscription liabilities</t>
  </si>
  <si>
    <t>OFS - IT subscriptions liabilities</t>
  </si>
  <si>
    <t>OFS - IT subscription liabilities</t>
  </si>
  <si>
    <t>It subscriptions liabilities</t>
  </si>
  <si>
    <t>Right-to-use asset - IT subscriptions accumulated amortization</t>
  </si>
  <si>
    <t>Leases - current</t>
  </si>
  <si>
    <t>Computer Software</t>
  </si>
  <si>
    <t>Computer equipment</t>
  </si>
  <si>
    <t>Right-to-use lease asset accumulated amortization</t>
  </si>
  <si>
    <t>Accum Depreciation -  Computer software</t>
  </si>
  <si>
    <t>Accum Depreciation - asset class 1</t>
  </si>
  <si>
    <t>Accumulated depreciation - computer equipment</t>
  </si>
  <si>
    <t>Accum Depreciation - Computer software</t>
  </si>
  <si>
    <t>Accum Depreciation - Computer equipment</t>
  </si>
  <si>
    <t>Accumulated depreciation - Computer software</t>
  </si>
  <si>
    <t>Accumulated depreciation - Computer equipment</t>
  </si>
  <si>
    <t xml:space="preserve">When you have worked through all the other worksheets (A-R), this sheet will have your government-wide numbers for the governmental activities column of the Statement of Net Position and the Statement of Activities. You may change fund titles as you see fit but if you unprotect the sheet and add lines or columns, formulas will be affected. Please do not do so unless you have strong Excel skills. Some "other" asset and "other" liability accounts have been added to handle the case where you need another account. These titles can be changed but should then be used consistently throughout the workbook. </t>
  </si>
  <si>
    <r>
      <t xml:space="preserve">Eliminations - Consolidations: </t>
    </r>
    <r>
      <rPr>
        <sz val="10"/>
        <rFont val="Arial"/>
        <family val="2"/>
      </rPr>
      <t>addresses</t>
    </r>
    <r>
      <rPr>
        <b/>
        <sz val="10"/>
        <rFont val="Arial"/>
        <family val="2"/>
      </rPr>
      <t xml:space="preserve"> </t>
    </r>
    <r>
      <rPr>
        <sz val="10"/>
        <rFont val="Arial"/>
        <family val="2"/>
      </rPr>
      <t>all elimination and consolidation entries related to interfund payables, receivables, and transfers, creates the entries for recording the current portion of long-term liabilities, and records internal service fund allocations for which business-type activities are the predominant user.</t>
    </r>
  </si>
  <si>
    <t>Extraordinary gain/loss</t>
  </si>
  <si>
    <t>The carrying value of an asset must be adjusted if its service utility has been significantly impaired. This example addresses the most common, physical damage. To meet the requirements of GASB 42 both of the following must be true: 1) magnitude of decline in service utility is significant; and 2) it is unexpected. This entry will calculate the capital asset impairment loss (or gain if an insurance recovery was received) when physical damage occurs using the restoration cost approach.  Within that approach, the damage ratio can be calculated by the replacement cost method or the deflator method depending on what information is known. If replacement cost in current dollars is not known, then the restoration cost can be deflated to the year of acquisition. Deflation factors can be computed if the inflation factor per year is known or obtained from the internet by using engineering construction indexes or the consumer price index and selecting factors for the date of acquisition of the impaired asset.</t>
  </si>
  <si>
    <t>Restoration expenditures or insurance recovery may occur in another fiscal year. In that case, the impairment loss is recorded in the year of the loss and the recovery would be recorded as  a gain (miscellaneous revenue or extraordinary gain) depending on the magnitude of the amount.</t>
  </si>
  <si>
    <t>Asset Impairment Loss - continued</t>
  </si>
  <si>
    <r>
      <t xml:space="preserve">Depreciation: </t>
    </r>
    <r>
      <rPr>
        <sz val="10"/>
        <rFont val="Arial"/>
        <family val="2"/>
      </rPr>
      <t>records depreciation expense for all asset classes by program/function and records unallocated amounts. Amortization expense of Right to use assets for Leases and IT subscriptions is recorded on tabs Q and R, respectively. Those tabs also adjust accumulated amortization, a contra account to the related Right to use asset.</t>
    </r>
  </si>
  <si>
    <r>
      <t>GASB 87 Leases:</t>
    </r>
    <r>
      <rPr>
        <sz val="10"/>
        <rFont val="Arial"/>
        <family val="2"/>
      </rPr>
      <t xml:space="preserve"> converts capital outlay expenditures related to agreements that meet the definition of a lease from GASB 87 (provided they are above the capitalization threshold) to the proper asset class and reduces respective program/function expenditures. Also, records the amortization expense by function/program for the Right to use asset and adjusts the accumulated amortization, a contra account to the related Right to use asset.</t>
    </r>
  </si>
  <si>
    <r>
      <t>GASB 96 IT Subscriptions:</t>
    </r>
    <r>
      <rPr>
        <sz val="10"/>
        <rFont val="Arial"/>
        <family val="2"/>
      </rPr>
      <t xml:space="preserve"> converts capital outlay expenditures related to agreements that meet the definition of an IT Subscription from GASB 96 (provided they are above the capitalization threshold) to the proper asset class and reduces respective program/function expenditures. Also, records the amortization expense by function/program for the Right to use asset and adjusts accumulated amortization, a contra account to the related Right to use asset.</t>
    </r>
  </si>
  <si>
    <t>Review the governmental funds, including capital projects, and identify capital outlay expenditures that should be capitalized and recorded as capital assets in the city's permanent records . Accumulate by function for entry to Section A below. The amount for capital outlay for property where title is not held by the city will be excluded from this entry and reclassified as a functional expenditure in worksheet F. This entry will include any capital outlay for the restoration of assets subject to impairment loss. The associated impairment entries are handled in Worksheet F.</t>
  </si>
  <si>
    <t>What is the amount of interfund receivables and payables between governmental funds in the "due to/from account"?  This is the amount only between governmental funds. Do not include any due to/due from between governmental and enterprise funds.</t>
  </si>
  <si>
    <t xml:space="preserve"> Infrastructure</t>
  </si>
  <si>
    <t>Deferred Outflow - Net Difference Between Projected and Actual Investment Earnings on Plan Investments - All Years</t>
  </si>
  <si>
    <t>Environmental Protection allocation percentage</t>
  </si>
  <si>
    <t>This worksheet prepares the journal entry to record the entity's proportionate share of the net pension expense and related revenue of the Firefighters' and Rescue Squad Workers' Pension Fund (FRSWPF) in accordance with GASB 68.  Note that the FRSWPF is a special funding situation in which the State makes contributions on behalf of employers participating in the plan, and that the employers therefore record no pension liability, deferred outflows, or deferred inflows.  Participating employers should record their proportionate share of the pension expense and the related revenue for the support provided by the State.</t>
  </si>
  <si>
    <t>6) LEOSSA administration costs that were made between the current year's measurement date and the current fiscal year end (reporting date)</t>
  </si>
  <si>
    <t>1) Contributions that were made between the current year's measurement date and the current fiscal year end (reporting date)</t>
  </si>
  <si>
    <t>Environmental Protection OPEB expense</t>
  </si>
  <si>
    <t>Environmental Protection benefit payments</t>
  </si>
  <si>
    <t>Environmental Protection administrative expense</t>
  </si>
  <si>
    <t xml:space="preserve">Note:  These entries are only applicable to IT subscriptions that meet the definition in GASB 96.  Further, these entries are only applicable to such agreements where the government is acquiring the IT Subscription.  </t>
  </si>
  <si>
    <t>Other Misc. Entries</t>
  </si>
  <si>
    <r>
      <t xml:space="preserve">Franchise Utilities Tax   </t>
    </r>
    <r>
      <rPr>
        <b/>
        <sz val="9"/>
        <rFont val="Arial"/>
        <family val="2"/>
      </rPr>
      <t>(Unrestricted governmental for Modified Accrual  --  Unrestricted - General for Full Accrual)</t>
    </r>
    <r>
      <rPr>
        <b/>
        <sz val="10"/>
        <rFont val="Arial"/>
        <family val="2"/>
      </rPr>
      <t xml:space="preserve">    </t>
    </r>
  </si>
  <si>
    <t xml:space="preserve">What is the amount of the LEO net pension obligation to be restated for the year?   LEO entries for GASB 73 implementation can be found on Tab O.  </t>
  </si>
  <si>
    <t xml:space="preserve">The unit's Net OPEB Obligation will be included in a restatement required by the implementation of GASB 75.  Please refer to tab O.1 for Total OPEB Liability entries.  </t>
  </si>
  <si>
    <r>
      <t xml:space="preserve">Compensated Absences - What are current and prior year expenses under full accrual?   </t>
    </r>
    <r>
      <rPr>
        <b/>
        <sz val="10"/>
        <color indexed="10"/>
        <rFont val="Arial"/>
        <family val="2"/>
      </rPr>
      <t xml:space="preserve">(Choose Method 1 </t>
    </r>
    <r>
      <rPr>
        <b/>
        <u/>
        <sz val="10"/>
        <color indexed="10"/>
        <rFont val="Arial"/>
        <family val="2"/>
      </rPr>
      <t>or</t>
    </r>
    <r>
      <rPr>
        <b/>
        <sz val="10"/>
        <color indexed="10"/>
        <rFont val="Arial"/>
        <family val="2"/>
      </rPr>
      <t xml:space="preserve">  2) Use the totals of compensated absences (vacation&amp; sick) per GASB 101 and DST Memorandum 2025-05. </t>
    </r>
    <r>
      <rPr>
        <b/>
        <sz val="10"/>
        <color theme="1"/>
        <rFont val="Arial"/>
        <family val="2"/>
      </rPr>
      <t>The Practical Expediate Approach can be entered under Method 2.</t>
    </r>
  </si>
  <si>
    <t>See GASB 33 &amp; 34 for the proper recognition of revenue under modified accrual and full accrual.</t>
  </si>
  <si>
    <t xml:space="preserve">See GASB 33 &amp; 34 for the proper recognition of revenue under modified accrual and full accrual. </t>
  </si>
  <si>
    <r>
      <t xml:space="preserve">See GASB 34 for further discussion of depreciation particularly as related to long lived assets like infrastructure. Note that infrastructure previously held does not have to be recorded in year 1 of implementation, for governments implementing in 2002 (phase 1) or 2003 (phase II). These phase I and II governments had 4 years to get all their existing infrastructure properly recorded.  Governments implementing in 2004 (phase III) were not required to record their old infrastructure. </t>
    </r>
    <r>
      <rPr>
        <b/>
        <sz val="10"/>
        <color indexed="10"/>
        <rFont val="Arial"/>
        <family val="2"/>
      </rPr>
      <t>All governments must begin to record new additions to infrastructure in year 1 of implementation.</t>
    </r>
  </si>
  <si>
    <t>See GASB 34 and Memo 949 for the proper classification of revenue sources to operating, capital or charges for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</si>
</sst>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_);_(* \(#,##0\);_(* &quot;-&quot;??_);_(@_)"/>
    <numFmt numFmtId="166" formatCode="_(&quot;$&quot;* #,##0_);_(&quot;$&quot;* \(#,##0\);_(&quot;$&quot;* &quot;-&quot;??_);_(@_)"/>
    <numFmt numFmtId="167" formatCode="0.0%"/>
    <numFmt numFmtId="168" formatCode="0.0000"/>
    <numFmt numFmtId="169" formatCode="0.00000"/>
    <numFmt numFmtId="170" formatCode="_(* #,##0_);_(* \(#,##0\);_(* &quot;-&quot;????_);_(@_)"/>
    <numFmt numFmtId="171" formatCode="0.00000%"/>
    <numFmt numFmtId="172" formatCode="0.0000000%"/>
    <numFmt numFmtId="173" formatCode="0.000%"/>
  </numFmts>
  <fonts count="9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b/>
      <sz val="10"/>
      <name val="Arial"/>
      <family val="2"/>
    </font>
    <font>
      <sz val="8"/>
      <color indexed="10"/>
      <name val="Arial"/>
      <family val="2"/>
    </font>
    <font>
      <sz val="10"/>
      <name val="Arial"/>
      <family val="2"/>
    </font>
    <font>
      <sz val="8"/>
      <name val="Arial"/>
      <family val="2"/>
    </font>
    <font>
      <sz val="8"/>
      <color indexed="81"/>
      <name val="Tahoma"/>
      <family val="2"/>
    </font>
    <font>
      <b/>
      <sz val="8"/>
      <color indexed="81"/>
      <name val="Tahoma"/>
      <family val="2"/>
    </font>
    <font>
      <b/>
      <sz val="14"/>
      <name val="Arial"/>
      <family val="2"/>
    </font>
    <font>
      <sz val="10"/>
      <color indexed="12"/>
      <name val="Arial"/>
      <family val="2"/>
    </font>
    <font>
      <b/>
      <sz val="10"/>
      <color indexed="10"/>
      <name val="Arial"/>
      <family val="2"/>
    </font>
    <font>
      <i/>
      <sz val="10"/>
      <color indexed="10"/>
      <name val="Arial"/>
      <family val="2"/>
    </font>
    <font>
      <i/>
      <sz val="10"/>
      <name val="Arial"/>
      <family val="2"/>
    </font>
    <font>
      <sz val="12"/>
      <name val="Wingdings 2"/>
      <family val="1"/>
      <charset val="2"/>
    </font>
    <font>
      <b/>
      <sz val="10"/>
      <color indexed="17"/>
      <name val="Arial"/>
      <family val="2"/>
    </font>
    <font>
      <u/>
      <sz val="10"/>
      <name val="Arial"/>
      <family val="2"/>
    </font>
    <font>
      <sz val="11"/>
      <name val="Wingdings 2"/>
      <family val="1"/>
      <charset val="2"/>
    </font>
    <font>
      <b/>
      <sz val="10"/>
      <color indexed="10"/>
      <name val="Comic Sans MS"/>
      <family val="4"/>
    </font>
    <font>
      <i/>
      <sz val="8"/>
      <name val="Arial"/>
      <family val="2"/>
    </font>
    <font>
      <i/>
      <u/>
      <sz val="10"/>
      <name val="Arial"/>
      <family val="2"/>
    </font>
    <font>
      <b/>
      <sz val="12"/>
      <name val="Arial"/>
      <family val="2"/>
    </font>
    <font>
      <b/>
      <sz val="9"/>
      <color indexed="10"/>
      <name val="Arial"/>
      <family val="2"/>
    </font>
    <font>
      <b/>
      <sz val="10"/>
      <color indexed="12"/>
      <name val="Arial"/>
      <family val="2"/>
    </font>
    <font>
      <i/>
      <sz val="9"/>
      <name val="Arial"/>
      <family val="2"/>
    </font>
    <font>
      <b/>
      <sz val="12"/>
      <name val="Wingdings 2"/>
      <family val="1"/>
      <charset val="2"/>
    </font>
    <font>
      <sz val="9"/>
      <name val="Arial"/>
      <family val="2"/>
    </font>
    <font>
      <b/>
      <sz val="9"/>
      <name val="Arial"/>
      <family val="2"/>
    </font>
    <font>
      <sz val="8"/>
      <color indexed="10"/>
      <name val="Comic Sans MS"/>
      <family val="4"/>
    </font>
    <font>
      <b/>
      <sz val="8"/>
      <name val="Arial"/>
      <family val="2"/>
    </font>
    <font>
      <sz val="9"/>
      <color indexed="10"/>
      <name val="Arial"/>
      <family val="2"/>
    </font>
    <font>
      <sz val="11"/>
      <name val="Arial"/>
      <family val="2"/>
    </font>
    <font>
      <b/>
      <sz val="11"/>
      <name val="Arial"/>
      <family val="2"/>
    </font>
    <font>
      <b/>
      <u/>
      <sz val="10"/>
      <color indexed="10"/>
      <name val="Arial"/>
      <family val="2"/>
    </font>
    <font>
      <sz val="10"/>
      <name val="Times New Roman"/>
      <family val="1"/>
    </font>
    <font>
      <b/>
      <sz val="10"/>
      <name val="Times New Roman"/>
      <family val="1"/>
    </font>
    <font>
      <b/>
      <sz val="10"/>
      <color indexed="57"/>
      <name val="Arial"/>
      <family val="2"/>
    </font>
    <font>
      <b/>
      <i/>
      <sz val="10"/>
      <name val="Arial"/>
      <family val="2"/>
    </font>
    <font>
      <sz val="9"/>
      <name val="Times New Roman"/>
      <family val="1"/>
    </font>
    <font>
      <b/>
      <sz val="8"/>
      <color indexed="10"/>
      <name val="Arial"/>
      <family val="2"/>
    </font>
    <font>
      <b/>
      <sz val="9"/>
      <color indexed="12"/>
      <name val="Arial"/>
      <family val="2"/>
    </font>
    <font>
      <sz val="11"/>
      <name val="Times New Roman"/>
      <family val="1"/>
    </font>
    <font>
      <sz val="13"/>
      <name val="Wingdings 2"/>
      <family val="1"/>
      <charset val="2"/>
    </font>
    <font>
      <b/>
      <u/>
      <sz val="10"/>
      <name val="Arial"/>
      <family val="2"/>
    </font>
    <font>
      <sz val="10"/>
      <color indexed="10"/>
      <name val="Arial"/>
      <family val="2"/>
    </font>
    <font>
      <sz val="10"/>
      <color indexed="10"/>
      <name val="Times New Roman"/>
      <family val="1"/>
    </font>
    <font>
      <sz val="10"/>
      <color indexed="14"/>
      <name val="Arial"/>
      <family val="2"/>
    </font>
    <font>
      <b/>
      <sz val="16"/>
      <name val="Arial"/>
      <family val="2"/>
    </font>
    <font>
      <sz val="10"/>
      <name val="Wingdings 2"/>
      <family val="1"/>
      <charset val="2"/>
    </font>
    <font>
      <sz val="9"/>
      <color indexed="8"/>
      <name val="Arial"/>
      <family val="2"/>
    </font>
    <font>
      <b/>
      <sz val="11"/>
      <color indexed="10"/>
      <name val="Arial"/>
      <family val="2"/>
    </font>
    <font>
      <u/>
      <sz val="9"/>
      <color indexed="10"/>
      <name val="Arial"/>
      <family val="2"/>
    </font>
    <font>
      <b/>
      <sz val="12"/>
      <name val="Times New Roman"/>
      <family val="1"/>
    </font>
    <font>
      <b/>
      <i/>
      <sz val="10"/>
      <color indexed="10"/>
      <name val="Arial"/>
      <family val="2"/>
    </font>
    <font>
      <sz val="8"/>
      <color indexed="10"/>
      <name val="Arial"/>
      <family val="2"/>
    </font>
    <font>
      <b/>
      <sz val="11"/>
      <color theme="1"/>
      <name val="Calibri"/>
      <family val="2"/>
      <scheme val="minor"/>
    </font>
    <font>
      <b/>
      <sz val="10"/>
      <color rgb="FFFF0000"/>
      <name val="Arial"/>
      <family val="2"/>
    </font>
    <font>
      <b/>
      <sz val="11"/>
      <color rgb="FF000000"/>
      <name val="Calibri"/>
      <family val="2"/>
      <scheme val="minor"/>
    </font>
    <font>
      <sz val="11"/>
      <color rgb="FF000000"/>
      <name val="Calibri"/>
      <family val="2"/>
      <scheme val="minor"/>
    </font>
    <font>
      <sz val="10"/>
      <color rgb="FF000000"/>
      <name val="Arial"/>
      <family val="2"/>
    </font>
    <font>
      <sz val="10"/>
      <color rgb="FFFF0000"/>
      <name val="Arial"/>
      <family val="2"/>
    </font>
    <font>
      <sz val="10"/>
      <color theme="0"/>
      <name val="Arial"/>
      <family val="2"/>
    </font>
    <font>
      <b/>
      <i/>
      <sz val="10"/>
      <color rgb="FFFF0000"/>
      <name val="Arial"/>
      <family val="2"/>
    </font>
    <font>
      <sz val="11"/>
      <name val="Calibri"/>
      <family val="2"/>
      <scheme val="minor"/>
    </font>
    <font>
      <b/>
      <sz val="11"/>
      <color rgb="FFFF0000"/>
      <name val="Calibri"/>
      <family val="2"/>
      <scheme val="minor"/>
    </font>
    <font>
      <b/>
      <sz val="11"/>
      <name val="Calibri"/>
      <family val="2"/>
      <scheme val="minor"/>
    </font>
    <font>
      <sz val="11"/>
      <color theme="1"/>
      <name val="Arial"/>
      <family val="2"/>
    </font>
    <font>
      <sz val="11"/>
      <color rgb="FFFF0000"/>
      <name val="Calibri"/>
      <family val="2"/>
      <scheme val="minor"/>
    </font>
    <font>
      <b/>
      <sz val="11"/>
      <color rgb="FF000000"/>
      <name val="Calibri"/>
      <family val="2"/>
    </font>
    <font>
      <sz val="11"/>
      <color theme="1"/>
      <name val="Calibri"/>
      <family val="2"/>
    </font>
    <font>
      <sz val="11"/>
      <color rgb="FF000000"/>
      <name val="Calibri"/>
      <family val="2"/>
    </font>
    <font>
      <sz val="9"/>
      <color indexed="81"/>
      <name val="Tahoma"/>
      <family val="2"/>
    </font>
    <font>
      <b/>
      <sz val="9"/>
      <color indexed="81"/>
      <name val="Tahoma"/>
      <family val="2"/>
    </font>
    <font>
      <sz val="11"/>
      <color rgb="FFFF0000"/>
      <name val="Arial"/>
      <family val="2"/>
    </font>
    <font>
      <sz val="12"/>
      <name val="Arial"/>
      <family val="2"/>
    </font>
    <font>
      <sz val="10"/>
      <color theme="1"/>
      <name val="Calibri"/>
      <family val="2"/>
      <scheme val="minor"/>
    </font>
    <font>
      <sz val="10"/>
      <color theme="1"/>
      <name val="Arial"/>
      <family val="2"/>
    </font>
    <font>
      <u/>
      <sz val="10"/>
      <color theme="10"/>
      <name val="Arial"/>
      <family val="2"/>
    </font>
    <font>
      <b/>
      <sz val="10"/>
      <color theme="1"/>
      <name val="Arial"/>
      <family val="2"/>
    </font>
  </fonts>
  <fills count="16">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45"/>
        <bgColor indexed="64"/>
      </patternFill>
    </fill>
    <fill>
      <patternFill patternType="solid">
        <fgColor indexed="5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C99"/>
        <bgColor indexed="64"/>
      </patternFill>
    </fill>
  </fills>
  <borders count="47">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thin">
        <color indexed="64"/>
      </left>
      <right/>
      <top/>
      <bottom style="medium">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bottom style="double">
        <color indexed="64"/>
      </bottom>
      <diagonal/>
    </border>
    <border>
      <left/>
      <right/>
      <top style="double">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double">
        <color indexed="52"/>
      </left>
      <right/>
      <top style="double">
        <color indexed="52"/>
      </top>
      <bottom style="double">
        <color indexed="52"/>
      </bottom>
      <diagonal/>
    </border>
    <border>
      <left/>
      <right/>
      <top style="double">
        <color indexed="52"/>
      </top>
      <bottom style="double">
        <color indexed="52"/>
      </bottom>
      <diagonal/>
    </border>
    <border>
      <left/>
      <right style="double">
        <color indexed="52"/>
      </right>
      <top style="double">
        <color indexed="52"/>
      </top>
      <bottom style="double">
        <color indexed="52"/>
      </bottom>
      <diagonal/>
    </border>
  </borders>
  <cellStyleXfs count="25">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2" fillId="0" borderId="0"/>
    <xf numFmtId="0" fontId="10" fillId="0" borderId="0"/>
    <xf numFmtId="9" fontId="10" fillId="0" borderId="0" applyFont="0" applyFill="0" applyBorder="0" applyAlignment="0" applyProtection="0"/>
    <xf numFmtId="43" fontId="10" fillId="0" borderId="0" applyFont="0" applyFill="0" applyBorder="0" applyAlignment="0" applyProtection="0"/>
    <xf numFmtId="0" fontId="9" fillId="0" borderId="0"/>
    <xf numFmtId="43" fontId="9"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88" fillId="0" borderId="0" applyNumberFormat="0" applyFill="0" applyBorder="0" applyAlignment="0" applyProtection="0"/>
    <xf numFmtId="0" fontId="2" fillId="0" borderId="0"/>
  </cellStyleXfs>
  <cellXfs count="1137">
    <xf numFmtId="0" fontId="0" fillId="0" borderId="0" xfId="0"/>
    <xf numFmtId="165" fontId="12" fillId="0" borderId="0" xfId="1" applyNumberFormat="1"/>
    <xf numFmtId="0" fontId="13" fillId="0" borderId="0" xfId="0" applyFont="1"/>
    <xf numFmtId="0" fontId="0" fillId="0" borderId="1" xfId="0" applyBorder="1" applyAlignment="1">
      <alignment horizontal="center"/>
    </xf>
    <xf numFmtId="0" fontId="14" fillId="0" borderId="0" xfId="0" applyFont="1"/>
    <xf numFmtId="165" fontId="0" fillId="0" borderId="0" xfId="0" applyNumberFormat="1"/>
    <xf numFmtId="0" fontId="15" fillId="0" borderId="0" xfId="0" applyFont="1"/>
    <xf numFmtId="0" fontId="0" fillId="0" borderId="2" xfId="0" applyBorder="1"/>
    <xf numFmtId="0" fontId="0" fillId="0" borderId="1" xfId="0" applyBorder="1"/>
    <xf numFmtId="165" fontId="0" fillId="0" borderId="2" xfId="0" applyNumberFormat="1" applyBorder="1"/>
    <xf numFmtId="165" fontId="12" fillId="0" borderId="0" xfId="1" applyNumberFormat="1" applyBorder="1"/>
    <xf numFmtId="165" fontId="0" fillId="2" borderId="0" xfId="0" applyNumberFormat="1" applyFill="1"/>
    <xf numFmtId="165" fontId="12" fillId="0" borderId="3" xfId="1" applyNumberFormat="1" applyFont="1" applyBorder="1" applyAlignment="1">
      <alignment horizontal="center"/>
    </xf>
    <xf numFmtId="165" fontId="0" fillId="0" borderId="3" xfId="0" applyNumberFormat="1" applyBorder="1" applyAlignment="1">
      <alignment horizontal="center"/>
    </xf>
    <xf numFmtId="0" fontId="0" fillId="0" borderId="4" xfId="0" applyBorder="1" applyAlignment="1">
      <alignment horizontal="center"/>
    </xf>
    <xf numFmtId="165" fontId="0" fillId="0" borderId="5" xfId="0" applyNumberFormat="1" applyBorder="1" applyAlignment="1">
      <alignment horizontal="center"/>
    </xf>
    <xf numFmtId="0" fontId="0" fillId="0" borderId="3" xfId="0" applyBorder="1" applyAlignment="1">
      <alignment horizontal="center"/>
    </xf>
    <xf numFmtId="165" fontId="16" fillId="0" borderId="6" xfId="1" applyNumberFormat="1" applyFont="1" applyBorder="1" applyAlignment="1">
      <alignment horizontal="center"/>
    </xf>
    <xf numFmtId="165" fontId="16" fillId="0" borderId="7" xfId="1" applyNumberFormat="1" applyFont="1" applyBorder="1" applyAlignment="1">
      <alignment horizontal="center"/>
    </xf>
    <xf numFmtId="165" fontId="0" fillId="0" borderId="7" xfId="0" applyNumberFormat="1" applyBorder="1"/>
    <xf numFmtId="165" fontId="12" fillId="0" borderId="8" xfId="1" applyNumberFormat="1" applyBorder="1"/>
    <xf numFmtId="165" fontId="0" fillId="0" borderId="9" xfId="0" applyNumberFormat="1" applyBorder="1"/>
    <xf numFmtId="165" fontId="12" fillId="0" borderId="5" xfId="1" applyNumberFormat="1" applyBorder="1"/>
    <xf numFmtId="165" fontId="12" fillId="0" borderId="3" xfId="1" applyNumberFormat="1" applyBorder="1"/>
    <xf numFmtId="165" fontId="0" fillId="0" borderId="6" xfId="0" applyNumberFormat="1" applyBorder="1"/>
    <xf numFmtId="165" fontId="0" fillId="0" borderId="10" xfId="0" applyNumberFormat="1" applyBorder="1"/>
    <xf numFmtId="165" fontId="0" fillId="0" borderId="8" xfId="0" applyNumberFormat="1" applyBorder="1"/>
    <xf numFmtId="0" fontId="0" fillId="0" borderId="3" xfId="0" applyBorder="1"/>
    <xf numFmtId="165" fontId="0" fillId="0" borderId="4" xfId="0" applyNumberFormat="1" applyBorder="1"/>
    <xf numFmtId="0" fontId="0" fillId="0" borderId="7" xfId="0" applyBorder="1"/>
    <xf numFmtId="0" fontId="0" fillId="0" borderId="11" xfId="0" applyBorder="1"/>
    <xf numFmtId="0" fontId="0" fillId="0" borderId="0" xfId="0" applyAlignment="1">
      <alignment horizontal="right"/>
    </xf>
    <xf numFmtId="165" fontId="0" fillId="0" borderId="12" xfId="0" applyNumberFormat="1" applyBorder="1"/>
    <xf numFmtId="0" fontId="0" fillId="0" borderId="9" xfId="0" applyBorder="1"/>
    <xf numFmtId="165" fontId="14" fillId="3" borderId="5" xfId="0" applyNumberFormat="1" applyFont="1" applyFill="1" applyBorder="1" applyAlignment="1">
      <alignment horizontal="center"/>
    </xf>
    <xf numFmtId="0" fontId="14" fillId="3" borderId="3" xfId="0" applyFont="1" applyFill="1" applyBorder="1" applyAlignment="1">
      <alignment horizontal="center"/>
    </xf>
    <xf numFmtId="165" fontId="14" fillId="3" borderId="4" xfId="0" applyNumberFormat="1" applyFont="1" applyFill="1" applyBorder="1" applyAlignment="1">
      <alignment horizontal="center"/>
    </xf>
    <xf numFmtId="0" fontId="0" fillId="3" borderId="13" xfId="0" applyFill="1" applyBorder="1"/>
    <xf numFmtId="0" fontId="0" fillId="3" borderId="13" xfId="0" applyFill="1" applyBorder="1" applyAlignment="1">
      <alignment horizontal="center"/>
    </xf>
    <xf numFmtId="0" fontId="0" fillId="0" borderId="8" xfId="0" applyBorder="1"/>
    <xf numFmtId="165" fontId="0" fillId="0" borderId="5" xfId="0" applyNumberFormat="1" applyBorder="1"/>
    <xf numFmtId="165" fontId="0" fillId="0" borderId="3" xfId="0" applyNumberFormat="1" applyBorder="1"/>
    <xf numFmtId="0" fontId="0" fillId="0" borderId="10" xfId="0" applyBorder="1"/>
    <xf numFmtId="0" fontId="0" fillId="0" borderId="4" xfId="0" applyBorder="1"/>
    <xf numFmtId="0" fontId="0" fillId="0" borderId="6" xfId="0" applyBorder="1"/>
    <xf numFmtId="165" fontId="12" fillId="0" borderId="0" xfId="1" applyNumberFormat="1" applyFill="1" applyBorder="1"/>
    <xf numFmtId="0" fontId="0" fillId="0" borderId="0" xfId="0" applyAlignment="1">
      <alignment wrapText="1"/>
    </xf>
    <xf numFmtId="165" fontId="0" fillId="0" borderId="0" xfId="1" applyNumberFormat="1" applyFont="1"/>
    <xf numFmtId="165" fontId="0" fillId="0" borderId="12" xfId="1" applyNumberFormat="1" applyFont="1" applyBorder="1"/>
    <xf numFmtId="0" fontId="14" fillId="0" borderId="0" xfId="0" applyFont="1" applyAlignment="1">
      <alignment horizontal="center"/>
    </xf>
    <xf numFmtId="0" fontId="0" fillId="0" borderId="0" xfId="0" quotePrefix="1"/>
    <xf numFmtId="0" fontId="0" fillId="0" borderId="0" xfId="0" quotePrefix="1" applyAlignment="1">
      <alignment wrapText="1"/>
    </xf>
    <xf numFmtId="0" fontId="14" fillId="0" borderId="0" xfId="0" quotePrefix="1" applyFont="1" applyAlignment="1">
      <alignment wrapText="1"/>
    </xf>
    <xf numFmtId="0" fontId="21" fillId="0" borderId="0" xfId="0" applyFont="1"/>
    <xf numFmtId="0" fontId="23" fillId="0" borderId="0" xfId="0" applyFont="1"/>
    <xf numFmtId="0" fontId="0" fillId="0" borderId="0" xfId="0" applyAlignment="1">
      <alignment horizontal="center"/>
    </xf>
    <xf numFmtId="165" fontId="0" fillId="0" borderId="0" xfId="1" applyNumberFormat="1" applyFont="1" applyFill="1" applyBorder="1"/>
    <xf numFmtId="165" fontId="0" fillId="0" borderId="0" xfId="1" applyNumberFormat="1" applyFont="1" applyBorder="1"/>
    <xf numFmtId="0" fontId="14" fillId="0" borderId="1" xfId="0" applyFont="1" applyBorder="1" applyAlignment="1">
      <alignment horizontal="center"/>
    </xf>
    <xf numFmtId="0" fontId="25" fillId="0" borderId="0" xfId="0" applyFont="1" applyAlignment="1">
      <alignment horizontal="left"/>
    </xf>
    <xf numFmtId="0" fontId="22" fillId="0" borderId="0" xfId="0" applyFont="1"/>
    <xf numFmtId="0" fontId="28" fillId="0" borderId="0" xfId="0" applyFont="1"/>
    <xf numFmtId="166" fontId="0" fillId="0" borderId="0" xfId="2" applyNumberFormat="1" applyFont="1" applyBorder="1"/>
    <xf numFmtId="166" fontId="12" fillId="0" borderId="0" xfId="2" applyNumberFormat="1" applyBorder="1"/>
    <xf numFmtId="166" fontId="0" fillId="0" borderId="1" xfId="2" applyNumberFormat="1" applyFont="1" applyBorder="1" applyAlignment="1">
      <alignment horizontal="center"/>
    </xf>
    <xf numFmtId="0" fontId="20" fillId="0" borderId="0" xfId="0" applyFont="1" applyAlignment="1">
      <alignment horizontal="center"/>
    </xf>
    <xf numFmtId="165" fontId="29" fillId="0" borderId="0" xfId="1" applyNumberFormat="1" applyFont="1" applyBorder="1"/>
    <xf numFmtId="0" fontId="14" fillId="0" borderId="0" xfId="0" quotePrefix="1" applyFont="1"/>
    <xf numFmtId="165" fontId="17" fillId="0" borderId="0" xfId="1" applyNumberFormat="1" applyFont="1" applyAlignment="1">
      <alignment horizontal="center"/>
    </xf>
    <xf numFmtId="165" fontId="0" fillId="0" borderId="13" xfId="1" applyNumberFormat="1" applyFont="1" applyBorder="1"/>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165" fontId="0" fillId="4" borderId="0" xfId="1" applyNumberFormat="1" applyFont="1" applyFill="1" applyBorder="1"/>
    <xf numFmtId="165" fontId="0" fillId="2" borderId="13" xfId="1" applyNumberFormat="1" applyFont="1" applyFill="1" applyBorder="1"/>
    <xf numFmtId="0" fontId="0" fillId="2" borderId="13" xfId="0" applyFill="1" applyBorder="1"/>
    <xf numFmtId="165" fontId="0" fillId="2" borderId="12" xfId="1" applyNumberFormat="1" applyFont="1" applyFill="1" applyBorder="1"/>
    <xf numFmtId="0" fontId="0" fillId="2" borderId="12" xfId="0" applyFill="1" applyBorder="1"/>
    <xf numFmtId="165" fontId="17" fillId="0" borderId="0" xfId="1" applyNumberFormat="1" applyFont="1" applyFill="1" applyAlignment="1">
      <alignment horizontal="center"/>
    </xf>
    <xf numFmtId="0" fontId="0" fillId="2" borderId="0" xfId="0" applyFill="1"/>
    <xf numFmtId="165" fontId="0" fillId="2" borderId="12" xfId="0" applyNumberFormat="1" applyFill="1" applyBorder="1"/>
    <xf numFmtId="166" fontId="0" fillId="2" borderId="12" xfId="2" applyNumberFormat="1" applyFont="1" applyFill="1" applyBorder="1"/>
    <xf numFmtId="165" fontId="17" fillId="0" borderId="0" xfId="1" applyNumberFormat="1" applyFont="1" applyFill="1" applyBorder="1" applyAlignment="1">
      <alignment horizontal="center"/>
    </xf>
    <xf numFmtId="165" fontId="0" fillId="2" borderId="0" xfId="1" applyNumberFormat="1" applyFont="1" applyFill="1"/>
    <xf numFmtId="165" fontId="12" fillId="2" borderId="0" xfId="1" applyNumberFormat="1" applyFill="1"/>
    <xf numFmtId="165" fontId="12" fillId="4" borderId="0" xfId="1" applyNumberFormat="1" applyFill="1"/>
    <xf numFmtId="166" fontId="12" fillId="2" borderId="12" xfId="2" applyNumberFormat="1" applyFill="1" applyBorder="1"/>
    <xf numFmtId="165" fontId="0" fillId="2" borderId="17" xfId="1" applyNumberFormat="1" applyFont="1" applyFill="1" applyBorder="1"/>
    <xf numFmtId="165" fontId="0" fillId="2" borderId="17" xfId="0" applyNumberFormat="1" applyFill="1" applyBorder="1"/>
    <xf numFmtId="166" fontId="12" fillId="4" borderId="0" xfId="2" applyNumberFormat="1" applyFill="1"/>
    <xf numFmtId="166" fontId="12" fillId="0" borderId="0" xfId="2" applyNumberFormat="1" applyFill="1" applyBorder="1"/>
    <xf numFmtId="0" fontId="0" fillId="0" borderId="1" xfId="0" applyBorder="1" applyAlignment="1">
      <alignment horizontal="center" wrapText="1"/>
    </xf>
    <xf numFmtId="0" fontId="25" fillId="0" borderId="0" xfId="0" applyFont="1"/>
    <xf numFmtId="165" fontId="12" fillId="2" borderId="17" xfId="1" applyNumberFormat="1" applyFill="1" applyBorder="1"/>
    <xf numFmtId="165" fontId="12" fillId="2" borderId="12" xfId="1" applyNumberFormat="1" applyFill="1" applyBorder="1"/>
    <xf numFmtId="165" fontId="12" fillId="0" borderId="0" xfId="1" applyNumberFormat="1" applyFill="1"/>
    <xf numFmtId="165" fontId="0" fillId="0" borderId="0" xfId="1" applyNumberFormat="1" applyFont="1" applyFill="1"/>
    <xf numFmtId="0" fontId="0" fillId="2" borderId="18" xfId="0" applyFill="1" applyBorder="1" applyAlignment="1">
      <alignment horizontal="center"/>
    </xf>
    <xf numFmtId="0" fontId="0" fillId="2" borderId="15" xfId="0" applyFill="1" applyBorder="1" applyAlignment="1">
      <alignment horizontal="center"/>
    </xf>
    <xf numFmtId="0" fontId="0" fillId="2" borderId="1" xfId="0" applyFill="1" applyBorder="1" applyAlignment="1">
      <alignment horizontal="center"/>
    </xf>
    <xf numFmtId="165" fontId="29" fillId="0" borderId="0" xfId="1" applyNumberFormat="1" applyFont="1" applyFill="1" applyBorder="1"/>
    <xf numFmtId="0" fontId="22" fillId="2" borderId="16" xfId="0" applyFont="1" applyFill="1" applyBorder="1" applyAlignment="1">
      <alignment horizontal="center"/>
    </xf>
    <xf numFmtId="0" fontId="16" fillId="2" borderId="16" xfId="0" applyFont="1" applyFill="1" applyBorder="1" applyAlignment="1">
      <alignment horizontal="center"/>
    </xf>
    <xf numFmtId="0" fontId="22" fillId="2" borderId="15" xfId="0" applyFont="1" applyFill="1" applyBorder="1" applyAlignment="1">
      <alignment horizontal="center"/>
    </xf>
    <xf numFmtId="0" fontId="22" fillId="0" borderId="0" xfId="0" applyFont="1" applyAlignment="1">
      <alignment horizontal="right"/>
    </xf>
    <xf numFmtId="165" fontId="12" fillId="0" borderId="0" xfId="1" applyNumberFormat="1" applyAlignment="1">
      <alignment horizontal="center"/>
    </xf>
    <xf numFmtId="0" fontId="20" fillId="5" borderId="0" xfId="0" applyFont="1" applyFill="1" applyAlignment="1">
      <alignment horizontal="left"/>
    </xf>
    <xf numFmtId="0" fontId="0" fillId="0" borderId="12" xfId="0" applyBorder="1"/>
    <xf numFmtId="0" fontId="0" fillId="5" borderId="0" xfId="0" applyFill="1"/>
    <xf numFmtId="165" fontId="12" fillId="0" borderId="1" xfId="1" applyNumberFormat="1" applyBorder="1" applyAlignment="1">
      <alignment horizontal="center"/>
    </xf>
    <xf numFmtId="165" fontId="12" fillId="0" borderId="16" xfId="1" applyNumberFormat="1" applyFont="1" applyBorder="1" applyAlignment="1">
      <alignment horizontal="center"/>
    </xf>
    <xf numFmtId="165" fontId="0" fillId="0" borderId="19" xfId="1" applyNumberFormat="1" applyFont="1" applyBorder="1"/>
    <xf numFmtId="165" fontId="0" fillId="0" borderId="2" xfId="1" applyNumberFormat="1" applyFont="1" applyBorder="1"/>
    <xf numFmtId="165" fontId="0" fillId="0" borderId="20" xfId="0" applyNumberFormat="1" applyBorder="1"/>
    <xf numFmtId="165" fontId="12" fillId="0" borderId="1" xfId="1" applyNumberFormat="1" applyFill="1" applyBorder="1"/>
    <xf numFmtId="0" fontId="14" fillId="2" borderId="0" xfId="0" applyFont="1" applyFill="1" applyAlignment="1">
      <alignment horizontal="center"/>
    </xf>
    <xf numFmtId="165" fontId="14" fillId="2" borderId="0" xfId="0" applyNumberFormat="1" applyFont="1" applyFill="1" applyAlignment="1">
      <alignment horizontal="center"/>
    </xf>
    <xf numFmtId="0" fontId="34" fillId="0" borderId="0" xfId="0" applyFont="1"/>
    <xf numFmtId="0" fontId="24" fillId="0" borderId="0" xfId="0" applyFont="1"/>
    <xf numFmtId="0" fontId="29" fillId="0" borderId="0" xfId="0" applyFont="1" applyAlignment="1">
      <alignment wrapText="1"/>
    </xf>
    <xf numFmtId="0" fontId="16" fillId="0" borderId="15" xfId="0" applyFont="1" applyBorder="1" applyAlignment="1">
      <alignment horizontal="center"/>
    </xf>
    <xf numFmtId="0" fontId="16" fillId="0" borderId="16" xfId="0" applyFont="1" applyBorder="1" applyAlignment="1">
      <alignment horizontal="center"/>
    </xf>
    <xf numFmtId="0" fontId="0" fillId="0" borderId="19" xfId="0" applyBorder="1"/>
    <xf numFmtId="0" fontId="0" fillId="0" borderId="15" xfId="0" applyBorder="1"/>
    <xf numFmtId="0" fontId="0" fillId="0" borderId="21" xfId="0" applyBorder="1"/>
    <xf numFmtId="165" fontId="0" fillId="0" borderId="22" xfId="0" applyNumberFormat="1" applyBorder="1"/>
    <xf numFmtId="0" fontId="0" fillId="0" borderId="16" xfId="0" applyBorder="1"/>
    <xf numFmtId="165" fontId="12" fillId="0" borderId="2" xfId="1" applyNumberFormat="1" applyFill="1" applyBorder="1"/>
    <xf numFmtId="165" fontId="12" fillId="0" borderId="15" xfId="1" applyNumberFormat="1" applyFill="1" applyBorder="1"/>
    <xf numFmtId="165" fontId="0" fillId="0" borderId="23" xfId="0" applyNumberFormat="1" applyBorder="1"/>
    <xf numFmtId="166" fontId="12" fillId="0" borderId="0" xfId="2" applyNumberFormat="1" applyFill="1"/>
    <xf numFmtId="0" fontId="25" fillId="0" borderId="0" xfId="0" applyFont="1" applyAlignment="1">
      <alignment horizontal="right"/>
    </xf>
    <xf numFmtId="0" fontId="37" fillId="0" borderId="0" xfId="0" applyFont="1" applyAlignment="1">
      <alignment wrapText="1"/>
    </xf>
    <xf numFmtId="0" fontId="37" fillId="0" borderId="1" xfId="0" applyFont="1" applyBorder="1" applyAlignment="1">
      <alignment horizontal="center" wrapText="1"/>
    </xf>
    <xf numFmtId="0" fontId="38" fillId="0" borderId="0" xfId="0" applyFont="1" applyAlignment="1">
      <alignment horizontal="center" wrapText="1"/>
    </xf>
    <xf numFmtId="0" fontId="40" fillId="0" borderId="0" xfId="0" applyFont="1" applyAlignment="1">
      <alignment horizontal="center" wrapText="1"/>
    </xf>
    <xf numFmtId="166" fontId="39" fillId="0" borderId="0" xfId="2" applyNumberFormat="1" applyFont="1" applyFill="1" applyBorder="1" applyAlignment="1">
      <alignment wrapText="1"/>
    </xf>
    <xf numFmtId="0" fontId="37" fillId="0" borderId="0" xfId="0" applyFont="1"/>
    <xf numFmtId="165" fontId="0" fillId="0" borderId="0" xfId="1" applyNumberFormat="1" applyFont="1" applyBorder="1" applyAlignment="1">
      <alignment horizontal="center"/>
    </xf>
    <xf numFmtId="165" fontId="0" fillId="0" borderId="0" xfId="1" applyNumberFormat="1" applyFont="1" applyFill="1" applyBorder="1" applyAlignment="1">
      <alignment horizontal="center"/>
    </xf>
    <xf numFmtId="0" fontId="39" fillId="0" borderId="0" xfId="0" applyFont="1" applyAlignment="1">
      <alignment wrapText="1"/>
    </xf>
    <xf numFmtId="165" fontId="12" fillId="2" borderId="13" xfId="1" applyNumberFormat="1" applyFill="1" applyBorder="1"/>
    <xf numFmtId="165" fontId="16" fillId="0" borderId="0" xfId="1" applyNumberFormat="1" applyFont="1" applyBorder="1"/>
    <xf numFmtId="165" fontId="12" fillId="0" borderId="0" xfId="1" applyNumberFormat="1" applyFont="1" applyBorder="1" applyAlignment="1">
      <alignment horizontal="center"/>
    </xf>
    <xf numFmtId="165" fontId="12" fillId="0" borderId="0" xfId="1" applyNumberFormat="1" applyFill="1" applyBorder="1" applyAlignment="1">
      <alignment horizontal="center"/>
    </xf>
    <xf numFmtId="165" fontId="12" fillId="0" borderId="0" xfId="1" applyNumberFormat="1" applyFont="1" applyFill="1" applyBorder="1" applyAlignment="1">
      <alignment horizontal="center"/>
    </xf>
    <xf numFmtId="165" fontId="12" fillId="0" borderId="1" xfId="1" applyNumberFormat="1" applyFont="1" applyBorder="1" applyAlignment="1">
      <alignment horizontal="center"/>
    </xf>
    <xf numFmtId="165" fontId="12" fillId="0" borderId="1" xfId="1" applyNumberFormat="1" applyFont="1" applyFill="1" applyBorder="1" applyAlignment="1">
      <alignment horizontal="center"/>
    </xf>
    <xf numFmtId="0" fontId="45" fillId="0" borderId="0" xfId="0" applyFont="1"/>
    <xf numFmtId="165" fontId="0" fillId="4" borderId="0" xfId="0" applyNumberFormat="1" applyFill="1"/>
    <xf numFmtId="0" fontId="0" fillId="4" borderId="0" xfId="0" applyFill="1"/>
    <xf numFmtId="0" fontId="15" fillId="0" borderId="0" xfId="0" applyFont="1" applyAlignment="1">
      <alignment wrapText="1"/>
    </xf>
    <xf numFmtId="165" fontId="12" fillId="0" borderId="0" xfId="1" applyNumberFormat="1" applyBorder="1" applyAlignment="1">
      <alignment horizontal="center"/>
    </xf>
    <xf numFmtId="0" fontId="0" fillId="3" borderId="7" xfId="0" applyFill="1" applyBorder="1"/>
    <xf numFmtId="0" fontId="14" fillId="3" borderId="4" xfId="0" applyFont="1" applyFill="1" applyBorder="1" applyAlignment="1">
      <alignment horizontal="center"/>
    </xf>
    <xf numFmtId="0" fontId="42" fillId="0" borderId="0" xfId="0" applyFont="1"/>
    <xf numFmtId="0" fontId="16" fillId="0" borderId="0" xfId="0" applyFont="1" applyAlignment="1">
      <alignment horizontal="left" wrapText="1"/>
    </xf>
    <xf numFmtId="0" fontId="14" fillId="0" borderId="0" xfId="0" applyFont="1" applyAlignment="1">
      <alignment horizontal="left"/>
    </xf>
    <xf numFmtId="9" fontId="12" fillId="0" borderId="0" xfId="3"/>
    <xf numFmtId="9" fontId="12" fillId="0" borderId="1" xfId="3" applyBorder="1" applyAlignment="1">
      <alignment horizontal="center"/>
    </xf>
    <xf numFmtId="9" fontId="12" fillId="0" borderId="0" xfId="3" applyBorder="1" applyAlignment="1">
      <alignment horizontal="center"/>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9" fontId="12" fillId="0" borderId="0" xfId="3" applyFont="1"/>
    <xf numFmtId="165" fontId="12" fillId="0" borderId="0" xfId="1" applyNumberFormat="1" applyFont="1" applyBorder="1"/>
    <xf numFmtId="9" fontId="12" fillId="0" borderId="0" xfId="3" applyBorder="1"/>
    <xf numFmtId="0" fontId="0" fillId="0" borderId="0" xfId="0" applyAlignment="1">
      <alignment horizontal="left" indent="4"/>
    </xf>
    <xf numFmtId="165" fontId="16" fillId="0" borderId="0" xfId="1" applyNumberFormat="1" applyFont="1" applyBorder="1" applyAlignment="1">
      <alignment horizontal="center"/>
    </xf>
    <xf numFmtId="165" fontId="16" fillId="0" borderId="0" xfId="1" applyNumberFormat="1" applyFont="1" applyFill="1" applyBorder="1" applyAlignment="1">
      <alignment horizontal="center"/>
    </xf>
    <xf numFmtId="165" fontId="16" fillId="0" borderId="0" xfId="1" applyNumberFormat="1" applyFont="1"/>
    <xf numFmtId="0" fontId="16" fillId="0" borderId="0" xfId="0" applyFont="1" applyAlignment="1">
      <alignment horizontal="center" wrapText="1"/>
    </xf>
    <xf numFmtId="0" fontId="14" fillId="0" borderId="0" xfId="0" applyFont="1" applyAlignment="1">
      <alignment horizontal="left" wrapText="1"/>
    </xf>
    <xf numFmtId="0" fontId="16" fillId="0" borderId="1" xfId="0" applyFont="1" applyBorder="1" applyAlignment="1">
      <alignment horizontal="center" wrapText="1"/>
    </xf>
    <xf numFmtId="41" fontId="0" fillId="0" borderId="0" xfId="0" applyNumberFormat="1" applyAlignment="1">
      <alignment horizontal="center"/>
    </xf>
    <xf numFmtId="42" fontId="0" fillId="0" borderId="0" xfId="0" applyNumberFormat="1" applyAlignment="1">
      <alignment horizontal="center"/>
    </xf>
    <xf numFmtId="166" fontId="12" fillId="2" borderId="13" xfId="2" applyNumberFormat="1" applyFill="1" applyBorder="1"/>
    <xf numFmtId="9" fontId="25" fillId="0" borderId="0" xfId="3" applyFont="1" applyFill="1" applyBorder="1"/>
    <xf numFmtId="166" fontId="12" fillId="2" borderId="17" xfId="2" applyNumberFormat="1" applyFill="1" applyBorder="1"/>
    <xf numFmtId="165" fontId="14" fillId="2" borderId="24" xfId="1" applyNumberFormat="1" applyFont="1" applyFill="1" applyBorder="1" applyAlignment="1">
      <alignment horizontal="center"/>
    </xf>
    <xf numFmtId="0" fontId="17" fillId="0" borderId="0" xfId="0" applyFont="1" applyAlignment="1">
      <alignment wrapText="1"/>
    </xf>
    <xf numFmtId="9" fontId="15" fillId="0" borderId="0" xfId="3" applyFont="1" applyBorder="1" applyAlignment="1">
      <alignment horizontal="left" wrapText="1"/>
    </xf>
    <xf numFmtId="9" fontId="15" fillId="0" borderId="0" xfId="3" applyFont="1" applyFill="1" applyBorder="1" applyAlignment="1">
      <alignment horizontal="left" wrapText="1"/>
    </xf>
    <xf numFmtId="0" fontId="47" fillId="0" borderId="0" xfId="0" applyFont="1"/>
    <xf numFmtId="165" fontId="14" fillId="4" borderId="4" xfId="0" applyNumberFormat="1" applyFont="1" applyFill="1" applyBorder="1" applyAlignment="1">
      <alignment horizontal="center"/>
    </xf>
    <xf numFmtId="9" fontId="13" fillId="0" borderId="0" xfId="3" applyFont="1"/>
    <xf numFmtId="0" fontId="43" fillId="0" borderId="0" xfId="0" applyFont="1"/>
    <xf numFmtId="0" fontId="22" fillId="0" borderId="0" xfId="0" applyFont="1" applyAlignment="1">
      <alignment horizontal="center" wrapText="1"/>
    </xf>
    <xf numFmtId="0" fontId="16" fillId="0" borderId="0" xfId="0" applyFont="1"/>
    <xf numFmtId="165" fontId="0" fillId="2" borderId="1" xfId="0" applyNumberFormat="1" applyFill="1" applyBorder="1"/>
    <xf numFmtId="0" fontId="16" fillId="0" borderId="0" xfId="0" quotePrefix="1" applyFont="1"/>
    <xf numFmtId="165" fontId="15" fillId="0" borderId="0" xfId="1" applyNumberFormat="1" applyFont="1" applyBorder="1" applyAlignment="1">
      <alignment wrapText="1"/>
    </xf>
    <xf numFmtId="0" fontId="0" fillId="0" borderId="21" xfId="0" applyBorder="1" applyAlignment="1">
      <alignment horizontal="center"/>
    </xf>
    <xf numFmtId="165" fontId="25" fillId="0" borderId="0" xfId="1" applyNumberFormat="1" applyFont="1" applyBorder="1" applyAlignment="1">
      <alignment horizontal="left"/>
    </xf>
    <xf numFmtId="165" fontId="25" fillId="0" borderId="0" xfId="1" applyNumberFormat="1" applyFont="1" applyBorder="1" applyAlignment="1">
      <alignment horizontal="right"/>
    </xf>
    <xf numFmtId="165" fontId="12" fillId="2" borderId="1" xfId="1" applyNumberFormat="1" applyFill="1" applyBorder="1"/>
    <xf numFmtId="165" fontId="12" fillId="5" borderId="0" xfId="1" applyNumberFormat="1" applyFill="1"/>
    <xf numFmtId="0" fontId="20" fillId="5" borderId="0" xfId="0" applyFont="1" applyFill="1"/>
    <xf numFmtId="0" fontId="0" fillId="0" borderId="2" xfId="0" applyBorder="1" applyAlignment="1">
      <alignment horizontal="center"/>
    </xf>
    <xf numFmtId="0" fontId="0" fillId="0" borderId="22" xfId="0" applyBorder="1" applyAlignment="1">
      <alignment horizontal="center"/>
    </xf>
    <xf numFmtId="165" fontId="16" fillId="2" borderId="17" xfId="0" applyNumberFormat="1" applyFont="1" applyFill="1" applyBorder="1"/>
    <xf numFmtId="0" fontId="0" fillId="2" borderId="27" xfId="0" applyFill="1" applyBorder="1" applyAlignment="1">
      <alignment horizontal="center"/>
    </xf>
    <xf numFmtId="0" fontId="0" fillId="2" borderId="0" xfId="0" applyFill="1" applyAlignment="1">
      <alignment horizontal="center"/>
    </xf>
    <xf numFmtId="0" fontId="0" fillId="0" borderId="13" xfId="0" applyBorder="1"/>
    <xf numFmtId="165" fontId="12" fillId="0" borderId="13" xfId="1" applyNumberFormat="1" applyFill="1" applyBorder="1"/>
    <xf numFmtId="41" fontId="12" fillId="0" borderId="0" xfId="2" applyNumberFormat="1" applyFill="1"/>
    <xf numFmtId="42" fontId="0" fillId="2" borderId="0" xfId="0" applyNumberFormat="1" applyFill="1" applyAlignment="1">
      <alignment horizontal="center"/>
    </xf>
    <xf numFmtId="0" fontId="37" fillId="3" borderId="5" xfId="0" applyFont="1" applyFill="1" applyBorder="1" applyAlignment="1">
      <alignment horizontal="center"/>
    </xf>
    <xf numFmtId="0" fontId="37" fillId="3" borderId="3" xfId="0" applyFont="1" applyFill="1" applyBorder="1" applyAlignment="1">
      <alignment horizontal="center"/>
    </xf>
    <xf numFmtId="165" fontId="0" fillId="0" borderId="9" xfId="1" applyNumberFormat="1" applyFont="1" applyBorder="1"/>
    <xf numFmtId="165" fontId="0" fillId="0" borderId="9" xfId="1" applyNumberFormat="1" applyFont="1" applyFill="1" applyBorder="1"/>
    <xf numFmtId="165" fontId="15" fillId="0" borderId="0" xfId="1" applyNumberFormat="1" applyFont="1" applyBorder="1" applyAlignment="1">
      <alignment horizontal="right" wrapText="1"/>
    </xf>
    <xf numFmtId="165" fontId="25" fillId="0" borderId="0" xfId="1" applyNumberFormat="1" applyFont="1" applyBorder="1" applyAlignment="1"/>
    <xf numFmtId="0" fontId="41" fillId="0" borderId="0" xfId="0" applyFont="1"/>
    <xf numFmtId="0" fontId="0" fillId="0" borderId="0" xfId="0" applyAlignment="1">
      <alignment horizontal="left"/>
    </xf>
    <xf numFmtId="165" fontId="0" fillId="2" borderId="1" xfId="0" applyNumberFormat="1" applyFill="1" applyBorder="1" applyAlignment="1">
      <alignment horizontal="left" indent="2"/>
    </xf>
    <xf numFmtId="165" fontId="12" fillId="0" borderId="1" xfId="1" applyNumberFormat="1" applyBorder="1"/>
    <xf numFmtId="9" fontId="15" fillId="0" borderId="0" xfId="3" applyFont="1"/>
    <xf numFmtId="41" fontId="0" fillId="2" borderId="12" xfId="0" applyNumberFormat="1" applyFill="1" applyBorder="1"/>
    <xf numFmtId="165" fontId="15" fillId="0" borderId="0" xfId="1" applyNumberFormat="1" applyFont="1"/>
    <xf numFmtId="9" fontId="25" fillId="0" borderId="0" xfId="3" applyFont="1" applyFill="1" applyBorder="1" applyAlignment="1">
      <alignment horizontal="left"/>
    </xf>
    <xf numFmtId="165" fontId="17" fillId="0" borderId="0" xfId="1" applyNumberFormat="1" applyFont="1" applyAlignment="1">
      <alignment wrapText="1"/>
    </xf>
    <xf numFmtId="165" fontId="50" fillId="0" borderId="0" xfId="1" applyNumberFormat="1" applyFont="1"/>
    <xf numFmtId="165" fontId="13" fillId="0" borderId="0" xfId="1" applyNumberFormat="1" applyFont="1" applyBorder="1"/>
    <xf numFmtId="0" fontId="51" fillId="0" borderId="0" xfId="0" applyFont="1"/>
    <xf numFmtId="0" fontId="38" fillId="0" borderId="0" xfId="0" applyFont="1"/>
    <xf numFmtId="0" fontId="37" fillId="0" borderId="0" xfId="0" applyFont="1" applyAlignment="1">
      <alignment horizontal="center"/>
    </xf>
    <xf numFmtId="165" fontId="37" fillId="0" borderId="0" xfId="0" applyNumberFormat="1" applyFont="1" applyAlignment="1">
      <alignment horizontal="center"/>
    </xf>
    <xf numFmtId="0" fontId="37" fillId="0" borderId="3" xfId="0" applyFont="1" applyBorder="1" applyAlignment="1">
      <alignment horizontal="center"/>
    </xf>
    <xf numFmtId="0" fontId="33" fillId="0" borderId="0" xfId="0" applyFont="1" applyAlignment="1">
      <alignment horizontal="center"/>
    </xf>
    <xf numFmtId="0" fontId="37" fillId="0" borderId="8" xfId="0" applyFont="1" applyBorder="1" applyAlignment="1">
      <alignment horizontal="center"/>
    </xf>
    <xf numFmtId="165" fontId="37" fillId="0" borderId="8" xfId="0" applyNumberFormat="1" applyFont="1" applyBorder="1" applyAlignment="1">
      <alignment horizontal="center"/>
    </xf>
    <xf numFmtId="0" fontId="37" fillId="0" borderId="5" xfId="0" applyFont="1" applyBorder="1" applyAlignment="1">
      <alignment horizontal="center"/>
    </xf>
    <xf numFmtId="165" fontId="16" fillId="2" borderId="0" xfId="0" applyNumberFormat="1" applyFont="1" applyFill="1" applyAlignment="1">
      <alignment horizontal="center"/>
    </xf>
    <xf numFmtId="165" fontId="0" fillId="2" borderId="12" xfId="1" applyNumberFormat="1" applyFont="1" applyFill="1" applyBorder="1" applyAlignment="1">
      <alignment horizontal="left" indent="2"/>
    </xf>
    <xf numFmtId="165" fontId="12" fillId="0" borderId="0" xfId="1" applyNumberFormat="1" applyBorder="1" applyAlignment="1">
      <alignment horizontal="right"/>
    </xf>
    <xf numFmtId="165" fontId="25" fillId="0" borderId="0" xfId="1" applyNumberFormat="1" applyFont="1" applyBorder="1" applyAlignment="1">
      <alignment horizontal="center"/>
    </xf>
    <xf numFmtId="165" fontId="12" fillId="0" borderId="1" xfId="1" applyNumberFormat="1" applyFont="1" applyBorder="1"/>
    <xf numFmtId="165" fontId="37" fillId="0" borderId="1" xfId="1" applyNumberFormat="1" applyFont="1" applyBorder="1"/>
    <xf numFmtId="0" fontId="16" fillId="0" borderId="0" xfId="0" applyFont="1" applyAlignment="1">
      <alignment horizontal="center"/>
    </xf>
    <xf numFmtId="165" fontId="34" fillId="0" borderId="0" xfId="1" applyNumberFormat="1" applyFont="1"/>
    <xf numFmtId="165" fontId="34" fillId="0" borderId="0" xfId="0" applyNumberFormat="1" applyFont="1"/>
    <xf numFmtId="165" fontId="14" fillId="3" borderId="3" xfId="1" applyNumberFormat="1" applyFont="1" applyFill="1" applyBorder="1" applyAlignment="1">
      <alignment horizontal="center"/>
    </xf>
    <xf numFmtId="165" fontId="0" fillId="0" borderId="0" xfId="1" applyNumberFormat="1" applyFont="1" applyAlignment="1">
      <alignment wrapText="1"/>
    </xf>
    <xf numFmtId="165" fontId="22" fillId="0" borderId="0" xfId="1" applyNumberFormat="1" applyFont="1" applyFill="1"/>
    <xf numFmtId="165" fontId="0" fillId="3" borderId="10" xfId="1" applyNumberFormat="1" applyFont="1" applyFill="1" applyBorder="1"/>
    <xf numFmtId="165" fontId="14" fillId="3" borderId="4" xfId="1" applyNumberFormat="1" applyFont="1" applyFill="1" applyBorder="1" applyAlignment="1">
      <alignment horizontal="center"/>
    </xf>
    <xf numFmtId="165" fontId="0" fillId="0" borderId="7" xfId="1" applyNumberFormat="1" applyFont="1" applyBorder="1"/>
    <xf numFmtId="165" fontId="0" fillId="0" borderId="3" xfId="1" applyNumberFormat="1" applyFont="1" applyBorder="1"/>
    <xf numFmtId="165" fontId="0" fillId="3" borderId="7" xfId="1" applyNumberFormat="1" applyFont="1" applyFill="1" applyBorder="1"/>
    <xf numFmtId="0" fontId="37" fillId="3" borderId="7" xfId="0" applyFont="1" applyFill="1" applyBorder="1" applyAlignment="1">
      <alignment horizontal="center"/>
    </xf>
    <xf numFmtId="0" fontId="37" fillId="0" borderId="7" xfId="0" applyFont="1" applyBorder="1" applyAlignment="1">
      <alignment horizontal="center"/>
    </xf>
    <xf numFmtId="0" fontId="49" fillId="0" borderId="0" xfId="0" applyFont="1" applyAlignment="1">
      <alignment horizontal="center"/>
    </xf>
    <xf numFmtId="0" fontId="37" fillId="3" borderId="6" xfId="0" applyFont="1" applyFill="1" applyBorder="1" applyAlignment="1">
      <alignment horizontal="center"/>
    </xf>
    <xf numFmtId="0" fontId="51" fillId="0" borderId="0" xfId="0" applyFont="1" applyAlignment="1">
      <alignment horizontal="center"/>
    </xf>
    <xf numFmtId="165" fontId="0" fillId="0" borderId="1" xfId="0" applyNumberFormat="1" applyBorder="1"/>
    <xf numFmtId="0" fontId="0" fillId="6" borderId="8" xfId="0" applyFill="1" applyBorder="1"/>
    <xf numFmtId="0" fontId="0" fillId="6" borderId="9" xfId="0" applyFill="1" applyBorder="1"/>
    <xf numFmtId="0" fontId="0" fillId="6" borderId="0" xfId="0" applyFill="1"/>
    <xf numFmtId="165" fontId="0" fillId="6" borderId="0" xfId="0" applyNumberFormat="1" applyFill="1"/>
    <xf numFmtId="165" fontId="0" fillId="6" borderId="8" xfId="0" applyNumberFormat="1" applyFill="1" applyBorder="1"/>
    <xf numFmtId="165" fontId="0" fillId="6" borderId="2" xfId="0" applyNumberFormat="1" applyFill="1" applyBorder="1"/>
    <xf numFmtId="165" fontId="0" fillId="6" borderId="9" xfId="0" applyNumberFormat="1" applyFill="1" applyBorder="1"/>
    <xf numFmtId="0" fontId="37" fillId="6" borderId="0" xfId="0" applyFont="1" applyFill="1" applyAlignment="1">
      <alignment horizontal="center"/>
    </xf>
    <xf numFmtId="165" fontId="0" fillId="6" borderId="0" xfId="1" applyNumberFormat="1" applyFont="1" applyFill="1" applyBorder="1"/>
    <xf numFmtId="165" fontId="37" fillId="6" borderId="8" xfId="0" applyNumberFormat="1" applyFont="1" applyFill="1" applyBorder="1" applyAlignment="1">
      <alignment horizontal="center"/>
    </xf>
    <xf numFmtId="165" fontId="0" fillId="6" borderId="9" xfId="1" applyNumberFormat="1" applyFont="1" applyFill="1" applyBorder="1"/>
    <xf numFmtId="0" fontId="16" fillId="6" borderId="0" xfId="0" applyFont="1" applyFill="1"/>
    <xf numFmtId="165" fontId="0" fillId="6" borderId="0" xfId="1" applyNumberFormat="1" applyFont="1" applyFill="1"/>
    <xf numFmtId="0" fontId="49" fillId="6" borderId="0" xfId="0" applyFont="1" applyFill="1" applyAlignment="1">
      <alignment horizontal="center"/>
    </xf>
    <xf numFmtId="165" fontId="0" fillId="2" borderId="0" xfId="1" applyNumberFormat="1" applyFont="1" applyFill="1" applyBorder="1"/>
    <xf numFmtId="0" fontId="0" fillId="4" borderId="10" xfId="0" applyFill="1" applyBorder="1"/>
    <xf numFmtId="165" fontId="12" fillId="2" borderId="0" xfId="1" applyNumberFormat="1" applyFont="1" applyFill="1"/>
    <xf numFmtId="0" fontId="14" fillId="3" borderId="6" xfId="0" applyFont="1" applyFill="1" applyBorder="1" applyAlignment="1">
      <alignment horizontal="center"/>
    </xf>
    <xf numFmtId="0" fontId="0" fillId="3" borderId="5" xfId="0" applyFill="1" applyBorder="1" applyAlignment="1">
      <alignment horizontal="center"/>
    </xf>
    <xf numFmtId="165" fontId="0" fillId="2" borderId="10" xfId="0" applyNumberFormat="1" applyFill="1" applyBorder="1"/>
    <xf numFmtId="165" fontId="22" fillId="0" borderId="0" xfId="1" applyNumberFormat="1" applyFont="1"/>
    <xf numFmtId="165" fontId="13" fillId="0" borderId="0" xfId="1" applyNumberFormat="1" applyFont="1"/>
    <xf numFmtId="165" fontId="22" fillId="0" borderId="0" xfId="1" applyNumberFormat="1" applyFont="1" applyBorder="1"/>
    <xf numFmtId="165" fontId="0" fillId="0" borderId="10" xfId="1" applyNumberFormat="1" applyFont="1" applyBorder="1"/>
    <xf numFmtId="165" fontId="0" fillId="0" borderId="4" xfId="1" applyNumberFormat="1" applyFont="1" applyBorder="1"/>
    <xf numFmtId="165" fontId="0" fillId="0" borderId="3" xfId="1" applyNumberFormat="1" applyFont="1" applyFill="1" applyBorder="1"/>
    <xf numFmtId="0" fontId="0" fillId="2" borderId="8" xfId="0" applyFill="1" applyBorder="1"/>
    <xf numFmtId="0" fontId="0" fillId="2" borderId="9" xfId="0" applyFill="1" applyBorder="1"/>
    <xf numFmtId="0" fontId="37" fillId="6" borderId="8" xfId="0" applyFont="1" applyFill="1" applyBorder="1" applyAlignment="1">
      <alignment horizontal="center"/>
    </xf>
    <xf numFmtId="165" fontId="0" fillId="3" borderId="3" xfId="0" applyNumberFormat="1" applyFill="1" applyBorder="1" applyAlignment="1">
      <alignment horizontal="center"/>
    </xf>
    <xf numFmtId="165" fontId="14" fillId="4" borderId="3" xfId="0" applyNumberFormat="1" applyFont="1" applyFill="1" applyBorder="1" applyAlignment="1">
      <alignment horizontal="center"/>
    </xf>
    <xf numFmtId="165" fontId="0" fillId="0" borderId="8" xfId="1" applyNumberFormat="1" applyFont="1" applyBorder="1"/>
    <xf numFmtId="165" fontId="0" fillId="6" borderId="8" xfId="1" applyNumberFormat="1" applyFont="1" applyFill="1" applyBorder="1"/>
    <xf numFmtId="165" fontId="0" fillId="2" borderId="8" xfId="0" applyNumberFormat="1" applyFill="1" applyBorder="1"/>
    <xf numFmtId="165" fontId="0" fillId="2" borderId="9" xfId="0" applyNumberFormat="1" applyFill="1" applyBorder="1"/>
    <xf numFmtId="0" fontId="0" fillId="0" borderId="5" xfId="0" applyBorder="1"/>
    <xf numFmtId="165" fontId="0" fillId="0" borderId="6" xfId="1" applyNumberFormat="1" applyFont="1" applyBorder="1"/>
    <xf numFmtId="165" fontId="0" fillId="0" borderId="8" xfId="1" applyNumberFormat="1" applyFont="1" applyFill="1" applyBorder="1"/>
    <xf numFmtId="165" fontId="0" fillId="0" borderId="5" xfId="1" applyNumberFormat="1" applyFont="1" applyBorder="1"/>
    <xf numFmtId="0" fontId="14" fillId="6" borderId="9" xfId="0" applyFont="1" applyFill="1" applyBorder="1"/>
    <xf numFmtId="0" fontId="13" fillId="0" borderId="9" xfId="0" applyFont="1" applyBorder="1"/>
    <xf numFmtId="0" fontId="0" fillId="0" borderId="28" xfId="0" applyBorder="1" applyAlignment="1">
      <alignment horizontal="center"/>
    </xf>
    <xf numFmtId="165" fontId="12" fillId="4" borderId="5" xfId="1" applyNumberFormat="1" applyFill="1" applyBorder="1"/>
    <xf numFmtId="165" fontId="12" fillId="4" borderId="3" xfId="1" applyNumberFormat="1" applyFill="1" applyBorder="1"/>
    <xf numFmtId="165" fontId="0" fillId="4" borderId="3" xfId="0" applyNumberFormat="1" applyFill="1" applyBorder="1"/>
    <xf numFmtId="0" fontId="0" fillId="4" borderId="4" xfId="0" applyFill="1" applyBorder="1"/>
    <xf numFmtId="165" fontId="17" fillId="2" borderId="4" xfId="1" applyNumberFormat="1" applyFont="1" applyFill="1" applyBorder="1" applyAlignment="1">
      <alignment horizontal="centerContinuous"/>
    </xf>
    <xf numFmtId="0" fontId="50" fillId="4" borderId="3" xfId="0" applyFont="1" applyFill="1" applyBorder="1" applyAlignment="1">
      <alignment horizontal="centerContinuous"/>
    </xf>
    <xf numFmtId="165" fontId="0" fillId="2" borderId="4" xfId="1" applyNumberFormat="1" applyFont="1" applyFill="1" applyBorder="1"/>
    <xf numFmtId="165" fontId="0" fillId="2" borderId="5" xfId="1" applyNumberFormat="1" applyFont="1" applyFill="1" applyBorder="1"/>
    <xf numFmtId="0" fontId="14" fillId="3" borderId="5" xfId="0" applyFont="1" applyFill="1" applyBorder="1" applyAlignment="1">
      <alignment horizontal="center"/>
    </xf>
    <xf numFmtId="165" fontId="14" fillId="3" borderId="5" xfId="1" applyNumberFormat="1" applyFont="1" applyFill="1" applyBorder="1" applyAlignment="1">
      <alignment horizontal="center"/>
    </xf>
    <xf numFmtId="0" fontId="0" fillId="3" borderId="14" xfId="0" applyFill="1" applyBorder="1" applyAlignment="1">
      <alignment horizontal="center"/>
    </xf>
    <xf numFmtId="0" fontId="0" fillId="3" borderId="0" xfId="0" applyFill="1"/>
    <xf numFmtId="165" fontId="0" fillId="3" borderId="0" xfId="0" applyNumberFormat="1" applyFill="1"/>
    <xf numFmtId="165" fontId="0" fillId="3" borderId="12" xfId="0" applyNumberFormat="1" applyFill="1" applyBorder="1"/>
    <xf numFmtId="165" fontId="0" fillId="0" borderId="2" xfId="1" applyNumberFormat="1" applyFont="1" applyFill="1" applyBorder="1"/>
    <xf numFmtId="0" fontId="15" fillId="0" borderId="0" xfId="0" applyFont="1" applyAlignment="1">
      <alignment textRotation="90"/>
    </xf>
    <xf numFmtId="0" fontId="14" fillId="3" borderId="29" xfId="0" applyFont="1" applyFill="1" applyBorder="1"/>
    <xf numFmtId="0" fontId="17" fillId="4" borderId="7" xfId="0" applyFont="1" applyFill="1" applyBorder="1"/>
    <xf numFmtId="165" fontId="17" fillId="2" borderId="6" xfId="0" applyNumberFormat="1" applyFont="1" applyFill="1" applyBorder="1"/>
    <xf numFmtId="0" fontId="50" fillId="4" borderId="7" xfId="0" applyFont="1" applyFill="1" applyBorder="1" applyAlignment="1">
      <alignment horizontal="centerContinuous"/>
    </xf>
    <xf numFmtId="0" fontId="0" fillId="2" borderId="7" xfId="0" applyFill="1" applyBorder="1"/>
    <xf numFmtId="165" fontId="0" fillId="2" borderId="10" xfId="1" applyNumberFormat="1" applyFont="1" applyFill="1" applyBorder="1"/>
    <xf numFmtId="0" fontId="15" fillId="6" borderId="0" xfId="0" applyFont="1" applyFill="1"/>
    <xf numFmtId="0" fontId="14" fillId="0" borderId="8" xfId="0" applyFont="1" applyBorder="1"/>
    <xf numFmtId="0" fontId="14" fillId="6" borderId="0" xfId="0" applyFont="1" applyFill="1"/>
    <xf numFmtId="0" fontId="0" fillId="0" borderId="30" xfId="0" applyBorder="1"/>
    <xf numFmtId="0" fontId="14" fillId="4" borderId="0" xfId="0" applyFont="1" applyFill="1" applyAlignment="1">
      <alignment horizontal="centerContinuous"/>
    </xf>
    <xf numFmtId="0" fontId="14" fillId="4" borderId="10" xfId="0" applyFont="1" applyFill="1" applyBorder="1" applyAlignment="1">
      <alignment horizontal="centerContinuous"/>
    </xf>
    <xf numFmtId="0" fontId="14" fillId="4" borderId="9" xfId="0" applyFont="1" applyFill="1" applyBorder="1" applyAlignment="1">
      <alignment horizontal="centerContinuous"/>
    </xf>
    <xf numFmtId="165" fontId="14" fillId="4" borderId="3" xfId="1" applyNumberFormat="1" applyFont="1" applyFill="1" applyBorder="1" applyAlignment="1">
      <alignment horizontal="center"/>
    </xf>
    <xf numFmtId="165" fontId="14" fillId="4" borderId="4" xfId="1" applyNumberFormat="1" applyFont="1" applyFill="1" applyBorder="1" applyAlignment="1">
      <alignment horizontal="center"/>
    </xf>
    <xf numFmtId="0" fontId="14" fillId="0" borderId="0" xfId="0" applyFont="1" applyAlignment="1">
      <alignment wrapText="1"/>
    </xf>
    <xf numFmtId="165" fontId="0" fillId="2" borderId="20" xfId="1" applyNumberFormat="1" applyFont="1" applyFill="1" applyBorder="1"/>
    <xf numFmtId="165" fontId="0" fillId="2" borderId="1" xfId="1" applyNumberFormat="1" applyFont="1" applyFill="1" applyBorder="1"/>
    <xf numFmtId="165" fontId="17" fillId="4" borderId="7" xfId="1" applyNumberFormat="1" applyFont="1" applyFill="1" applyBorder="1" applyAlignment="1"/>
    <xf numFmtId="165" fontId="14" fillId="4" borderId="31" xfId="1" applyNumberFormat="1" applyFont="1" applyFill="1" applyBorder="1" applyAlignment="1">
      <alignment horizontal="center"/>
    </xf>
    <xf numFmtId="0" fontId="14" fillId="4" borderId="32" xfId="0" applyFont="1" applyFill="1" applyBorder="1" applyAlignment="1">
      <alignment horizontal="center"/>
    </xf>
    <xf numFmtId="0" fontId="14" fillId="4" borderId="31" xfId="0" applyFont="1" applyFill="1" applyBorder="1" applyAlignment="1">
      <alignment horizontal="center"/>
    </xf>
    <xf numFmtId="0" fontId="13" fillId="0" borderId="0" xfId="0" applyFont="1" applyAlignment="1">
      <alignment horizontal="center"/>
    </xf>
    <xf numFmtId="0" fontId="55" fillId="0" borderId="0" xfId="0" applyFont="1" applyAlignment="1">
      <alignment horizontal="center"/>
    </xf>
    <xf numFmtId="0" fontId="56" fillId="0" borderId="0" xfId="0" applyFont="1" applyAlignment="1">
      <alignment horizontal="center"/>
    </xf>
    <xf numFmtId="0" fontId="15" fillId="0" borderId="0" xfId="0" applyFont="1" applyAlignment="1">
      <alignment horizontal="center" wrapText="1"/>
    </xf>
    <xf numFmtId="165" fontId="0" fillId="0" borderId="0" xfId="0" applyNumberFormat="1" applyAlignment="1">
      <alignment horizontal="center"/>
    </xf>
    <xf numFmtId="165" fontId="0" fillId="0" borderId="3" xfId="1" applyNumberFormat="1" applyFont="1" applyBorder="1" applyAlignment="1">
      <alignment horizontal="center"/>
    </xf>
    <xf numFmtId="165" fontId="0" fillId="2" borderId="23" xfId="1" applyNumberFormat="1" applyFont="1" applyFill="1" applyBorder="1"/>
    <xf numFmtId="165" fontId="0" fillId="0" borderId="1" xfId="1" applyNumberFormat="1" applyFont="1" applyFill="1" applyBorder="1"/>
    <xf numFmtId="165" fontId="12" fillId="2" borderId="0" xfId="1" applyNumberFormat="1" applyFill="1" applyAlignment="1">
      <alignment horizontal="right"/>
    </xf>
    <xf numFmtId="0" fontId="14" fillId="0" borderId="14" xfId="0" applyFont="1" applyBorder="1" applyAlignment="1">
      <alignment horizontal="center"/>
    </xf>
    <xf numFmtId="0" fontId="14" fillId="0" borderId="21" xfId="0" applyFont="1" applyBorder="1" applyAlignment="1">
      <alignment horizontal="center"/>
    </xf>
    <xf numFmtId="0" fontId="57" fillId="0" borderId="9" xfId="0" applyFont="1" applyBorder="1"/>
    <xf numFmtId="165" fontId="0" fillId="7" borderId="29" xfId="1" applyNumberFormat="1" applyFont="1" applyFill="1" applyBorder="1"/>
    <xf numFmtId="165" fontId="0" fillId="7" borderId="33" xfId="1" applyNumberFormat="1" applyFont="1" applyFill="1" applyBorder="1"/>
    <xf numFmtId="0" fontId="0" fillId="0" borderId="34" xfId="0" applyBorder="1"/>
    <xf numFmtId="0" fontId="0" fillId="0" borderId="27" xfId="0" applyBorder="1"/>
    <xf numFmtId="0" fontId="14" fillId="0" borderId="18" xfId="0" applyFont="1" applyBorder="1"/>
    <xf numFmtId="0" fontId="16" fillId="0" borderId="27" xfId="0" applyFont="1" applyBorder="1" applyAlignment="1">
      <alignment horizontal="left"/>
    </xf>
    <xf numFmtId="0" fontId="59" fillId="0" borderId="0" xfId="0" applyFont="1"/>
    <xf numFmtId="0" fontId="16" fillId="0" borderId="18" xfId="0" applyFont="1" applyBorder="1" applyAlignment="1">
      <alignment horizontal="left"/>
    </xf>
    <xf numFmtId="0" fontId="14" fillId="0" borderId="34" xfId="0" applyFont="1" applyBorder="1" applyAlignment="1">
      <alignment horizontal="center"/>
    </xf>
    <xf numFmtId="0" fontId="14" fillId="0" borderId="27" xfId="0" applyFont="1" applyBorder="1" applyAlignment="1">
      <alignment horizontal="center"/>
    </xf>
    <xf numFmtId="0" fontId="14" fillId="0" borderId="18" xfId="0" applyFont="1" applyBorder="1" applyAlignment="1">
      <alignment horizontal="left"/>
    </xf>
    <xf numFmtId="0" fontId="14" fillId="0" borderId="18" xfId="0" applyFont="1" applyBorder="1" applyAlignment="1">
      <alignment horizontal="center"/>
    </xf>
    <xf numFmtId="0" fontId="14" fillId="0" borderId="27" xfId="0" applyFont="1" applyBorder="1" applyAlignment="1">
      <alignment horizontal="left"/>
    </xf>
    <xf numFmtId="0" fontId="0" fillId="0" borderId="18" xfId="0" applyBorder="1"/>
    <xf numFmtId="0" fontId="0" fillId="0" borderId="24" xfId="0" applyBorder="1"/>
    <xf numFmtId="0" fontId="0" fillId="0" borderId="14" xfId="0" applyBorder="1"/>
    <xf numFmtId="0" fontId="0" fillId="0" borderId="0" xfId="0" applyAlignment="1">
      <alignment horizontal="centerContinuous"/>
    </xf>
    <xf numFmtId="0" fontId="14" fillId="0" borderId="34" xfId="0" applyFont="1" applyBorder="1" applyAlignment="1">
      <alignment wrapText="1"/>
    </xf>
    <xf numFmtId="0" fontId="14" fillId="0" borderId="22" xfId="0" applyFont="1" applyBorder="1" applyAlignment="1">
      <alignment horizontal="center"/>
    </xf>
    <xf numFmtId="0" fontId="14" fillId="0" borderId="16" xfId="0" applyFont="1" applyBorder="1" applyAlignment="1">
      <alignment horizontal="center"/>
    </xf>
    <xf numFmtId="0" fontId="0" fillId="0" borderId="27" xfId="0" applyBorder="1" applyAlignment="1">
      <alignment wrapText="1"/>
    </xf>
    <xf numFmtId="0" fontId="14" fillId="0" borderId="27" xfId="0" applyFont="1" applyBorder="1"/>
    <xf numFmtId="0" fontId="0" fillId="0" borderId="18" xfId="0" applyBorder="1" applyAlignment="1">
      <alignment wrapText="1"/>
    </xf>
    <xf numFmtId="38" fontId="0" fillId="2" borderId="0" xfId="0" applyNumberFormat="1" applyFill="1" applyAlignment="1">
      <alignment wrapText="1"/>
    </xf>
    <xf numFmtId="38" fontId="0" fillId="2" borderId="1" xfId="0" applyNumberFormat="1" applyFill="1" applyBorder="1" applyAlignment="1">
      <alignment wrapText="1"/>
    </xf>
    <xf numFmtId="0" fontId="58" fillId="0" borderId="0" xfId="0" applyFont="1" applyAlignment="1">
      <alignment horizontal="center"/>
    </xf>
    <xf numFmtId="165" fontId="22" fillId="0" borderId="0" xfId="1" applyNumberFormat="1" applyFont="1" applyFill="1" applyBorder="1"/>
    <xf numFmtId="165" fontId="14" fillId="0" borderId="0" xfId="1" applyNumberFormat="1" applyFont="1" applyFill="1" applyBorder="1"/>
    <xf numFmtId="0" fontId="50" fillId="6" borderId="0" xfId="0" applyFont="1" applyFill="1" applyAlignment="1">
      <alignment wrapText="1"/>
    </xf>
    <xf numFmtId="165" fontId="0" fillId="2" borderId="8" xfId="1" applyNumberFormat="1" applyFont="1" applyFill="1" applyBorder="1"/>
    <xf numFmtId="165" fontId="0" fillId="2" borderId="9" xfId="1" applyNumberFormat="1" applyFont="1" applyFill="1" applyBorder="1"/>
    <xf numFmtId="0" fontId="46" fillId="0" borderId="0" xfId="0" applyFont="1"/>
    <xf numFmtId="0" fontId="15" fillId="0" borderId="0" xfId="0" applyFont="1" applyAlignment="1">
      <alignment horizontal="left" indent="1"/>
    </xf>
    <xf numFmtId="0" fontId="14" fillId="0" borderId="27" xfId="0" applyFont="1" applyBorder="1" applyAlignment="1">
      <alignment wrapText="1"/>
    </xf>
    <xf numFmtId="38" fontId="0" fillId="0" borderId="1" xfId="0" applyNumberFormat="1" applyBorder="1" applyAlignment="1">
      <alignment horizontal="center"/>
    </xf>
    <xf numFmtId="38" fontId="0" fillId="2" borderId="0" xfId="0" applyNumberFormat="1" applyFill="1"/>
    <xf numFmtId="38" fontId="0" fillId="2" borderId="14" xfId="0" applyNumberFormat="1" applyFill="1" applyBorder="1"/>
    <xf numFmtId="38" fontId="0" fillId="2" borderId="1" xfId="0" applyNumberFormat="1" applyFill="1" applyBorder="1"/>
    <xf numFmtId="38" fontId="0" fillId="2" borderId="35" xfId="0" applyNumberFormat="1" applyFill="1" applyBorder="1"/>
    <xf numFmtId="0" fontId="14" fillId="0" borderId="1" xfId="0" applyFont="1" applyBorder="1"/>
    <xf numFmtId="0" fontId="0" fillId="0" borderId="0" xfId="0" applyAlignment="1">
      <alignment horizontal="left" wrapText="1" indent="4"/>
    </xf>
    <xf numFmtId="165" fontId="12" fillId="2" borderId="12" xfId="1" applyNumberFormat="1" applyFont="1" applyFill="1" applyBorder="1"/>
    <xf numFmtId="165" fontId="17" fillId="0" borderId="8" xfId="0" applyNumberFormat="1" applyFont="1" applyBorder="1" applyAlignment="1">
      <alignment horizontal="center"/>
    </xf>
    <xf numFmtId="165" fontId="17" fillId="6" borderId="8" xfId="0" applyNumberFormat="1" applyFont="1" applyFill="1" applyBorder="1" applyAlignment="1">
      <alignment horizontal="center"/>
    </xf>
    <xf numFmtId="0" fontId="17" fillId="0" borderId="0" xfId="0" applyFont="1"/>
    <xf numFmtId="165" fontId="17" fillId="0" borderId="0" xfId="0" applyNumberFormat="1" applyFont="1" applyAlignment="1">
      <alignment horizontal="center"/>
    </xf>
    <xf numFmtId="0" fontId="37" fillId="0" borderId="6" xfId="0" applyFont="1" applyBorder="1" applyAlignment="1">
      <alignment horizontal="center"/>
    </xf>
    <xf numFmtId="165" fontId="17" fillId="6" borderId="0" xfId="0" applyNumberFormat="1" applyFont="1" applyFill="1" applyAlignment="1">
      <alignment horizontal="center"/>
    </xf>
    <xf numFmtId="38" fontId="0" fillId="2" borderId="36" xfId="0" applyNumberFormat="1" applyFill="1" applyBorder="1"/>
    <xf numFmtId="165" fontId="12" fillId="2" borderId="12" xfId="1" applyNumberFormat="1" applyFill="1" applyBorder="1" applyAlignment="1">
      <alignment horizontal="left" indent="2"/>
    </xf>
    <xf numFmtId="165" fontId="0" fillId="7" borderId="37" xfId="0" applyNumberFormat="1" applyFill="1" applyBorder="1"/>
    <xf numFmtId="165" fontId="0" fillId="7" borderId="12" xfId="0" applyNumberFormat="1" applyFill="1" applyBorder="1"/>
    <xf numFmtId="165" fontId="0" fillId="7" borderId="38" xfId="0" applyNumberFormat="1" applyFill="1" applyBorder="1"/>
    <xf numFmtId="165" fontId="37" fillId="7" borderId="12" xfId="0" applyNumberFormat="1" applyFont="1" applyFill="1" applyBorder="1" applyAlignment="1">
      <alignment horizontal="center"/>
    </xf>
    <xf numFmtId="165" fontId="0" fillId="7" borderId="12" xfId="1" applyNumberFormat="1" applyFont="1" applyFill="1" applyBorder="1"/>
    <xf numFmtId="165" fontId="37" fillId="7" borderId="37" xfId="0" applyNumberFormat="1" applyFont="1" applyFill="1" applyBorder="1" applyAlignment="1">
      <alignment horizontal="center"/>
    </xf>
    <xf numFmtId="165" fontId="0" fillId="7" borderId="37" xfId="1" applyNumberFormat="1" applyFont="1" applyFill="1" applyBorder="1"/>
    <xf numFmtId="165" fontId="0" fillId="7" borderId="38" xfId="1" applyNumberFormat="1" applyFont="1" applyFill="1" applyBorder="1"/>
    <xf numFmtId="165" fontId="12" fillId="7" borderId="37" xfId="1" applyNumberFormat="1" applyFill="1" applyBorder="1"/>
    <xf numFmtId="165" fontId="12" fillId="7" borderId="12" xfId="1" applyNumberFormat="1" applyFill="1" applyBorder="1"/>
    <xf numFmtId="165" fontId="0" fillId="7" borderId="20" xfId="0" applyNumberFormat="1" applyFill="1" applyBorder="1"/>
    <xf numFmtId="0" fontId="14" fillId="3" borderId="0" xfId="0" applyFont="1" applyFill="1" applyAlignment="1">
      <alignment horizontal="center"/>
    </xf>
    <xf numFmtId="0" fontId="32" fillId="0" borderId="0" xfId="0" applyFont="1" applyAlignment="1">
      <alignment horizontal="center"/>
    </xf>
    <xf numFmtId="165" fontId="14" fillId="3" borderId="0" xfId="1" applyNumberFormat="1" applyFont="1" applyFill="1" applyBorder="1" applyAlignment="1">
      <alignment horizontal="center"/>
    </xf>
    <xf numFmtId="165" fontId="16" fillId="0" borderId="8" xfId="1" applyNumberFormat="1" applyFont="1" applyBorder="1" applyAlignment="1" applyProtection="1">
      <alignment horizontal="center"/>
      <protection locked="0"/>
    </xf>
    <xf numFmtId="165" fontId="16" fillId="0" borderId="0" xfId="1" applyNumberFormat="1" applyFont="1" applyBorder="1" applyAlignment="1" applyProtection="1">
      <alignment horizontal="center"/>
      <protection locked="0"/>
    </xf>
    <xf numFmtId="165" fontId="0" fillId="0" borderId="0" xfId="0" applyNumberFormat="1" applyProtection="1">
      <protection locked="0"/>
    </xf>
    <xf numFmtId="0" fontId="0" fillId="0" borderId="0" xfId="0" applyProtection="1">
      <protection locked="0"/>
    </xf>
    <xf numFmtId="165" fontId="0" fillId="0" borderId="8" xfId="0" applyNumberFormat="1" applyBorder="1" applyProtection="1">
      <protection locked="0"/>
    </xf>
    <xf numFmtId="165" fontId="0" fillId="0" borderId="0" xfId="1" applyNumberFormat="1" applyFont="1" applyBorder="1" applyProtection="1">
      <protection locked="0"/>
    </xf>
    <xf numFmtId="165" fontId="12" fillId="0" borderId="8" xfId="1" applyNumberFormat="1" applyBorder="1" applyProtection="1">
      <protection locked="0"/>
    </xf>
    <xf numFmtId="165" fontId="12" fillId="0" borderId="0" xfId="1" applyNumberFormat="1" applyBorder="1" applyProtection="1">
      <protection locked="0"/>
    </xf>
    <xf numFmtId="165" fontId="0" fillId="0" borderId="0" xfId="1" applyNumberFormat="1" applyFont="1" applyFill="1" applyBorder="1" applyProtection="1">
      <protection locked="0"/>
    </xf>
    <xf numFmtId="165" fontId="12" fillId="0" borderId="8" xfId="1" applyNumberFormat="1" applyFill="1" applyBorder="1" applyProtection="1">
      <protection locked="0"/>
    </xf>
    <xf numFmtId="165" fontId="12" fillId="0" borderId="0" xfId="1" applyNumberFormat="1" applyFill="1" applyBorder="1" applyProtection="1">
      <protection locked="0"/>
    </xf>
    <xf numFmtId="165" fontId="12" fillId="6" borderId="8" xfId="1" applyNumberFormat="1" applyFill="1" applyBorder="1" applyProtection="1">
      <protection locked="0"/>
    </xf>
    <xf numFmtId="165" fontId="12" fillId="6" borderId="0" xfId="1" applyNumberFormat="1" applyFill="1" applyBorder="1" applyProtection="1">
      <protection locked="0"/>
    </xf>
    <xf numFmtId="165" fontId="0" fillId="6" borderId="0" xfId="0" applyNumberFormat="1" applyFill="1" applyProtection="1">
      <protection locked="0"/>
    </xf>
    <xf numFmtId="0" fontId="0" fillId="6" borderId="0" xfId="0" applyFill="1" applyProtection="1">
      <protection locked="0"/>
    </xf>
    <xf numFmtId="165" fontId="0" fillId="6" borderId="8" xfId="0" applyNumberFormat="1" applyFill="1" applyBorder="1" applyProtection="1">
      <protection locked="0"/>
    </xf>
    <xf numFmtId="165" fontId="0" fillId="6" borderId="0" xfId="1" applyNumberFormat="1" applyFont="1" applyFill="1" applyBorder="1" applyProtection="1">
      <protection locked="0"/>
    </xf>
    <xf numFmtId="165" fontId="12" fillId="6" borderId="0" xfId="1" applyNumberFormat="1" applyFill="1" applyProtection="1">
      <protection locked="0"/>
    </xf>
    <xf numFmtId="0" fontId="16" fillId="0" borderId="0" xfId="0" applyFont="1" applyProtection="1">
      <protection locked="0"/>
    </xf>
    <xf numFmtId="165" fontId="16" fillId="0" borderId="8" xfId="0" applyNumberFormat="1" applyFont="1" applyBorder="1" applyProtection="1">
      <protection locked="0"/>
    </xf>
    <xf numFmtId="165" fontId="16" fillId="0" borderId="0" xfId="0" applyNumberFormat="1" applyFont="1" applyProtection="1">
      <protection locked="0"/>
    </xf>
    <xf numFmtId="165" fontId="12" fillId="0" borderId="8" xfId="1" applyNumberFormat="1" applyFont="1" applyBorder="1" applyProtection="1">
      <protection locked="0"/>
    </xf>
    <xf numFmtId="165" fontId="0" fillId="4" borderId="0" xfId="1" applyNumberFormat="1" applyFont="1" applyFill="1" applyBorder="1" applyProtection="1">
      <protection locked="0"/>
    </xf>
    <xf numFmtId="165" fontId="0" fillId="4" borderId="9" xfId="1" applyNumberFormat="1" applyFont="1" applyFill="1" applyBorder="1" applyProtection="1">
      <protection locked="0"/>
    </xf>
    <xf numFmtId="0" fontId="0" fillId="4" borderId="0" xfId="0" applyFill="1" applyProtection="1">
      <protection locked="0"/>
    </xf>
    <xf numFmtId="165" fontId="0" fillId="4" borderId="0" xfId="1" applyNumberFormat="1" applyFont="1" applyFill="1" applyProtection="1">
      <protection locked="0"/>
    </xf>
    <xf numFmtId="165" fontId="17" fillId="0" borderId="0" xfId="1" applyNumberFormat="1" applyFont="1" applyFill="1" applyBorder="1" applyAlignment="1" applyProtection="1">
      <alignment horizontal="center"/>
      <protection locked="0"/>
    </xf>
    <xf numFmtId="166" fontId="0" fillId="4" borderId="0" xfId="2" applyNumberFormat="1" applyFont="1" applyFill="1" applyProtection="1">
      <protection locked="0"/>
    </xf>
    <xf numFmtId="165" fontId="12" fillId="0" borderId="0" xfId="1" applyNumberFormat="1" applyProtection="1">
      <protection locked="0"/>
    </xf>
    <xf numFmtId="165" fontId="12" fillId="4" borderId="0" xfId="1" applyNumberFormat="1" applyFill="1" applyProtection="1">
      <protection locked="0"/>
    </xf>
    <xf numFmtId="41" fontId="12" fillId="4" borderId="0" xfId="2" applyNumberFormat="1" applyFill="1" applyProtection="1">
      <protection locked="0"/>
    </xf>
    <xf numFmtId="41" fontId="12" fillId="0" borderId="0" xfId="2" applyNumberFormat="1" applyFill="1" applyProtection="1">
      <protection locked="0"/>
    </xf>
    <xf numFmtId="41" fontId="0" fillId="4" borderId="0" xfId="0" applyNumberFormat="1" applyFill="1" applyProtection="1">
      <protection locked="0"/>
    </xf>
    <xf numFmtId="165" fontId="0" fillId="4" borderId="1" xfId="1" applyNumberFormat="1" applyFont="1" applyFill="1" applyBorder="1" applyProtection="1">
      <protection locked="0"/>
    </xf>
    <xf numFmtId="165" fontId="0" fillId="0" borderId="0" xfId="1" applyNumberFormat="1" applyFont="1" applyProtection="1">
      <protection locked="0"/>
    </xf>
    <xf numFmtId="165" fontId="12" fillId="4" borderId="0" xfId="1" applyNumberFormat="1" applyFill="1" applyBorder="1" applyProtection="1">
      <protection locked="0"/>
    </xf>
    <xf numFmtId="165" fontId="0" fillId="4" borderId="0" xfId="0" applyNumberFormat="1" applyFill="1" applyProtection="1">
      <protection locked="0"/>
    </xf>
    <xf numFmtId="165" fontId="12" fillId="4" borderId="1" xfId="1" applyNumberFormat="1" applyFill="1" applyBorder="1" applyProtection="1">
      <protection locked="0"/>
    </xf>
    <xf numFmtId="165" fontId="0" fillId="4" borderId="2" xfId="1" applyNumberFormat="1" applyFont="1" applyFill="1" applyBorder="1" applyProtection="1">
      <protection locked="0"/>
    </xf>
    <xf numFmtId="165" fontId="0" fillId="4" borderId="15" xfId="1" applyNumberFormat="1" applyFont="1" applyFill="1" applyBorder="1" applyProtection="1">
      <protection locked="0"/>
    </xf>
    <xf numFmtId="165" fontId="16" fillId="4" borderId="0" xfId="1" applyNumberFormat="1" applyFont="1" applyFill="1" applyBorder="1" applyProtection="1">
      <protection locked="0"/>
    </xf>
    <xf numFmtId="165" fontId="16" fillId="0" borderId="0" xfId="1" applyNumberFormat="1" applyFont="1" applyFill="1" applyBorder="1" applyProtection="1">
      <protection locked="0"/>
    </xf>
    <xf numFmtId="166" fontId="12" fillId="4" borderId="0" xfId="2" applyNumberFormat="1" applyFill="1" applyProtection="1">
      <protection locked="0"/>
    </xf>
    <xf numFmtId="165" fontId="12" fillId="4" borderId="0" xfId="1" applyNumberFormat="1" applyFont="1" applyFill="1" applyProtection="1">
      <protection locked="0"/>
    </xf>
    <xf numFmtId="165" fontId="0" fillId="4" borderId="0" xfId="1" applyNumberFormat="1" applyFont="1" applyFill="1" applyBorder="1" applyAlignment="1" applyProtection="1">
      <alignment horizontal="center"/>
      <protection locked="0"/>
    </xf>
    <xf numFmtId="165" fontId="12" fillId="4" borderId="0" xfId="1" applyNumberFormat="1" applyFill="1" applyBorder="1" applyAlignment="1" applyProtection="1">
      <alignment horizontal="center"/>
      <protection locked="0"/>
    </xf>
    <xf numFmtId="164" fontId="0" fillId="4" borderId="0" xfId="1" applyNumberFormat="1" applyFont="1" applyFill="1" applyProtection="1">
      <protection locked="0"/>
    </xf>
    <xf numFmtId="0" fontId="14" fillId="3" borderId="34" xfId="0" applyFont="1" applyFill="1" applyBorder="1" applyAlignment="1">
      <alignment horizontal="center"/>
    </xf>
    <xf numFmtId="0" fontId="14" fillId="3" borderId="27" xfId="0" applyFont="1" applyFill="1" applyBorder="1" applyAlignment="1">
      <alignment horizontal="center"/>
    </xf>
    <xf numFmtId="0" fontId="14" fillId="3" borderId="18" xfId="0" applyFont="1" applyFill="1" applyBorder="1" applyAlignment="1">
      <alignment horizontal="center"/>
    </xf>
    <xf numFmtId="0" fontId="14" fillId="3" borderId="1" xfId="0" applyFont="1" applyFill="1" applyBorder="1" applyAlignment="1">
      <alignment horizontal="center"/>
    </xf>
    <xf numFmtId="0" fontId="0" fillId="4" borderId="24" xfId="0" applyFill="1" applyBorder="1"/>
    <xf numFmtId="0" fontId="14" fillId="6" borderId="0" xfId="0" applyFont="1" applyFill="1" applyProtection="1">
      <protection locked="0"/>
    </xf>
    <xf numFmtId="0" fontId="14" fillId="0" borderId="0" xfId="0" applyFont="1" applyProtection="1">
      <protection locked="0"/>
    </xf>
    <xf numFmtId="0" fontId="37" fillId="0" borderId="0" xfId="0" applyFont="1" applyProtection="1">
      <protection locked="0"/>
    </xf>
    <xf numFmtId="0" fontId="14" fillId="0" borderId="0" xfId="0" applyFont="1" applyAlignment="1" applyProtection="1">
      <alignment horizontal="center"/>
      <protection locked="0"/>
    </xf>
    <xf numFmtId="0" fontId="14" fillId="0" borderId="1" xfId="0" applyFont="1" applyBorder="1" applyAlignment="1" applyProtection="1">
      <alignment horizontal="center"/>
      <protection locked="0"/>
    </xf>
    <xf numFmtId="0" fontId="40" fillId="0" borderId="0" xfId="0" applyFont="1" applyAlignment="1" applyProtection="1">
      <alignment horizontal="center" wrapText="1"/>
      <protection locked="0"/>
    </xf>
    <xf numFmtId="0" fontId="0" fillId="0" borderId="0" xfId="0" applyAlignment="1" applyProtection="1">
      <alignment horizontal="left" indent="2"/>
      <protection locked="0"/>
    </xf>
    <xf numFmtId="0" fontId="0" fillId="0" borderId="0" xfId="0" applyAlignment="1" applyProtection="1">
      <alignment horizontal="left" indent="1"/>
      <protection locked="0"/>
    </xf>
    <xf numFmtId="0" fontId="16" fillId="0" borderId="27" xfId="0" applyFont="1" applyBorder="1" applyAlignment="1" applyProtection="1">
      <alignment horizontal="left"/>
      <protection locked="0"/>
    </xf>
    <xf numFmtId="0" fontId="0" fillId="0" borderId="0" xfId="0" applyAlignment="1" applyProtection="1">
      <alignment wrapText="1"/>
      <protection locked="0"/>
    </xf>
    <xf numFmtId="165" fontId="0" fillId="4" borderId="18" xfId="1" applyNumberFormat="1" applyFont="1" applyFill="1" applyBorder="1" applyProtection="1">
      <protection locked="0"/>
    </xf>
    <xf numFmtId="165" fontId="0" fillId="4" borderId="24" xfId="1" applyNumberFormat="1" applyFont="1" applyFill="1" applyBorder="1" applyProtection="1">
      <protection locked="0"/>
    </xf>
    <xf numFmtId="165" fontId="37" fillId="2" borderId="34" xfId="1" applyNumberFormat="1" applyFont="1" applyFill="1" applyBorder="1"/>
    <xf numFmtId="165" fontId="16" fillId="2" borderId="27" xfId="1" applyNumberFormat="1" applyFont="1" applyFill="1" applyBorder="1"/>
    <xf numFmtId="165" fontId="16" fillId="2" borderId="18" xfId="1" applyNumberFormat="1" applyFont="1" applyFill="1" applyBorder="1"/>
    <xf numFmtId="0" fontId="14" fillId="0" borderId="0" xfId="0" applyFont="1" applyAlignment="1">
      <alignment horizontal="left" wrapText="1" indent="1"/>
    </xf>
    <xf numFmtId="0" fontId="0" fillId="0" borderId="9" xfId="0" applyBorder="1" applyProtection="1">
      <protection locked="0"/>
    </xf>
    <xf numFmtId="0" fontId="14" fillId="0" borderId="9" xfId="0" applyFont="1" applyBorder="1"/>
    <xf numFmtId="0" fontId="0" fillId="3" borderId="33" xfId="0" applyFill="1" applyBorder="1"/>
    <xf numFmtId="165" fontId="12" fillId="0" borderId="0" xfId="1" applyNumberFormat="1" applyFont="1" applyAlignment="1">
      <alignment horizontal="center"/>
    </xf>
    <xf numFmtId="165" fontId="16" fillId="0" borderId="0" xfId="1" applyNumberFormat="1" applyFont="1" applyAlignment="1">
      <alignment horizontal="center"/>
    </xf>
    <xf numFmtId="0" fontId="0" fillId="0" borderId="0" xfId="0" applyAlignment="1">
      <alignment horizontal="left" wrapText="1" indent="1"/>
    </xf>
    <xf numFmtId="38" fontId="0" fillId="0" borderId="0" xfId="0" applyNumberFormat="1"/>
    <xf numFmtId="38" fontId="0" fillId="4" borderId="0" xfId="0" applyNumberFormat="1" applyFill="1" applyProtection="1">
      <protection locked="0"/>
    </xf>
    <xf numFmtId="0" fontId="50" fillId="0" borderId="0" xfId="0" applyFont="1" applyAlignment="1">
      <alignment wrapText="1"/>
    </xf>
    <xf numFmtId="165" fontId="16" fillId="0" borderId="1" xfId="1" applyNumberFormat="1" applyFont="1" applyBorder="1" applyAlignment="1">
      <alignment horizontal="center"/>
    </xf>
    <xf numFmtId="9" fontId="0" fillId="2" borderId="12" xfId="0" applyNumberFormat="1" applyFill="1" applyBorder="1"/>
    <xf numFmtId="0" fontId="0" fillId="7" borderId="0" xfId="0" applyFill="1"/>
    <xf numFmtId="0" fontId="14" fillId="7" borderId="0" xfId="0" applyFont="1" applyFill="1"/>
    <xf numFmtId="0" fontId="37" fillId="7" borderId="0" xfId="0" applyFont="1" applyFill="1"/>
    <xf numFmtId="165" fontId="0" fillId="7" borderId="0" xfId="0" applyNumberFormat="1" applyFill="1"/>
    <xf numFmtId="38" fontId="0" fillId="8" borderId="39" xfId="0" applyNumberFormat="1" applyFill="1" applyBorder="1"/>
    <xf numFmtId="38" fontId="0" fillId="8" borderId="13" xfId="0" applyNumberFormat="1" applyFill="1" applyBorder="1"/>
    <xf numFmtId="165" fontId="0" fillId="8" borderId="12" xfId="1" applyNumberFormat="1" applyFont="1" applyFill="1" applyBorder="1" applyAlignment="1">
      <alignment wrapText="1"/>
    </xf>
    <xf numFmtId="165" fontId="0" fillId="8" borderId="18" xfId="1" applyNumberFormat="1" applyFont="1" applyFill="1" applyBorder="1"/>
    <xf numFmtId="0" fontId="0" fillId="8" borderId="24" xfId="0" applyFill="1" applyBorder="1"/>
    <xf numFmtId="0" fontId="32" fillId="0" borderId="1" xfId="0" applyFont="1" applyBorder="1" applyAlignment="1">
      <alignment horizontal="center"/>
    </xf>
    <xf numFmtId="0" fontId="43" fillId="3" borderId="34" xfId="0" quotePrefix="1" applyFont="1" applyFill="1" applyBorder="1" applyAlignment="1">
      <alignment horizontal="center"/>
    </xf>
    <xf numFmtId="0" fontId="32" fillId="3" borderId="34" xfId="0" quotePrefix="1" applyFont="1" applyFill="1" applyBorder="1" applyAlignment="1">
      <alignment horizontal="center"/>
    </xf>
    <xf numFmtId="0" fontId="32" fillId="3" borderId="14" xfId="0" quotePrefix="1" applyFont="1" applyFill="1" applyBorder="1" applyAlignment="1">
      <alignment horizontal="center"/>
    </xf>
    <xf numFmtId="0" fontId="16" fillId="0" borderId="18" xfId="0" applyFont="1" applyBorder="1" applyAlignment="1">
      <alignment horizontal="left" indent="1"/>
    </xf>
    <xf numFmtId="165" fontId="0" fillId="0" borderId="0" xfId="1" applyNumberFormat="1" applyFont="1" applyFill="1" applyProtection="1">
      <protection locked="0"/>
    </xf>
    <xf numFmtId="165" fontId="15" fillId="0" borderId="0" xfId="1" applyNumberFormat="1" applyFont="1" applyFill="1" applyBorder="1" applyAlignment="1">
      <alignment wrapText="1"/>
    </xf>
    <xf numFmtId="165" fontId="0" fillId="0" borderId="14" xfId="1" applyNumberFormat="1" applyFont="1" applyFill="1" applyBorder="1"/>
    <xf numFmtId="165" fontId="22" fillId="0" borderId="0" xfId="1" applyNumberFormat="1" applyFont="1" applyFill="1" applyProtection="1">
      <protection locked="0"/>
    </xf>
    <xf numFmtId="0" fontId="63" fillId="0" borderId="0" xfId="0" applyFont="1"/>
    <xf numFmtId="41" fontId="0" fillId="7" borderId="0" xfId="1" applyNumberFormat="1" applyFont="1" applyFill="1"/>
    <xf numFmtId="165" fontId="15" fillId="0" borderId="0" xfId="1" applyNumberFormat="1" applyFont="1" applyAlignment="1">
      <alignment wrapText="1"/>
    </xf>
    <xf numFmtId="165" fontId="0" fillId="0" borderId="0" xfId="1" applyNumberFormat="1" applyFont="1" applyAlignment="1">
      <alignment horizontal="left" indent="1"/>
    </xf>
    <xf numFmtId="0" fontId="0" fillId="0" borderId="0" xfId="0" quotePrefix="1" applyAlignment="1">
      <alignment horizontal="center"/>
    </xf>
    <xf numFmtId="0" fontId="32" fillId="5" borderId="0" xfId="0" applyFont="1" applyFill="1"/>
    <xf numFmtId="0" fontId="0" fillId="0" borderId="40" xfId="0" applyBorder="1"/>
    <xf numFmtId="0" fontId="0" fillId="0" borderId="0" xfId="0" applyAlignment="1">
      <alignment horizontal="left" wrapText="1"/>
    </xf>
    <xf numFmtId="0" fontId="65" fillId="0" borderId="0" xfId="0" applyFont="1" applyAlignment="1">
      <alignment wrapText="1"/>
    </xf>
    <xf numFmtId="165" fontId="0" fillId="0" borderId="0" xfId="1" applyNumberFormat="1" applyFont="1" applyAlignment="1">
      <alignment horizontal="right" wrapText="1"/>
    </xf>
    <xf numFmtId="41" fontId="0" fillId="0" borderId="0" xfId="1" applyNumberFormat="1" applyFont="1" applyFill="1" applyBorder="1"/>
    <xf numFmtId="165" fontId="0" fillId="0" borderId="0" xfId="1" applyNumberFormat="1" applyFont="1" applyFill="1" applyAlignment="1">
      <alignment horizontal="right"/>
    </xf>
    <xf numFmtId="41" fontId="0" fillId="0" borderId="0" xfId="0" applyNumberFormat="1"/>
    <xf numFmtId="41" fontId="0" fillId="2" borderId="13" xfId="1" applyNumberFormat="1" applyFont="1" applyFill="1" applyBorder="1"/>
    <xf numFmtId="41" fontId="0" fillId="2" borderId="13" xfId="0" applyNumberFormat="1" applyFill="1" applyBorder="1"/>
    <xf numFmtId="165" fontId="0" fillId="0" borderId="14" xfId="0" applyNumberFormat="1" applyBorder="1"/>
    <xf numFmtId="41" fontId="0" fillId="0" borderId="13" xfId="0" applyNumberFormat="1" applyBorder="1"/>
    <xf numFmtId="0" fontId="55" fillId="0" borderId="0" xfId="0" applyFont="1"/>
    <xf numFmtId="167" fontId="12" fillId="2" borderId="0" xfId="3" applyNumberFormat="1" applyFill="1" applyAlignment="1">
      <alignment horizontal="right"/>
    </xf>
    <xf numFmtId="167" fontId="12" fillId="2" borderId="0" xfId="3" applyNumberFormat="1" applyFill="1"/>
    <xf numFmtId="167" fontId="0" fillId="2" borderId="12" xfId="0" applyNumberFormat="1" applyFill="1" applyBorder="1"/>
    <xf numFmtId="0" fontId="0" fillId="0" borderId="0" xfId="0" applyAlignment="1">
      <alignment vertical="top" wrapText="1"/>
    </xf>
    <xf numFmtId="0" fontId="0" fillId="0" borderId="0" xfId="0" applyAlignment="1">
      <alignment vertical="top"/>
    </xf>
    <xf numFmtId="165" fontId="12" fillId="0" borderId="0" xfId="1" applyNumberFormat="1" applyAlignment="1">
      <alignment vertical="top"/>
    </xf>
    <xf numFmtId="0" fontId="0" fillId="0" borderId="0" xfId="0" quotePrefix="1" applyAlignment="1">
      <alignment vertical="top"/>
    </xf>
    <xf numFmtId="165" fontId="16" fillId="2" borderId="12" xfId="1" applyNumberFormat="1" applyFont="1" applyFill="1" applyBorder="1" applyProtection="1">
      <protection locked="0"/>
    </xf>
    <xf numFmtId="0" fontId="16" fillId="6" borderId="0" xfId="0" applyFont="1" applyFill="1" applyProtection="1">
      <protection locked="0"/>
    </xf>
    <xf numFmtId="0" fontId="16" fillId="0" borderId="0" xfId="0" applyFont="1" applyAlignment="1">
      <alignment wrapText="1"/>
    </xf>
    <xf numFmtId="0" fontId="16" fillId="0" borderId="0" xfId="0" applyFont="1" applyAlignment="1">
      <alignment horizontal="left" vertical="top" wrapText="1"/>
    </xf>
    <xf numFmtId="0" fontId="67" fillId="3" borderId="27" xfId="0" applyFont="1" applyFill="1" applyBorder="1" applyAlignment="1">
      <alignment horizontal="center"/>
    </xf>
    <xf numFmtId="0" fontId="16" fillId="0" borderId="1" xfId="0" applyFont="1" applyBorder="1" applyAlignment="1">
      <alignment horizontal="center"/>
    </xf>
    <xf numFmtId="0" fontId="0" fillId="9" borderId="0" xfId="0" applyFill="1"/>
    <xf numFmtId="0" fontId="16" fillId="6" borderId="0" xfId="0" applyFont="1" applyFill="1" applyAlignment="1">
      <alignment wrapText="1"/>
    </xf>
    <xf numFmtId="0" fontId="16" fillId="0" borderId="8" xfId="0" applyFont="1" applyBorder="1"/>
    <xf numFmtId="165" fontId="16" fillId="0" borderId="8" xfId="1" applyNumberFormat="1" applyFont="1" applyBorder="1" applyProtection="1">
      <protection locked="0"/>
    </xf>
    <xf numFmtId="165" fontId="16" fillId="0" borderId="0" xfId="1" applyNumberFormat="1" applyFont="1" applyBorder="1" applyProtection="1">
      <protection locked="0"/>
    </xf>
    <xf numFmtId="165" fontId="16" fillId="0" borderId="2" xfId="0" applyNumberFormat="1" applyFont="1" applyBorder="1"/>
    <xf numFmtId="165" fontId="16" fillId="0" borderId="0" xfId="0" applyNumberFormat="1" applyFont="1"/>
    <xf numFmtId="165" fontId="16" fillId="0" borderId="8" xfId="0" applyNumberFormat="1" applyFont="1" applyBorder="1"/>
    <xf numFmtId="165" fontId="16" fillId="0" borderId="9" xfId="0" applyNumberFormat="1" applyFont="1" applyBorder="1"/>
    <xf numFmtId="165" fontId="16" fillId="0" borderId="9" xfId="1" applyNumberFormat="1" applyFont="1" applyFill="1" applyBorder="1"/>
    <xf numFmtId="165" fontId="16" fillId="4" borderId="9" xfId="1" applyNumberFormat="1" applyFont="1" applyFill="1" applyBorder="1" applyProtection="1">
      <protection locked="0"/>
    </xf>
    <xf numFmtId="165" fontId="16" fillId="2" borderId="0" xfId="1" applyNumberFormat="1" applyFont="1" applyFill="1" applyBorder="1"/>
    <xf numFmtId="0" fontId="16" fillId="0" borderId="9" xfId="0" applyFont="1" applyBorder="1"/>
    <xf numFmtId="165" fontId="16" fillId="0" borderId="8" xfId="1" applyNumberFormat="1" applyFont="1" applyBorder="1"/>
    <xf numFmtId="165" fontId="16" fillId="0" borderId="9" xfId="1" applyNumberFormat="1" applyFont="1" applyBorder="1"/>
    <xf numFmtId="0" fontId="66" fillId="0" borderId="1" xfId="0" applyFont="1" applyBorder="1" applyAlignment="1">
      <alignment horizontal="centerContinuous"/>
    </xf>
    <xf numFmtId="0" fontId="68" fillId="0" borderId="0" xfId="0" applyFont="1" applyAlignment="1">
      <alignment horizontal="center" wrapText="1"/>
    </xf>
    <xf numFmtId="43" fontId="0" fillId="0" borderId="0" xfId="1" applyFont="1"/>
    <xf numFmtId="43" fontId="0" fillId="0" borderId="0" xfId="0" applyNumberFormat="1"/>
    <xf numFmtId="0" fontId="14" fillId="0" borderId="0" xfId="0" applyFont="1" applyAlignment="1">
      <alignment horizontal="right"/>
    </xf>
    <xf numFmtId="0" fontId="71" fillId="2" borderId="24" xfId="0" applyFont="1" applyFill="1" applyBorder="1"/>
    <xf numFmtId="0" fontId="0" fillId="0" borderId="22" xfId="0" applyBorder="1"/>
    <xf numFmtId="43" fontId="0" fillId="0" borderId="0" xfId="1" applyFont="1" applyFill="1" applyBorder="1"/>
    <xf numFmtId="43" fontId="16" fillId="0" borderId="0" xfId="1" applyFont="1" applyAlignment="1">
      <alignment horizontal="center"/>
    </xf>
    <xf numFmtId="0" fontId="72" fillId="0" borderId="0" xfId="0" applyFont="1" applyAlignment="1">
      <alignment horizontal="center"/>
    </xf>
    <xf numFmtId="43" fontId="72" fillId="0" borderId="0" xfId="1" applyFont="1"/>
    <xf numFmtId="43" fontId="72" fillId="0" borderId="0" xfId="0" applyNumberFormat="1" applyFont="1"/>
    <xf numFmtId="0" fontId="14" fillId="0" borderId="0" xfId="0" applyFont="1" applyAlignment="1">
      <alignment horizontal="right" vertical="top"/>
    </xf>
    <xf numFmtId="165" fontId="12" fillId="2" borderId="12" xfId="1" applyNumberFormat="1" applyFill="1" applyBorder="1" applyAlignment="1">
      <alignment horizontal="right"/>
    </xf>
    <xf numFmtId="165" fontId="15" fillId="0" borderId="0" xfId="1" applyNumberFormat="1" applyFont="1" applyBorder="1" applyAlignment="1">
      <alignment horizontal="center" wrapText="1"/>
    </xf>
    <xf numFmtId="0" fontId="12" fillId="0" borderId="0" xfId="0" applyFont="1" applyAlignment="1">
      <alignment horizontal="center"/>
    </xf>
    <xf numFmtId="0" fontId="12" fillId="0" borderId="0" xfId="0" applyFont="1"/>
    <xf numFmtId="0" fontId="12" fillId="0" borderId="0" xfId="0" applyFont="1" applyAlignment="1">
      <alignment wrapText="1"/>
    </xf>
    <xf numFmtId="165" fontId="12" fillId="11" borderId="0" xfId="1" applyNumberFormat="1" applyFill="1" applyBorder="1" applyProtection="1">
      <protection locked="0"/>
    </xf>
    <xf numFmtId="0" fontId="0" fillId="3" borderId="22" xfId="0" applyFill="1" applyBorder="1" applyAlignment="1">
      <alignment horizontal="center"/>
    </xf>
    <xf numFmtId="0" fontId="0" fillId="3" borderId="16" xfId="0" applyFill="1" applyBorder="1" applyAlignment="1">
      <alignment horizontal="center"/>
    </xf>
    <xf numFmtId="0" fontId="12" fillId="0" borderId="0" xfId="0" applyFont="1" applyAlignment="1">
      <alignment horizontal="left"/>
    </xf>
    <xf numFmtId="0" fontId="12" fillId="0" borderId="0" xfId="0" applyFont="1" applyAlignment="1">
      <alignment horizontal="left" vertical="top" wrapText="1"/>
    </xf>
    <xf numFmtId="0" fontId="73" fillId="0" borderId="0" xfId="0" applyFont="1" applyAlignment="1">
      <alignment horizontal="left"/>
    </xf>
    <xf numFmtId="10" fontId="14" fillId="0" borderId="0" xfId="3" applyNumberFormat="1" applyFont="1" applyFill="1" applyBorder="1" applyAlignment="1">
      <alignment horizontal="center"/>
    </xf>
    <xf numFmtId="9" fontId="12" fillId="0" borderId="0" xfId="3" applyFill="1" applyBorder="1" applyProtection="1">
      <protection locked="0"/>
    </xf>
    <xf numFmtId="0" fontId="71" fillId="0" borderId="0" xfId="0" applyFont="1"/>
    <xf numFmtId="0" fontId="14" fillId="0" borderId="2" xfId="0" applyFont="1" applyBorder="1" applyAlignment="1">
      <alignment horizontal="left"/>
    </xf>
    <xf numFmtId="0" fontId="14" fillId="0" borderId="22" xfId="0" applyFont="1" applyBorder="1" applyAlignment="1">
      <alignment horizontal="left"/>
    </xf>
    <xf numFmtId="0" fontId="73" fillId="0" borderId="2" xfId="0" applyFont="1" applyBorder="1" applyAlignment="1">
      <alignment horizontal="left"/>
    </xf>
    <xf numFmtId="0" fontId="14" fillId="0" borderId="2" xfId="0" applyFont="1" applyBorder="1"/>
    <xf numFmtId="0" fontId="71" fillId="0" borderId="2" xfId="0" applyFont="1" applyBorder="1"/>
    <xf numFmtId="0" fontId="73" fillId="0" borderId="15" xfId="0" applyFont="1" applyBorder="1" applyAlignment="1">
      <alignment horizontal="left"/>
    </xf>
    <xf numFmtId="10" fontId="14" fillId="0" borderId="1" xfId="3" applyNumberFormat="1" applyFont="1" applyFill="1" applyBorder="1" applyAlignment="1">
      <alignment horizontal="center"/>
    </xf>
    <xf numFmtId="0" fontId="14" fillId="0" borderId="1" xfId="0" applyFont="1" applyBorder="1" applyAlignment="1">
      <alignment horizontal="left"/>
    </xf>
    <xf numFmtId="43" fontId="12" fillId="0" borderId="0" xfId="1" applyFont="1" applyAlignment="1">
      <alignment horizontal="center"/>
    </xf>
    <xf numFmtId="0" fontId="20" fillId="0" borderId="0" xfId="0" applyFont="1" applyAlignment="1">
      <alignment horizontal="left" vertical="center"/>
    </xf>
    <xf numFmtId="0" fontId="20" fillId="0" borderId="0" xfId="0" applyFont="1"/>
    <xf numFmtId="0" fontId="20" fillId="0" borderId="19" xfId="0" applyFont="1" applyBorder="1" applyAlignment="1">
      <alignment horizontal="left" vertical="center"/>
    </xf>
    <xf numFmtId="0" fontId="20" fillId="0" borderId="14" xfId="0" applyFont="1" applyBorder="1" applyAlignment="1">
      <alignment horizontal="left" vertical="center"/>
    </xf>
    <xf numFmtId="0" fontId="0" fillId="3" borderId="34" xfId="0" applyFill="1" applyBorder="1" applyAlignment="1">
      <alignment horizontal="center"/>
    </xf>
    <xf numFmtId="43" fontId="12" fillId="0" borderId="2" xfId="1" applyFont="1" applyFill="1" applyBorder="1"/>
    <xf numFmtId="43" fontId="12" fillId="0" borderId="0" xfId="1" applyFont="1" applyFill="1" applyBorder="1"/>
    <xf numFmtId="0" fontId="0" fillId="3" borderId="27" xfId="0" applyFill="1" applyBorder="1" applyAlignment="1">
      <alignment horizontal="center"/>
    </xf>
    <xf numFmtId="43" fontId="12" fillId="0" borderId="15" xfId="1" applyFont="1" applyFill="1" applyBorder="1" applyAlignment="1">
      <alignment horizontal="center"/>
    </xf>
    <xf numFmtId="165" fontId="12" fillId="0" borderId="19" xfId="1" applyNumberFormat="1" applyFont="1" applyBorder="1"/>
    <xf numFmtId="165" fontId="12" fillId="0" borderId="21" xfId="1" applyNumberFormat="1" applyFont="1" applyBorder="1"/>
    <xf numFmtId="165" fontId="12" fillId="0" borderId="22" xfId="1" applyNumberFormat="1" applyFont="1" applyBorder="1"/>
    <xf numFmtId="165" fontId="0" fillId="3" borderId="27" xfId="1" applyNumberFormat="1" applyFont="1" applyFill="1" applyBorder="1" applyAlignment="1">
      <alignment horizontal="center"/>
    </xf>
    <xf numFmtId="165" fontId="0" fillId="0" borderId="22" xfId="1" applyNumberFormat="1" applyFont="1" applyBorder="1"/>
    <xf numFmtId="165" fontId="0" fillId="0" borderId="25" xfId="0" applyNumberFormat="1" applyBorder="1"/>
    <xf numFmtId="165" fontId="0" fillId="0" borderId="26" xfId="0" applyNumberFormat="1" applyBorder="1"/>
    <xf numFmtId="165" fontId="0" fillId="3" borderId="24" xfId="1" applyNumberFormat="1" applyFont="1" applyFill="1" applyBorder="1" applyAlignment="1">
      <alignment horizontal="center"/>
    </xf>
    <xf numFmtId="0" fontId="0" fillId="3" borderId="18" xfId="0" applyFill="1" applyBorder="1" applyAlignment="1">
      <alignment horizontal="center"/>
    </xf>
    <xf numFmtId="0" fontId="0" fillId="0" borderId="0" xfId="0" applyAlignment="1">
      <alignment horizontal="left" vertical="top" wrapText="1" indent="1"/>
    </xf>
    <xf numFmtId="10" fontId="0" fillId="0" borderId="0" xfId="0" applyNumberFormat="1"/>
    <xf numFmtId="171" fontId="16" fillId="0" borderId="0" xfId="0" applyNumberFormat="1" applyFont="1"/>
    <xf numFmtId="0" fontId="12" fillId="0" borderId="0" xfId="0" applyFont="1" applyAlignment="1">
      <alignment horizontal="left" wrapText="1" indent="1"/>
    </xf>
    <xf numFmtId="0" fontId="12" fillId="0" borderId="0" xfId="0" applyFont="1" applyAlignment="1">
      <alignment horizontal="left" vertical="top" wrapText="1" indent="1"/>
    </xf>
    <xf numFmtId="0" fontId="12" fillId="0" borderId="0" xfId="0" applyFont="1" applyAlignment="1">
      <alignment horizontal="left" wrapText="1"/>
    </xf>
    <xf numFmtId="0" fontId="12" fillId="0" borderId="0" xfId="0" quotePrefix="1" applyFont="1" applyAlignment="1">
      <alignment vertical="top"/>
    </xf>
    <xf numFmtId="0" fontId="16" fillId="0" borderId="0" xfId="0" applyFont="1" applyAlignment="1">
      <alignment vertical="top"/>
    </xf>
    <xf numFmtId="10" fontId="14" fillId="12" borderId="0" xfId="3" applyNumberFormat="1" applyFont="1" applyFill="1" applyBorder="1" applyAlignment="1" applyProtection="1">
      <alignment horizontal="center"/>
      <protection locked="0"/>
    </xf>
    <xf numFmtId="0" fontId="66" fillId="0" borderId="0" xfId="4" applyFont="1"/>
    <xf numFmtId="0" fontId="11" fillId="0" borderId="0" xfId="4"/>
    <xf numFmtId="0" fontId="66" fillId="0" borderId="1" xfId="4" applyFont="1" applyBorder="1" applyAlignment="1">
      <alignment horizontal="centerContinuous"/>
    </xf>
    <xf numFmtId="0" fontId="68" fillId="0" borderId="0" xfId="4" applyFont="1" applyAlignment="1">
      <alignment horizontal="center" wrapText="1"/>
    </xf>
    <xf numFmtId="0" fontId="69" fillId="0" borderId="0" xfId="4" applyFont="1" applyAlignment="1">
      <alignment horizontal="left" wrapText="1"/>
    </xf>
    <xf numFmtId="0" fontId="74" fillId="0" borderId="0" xfId="4" applyFont="1" applyAlignment="1">
      <alignment horizontal="center"/>
    </xf>
    <xf numFmtId="0" fontId="74" fillId="0" borderId="0" xfId="4" applyFont="1" applyAlignment="1">
      <alignment horizontal="left"/>
    </xf>
    <xf numFmtId="171" fontId="74" fillId="0" borderId="0" xfId="5" applyNumberFormat="1" applyFont="1" applyFill="1" applyBorder="1" applyAlignment="1">
      <alignment horizontal="center"/>
    </xf>
    <xf numFmtId="165" fontId="74" fillId="0" borderId="0" xfId="6" applyNumberFormat="1" applyFont="1" applyFill="1"/>
    <xf numFmtId="170" fontId="74" fillId="0" borderId="0" xfId="4" applyNumberFormat="1" applyFont="1"/>
    <xf numFmtId="165" fontId="74" fillId="0" borderId="0" xfId="4" applyNumberFormat="1" applyFont="1"/>
    <xf numFmtId="0" fontId="75" fillId="0" borderId="0" xfId="4" applyFont="1" applyAlignment="1">
      <alignment horizontal="center"/>
    </xf>
    <xf numFmtId="0" fontId="76" fillId="0" borderId="0" xfId="4" applyFont="1" applyAlignment="1">
      <alignment horizontal="left"/>
    </xf>
    <xf numFmtId="171" fontId="76" fillId="0" borderId="0" xfId="4" applyNumberFormat="1" applyFont="1" applyAlignment="1">
      <alignment horizontal="left"/>
    </xf>
    <xf numFmtId="165" fontId="76" fillId="0" borderId="0" xfId="4" applyNumberFormat="1" applyFont="1" applyAlignment="1">
      <alignment horizontal="left"/>
    </xf>
    <xf numFmtId="165" fontId="66" fillId="0" borderId="0" xfId="6" applyNumberFormat="1" applyFont="1" applyFill="1"/>
    <xf numFmtId="0" fontId="11" fillId="0" borderId="0" xfId="4" applyAlignment="1">
      <alignment horizontal="center"/>
    </xf>
    <xf numFmtId="171" fontId="0" fillId="0" borderId="0" xfId="5" applyNumberFormat="1" applyFont="1"/>
    <xf numFmtId="165" fontId="0" fillId="0" borderId="0" xfId="6" applyNumberFormat="1" applyFont="1" applyAlignment="1">
      <alignment horizontal="left"/>
    </xf>
    <xf numFmtId="0" fontId="66" fillId="0" borderId="0" xfId="0" applyFont="1" applyAlignment="1">
      <alignment horizontal="center"/>
    </xf>
    <xf numFmtId="43" fontId="0" fillId="0" borderId="0" xfId="6" applyFont="1"/>
    <xf numFmtId="165" fontId="12" fillId="0" borderId="2" xfId="1" applyNumberFormat="1" applyFont="1" applyFill="1" applyBorder="1"/>
    <xf numFmtId="0" fontId="71" fillId="2" borderId="24" xfId="0" applyFont="1" applyFill="1" applyBorder="1" applyAlignment="1">
      <alignment wrapText="1"/>
    </xf>
    <xf numFmtId="0" fontId="12" fillId="6" borderId="0" xfId="0" applyFont="1" applyFill="1"/>
    <xf numFmtId="165" fontId="16" fillId="0" borderId="0" xfId="0" applyNumberFormat="1" applyFont="1" applyAlignment="1">
      <alignment wrapText="1"/>
    </xf>
    <xf numFmtId="0" fontId="66" fillId="0" borderId="0" xfId="8" applyFont="1"/>
    <xf numFmtId="0" fontId="10" fillId="0" borderId="0" xfId="8"/>
    <xf numFmtId="0" fontId="66" fillId="0" borderId="1" xfId="8" applyFont="1" applyBorder="1" applyAlignment="1">
      <alignment horizontal="centerContinuous"/>
    </xf>
    <xf numFmtId="0" fontId="68" fillId="0" borderId="0" xfId="8" applyFont="1" applyAlignment="1">
      <alignment horizontal="center" wrapText="1"/>
    </xf>
    <xf numFmtId="0" fontId="69" fillId="0" borderId="0" xfId="8" applyFont="1" applyAlignment="1">
      <alignment horizontal="left" wrapText="1"/>
    </xf>
    <xf numFmtId="0" fontId="74" fillId="0" borderId="0" xfId="8" applyFont="1" applyAlignment="1">
      <alignment horizontal="center"/>
    </xf>
    <xf numFmtId="0" fontId="74" fillId="0" borderId="0" xfId="8" applyFont="1" applyAlignment="1">
      <alignment horizontal="left"/>
    </xf>
    <xf numFmtId="171" fontId="74" fillId="0" borderId="0" xfId="9" applyNumberFormat="1" applyFont="1" applyFill="1"/>
    <xf numFmtId="165" fontId="74" fillId="0" borderId="0" xfId="10" applyNumberFormat="1" applyFont="1" applyFill="1"/>
    <xf numFmtId="170" fontId="74" fillId="0" borderId="0" xfId="8" applyNumberFormat="1" applyFont="1"/>
    <xf numFmtId="165" fontId="74" fillId="0" borderId="0" xfId="8" applyNumberFormat="1" applyFont="1"/>
    <xf numFmtId="171" fontId="0" fillId="0" borderId="0" xfId="9" applyNumberFormat="1" applyFont="1" applyFill="1"/>
    <xf numFmtId="165" fontId="0" fillId="0" borderId="0" xfId="10" applyNumberFormat="1" applyFont="1" applyFill="1"/>
    <xf numFmtId="170" fontId="10" fillId="0" borderId="0" xfId="8" applyNumberFormat="1"/>
    <xf numFmtId="165" fontId="10" fillId="0" borderId="0" xfId="8" applyNumberFormat="1"/>
    <xf numFmtId="0" fontId="74" fillId="0" borderId="0" xfId="8" applyFont="1"/>
    <xf numFmtId="171" fontId="10" fillId="0" borderId="0" xfId="9" applyNumberFormat="1" applyFont="1" applyFill="1"/>
    <xf numFmtId="165" fontId="10" fillId="0" borderId="0" xfId="10" applyNumberFormat="1" applyFont="1" applyFill="1"/>
    <xf numFmtId="170" fontId="10" fillId="0" borderId="0" xfId="10" applyNumberFormat="1" applyFont="1" applyFill="1" applyAlignment="1">
      <alignment horizontal="left"/>
    </xf>
    <xf numFmtId="0" fontId="76" fillId="0" borderId="0" xfId="8" applyFont="1" applyAlignment="1">
      <alignment horizontal="left"/>
    </xf>
    <xf numFmtId="171" fontId="66" fillId="0" borderId="0" xfId="9" applyNumberFormat="1" applyFont="1" applyFill="1"/>
    <xf numFmtId="165" fontId="66" fillId="0" borderId="0" xfId="10" applyNumberFormat="1" applyFont="1" applyFill="1"/>
    <xf numFmtId="0" fontId="75" fillId="0" borderId="0" xfId="8" applyFont="1" applyAlignment="1">
      <alignment horizontal="center"/>
    </xf>
    <xf numFmtId="0" fontId="66" fillId="0" borderId="0" xfId="8" applyFont="1" applyAlignment="1">
      <alignment horizontal="center"/>
    </xf>
    <xf numFmtId="0" fontId="75" fillId="0" borderId="0" xfId="8" applyFont="1" applyAlignment="1">
      <alignment horizontal="right"/>
    </xf>
    <xf numFmtId="0" fontId="10" fillId="0" borderId="0" xfId="8" applyAlignment="1">
      <alignment horizontal="center"/>
    </xf>
    <xf numFmtId="0" fontId="75" fillId="0" borderId="0" xfId="0" applyFont="1"/>
    <xf numFmtId="0" fontId="0" fillId="0" borderId="0" xfId="0" applyAlignment="1">
      <alignment horizontal="center" wrapText="1"/>
    </xf>
    <xf numFmtId="0" fontId="0" fillId="0" borderId="0" xfId="0" applyAlignment="1">
      <alignment horizontal="right" wrapText="1"/>
    </xf>
    <xf numFmtId="0" fontId="74" fillId="0" borderId="0" xfId="0" applyFont="1" applyAlignment="1">
      <alignment horizontal="center"/>
    </xf>
    <xf numFmtId="0" fontId="0" fillId="12" borderId="0" xfId="0" applyFill="1" applyProtection="1">
      <protection locked="0"/>
    </xf>
    <xf numFmtId="0" fontId="0" fillId="12" borderId="0" xfId="0" applyFill="1"/>
    <xf numFmtId="165" fontId="0" fillId="12" borderId="0" xfId="1" applyNumberFormat="1" applyFont="1" applyFill="1" applyBorder="1" applyProtection="1">
      <protection locked="0"/>
    </xf>
    <xf numFmtId="0" fontId="77" fillId="0" borderId="0" xfId="11" applyFont="1"/>
    <xf numFmtId="165" fontId="12" fillId="0" borderId="0" xfId="12" applyNumberFormat="1" applyFont="1"/>
    <xf numFmtId="165" fontId="12" fillId="0" borderId="14" xfId="12" applyNumberFormat="1" applyFont="1" applyBorder="1"/>
    <xf numFmtId="165" fontId="12" fillId="0" borderId="0" xfId="12" applyNumberFormat="1" applyFont="1" applyFill="1"/>
    <xf numFmtId="165" fontId="12" fillId="2" borderId="0" xfId="1" applyNumberFormat="1" applyFont="1" applyFill="1" applyAlignment="1">
      <alignment horizontal="right"/>
    </xf>
    <xf numFmtId="43" fontId="12" fillId="0" borderId="0" xfId="1" applyFont="1"/>
    <xf numFmtId="165" fontId="12" fillId="2" borderId="12" xfId="1" applyNumberFormat="1" applyFont="1" applyFill="1" applyBorder="1" applyAlignment="1">
      <alignment horizontal="right"/>
    </xf>
    <xf numFmtId="0" fontId="12" fillId="3" borderId="34" xfId="0" applyFont="1" applyFill="1" applyBorder="1" applyAlignment="1">
      <alignment horizontal="center"/>
    </xf>
    <xf numFmtId="0" fontId="12" fillId="3" borderId="27" xfId="0" applyFont="1" applyFill="1" applyBorder="1" applyAlignment="1">
      <alignment horizontal="center"/>
    </xf>
    <xf numFmtId="0" fontId="12" fillId="0" borderId="2" xfId="0" applyFont="1" applyBorder="1" applyAlignment="1">
      <alignment horizontal="center"/>
    </xf>
    <xf numFmtId="0" fontId="12" fillId="0" borderId="22" xfId="0" applyFont="1" applyBorder="1" applyAlignment="1">
      <alignment horizontal="center"/>
    </xf>
    <xf numFmtId="0" fontId="12" fillId="3" borderId="18" xfId="0" applyFont="1" applyFill="1" applyBorder="1" applyAlignment="1">
      <alignment horizontal="center"/>
    </xf>
    <xf numFmtId="0" fontId="12" fillId="0" borderId="15" xfId="0" applyFont="1" applyBorder="1" applyAlignment="1">
      <alignment horizontal="center"/>
    </xf>
    <xf numFmtId="0" fontId="12" fillId="0" borderId="16" xfId="0" applyFont="1" applyBorder="1" applyAlignment="1">
      <alignment horizontal="center"/>
    </xf>
    <xf numFmtId="165" fontId="12" fillId="3" borderId="27" xfId="1" applyNumberFormat="1" applyFont="1" applyFill="1" applyBorder="1" applyAlignment="1">
      <alignment horizontal="center"/>
    </xf>
    <xf numFmtId="165" fontId="12" fillId="0" borderId="2" xfId="1" applyNumberFormat="1" applyFont="1" applyBorder="1"/>
    <xf numFmtId="165" fontId="12" fillId="0" borderId="25" xfId="0" applyNumberFormat="1" applyFont="1" applyBorder="1"/>
    <xf numFmtId="165" fontId="12" fillId="0" borderId="26" xfId="0" applyNumberFormat="1" applyFont="1" applyBorder="1"/>
    <xf numFmtId="165" fontId="12" fillId="3" borderId="24" xfId="1" applyNumberFormat="1" applyFont="1" applyFill="1" applyBorder="1" applyAlignment="1">
      <alignment horizontal="center"/>
    </xf>
    <xf numFmtId="165" fontId="0" fillId="0" borderId="0" xfId="0" applyNumberFormat="1" applyAlignment="1">
      <alignment horizontal="right" wrapText="1"/>
    </xf>
    <xf numFmtId="165" fontId="12" fillId="0" borderId="0" xfId="0" applyNumberFormat="1" applyFont="1"/>
    <xf numFmtId="165" fontId="12" fillId="12" borderId="0" xfId="12" applyNumberFormat="1" applyFont="1" applyFill="1" applyProtection="1">
      <protection locked="0"/>
    </xf>
    <xf numFmtId="0" fontId="77" fillId="0" borderId="0" xfId="11" applyFont="1" applyAlignment="1">
      <alignment vertical="top" wrapText="1"/>
    </xf>
    <xf numFmtId="0" fontId="77" fillId="0" borderId="0" xfId="11" applyFont="1" applyAlignment="1">
      <alignment vertical="top"/>
    </xf>
    <xf numFmtId="165" fontId="12" fillId="0" borderId="0" xfId="12" applyNumberFormat="1" applyFont="1" applyBorder="1"/>
    <xf numFmtId="0" fontId="8" fillId="0" borderId="0" xfId="13"/>
    <xf numFmtId="165" fontId="0" fillId="0" borderId="0" xfId="14" applyNumberFormat="1" applyFont="1"/>
    <xf numFmtId="165" fontId="0" fillId="0" borderId="0" xfId="14" applyNumberFormat="1" applyFont="1" applyFill="1"/>
    <xf numFmtId="0" fontId="66" fillId="0" borderId="0" xfId="13" applyFont="1"/>
    <xf numFmtId="165" fontId="8" fillId="0" borderId="0" xfId="13" applyNumberFormat="1"/>
    <xf numFmtId="42" fontId="8" fillId="0" borderId="0" xfId="13" applyNumberFormat="1"/>
    <xf numFmtId="0" fontId="74" fillId="0" borderId="0" xfId="13" applyFont="1"/>
    <xf numFmtId="0" fontId="74" fillId="13" borderId="0" xfId="13" applyFont="1" applyFill="1"/>
    <xf numFmtId="0" fontId="76" fillId="0" borderId="1" xfId="13" applyFont="1" applyBorder="1" applyAlignment="1">
      <alignment horizontal="centerContinuous"/>
    </xf>
    <xf numFmtId="0" fontId="76" fillId="13" borderId="1" xfId="13" applyFont="1" applyFill="1" applyBorder="1" applyAlignment="1">
      <alignment horizontal="centerContinuous"/>
    </xf>
    <xf numFmtId="0" fontId="76" fillId="0" borderId="0" xfId="13" applyFont="1" applyAlignment="1">
      <alignment horizontal="center" wrapText="1"/>
    </xf>
    <xf numFmtId="0" fontId="76" fillId="13" borderId="0" xfId="13" applyFont="1" applyFill="1" applyAlignment="1">
      <alignment horizontal="center" wrapText="1"/>
    </xf>
    <xf numFmtId="0" fontId="68" fillId="0" borderId="0" xfId="13" applyFont="1" applyAlignment="1">
      <alignment horizontal="center" wrapText="1"/>
    </xf>
    <xf numFmtId="0" fontId="69" fillId="0" borderId="0" xfId="13" applyFont="1" applyAlignment="1">
      <alignment horizontal="left" wrapText="1"/>
    </xf>
    <xf numFmtId="0" fontId="74" fillId="0" borderId="0" xfId="13" applyFont="1" applyAlignment="1">
      <alignment horizontal="center"/>
    </xf>
    <xf numFmtId="0" fontId="74" fillId="0" borderId="0" xfId="13" applyFont="1" applyAlignment="1">
      <alignment horizontal="left"/>
    </xf>
    <xf numFmtId="171" fontId="74" fillId="0" borderId="0" xfId="15" applyNumberFormat="1" applyFont="1" applyFill="1"/>
    <xf numFmtId="165" fontId="74" fillId="0" borderId="0" xfId="14" applyNumberFormat="1" applyFont="1" applyFill="1"/>
    <xf numFmtId="170" fontId="74" fillId="0" borderId="0" xfId="13" applyNumberFormat="1" applyFont="1"/>
    <xf numFmtId="170" fontId="74" fillId="13" borderId="0" xfId="13" applyNumberFormat="1" applyFont="1" applyFill="1"/>
    <xf numFmtId="165" fontId="74" fillId="0" borderId="0" xfId="13" applyNumberFormat="1" applyFont="1"/>
    <xf numFmtId="172" fontId="74" fillId="0" borderId="0" xfId="15" applyNumberFormat="1" applyFont="1" applyFill="1"/>
    <xf numFmtId="0" fontId="76" fillId="0" borderId="0" xfId="13" applyFont="1" applyAlignment="1">
      <alignment horizontal="center"/>
    </xf>
    <xf numFmtId="0" fontId="76" fillId="0" borderId="0" xfId="13" applyFont="1" applyAlignment="1">
      <alignment horizontal="left"/>
    </xf>
    <xf numFmtId="171" fontId="76" fillId="0" borderId="0" xfId="15" applyNumberFormat="1" applyFont="1" applyFill="1"/>
    <xf numFmtId="165" fontId="76" fillId="0" borderId="0" xfId="14" applyNumberFormat="1" applyFont="1" applyFill="1"/>
    <xf numFmtId="170" fontId="76" fillId="0" borderId="0" xfId="13" applyNumberFormat="1" applyFont="1"/>
    <xf numFmtId="170" fontId="76" fillId="13" borderId="0" xfId="13" applyNumberFormat="1" applyFont="1" applyFill="1"/>
    <xf numFmtId="0" fontId="76" fillId="0" borderId="0" xfId="13" applyFont="1"/>
    <xf numFmtId="49" fontId="74" fillId="0" borderId="0" xfId="13" applyNumberFormat="1" applyFont="1" applyAlignment="1">
      <alignment horizontal="left"/>
    </xf>
    <xf numFmtId="0" fontId="66" fillId="0" borderId="1" xfId="13" applyFont="1" applyBorder="1" applyAlignment="1">
      <alignment horizontal="centerContinuous"/>
    </xf>
    <xf numFmtId="41" fontId="68" fillId="0" borderId="0" xfId="13" applyNumberFormat="1" applyFont="1" applyAlignment="1">
      <alignment horizontal="center" wrapText="1"/>
    </xf>
    <xf numFmtId="171" fontId="0" fillId="0" borderId="0" xfId="15" applyNumberFormat="1" applyFont="1" applyFill="1"/>
    <xf numFmtId="170" fontId="8" fillId="0" borderId="0" xfId="13" applyNumberFormat="1"/>
    <xf numFmtId="171" fontId="8" fillId="0" borderId="0" xfId="15" applyNumberFormat="1" applyFont="1" applyFill="1"/>
    <xf numFmtId="165" fontId="8" fillId="0" borderId="0" xfId="14" applyNumberFormat="1" applyFont="1" applyFill="1"/>
    <xf numFmtId="170" fontId="8" fillId="0" borderId="0" xfId="14" applyNumberFormat="1" applyFont="1" applyFill="1" applyAlignment="1">
      <alignment horizontal="left"/>
    </xf>
    <xf numFmtId="171" fontId="66" fillId="0" borderId="0" xfId="15" applyNumberFormat="1" applyFont="1" applyFill="1"/>
    <xf numFmtId="165" fontId="66" fillId="0" borderId="0" xfId="14" applyNumberFormat="1" applyFont="1" applyFill="1"/>
    <xf numFmtId="0" fontId="75" fillId="0" borderId="0" xfId="13" applyFont="1" applyAlignment="1">
      <alignment horizontal="center"/>
    </xf>
    <xf numFmtId="0" fontId="66" fillId="0" borderId="0" xfId="13" applyFont="1" applyAlignment="1">
      <alignment horizontal="center"/>
    </xf>
    <xf numFmtId="0" fontId="75" fillId="0" borderId="0" xfId="13" applyFont="1" applyAlignment="1">
      <alignment horizontal="right"/>
    </xf>
    <xf numFmtId="0" fontId="7" fillId="0" borderId="0" xfId="13" applyFont="1"/>
    <xf numFmtId="0" fontId="69" fillId="0" borderId="0" xfId="13" applyFont="1" applyAlignment="1">
      <alignment horizontal="center" wrapText="1"/>
    </xf>
    <xf numFmtId="0" fontId="79" fillId="0" borderId="24" xfId="16" applyFont="1" applyBorder="1"/>
    <xf numFmtId="43" fontId="79" fillId="0" borderId="24" xfId="17" applyFont="1" applyFill="1" applyBorder="1"/>
    <xf numFmtId="0" fontId="80" fillId="0" borderId="0" xfId="16" applyFont="1"/>
    <xf numFmtId="0" fontId="7" fillId="0" borderId="0" xfId="16"/>
    <xf numFmtId="0" fontId="81" fillId="0" borderId="0" xfId="16" applyFont="1" applyAlignment="1">
      <alignment horizontal="right"/>
    </xf>
    <xf numFmtId="0" fontId="81" fillId="0" borderId="0" xfId="16" applyFont="1"/>
    <xf numFmtId="43" fontId="79" fillId="0" borderId="0" xfId="17" applyFont="1" applyFill="1" applyBorder="1"/>
    <xf numFmtId="43" fontId="80" fillId="0" borderId="0" xfId="17" applyFont="1" applyFill="1" applyBorder="1"/>
    <xf numFmtId="43" fontId="79" fillId="0" borderId="12" xfId="17" applyFont="1" applyFill="1" applyBorder="1"/>
    <xf numFmtId="0" fontId="79" fillId="0" borderId="0" xfId="16" applyFont="1"/>
    <xf numFmtId="0" fontId="80" fillId="0" borderId="0" xfId="16" applyFont="1" applyAlignment="1">
      <alignment horizontal="right"/>
    </xf>
    <xf numFmtId="0" fontId="6" fillId="0" borderId="0" xfId="13" applyFont="1"/>
    <xf numFmtId="0" fontId="8" fillId="0" borderId="0" xfId="13" applyAlignment="1">
      <alignment horizontal="center"/>
    </xf>
    <xf numFmtId="0" fontId="6" fillId="0" borderId="0" xfId="13" applyFont="1" applyAlignment="1">
      <alignment horizontal="center"/>
    </xf>
    <xf numFmtId="10" fontId="14" fillId="0" borderId="0" xfId="0" applyNumberFormat="1" applyFont="1" applyAlignment="1">
      <alignment horizontal="left"/>
    </xf>
    <xf numFmtId="166" fontId="12" fillId="0" borderId="0" xfId="3" applyNumberFormat="1" applyBorder="1"/>
    <xf numFmtId="41" fontId="0" fillId="0" borderId="0" xfId="0" applyNumberFormat="1" applyAlignment="1">
      <alignment horizontal="left" indent="2"/>
    </xf>
    <xf numFmtId="166" fontId="12" fillId="12" borderId="0" xfId="2" applyNumberFormat="1" applyFill="1" applyProtection="1">
      <protection locked="0"/>
    </xf>
    <xf numFmtId="165" fontId="12" fillId="12" borderId="0" xfId="1" applyNumberFormat="1" applyFill="1" applyProtection="1">
      <protection locked="0"/>
    </xf>
    <xf numFmtId="0" fontId="77" fillId="0" borderId="0" xfId="13" applyFont="1"/>
    <xf numFmtId="0" fontId="5" fillId="0" borderId="0" xfId="18"/>
    <xf numFmtId="14" fontId="5" fillId="0" borderId="0" xfId="18" applyNumberFormat="1"/>
    <xf numFmtId="165" fontId="0" fillId="0" borderId="0" xfId="19" applyNumberFormat="1" applyFont="1"/>
    <xf numFmtId="165" fontId="0" fillId="0" borderId="0" xfId="19" applyNumberFormat="1" applyFont="1" applyFill="1"/>
    <xf numFmtId="42" fontId="5" fillId="14" borderId="0" xfId="18" applyNumberFormat="1" applyFill="1" applyAlignment="1">
      <alignment vertical="center"/>
    </xf>
    <xf numFmtId="0" fontId="5" fillId="0" borderId="0" xfId="18" applyAlignment="1">
      <alignment vertical="center" wrapText="1"/>
    </xf>
    <xf numFmtId="42" fontId="5" fillId="0" borderId="0" xfId="18" applyNumberFormat="1" applyAlignment="1">
      <alignment vertical="center"/>
    </xf>
    <xf numFmtId="0" fontId="5" fillId="0" borderId="0" xfId="18" applyAlignment="1">
      <alignment vertical="center"/>
    </xf>
    <xf numFmtId="0" fontId="5" fillId="0" borderId="0" xfId="18" applyAlignment="1">
      <alignment vertical="top"/>
    </xf>
    <xf numFmtId="0" fontId="78" fillId="0" borderId="0" xfId="18" applyFont="1"/>
    <xf numFmtId="165" fontId="78" fillId="0" borderId="0" xfId="19" applyNumberFormat="1" applyFont="1"/>
    <xf numFmtId="41" fontId="0" fillId="0" borderId="0" xfId="19" applyNumberFormat="1" applyFont="1" applyFill="1" applyAlignment="1">
      <alignment vertical="center"/>
    </xf>
    <xf numFmtId="165" fontId="5" fillId="0" borderId="0" xfId="18" applyNumberFormat="1"/>
    <xf numFmtId="0" fontId="85" fillId="2" borderId="13" xfId="0" applyFont="1" applyFill="1" applyBorder="1"/>
    <xf numFmtId="0" fontId="85" fillId="2" borderId="26" xfId="0" applyFont="1" applyFill="1" applyBorder="1"/>
    <xf numFmtId="0" fontId="86" fillId="0" borderId="0" xfId="18" applyFont="1"/>
    <xf numFmtId="0" fontId="71" fillId="2" borderId="25" xfId="0" applyFont="1" applyFill="1" applyBorder="1"/>
    <xf numFmtId="42" fontId="0" fillId="12" borderId="0" xfId="19" applyNumberFormat="1" applyFont="1" applyFill="1"/>
    <xf numFmtId="41" fontId="0" fillId="12" borderId="0" xfId="19" applyNumberFormat="1" applyFont="1" applyFill="1"/>
    <xf numFmtId="41" fontId="0" fillId="12" borderId="0" xfId="19" applyNumberFormat="1" applyFont="1" applyFill="1" applyAlignment="1">
      <alignment vertical="center"/>
    </xf>
    <xf numFmtId="42" fontId="87" fillId="12" borderId="0" xfId="18" applyNumberFormat="1" applyFont="1" applyFill="1" applyAlignment="1">
      <alignment vertical="center"/>
    </xf>
    <xf numFmtId="0" fontId="87" fillId="0" borderId="0" xfId="18" applyFont="1" applyAlignment="1">
      <alignment vertical="center" wrapText="1"/>
    </xf>
    <xf numFmtId="42" fontId="87" fillId="0" borderId="0" xfId="18" applyNumberFormat="1" applyFont="1" applyAlignment="1">
      <alignment vertical="center"/>
    </xf>
    <xf numFmtId="42" fontId="87" fillId="14" borderId="0" xfId="18" applyNumberFormat="1" applyFont="1" applyFill="1" applyAlignment="1">
      <alignment vertical="center"/>
    </xf>
    <xf numFmtId="0" fontId="87" fillId="0" borderId="0" xfId="18" applyFont="1" applyAlignment="1">
      <alignment vertical="center"/>
    </xf>
    <xf numFmtId="9" fontId="12" fillId="0" borderId="0" xfId="3" applyFill="1"/>
    <xf numFmtId="166" fontId="0" fillId="0" borderId="0" xfId="0" applyNumberFormat="1" applyAlignment="1">
      <alignment horizontal="left" indent="4"/>
    </xf>
    <xf numFmtId="0" fontId="14" fillId="0" borderId="14" xfId="0" applyFont="1" applyBorder="1" applyAlignment="1">
      <alignment horizontal="left"/>
    </xf>
    <xf numFmtId="0" fontId="14" fillId="0" borderId="21" xfId="0" applyFont="1" applyBorder="1" applyAlignment="1">
      <alignment horizontal="left"/>
    </xf>
    <xf numFmtId="42" fontId="87" fillId="12" borderId="0" xfId="13" applyNumberFormat="1" applyFont="1" applyFill="1" applyAlignment="1">
      <alignment vertical="center"/>
    </xf>
    <xf numFmtId="0" fontId="87" fillId="0" borderId="0" xfId="13" applyFont="1" applyAlignment="1">
      <alignment vertical="center" wrapText="1"/>
    </xf>
    <xf numFmtId="0" fontId="87" fillId="0" borderId="0" xfId="13" applyFont="1" applyAlignment="1">
      <alignment vertical="center"/>
    </xf>
    <xf numFmtId="42" fontId="87" fillId="0" borderId="0" xfId="13" applyNumberFormat="1" applyFont="1" applyAlignment="1">
      <alignment vertical="center"/>
    </xf>
    <xf numFmtId="0" fontId="87" fillId="0" borderId="0" xfId="13" applyFont="1"/>
    <xf numFmtId="0" fontId="87" fillId="0" borderId="0" xfId="11" applyFont="1"/>
    <xf numFmtId="0" fontId="87" fillId="0" borderId="0" xfId="11" applyFont="1" applyAlignment="1">
      <alignment vertical="top" wrapText="1"/>
    </xf>
    <xf numFmtId="173" fontId="0" fillId="0" borderId="0" xfId="0" applyNumberFormat="1"/>
    <xf numFmtId="0" fontId="12" fillId="0" borderId="9" xfId="0" applyFont="1" applyBorder="1" applyAlignment="1">
      <alignment wrapText="1"/>
    </xf>
    <xf numFmtId="165" fontId="12" fillId="6" borderId="0" xfId="1" quotePrefix="1" applyNumberFormat="1" applyFont="1" applyFill="1" applyBorder="1"/>
    <xf numFmtId="0" fontId="87" fillId="0" borderId="0" xfId="18" applyFont="1"/>
    <xf numFmtId="0" fontId="74" fillId="0" borderId="0" xfId="20" applyFont="1"/>
    <xf numFmtId="0" fontId="74" fillId="13" borderId="0" xfId="20" applyFont="1" applyFill="1"/>
    <xf numFmtId="0" fontId="76" fillId="0" borderId="1" xfId="20" applyFont="1" applyBorder="1" applyAlignment="1">
      <alignment horizontal="centerContinuous"/>
    </xf>
    <xf numFmtId="0" fontId="76" fillId="13" borderId="1" xfId="20" applyFont="1" applyFill="1" applyBorder="1" applyAlignment="1">
      <alignment horizontal="centerContinuous"/>
    </xf>
    <xf numFmtId="0" fontId="76" fillId="0" borderId="0" xfId="20" applyFont="1" applyAlignment="1">
      <alignment horizontal="center" wrapText="1"/>
    </xf>
    <xf numFmtId="0" fontId="76" fillId="13" borderId="0" xfId="20" applyFont="1" applyFill="1" applyAlignment="1">
      <alignment horizontal="center" wrapText="1"/>
    </xf>
    <xf numFmtId="0" fontId="68" fillId="0" borderId="0" xfId="20" applyFont="1" applyAlignment="1">
      <alignment horizontal="center" wrapText="1"/>
    </xf>
    <xf numFmtId="0" fontId="69" fillId="0" borderId="0" xfId="20" applyFont="1" applyAlignment="1">
      <alignment horizontal="left" wrapText="1"/>
    </xf>
    <xf numFmtId="0" fontId="74" fillId="0" borderId="0" xfId="20" applyFont="1" applyAlignment="1">
      <alignment horizontal="center"/>
    </xf>
    <xf numFmtId="0" fontId="74" fillId="0" borderId="0" xfId="20" applyFont="1" applyAlignment="1">
      <alignment horizontal="left"/>
    </xf>
    <xf numFmtId="171" fontId="74" fillId="0" borderId="0" xfId="21" applyNumberFormat="1" applyFont="1" applyFill="1" applyBorder="1" applyAlignment="1"/>
    <xf numFmtId="165" fontId="74" fillId="0" borderId="0" xfId="22" applyNumberFormat="1" applyFont="1" applyFill="1"/>
    <xf numFmtId="170" fontId="74" fillId="0" borderId="0" xfId="20" applyNumberFormat="1" applyFont="1"/>
    <xf numFmtId="170" fontId="74" fillId="13" borderId="0" xfId="20" applyNumberFormat="1" applyFont="1" applyFill="1"/>
    <xf numFmtId="165" fontId="74" fillId="0" borderId="0" xfId="20" applyNumberFormat="1" applyFont="1"/>
    <xf numFmtId="0" fontId="4" fillId="0" borderId="0" xfId="20"/>
    <xf numFmtId="0" fontId="74" fillId="10" borderId="0" xfId="20" applyFont="1" applyFill="1" applyAlignment="1">
      <alignment horizontal="center"/>
    </xf>
    <xf numFmtId="0" fontId="74" fillId="10" borderId="0" xfId="20" applyFont="1" applyFill="1" applyAlignment="1">
      <alignment horizontal="left"/>
    </xf>
    <xf numFmtId="171" fontId="74" fillId="10" borderId="0" xfId="21" applyNumberFormat="1" applyFont="1" applyFill="1" applyBorder="1" applyAlignment="1"/>
    <xf numFmtId="165" fontId="74" fillId="10" borderId="0" xfId="22" applyNumberFormat="1" applyFont="1" applyFill="1"/>
    <xf numFmtId="170" fontId="74" fillId="10" borderId="0" xfId="20" applyNumberFormat="1" applyFont="1" applyFill="1"/>
    <xf numFmtId="165" fontId="74" fillId="10" borderId="0" xfId="20" applyNumberFormat="1" applyFont="1" applyFill="1"/>
    <xf numFmtId="0" fontId="74" fillId="10" borderId="0" xfId="20" applyFont="1" applyFill="1"/>
    <xf numFmtId="165" fontId="74" fillId="13" borderId="0" xfId="22" applyNumberFormat="1" applyFont="1" applyFill="1"/>
    <xf numFmtId="0" fontId="80" fillId="0" borderId="0" xfId="20" applyFont="1"/>
    <xf numFmtId="171" fontId="76" fillId="0" borderId="0" xfId="21" applyNumberFormat="1" applyFont="1" applyFill="1"/>
    <xf numFmtId="0" fontId="76" fillId="0" borderId="0" xfId="20" applyFont="1" applyAlignment="1">
      <alignment horizontal="center"/>
    </xf>
    <xf numFmtId="0" fontId="76" fillId="0" borderId="0" xfId="20" applyFont="1" applyAlignment="1">
      <alignment horizontal="left"/>
    </xf>
    <xf numFmtId="171" fontId="76" fillId="0" borderId="0" xfId="21" applyNumberFormat="1" applyFont="1" applyFill="1" applyBorder="1" applyAlignment="1"/>
    <xf numFmtId="165" fontId="76" fillId="0" borderId="0" xfId="22" applyNumberFormat="1" applyFont="1" applyFill="1" applyBorder="1" applyAlignment="1"/>
    <xf numFmtId="165" fontId="76" fillId="0" borderId="0" xfId="22" applyNumberFormat="1" applyFont="1" applyFill="1"/>
    <xf numFmtId="165" fontId="76" fillId="13" borderId="0" xfId="22" applyNumberFormat="1" applyFont="1" applyFill="1"/>
    <xf numFmtId="170" fontId="76" fillId="13" borderId="0" xfId="20" applyNumberFormat="1" applyFont="1" applyFill="1"/>
    <xf numFmtId="170" fontId="76" fillId="0" borderId="0" xfId="20" applyNumberFormat="1" applyFont="1"/>
    <xf numFmtId="0" fontId="76" fillId="0" borderId="0" xfId="20" applyFont="1"/>
    <xf numFmtId="171" fontId="76" fillId="0" borderId="0" xfId="21" applyNumberFormat="1" applyFont="1" applyFill="1" applyBorder="1" applyAlignment="1">
      <alignment horizontal="center"/>
    </xf>
    <xf numFmtId="49" fontId="74" fillId="0" borderId="0" xfId="20" applyNumberFormat="1" applyFont="1" applyAlignment="1">
      <alignment horizontal="left"/>
    </xf>
    <xf numFmtId="49" fontId="4" fillId="0" borderId="0" xfId="20" applyNumberFormat="1"/>
    <xf numFmtId="0" fontId="74" fillId="0" borderId="0" xfId="21" applyNumberFormat="1" applyFont="1" applyFill="1" applyBorder="1" applyAlignment="1">
      <alignment horizontal="center"/>
    </xf>
    <xf numFmtId="49" fontId="80" fillId="0" borderId="0" xfId="20" applyNumberFormat="1" applyFont="1" applyAlignment="1">
      <alignment horizontal="left"/>
    </xf>
    <xf numFmtId="49" fontId="4" fillId="0" borderId="0" xfId="20" applyNumberFormat="1" applyAlignment="1">
      <alignment horizontal="left"/>
    </xf>
    <xf numFmtId="49" fontId="74" fillId="0" borderId="0" xfId="20" applyNumberFormat="1" applyFont="1"/>
    <xf numFmtId="0" fontId="79" fillId="0" borderId="24" xfId="20" applyFont="1" applyBorder="1"/>
    <xf numFmtId="43" fontId="79" fillId="0" borderId="24" xfId="22" applyFont="1" applyFill="1" applyBorder="1"/>
    <xf numFmtId="0" fontId="81" fillId="0" borderId="0" xfId="20" applyFont="1" applyAlignment="1">
      <alignment horizontal="right"/>
    </xf>
    <xf numFmtId="0" fontId="81" fillId="0" borderId="0" xfId="20" applyFont="1"/>
    <xf numFmtId="43" fontId="79" fillId="0" borderId="0" xfId="22" applyFont="1" applyFill="1" applyBorder="1"/>
    <xf numFmtId="43" fontId="80" fillId="0" borderId="0" xfId="22" applyFont="1" applyFill="1" applyBorder="1"/>
    <xf numFmtId="0" fontId="74" fillId="0" borderId="0" xfId="20" applyFont="1" applyAlignment="1">
      <alignment horizontal="right"/>
    </xf>
    <xf numFmtId="0" fontId="80" fillId="0" borderId="0" xfId="20" applyFont="1" applyAlignment="1">
      <alignment horizontal="right"/>
    </xf>
    <xf numFmtId="43" fontId="81" fillId="0" borderId="0" xfId="22" applyFont="1" applyFill="1" applyBorder="1"/>
    <xf numFmtId="43" fontId="80" fillId="0" borderId="12" xfId="22" applyFont="1" applyFill="1" applyBorder="1"/>
    <xf numFmtId="0" fontId="79" fillId="0" borderId="0" xfId="20" applyFont="1"/>
    <xf numFmtId="0" fontId="87" fillId="0" borderId="0" xfId="11" applyFont="1" applyAlignment="1">
      <alignment horizontal="left" vertical="top" wrapText="1"/>
    </xf>
    <xf numFmtId="0" fontId="3" fillId="0" borderId="0" xfId="20" applyFont="1"/>
    <xf numFmtId="165" fontId="0" fillId="15" borderId="9" xfId="1" applyNumberFormat="1" applyFont="1" applyFill="1" applyBorder="1"/>
    <xf numFmtId="165" fontId="0" fillId="15" borderId="8" xfId="1" applyNumberFormat="1" applyFont="1" applyFill="1" applyBorder="1"/>
    <xf numFmtId="0" fontId="13" fillId="0" borderId="0" xfId="0" applyFont="1" applyAlignment="1">
      <alignment vertical="top" wrapText="1"/>
    </xf>
    <xf numFmtId="171" fontId="0" fillId="12" borderId="0" xfId="5" applyNumberFormat="1" applyFont="1" applyFill="1" applyAlignment="1">
      <alignment wrapText="1"/>
    </xf>
    <xf numFmtId="44" fontId="0" fillId="12" borderId="0" xfId="2" applyFont="1" applyFill="1"/>
    <xf numFmtId="0" fontId="88" fillId="0" borderId="0" xfId="23"/>
    <xf numFmtId="43" fontId="0" fillId="12" borderId="0" xfId="1" applyFont="1" applyFill="1" applyAlignment="1">
      <alignment wrapText="1"/>
    </xf>
    <xf numFmtId="43" fontId="68" fillId="0" borderId="0" xfId="1" applyFont="1" applyFill="1" applyBorder="1" applyAlignment="1">
      <alignment horizontal="center" wrapText="1"/>
    </xf>
    <xf numFmtId="43" fontId="0" fillId="0" borderId="0" xfId="1" applyFont="1" applyFill="1"/>
    <xf numFmtId="43" fontId="68" fillId="0" borderId="0" xfId="1" applyFont="1" applyFill="1" applyBorder="1" applyAlignment="1">
      <alignment horizontal="center" vertical="center" wrapText="1"/>
    </xf>
    <xf numFmtId="43" fontId="0" fillId="0" borderId="0" xfId="1" applyFont="1" applyAlignment="1">
      <alignment horizontal="center" vertical="center"/>
    </xf>
    <xf numFmtId="0" fontId="14" fillId="10" borderId="0" xfId="0" applyFont="1" applyFill="1" applyAlignment="1">
      <alignment horizontal="center"/>
    </xf>
    <xf numFmtId="0" fontId="14" fillId="10" borderId="0" xfId="0" applyFont="1" applyFill="1" applyAlignment="1">
      <alignment horizontal="center" vertical="top"/>
    </xf>
    <xf numFmtId="0" fontId="2" fillId="0" borderId="0" xfId="24"/>
    <xf numFmtId="0" fontId="2" fillId="0" borderId="0" xfId="24" applyAlignment="1">
      <alignment vertical="center"/>
    </xf>
    <xf numFmtId="165" fontId="0" fillId="12" borderId="9" xfId="1" applyNumberFormat="1" applyFont="1" applyFill="1" applyBorder="1" applyProtection="1">
      <protection locked="0"/>
    </xf>
    <xf numFmtId="0" fontId="12" fillId="0" borderId="0" xfId="0" applyFont="1" applyProtection="1">
      <protection locked="0"/>
    </xf>
    <xf numFmtId="165" fontId="0" fillId="0" borderId="9" xfId="1" applyNumberFormat="1" applyFont="1" applyFill="1" applyBorder="1" applyProtection="1">
      <protection locked="0"/>
    </xf>
    <xf numFmtId="0" fontId="12" fillId="10" borderId="0" xfId="0" applyFont="1" applyFill="1" applyAlignment="1">
      <alignment horizontal="left" wrapText="1"/>
    </xf>
    <xf numFmtId="0" fontId="0" fillId="10" borderId="0" xfId="0" applyFill="1" applyAlignment="1">
      <alignment horizontal="left" wrapText="1"/>
    </xf>
    <xf numFmtId="0" fontId="14" fillId="0" borderId="0" xfId="0" applyFont="1" applyAlignment="1">
      <alignment wrapText="1"/>
    </xf>
    <xf numFmtId="0" fontId="0" fillId="0" borderId="0" xfId="0"/>
    <xf numFmtId="0" fontId="14" fillId="10" borderId="0" xfId="0" applyFont="1" applyFill="1" applyAlignment="1">
      <alignment wrapText="1"/>
    </xf>
    <xf numFmtId="0" fontId="0" fillId="0" borderId="0" xfId="0" applyAlignment="1">
      <alignment wrapText="1"/>
    </xf>
    <xf numFmtId="0" fontId="15" fillId="0" borderId="0" xfId="0" applyFont="1" applyAlignment="1">
      <alignment wrapText="1"/>
    </xf>
    <xf numFmtId="0" fontId="20" fillId="2" borderId="19" xfId="0" applyFont="1" applyFill="1" applyBorder="1" applyAlignment="1">
      <alignment horizontal="center"/>
    </xf>
    <xf numFmtId="0" fontId="20" fillId="2" borderId="14" xfId="0" applyFont="1" applyFill="1" applyBorder="1" applyAlignment="1">
      <alignment horizontal="center"/>
    </xf>
    <xf numFmtId="0" fontId="20" fillId="2" borderId="21" xfId="0" applyFont="1" applyFill="1" applyBorder="1" applyAlignment="1">
      <alignment horizontal="center"/>
    </xf>
    <xf numFmtId="0" fontId="20" fillId="2" borderId="15" xfId="0" applyFont="1" applyFill="1" applyBorder="1" applyAlignment="1">
      <alignment horizontal="center"/>
    </xf>
    <xf numFmtId="0" fontId="20" fillId="2" borderId="1" xfId="0" applyFont="1" applyFill="1" applyBorder="1" applyAlignment="1">
      <alignment horizontal="center"/>
    </xf>
    <xf numFmtId="0" fontId="20" fillId="2" borderId="16" xfId="0" applyFont="1" applyFill="1" applyBorder="1" applyAlignment="1">
      <alignment horizontal="center"/>
    </xf>
    <xf numFmtId="0" fontId="12" fillId="0" borderId="0" xfId="0" applyFont="1" applyAlignment="1">
      <alignment wrapText="1"/>
    </xf>
    <xf numFmtId="0" fontId="16" fillId="0" borderId="0" xfId="0" applyFont="1" applyAlignment="1">
      <alignment wrapText="1"/>
    </xf>
    <xf numFmtId="0" fontId="0" fillId="0" borderId="0" xfId="0" applyAlignment="1">
      <alignment horizontal="left" vertical="top" wrapText="1"/>
    </xf>
    <xf numFmtId="0" fontId="14" fillId="0" borderId="14" xfId="0" applyFont="1" applyBorder="1" applyAlignment="1" applyProtection="1">
      <alignment horizontal="center"/>
      <protection locked="0"/>
    </xf>
    <xf numFmtId="0" fontId="15" fillId="0" borderId="0" xfId="0" applyFont="1" applyAlignment="1">
      <alignment horizontal="center" textRotation="90"/>
    </xf>
    <xf numFmtId="165" fontId="17" fillId="4" borderId="6" xfId="1" applyNumberFormat="1" applyFont="1" applyFill="1" applyBorder="1" applyAlignment="1"/>
    <xf numFmtId="165" fontId="17" fillId="4" borderId="7" xfId="1" applyNumberFormat="1" applyFont="1" applyFill="1" applyBorder="1" applyAlignment="1"/>
    <xf numFmtId="165" fontId="17" fillId="4" borderId="7" xfId="0" applyNumberFormat="1" applyFont="1" applyFill="1" applyBorder="1"/>
    <xf numFmtId="0" fontId="17" fillId="4" borderId="10" xfId="0" applyFont="1" applyFill="1" applyBorder="1"/>
    <xf numFmtId="0" fontId="17" fillId="4" borderId="7" xfId="0" applyFont="1" applyFill="1" applyBorder="1"/>
    <xf numFmtId="165" fontId="14" fillId="4" borderId="31" xfId="1" applyNumberFormat="1" applyFont="1" applyFill="1" applyBorder="1" applyAlignment="1">
      <alignment horizontal="center"/>
    </xf>
    <xf numFmtId="0" fontId="14" fillId="4" borderId="31" xfId="0" applyFont="1" applyFill="1" applyBorder="1" applyAlignment="1">
      <alignment horizontal="center"/>
    </xf>
    <xf numFmtId="0" fontId="14" fillId="4" borderId="32" xfId="0" applyFont="1" applyFill="1" applyBorder="1" applyAlignment="1">
      <alignment horizontal="center"/>
    </xf>
    <xf numFmtId="165" fontId="14" fillId="0" borderId="14" xfId="0" applyNumberFormat="1" applyFont="1" applyBorder="1" applyAlignment="1" applyProtection="1">
      <alignment horizontal="center"/>
      <protection locked="0"/>
    </xf>
    <xf numFmtId="0" fontId="14" fillId="4" borderId="41" xfId="0" applyFont="1" applyFill="1" applyBorder="1" applyAlignment="1">
      <alignment horizontal="center"/>
    </xf>
    <xf numFmtId="0" fontId="14" fillId="3" borderId="13" xfId="0" applyFont="1" applyFill="1" applyBorder="1"/>
    <xf numFmtId="0" fontId="14" fillId="3" borderId="33" xfId="0" applyFont="1" applyFill="1" applyBorder="1"/>
    <xf numFmtId="0" fontId="15" fillId="0" borderId="0" xfId="0" applyFont="1" applyAlignment="1">
      <alignment textRotation="90"/>
    </xf>
    <xf numFmtId="0" fontId="14" fillId="3" borderId="6" xfId="0" applyFont="1" applyFill="1" applyBorder="1" applyAlignment="1">
      <alignment horizontal="center"/>
    </xf>
    <xf numFmtId="0" fontId="0" fillId="3" borderId="10" xfId="0" applyFill="1" applyBorder="1"/>
    <xf numFmtId="0" fontId="14" fillId="3" borderId="29" xfId="0" applyFont="1" applyFill="1" applyBorder="1"/>
    <xf numFmtId="165" fontId="14" fillId="0" borderId="14" xfId="1" applyNumberFormat="1" applyFont="1" applyBorder="1" applyAlignment="1" applyProtection="1">
      <alignment horizontal="center"/>
      <protection locked="0"/>
    </xf>
    <xf numFmtId="0" fontId="14" fillId="0" borderId="42" xfId="0" applyFont="1" applyBorder="1" applyAlignment="1" applyProtection="1">
      <alignment horizontal="center"/>
      <protection locked="0"/>
    </xf>
    <xf numFmtId="165" fontId="14" fillId="0" borderId="43" xfId="0" applyNumberFormat="1" applyFont="1" applyBorder="1" applyAlignment="1" applyProtection="1">
      <alignment horizontal="center"/>
      <protection locked="0"/>
    </xf>
    <xf numFmtId="0" fontId="14" fillId="3" borderId="8" xfId="0" applyFont="1" applyFill="1" applyBorder="1" applyAlignment="1">
      <alignment horizontal="center"/>
    </xf>
    <xf numFmtId="0" fontId="14" fillId="3" borderId="0" xfId="0" applyFont="1" applyFill="1"/>
    <xf numFmtId="0" fontId="17" fillId="2" borderId="7" xfId="0" applyFont="1" applyFill="1" applyBorder="1" applyAlignment="1">
      <alignment horizontal="left"/>
    </xf>
    <xf numFmtId="0" fontId="0" fillId="0" borderId="7" xfId="0" applyBorder="1" applyAlignment="1">
      <alignment horizontal="left"/>
    </xf>
    <xf numFmtId="0" fontId="17" fillId="2" borderId="3" xfId="0" applyFont="1" applyFill="1" applyBorder="1" applyAlignment="1">
      <alignment horizontal="center"/>
    </xf>
    <xf numFmtId="0" fontId="17" fillId="0" borderId="3" xfId="0" applyFont="1" applyBorder="1" applyAlignment="1">
      <alignment horizontal="center"/>
    </xf>
    <xf numFmtId="0" fontId="17" fillId="2" borderId="6" xfId="0" applyFont="1" applyFill="1" applyBorder="1" applyAlignment="1">
      <alignment wrapText="1"/>
    </xf>
    <xf numFmtId="0" fontId="17" fillId="2" borderId="7" xfId="0" applyFont="1" applyFill="1" applyBorder="1" applyAlignment="1">
      <alignment wrapText="1"/>
    </xf>
    <xf numFmtId="0" fontId="17" fillId="2" borderId="5" xfId="0" applyFont="1" applyFill="1" applyBorder="1" applyAlignment="1">
      <alignment wrapText="1"/>
    </xf>
    <xf numFmtId="0" fontId="17" fillId="2" borderId="3" xfId="0" applyFont="1" applyFill="1" applyBorder="1" applyAlignment="1">
      <alignment wrapText="1"/>
    </xf>
    <xf numFmtId="0" fontId="14" fillId="3" borderId="10" xfId="0" applyFont="1" applyFill="1" applyBorder="1" applyAlignment="1">
      <alignment horizontal="center"/>
    </xf>
    <xf numFmtId="0" fontId="14" fillId="3" borderId="9" xfId="0" applyFont="1" applyFill="1" applyBorder="1" applyAlignment="1">
      <alignment horizontal="center"/>
    </xf>
    <xf numFmtId="0" fontId="14" fillId="3" borderId="0" xfId="0" applyFont="1" applyFill="1" applyAlignment="1">
      <alignment horizontal="center"/>
    </xf>
    <xf numFmtId="165" fontId="60" fillId="2" borderId="5" xfId="0" applyNumberFormat="1" applyFont="1" applyFill="1" applyBorder="1" applyAlignment="1">
      <alignment horizontal="center"/>
    </xf>
    <xf numFmtId="165" fontId="60" fillId="2" borderId="4" xfId="0" applyNumberFormat="1" applyFont="1" applyFill="1" applyBorder="1" applyAlignment="1">
      <alignment horizontal="center"/>
    </xf>
    <xf numFmtId="0" fontId="17" fillId="4" borderId="6" xfId="0" applyFont="1" applyFill="1" applyBorder="1" applyAlignment="1">
      <alignment wrapText="1"/>
    </xf>
    <xf numFmtId="0" fontId="17" fillId="4" borderId="10" xfId="0" applyFont="1" applyFill="1" applyBorder="1" applyAlignment="1">
      <alignment wrapText="1"/>
    </xf>
    <xf numFmtId="0" fontId="17" fillId="4" borderId="5" xfId="0" applyFont="1" applyFill="1" applyBorder="1" applyAlignment="1">
      <alignment wrapText="1"/>
    </xf>
    <xf numFmtId="0" fontId="17" fillId="4" borderId="4" xfId="0" applyFont="1" applyFill="1" applyBorder="1" applyAlignment="1">
      <alignment wrapText="1"/>
    </xf>
    <xf numFmtId="165" fontId="14" fillId="3" borderId="6" xfId="0" applyNumberFormat="1" applyFont="1" applyFill="1" applyBorder="1" applyAlignment="1">
      <alignment horizontal="center"/>
    </xf>
    <xf numFmtId="165" fontId="14" fillId="3" borderId="10" xfId="0" applyNumberFormat="1" applyFont="1" applyFill="1" applyBorder="1" applyAlignment="1">
      <alignment horizontal="center"/>
    </xf>
    <xf numFmtId="165" fontId="14" fillId="3" borderId="8" xfId="0" applyNumberFormat="1" applyFont="1" applyFill="1" applyBorder="1" applyAlignment="1">
      <alignment horizontal="center"/>
    </xf>
    <xf numFmtId="165" fontId="14" fillId="3" borderId="9" xfId="0" applyNumberFormat="1" applyFont="1" applyFill="1" applyBorder="1" applyAlignment="1">
      <alignment horizontal="center"/>
    </xf>
    <xf numFmtId="0" fontId="17" fillId="2" borderId="6" xfId="0" applyFont="1" applyFill="1" applyBorder="1"/>
    <xf numFmtId="0" fontId="17" fillId="2" borderId="10" xfId="0" applyFont="1" applyFill="1" applyBorder="1"/>
    <xf numFmtId="0" fontId="17" fillId="2" borderId="5" xfId="0" applyFont="1" applyFill="1" applyBorder="1"/>
    <xf numFmtId="0" fontId="17" fillId="2" borderId="4" xfId="0" applyFont="1" applyFill="1" applyBorder="1"/>
    <xf numFmtId="0" fontId="17" fillId="7" borderId="8" xfId="0" applyFont="1" applyFill="1" applyBorder="1" applyAlignment="1">
      <alignment horizontal="right"/>
    </xf>
    <xf numFmtId="0" fontId="17" fillId="7" borderId="9" xfId="0" applyFont="1" applyFill="1" applyBorder="1" applyAlignment="1">
      <alignment horizontal="right"/>
    </xf>
    <xf numFmtId="0" fontId="17" fillId="2" borderId="7" xfId="0" quotePrefix="1" applyFont="1" applyFill="1" applyBorder="1" applyAlignment="1">
      <alignment horizontal="center"/>
    </xf>
    <xf numFmtId="0" fontId="17" fillId="2" borderId="7" xfId="0" applyFont="1" applyFill="1" applyBorder="1" applyAlignment="1">
      <alignment horizontal="center"/>
    </xf>
    <xf numFmtId="165" fontId="17" fillId="2" borderId="6" xfId="1" quotePrefix="1" applyNumberFormat="1" applyFont="1" applyFill="1" applyBorder="1" applyAlignment="1">
      <alignment horizontal="center"/>
    </xf>
    <xf numFmtId="165" fontId="17" fillId="2" borderId="10" xfId="1" applyNumberFormat="1" applyFont="1" applyFill="1" applyBorder="1" applyAlignment="1">
      <alignment horizontal="center"/>
    </xf>
    <xf numFmtId="0" fontId="17" fillId="2" borderId="6" xfId="0" applyFont="1" applyFill="1" applyBorder="1" applyAlignment="1">
      <alignment horizontal="center"/>
    </xf>
    <xf numFmtId="0" fontId="17" fillId="2" borderId="10" xfId="0" applyFont="1" applyFill="1" applyBorder="1" applyAlignment="1">
      <alignment horizontal="center"/>
    </xf>
    <xf numFmtId="0" fontId="17" fillId="2" borderId="5" xfId="0" applyFont="1" applyFill="1" applyBorder="1" applyAlignment="1">
      <alignment horizontal="center"/>
    </xf>
    <xf numFmtId="0" fontId="17" fillId="2" borderId="4" xfId="0" applyFont="1" applyFill="1" applyBorder="1" applyAlignment="1">
      <alignment horizontal="center"/>
    </xf>
    <xf numFmtId="0" fontId="0" fillId="3" borderId="9" xfId="0" applyFill="1" applyBorder="1"/>
    <xf numFmtId="165" fontId="14" fillId="12" borderId="8" xfId="0" applyNumberFormat="1" applyFont="1" applyFill="1" applyBorder="1" applyAlignment="1">
      <alignment horizontal="center"/>
    </xf>
    <xf numFmtId="165" fontId="14" fillId="12" borderId="0" xfId="0" applyNumberFormat="1" applyFont="1" applyFill="1" applyAlignment="1">
      <alignment horizontal="center"/>
    </xf>
    <xf numFmtId="0" fontId="0" fillId="0" borderId="1" xfId="0" applyBorder="1"/>
    <xf numFmtId="0" fontId="20" fillId="2" borderId="25" xfId="0" applyFont="1" applyFill="1" applyBorder="1" applyAlignment="1">
      <alignment horizontal="center"/>
    </xf>
    <xf numFmtId="0" fontId="20" fillId="2" borderId="13" xfId="0" applyFont="1" applyFill="1" applyBorder="1" applyAlignment="1">
      <alignment horizontal="center"/>
    </xf>
    <xf numFmtId="0" fontId="20" fillId="2" borderId="26" xfId="0" applyFont="1" applyFill="1" applyBorder="1" applyAlignment="1">
      <alignment horizontal="center"/>
    </xf>
    <xf numFmtId="0" fontId="14" fillId="2" borderId="25" xfId="0" applyFont="1" applyFill="1" applyBorder="1" applyAlignment="1">
      <alignment horizontal="left" wrapText="1"/>
    </xf>
    <xf numFmtId="0" fontId="14" fillId="2" borderId="13" xfId="0" applyFont="1" applyFill="1" applyBorder="1" applyAlignment="1">
      <alignment horizontal="left" wrapText="1"/>
    </xf>
    <xf numFmtId="0" fontId="14" fillId="2" borderId="26" xfId="0" applyFont="1" applyFill="1" applyBorder="1" applyAlignment="1">
      <alignment horizontal="left" wrapText="1"/>
    </xf>
    <xf numFmtId="0" fontId="14" fillId="2" borderId="25" xfId="0" applyFont="1" applyFill="1" applyBorder="1"/>
    <xf numFmtId="0" fontId="14" fillId="2" borderId="13" xfId="0" applyFont="1" applyFill="1" applyBorder="1"/>
    <xf numFmtId="0" fontId="14" fillId="2" borderId="26" xfId="0" applyFont="1" applyFill="1" applyBorder="1"/>
    <xf numFmtId="0" fontId="14" fillId="2" borderId="25" xfId="0" applyFont="1" applyFill="1" applyBorder="1" applyAlignment="1">
      <alignment wrapText="1"/>
    </xf>
    <xf numFmtId="0" fontId="39" fillId="0" borderId="0" xfId="0" applyFont="1" applyAlignment="1">
      <alignment wrapText="1"/>
    </xf>
    <xf numFmtId="0" fontId="14" fillId="2" borderId="13" xfId="0" applyFont="1" applyFill="1" applyBorder="1" applyAlignment="1">
      <alignment wrapText="1"/>
    </xf>
    <xf numFmtId="0" fontId="14" fillId="2" borderId="26" xfId="0" applyFont="1" applyFill="1" applyBorder="1" applyAlignment="1">
      <alignment wrapText="1"/>
    </xf>
    <xf numFmtId="41" fontId="12" fillId="4" borderId="0" xfId="2" applyNumberFormat="1" applyFill="1" applyProtection="1">
      <protection locked="0"/>
    </xf>
    <xf numFmtId="166" fontId="39" fillId="0" borderId="0" xfId="2" applyNumberFormat="1" applyFont="1" applyFill="1" applyBorder="1" applyAlignment="1">
      <alignment wrapText="1"/>
    </xf>
    <xf numFmtId="165" fontId="12" fillId="4" borderId="0" xfId="1" applyNumberFormat="1" applyFill="1" applyProtection="1">
      <protection locked="0"/>
    </xf>
    <xf numFmtId="166" fontId="39" fillId="0" borderId="0" xfId="2" applyNumberFormat="1" applyFont="1" applyFill="1" applyAlignment="1">
      <alignment wrapText="1"/>
    </xf>
    <xf numFmtId="41" fontId="12" fillId="4" borderId="14" xfId="2" applyNumberFormat="1" applyFill="1" applyBorder="1" applyProtection="1">
      <protection locked="0"/>
    </xf>
    <xf numFmtId="165" fontId="15" fillId="0" borderId="0" xfId="1" applyNumberFormat="1" applyFont="1" applyFill="1" applyAlignment="1">
      <alignment wrapText="1"/>
    </xf>
    <xf numFmtId="0" fontId="0" fillId="0" borderId="19" xfId="0" applyBorder="1" applyAlignment="1">
      <alignment horizontal="center"/>
    </xf>
    <xf numFmtId="0" fontId="0" fillId="0" borderId="21" xfId="0" applyBorder="1" applyAlignment="1">
      <alignment horizontal="center"/>
    </xf>
    <xf numFmtId="0" fontId="43" fillId="5" borderId="2" xfId="0" applyFont="1" applyFill="1" applyBorder="1"/>
    <xf numFmtId="0" fontId="43" fillId="5" borderId="0" xfId="0" applyFont="1" applyFill="1"/>
    <xf numFmtId="0" fontId="0" fillId="0" borderId="14" xfId="0" applyBorder="1" applyAlignment="1">
      <alignment horizontal="center"/>
    </xf>
    <xf numFmtId="0" fontId="13" fillId="0" borderId="0" xfId="0" applyFont="1" applyAlignment="1">
      <alignment wrapText="1"/>
    </xf>
    <xf numFmtId="0" fontId="22" fillId="2" borderId="13" xfId="0" applyFont="1" applyFill="1" applyBorder="1"/>
    <xf numFmtId="0" fontId="22" fillId="2" borderId="26" xfId="0" applyFont="1" applyFill="1" applyBorder="1"/>
    <xf numFmtId="0" fontId="13" fillId="0" borderId="0" xfId="0" applyFont="1" applyAlignment="1">
      <alignment horizontal="left" vertical="top" wrapText="1"/>
    </xf>
    <xf numFmtId="0" fontId="65" fillId="0" borderId="0" xfId="0" applyFont="1" applyAlignment="1">
      <alignment wrapText="1"/>
    </xf>
    <xf numFmtId="165" fontId="0" fillId="4" borderId="0" xfId="1" applyNumberFormat="1" applyFont="1" applyFill="1" applyProtection="1">
      <protection locked="0"/>
    </xf>
    <xf numFmtId="0" fontId="0" fillId="0" borderId="0" xfId="0" applyAlignment="1">
      <alignment horizontal="left" wrapText="1"/>
    </xf>
    <xf numFmtId="0" fontId="14" fillId="0" borderId="0" xfId="0" applyFont="1"/>
    <xf numFmtId="165" fontId="0" fillId="4" borderId="0" xfId="1" applyNumberFormat="1" applyFont="1" applyFill="1" applyBorder="1" applyProtection="1">
      <protection locked="0"/>
    </xf>
    <xf numFmtId="165" fontId="0" fillId="4" borderId="1" xfId="1" applyNumberFormat="1" applyFont="1" applyFill="1" applyBorder="1" applyProtection="1">
      <protection locked="0"/>
    </xf>
    <xf numFmtId="165" fontId="0" fillId="0" borderId="0" xfId="1" applyNumberFormat="1" applyFont="1" applyAlignment="1">
      <alignment horizontal="right" wrapText="1"/>
    </xf>
    <xf numFmtId="165" fontId="0" fillId="0" borderId="0" xfId="1" applyNumberFormat="1" applyFont="1" applyAlignment="1">
      <alignment horizontal="right"/>
    </xf>
    <xf numFmtId="0" fontId="0" fillId="4" borderId="14" xfId="0" applyFill="1" applyBorder="1" applyProtection="1">
      <protection locked="0"/>
    </xf>
    <xf numFmtId="0" fontId="0" fillId="4" borderId="0" xfId="0" applyFill="1" applyProtection="1">
      <protection locked="0"/>
    </xf>
    <xf numFmtId="168" fontId="0" fillId="2" borderId="0" xfId="1" applyNumberFormat="1" applyFont="1" applyFill="1"/>
    <xf numFmtId="169" fontId="0" fillId="4" borderId="0" xfId="1" applyNumberFormat="1" applyFont="1" applyFill="1" applyProtection="1">
      <protection locked="0"/>
    </xf>
    <xf numFmtId="165" fontId="0" fillId="2" borderId="0" xfId="1" applyNumberFormat="1" applyFont="1" applyFill="1"/>
    <xf numFmtId="168" fontId="0" fillId="2" borderId="0" xfId="0" applyNumberFormat="1" applyFill="1"/>
    <xf numFmtId="165" fontId="15" fillId="0" borderId="0" xfId="1" applyNumberFormat="1" applyFont="1" applyFill="1" applyBorder="1" applyAlignment="1">
      <alignment wrapText="1"/>
    </xf>
    <xf numFmtId="165" fontId="0" fillId="4" borderId="14" xfId="1" applyNumberFormat="1" applyFont="1" applyFill="1" applyBorder="1" applyProtection="1">
      <protection locked="0"/>
    </xf>
    <xf numFmtId="165" fontId="15" fillId="0" borderId="0" xfId="1" applyNumberFormat="1" applyFont="1" applyAlignment="1">
      <alignment wrapText="1"/>
    </xf>
    <xf numFmtId="165" fontId="0" fillId="2" borderId="0" xfId="0" applyNumberFormat="1" applyFill="1"/>
    <xf numFmtId="0" fontId="14" fillId="0" borderId="0" xfId="0" applyFont="1" applyAlignment="1">
      <alignment horizontal="center"/>
    </xf>
    <xf numFmtId="0" fontId="64" fillId="0" borderId="0" xfId="0" applyFont="1" applyAlignment="1">
      <alignment wrapText="1"/>
    </xf>
    <xf numFmtId="0" fontId="24" fillId="0" borderId="0" xfId="0" applyFont="1" applyAlignment="1">
      <alignment wrapText="1"/>
    </xf>
    <xf numFmtId="0" fontId="14" fillId="4" borderId="0" xfId="0" applyFont="1" applyFill="1" applyProtection="1">
      <protection locked="0"/>
    </xf>
    <xf numFmtId="0" fontId="29" fillId="0" borderId="0" xfId="0" applyFont="1" applyAlignment="1">
      <alignment wrapText="1"/>
    </xf>
    <xf numFmtId="0" fontId="41" fillId="0" borderId="0" xfId="0" quotePrefix="1" applyFont="1" applyAlignment="1">
      <alignment horizontal="center" textRotation="90"/>
    </xf>
    <xf numFmtId="0" fontId="41" fillId="0" borderId="0" xfId="0" applyFont="1" applyAlignment="1">
      <alignment horizontal="center" textRotation="90"/>
    </xf>
    <xf numFmtId="0" fontId="32" fillId="5" borderId="25" xfId="0" applyFont="1" applyFill="1" applyBorder="1"/>
    <xf numFmtId="0" fontId="32" fillId="5" borderId="13" xfId="0" applyFont="1" applyFill="1" applyBorder="1"/>
    <xf numFmtId="165" fontId="12" fillId="4" borderId="0" xfId="1" applyNumberFormat="1" applyFill="1" applyBorder="1" applyProtection="1">
      <protection locked="0"/>
    </xf>
    <xf numFmtId="0" fontId="16" fillId="0" borderId="0" xfId="0" applyFont="1"/>
    <xf numFmtId="165" fontId="12" fillId="4" borderId="1" xfId="1" applyNumberFormat="1" applyFill="1" applyBorder="1" applyProtection="1">
      <protection locked="0"/>
    </xf>
    <xf numFmtId="0" fontId="37" fillId="0" borderId="0" xfId="0" applyFont="1" applyAlignment="1">
      <alignment horizontal="right" wrapText="1"/>
    </xf>
    <xf numFmtId="0" fontId="14" fillId="0" borderId="19" xfId="0" applyFont="1" applyBorder="1" applyAlignment="1">
      <alignment horizontal="center"/>
    </xf>
    <xf numFmtId="0" fontId="14" fillId="0" borderId="21" xfId="0" applyFont="1" applyBorder="1" applyAlignment="1">
      <alignment horizontal="center"/>
    </xf>
    <xf numFmtId="0" fontId="32" fillId="5" borderId="26" xfId="0" applyFont="1" applyFill="1" applyBorder="1"/>
    <xf numFmtId="0" fontId="14" fillId="0" borderId="14" xfId="0" applyFont="1" applyBorder="1" applyAlignment="1">
      <alignment horizontal="center"/>
    </xf>
    <xf numFmtId="165" fontId="15" fillId="0" borderId="0" xfId="1" applyNumberFormat="1" applyFont="1" applyBorder="1" applyAlignment="1">
      <alignment wrapText="1"/>
    </xf>
    <xf numFmtId="0" fontId="0" fillId="2" borderId="13" xfId="0" applyFill="1" applyBorder="1"/>
    <xf numFmtId="0" fontId="0" fillId="2" borderId="26" xfId="0" applyFill="1" applyBorder="1"/>
    <xf numFmtId="0" fontId="22" fillId="0" borderId="0" xfId="0" applyFont="1"/>
    <xf numFmtId="0" fontId="0" fillId="0" borderId="0" xfId="0" applyAlignment="1">
      <alignment vertical="top" wrapText="1"/>
    </xf>
    <xf numFmtId="0" fontId="22" fillId="0" borderId="0" xfId="0" applyFont="1" applyAlignment="1">
      <alignment horizontal="center"/>
    </xf>
    <xf numFmtId="0" fontId="12" fillId="0" borderId="19" xfId="0" applyFont="1" applyBorder="1" applyAlignment="1">
      <alignment horizontal="center"/>
    </xf>
    <xf numFmtId="165" fontId="16" fillId="4" borderId="0" xfId="1" applyNumberFormat="1" applyFont="1" applyFill="1" applyBorder="1" applyProtection="1">
      <protection locked="0"/>
    </xf>
    <xf numFmtId="0" fontId="0" fillId="2" borderId="2" xfId="0" applyFill="1" applyBorder="1" applyAlignment="1">
      <alignment horizontal="center"/>
    </xf>
    <xf numFmtId="0" fontId="0" fillId="2" borderId="0" xfId="0" applyFill="1" applyAlignment="1">
      <alignment horizontal="center"/>
    </xf>
    <xf numFmtId="0" fontId="0" fillId="2" borderId="22" xfId="0" applyFill="1" applyBorder="1" applyAlignment="1">
      <alignment horizontal="center"/>
    </xf>
    <xf numFmtId="0" fontId="20" fillId="5" borderId="0" xfId="0" applyFont="1" applyFill="1" applyAlignment="1">
      <alignment horizontal="left"/>
    </xf>
    <xf numFmtId="0" fontId="16" fillId="0" borderId="0" xfId="0" applyFont="1" applyAlignment="1">
      <alignment vertical="top" wrapText="1"/>
    </xf>
    <xf numFmtId="0" fontId="12" fillId="0" borderId="1" xfId="0" applyFont="1" applyBorder="1" applyAlignment="1">
      <alignment vertical="top" wrapText="1"/>
    </xf>
    <xf numFmtId="0" fontId="0" fillId="0" borderId="1" xfId="0" applyBorder="1" applyAlignment="1">
      <alignment vertical="top" wrapText="1"/>
    </xf>
    <xf numFmtId="165" fontId="15" fillId="0" borderId="0" xfId="0" applyNumberFormat="1" applyFont="1" applyAlignment="1">
      <alignment wrapText="1"/>
    </xf>
    <xf numFmtId="0" fontId="12" fillId="0" borderId="0" xfId="0" applyFont="1" applyAlignment="1">
      <alignment vertical="top" wrapText="1"/>
    </xf>
    <xf numFmtId="0" fontId="14" fillId="2" borderId="25" xfId="0" applyFont="1" applyFill="1" applyBorder="1" applyAlignment="1">
      <alignment vertical="top" wrapText="1"/>
    </xf>
    <xf numFmtId="0" fontId="0" fillId="0" borderId="13" xfId="0" applyBorder="1" applyAlignment="1">
      <alignment vertical="top" wrapText="1"/>
    </xf>
    <xf numFmtId="0" fontId="0" fillId="0" borderId="26" xfId="0" applyBorder="1" applyAlignment="1">
      <alignment vertical="top" wrapText="1"/>
    </xf>
    <xf numFmtId="0" fontId="12" fillId="0" borderId="0" xfId="0" applyFont="1" applyAlignment="1">
      <alignment horizontal="left" vertical="top" wrapText="1"/>
    </xf>
    <xf numFmtId="165" fontId="25" fillId="0" borderId="0" xfId="1" applyNumberFormat="1" applyFont="1" applyBorder="1" applyAlignment="1">
      <alignment horizontal="left"/>
    </xf>
    <xf numFmtId="0" fontId="0" fillId="0" borderId="13" xfId="0" applyBorder="1" applyAlignment="1">
      <alignment wrapText="1"/>
    </xf>
    <xf numFmtId="0" fontId="0" fillId="0" borderId="26" xfId="0" applyBorder="1" applyAlignment="1">
      <alignment wrapText="1"/>
    </xf>
    <xf numFmtId="0" fontId="15" fillId="0" borderId="2" xfId="0" applyFont="1" applyBorder="1" applyAlignment="1">
      <alignment horizontal="center"/>
    </xf>
    <xf numFmtId="0" fontId="15" fillId="0" borderId="0" xfId="0" applyFont="1" applyAlignment="1">
      <alignment horizontal="center"/>
    </xf>
    <xf numFmtId="0" fontId="15" fillId="0" borderId="22" xfId="0" applyFont="1" applyBorder="1" applyAlignment="1">
      <alignment horizontal="center"/>
    </xf>
    <xf numFmtId="0" fontId="14" fillId="0" borderId="25" xfId="0" applyFont="1" applyBorder="1" applyAlignment="1" applyProtection="1">
      <alignment horizontal="center" wrapText="1"/>
      <protection locked="0"/>
    </xf>
    <xf numFmtId="0" fontId="14" fillId="0" borderId="13" xfId="0" applyFont="1" applyBorder="1" applyAlignment="1" applyProtection="1">
      <alignment horizontal="center" wrapText="1"/>
      <protection locked="0"/>
    </xf>
    <xf numFmtId="0" fontId="14" fillId="0" borderId="26" xfId="0" applyFont="1" applyBorder="1" applyAlignment="1" applyProtection="1">
      <alignment horizontal="center" wrapText="1"/>
      <protection locked="0"/>
    </xf>
    <xf numFmtId="0" fontId="14" fillId="2" borderId="1" xfId="0" applyFont="1" applyFill="1" applyBorder="1"/>
    <xf numFmtId="165" fontId="15" fillId="0" borderId="0" xfId="1" applyNumberFormat="1" applyFont="1" applyBorder="1" applyAlignment="1">
      <alignment horizontal="center" wrapText="1"/>
    </xf>
    <xf numFmtId="165" fontId="53" fillId="0" borderId="0" xfId="1" applyNumberFormat="1" applyFont="1" applyBorder="1" applyAlignment="1">
      <alignment horizontal="center"/>
    </xf>
    <xf numFmtId="165" fontId="25" fillId="0" borderId="0" xfId="1" applyNumberFormat="1" applyFont="1" applyBorder="1" applyAlignment="1">
      <alignment horizontal="right"/>
    </xf>
    <xf numFmtId="0" fontId="50" fillId="6" borderId="0" xfId="0" applyFont="1" applyFill="1" applyAlignment="1">
      <alignment wrapText="1"/>
    </xf>
    <xf numFmtId="165" fontId="16" fillId="4" borderId="0" xfId="1" applyNumberFormat="1" applyFont="1" applyFill="1" applyProtection="1">
      <protection locked="0"/>
    </xf>
    <xf numFmtId="9" fontId="41" fillId="6" borderId="0" xfId="3" applyFont="1" applyFill="1" applyAlignment="1">
      <alignment wrapText="1"/>
    </xf>
    <xf numFmtId="0" fontId="14" fillId="0" borderId="0" xfId="0" applyFont="1" applyAlignment="1">
      <alignment horizontal="left" wrapText="1"/>
    </xf>
    <xf numFmtId="0" fontId="14" fillId="0" borderId="0" xfId="0" applyFont="1" applyAlignment="1">
      <alignment horizontal="left"/>
    </xf>
    <xf numFmtId="165" fontId="0" fillId="4" borderId="0" xfId="1" applyNumberFormat="1" applyFont="1" applyFill="1" applyAlignment="1" applyProtection="1">
      <alignment horizontal="left" indent="2"/>
      <protection locked="0"/>
    </xf>
    <xf numFmtId="0" fontId="0" fillId="0" borderId="22" xfId="0" applyBorder="1" applyAlignment="1">
      <alignment wrapText="1"/>
    </xf>
    <xf numFmtId="0" fontId="14" fillId="2" borderId="19" xfId="0" applyFont="1" applyFill="1" applyBorder="1" applyAlignment="1">
      <alignment horizontal="left" wrapText="1"/>
    </xf>
    <xf numFmtId="0" fontId="14" fillId="2" borderId="14" xfId="0" applyFont="1" applyFill="1" applyBorder="1" applyAlignment="1">
      <alignment horizontal="left" wrapText="1"/>
    </xf>
    <xf numFmtId="0" fontId="14" fillId="2" borderId="21" xfId="0" applyFont="1" applyFill="1" applyBorder="1" applyAlignment="1">
      <alignment horizontal="left" wrapText="1"/>
    </xf>
    <xf numFmtId="0" fontId="14" fillId="2" borderId="15" xfId="0" applyFont="1" applyFill="1" applyBorder="1" applyAlignment="1">
      <alignment horizontal="left" wrapText="1"/>
    </xf>
    <xf numFmtId="0" fontId="14" fillId="2" borderId="1" xfId="0" applyFont="1" applyFill="1" applyBorder="1" applyAlignment="1">
      <alignment horizontal="left" wrapText="1"/>
    </xf>
    <xf numFmtId="0" fontId="14" fillId="2" borderId="16" xfId="0" applyFont="1" applyFill="1" applyBorder="1" applyAlignment="1">
      <alignment horizontal="left" wrapText="1"/>
    </xf>
    <xf numFmtId="9" fontId="53" fillId="0" borderId="44" xfId="3" applyFont="1" applyFill="1" applyBorder="1" applyAlignment="1">
      <alignment horizontal="left" wrapText="1"/>
    </xf>
    <xf numFmtId="9" fontId="53" fillId="0" borderId="45" xfId="3" applyFont="1" applyFill="1" applyBorder="1" applyAlignment="1">
      <alignment horizontal="left" wrapText="1"/>
    </xf>
    <xf numFmtId="9" fontId="53" fillId="0" borderId="46" xfId="3" applyFont="1" applyFill="1" applyBorder="1" applyAlignment="1">
      <alignment horizontal="left" wrapText="1"/>
    </xf>
    <xf numFmtId="0" fontId="14" fillId="2" borderId="19" xfId="0" applyFont="1" applyFill="1" applyBorder="1" applyAlignment="1">
      <alignment wrapText="1"/>
    </xf>
    <xf numFmtId="0" fontId="14" fillId="2" borderId="14" xfId="0" applyFont="1" applyFill="1" applyBorder="1" applyAlignment="1">
      <alignment wrapText="1"/>
    </xf>
    <xf numFmtId="0" fontId="14" fillId="2" borderId="21" xfId="0" applyFont="1" applyFill="1" applyBorder="1" applyAlignment="1">
      <alignment wrapText="1"/>
    </xf>
    <xf numFmtId="0" fontId="14" fillId="2" borderId="15" xfId="0" applyFont="1" applyFill="1" applyBorder="1" applyAlignment="1">
      <alignment wrapText="1"/>
    </xf>
    <xf numFmtId="0" fontId="14" fillId="2" borderId="1" xfId="0" applyFont="1" applyFill="1" applyBorder="1" applyAlignment="1">
      <alignment wrapText="1"/>
    </xf>
    <xf numFmtId="0" fontId="14" fillId="2" borderId="16" xfId="0" applyFont="1" applyFill="1" applyBorder="1" applyAlignment="1">
      <alignment wrapText="1"/>
    </xf>
    <xf numFmtId="0" fontId="61" fillId="0" borderId="0" xfId="0" applyFont="1" applyAlignment="1">
      <alignment horizontal="center"/>
    </xf>
    <xf numFmtId="0" fontId="14" fillId="0" borderId="1" xfId="0" applyFont="1" applyBorder="1" applyAlignment="1">
      <alignment horizontal="center"/>
    </xf>
    <xf numFmtId="0" fontId="32" fillId="2" borderId="19" xfId="0" applyFont="1" applyFill="1" applyBorder="1" applyAlignment="1">
      <alignment horizontal="center"/>
    </xf>
    <xf numFmtId="0" fontId="32" fillId="2" borderId="14" xfId="0" applyFont="1" applyFill="1" applyBorder="1" applyAlignment="1">
      <alignment horizontal="center"/>
    </xf>
    <xf numFmtId="0" fontId="32" fillId="2" borderId="21" xfId="0" applyFont="1" applyFill="1" applyBorder="1" applyAlignment="1">
      <alignment horizontal="center"/>
    </xf>
    <xf numFmtId="0" fontId="32" fillId="2" borderId="15" xfId="0" applyFont="1" applyFill="1" applyBorder="1" applyAlignment="1">
      <alignment horizontal="center"/>
    </xf>
    <xf numFmtId="0" fontId="32" fillId="2" borderId="1" xfId="0" applyFont="1" applyFill="1" applyBorder="1" applyAlignment="1">
      <alignment horizontal="center"/>
    </xf>
    <xf numFmtId="0" fontId="32" fillId="2" borderId="16" xfId="0" applyFont="1" applyFill="1" applyBorder="1" applyAlignment="1">
      <alignment horizontal="center"/>
    </xf>
    <xf numFmtId="0" fontId="16" fillId="0" borderId="0" xfId="0" applyFont="1" applyAlignment="1">
      <alignment horizontal="left" wrapText="1"/>
    </xf>
    <xf numFmtId="165" fontId="12" fillId="4" borderId="0" xfId="1" applyNumberFormat="1" applyFill="1" applyAlignment="1" applyProtection="1">
      <alignment horizontal="left" indent="2"/>
      <protection locked="0"/>
    </xf>
    <xf numFmtId="0" fontId="43" fillId="0" borderId="0" xfId="0" applyFont="1" applyAlignment="1">
      <alignment horizontal="center"/>
    </xf>
    <xf numFmtId="0" fontId="0" fillId="0" borderId="0" xfId="0" applyAlignment="1">
      <alignment horizontal="center"/>
    </xf>
    <xf numFmtId="165" fontId="15" fillId="0" borderId="1" xfId="1" applyNumberFormat="1" applyFont="1" applyBorder="1" applyAlignment="1">
      <alignment wrapText="1"/>
    </xf>
    <xf numFmtId="0" fontId="25" fillId="0" borderId="44" xfId="0" applyFont="1" applyBorder="1" applyAlignment="1">
      <alignment wrapText="1"/>
    </xf>
    <xf numFmtId="0" fontId="0" fillId="0" borderId="45" xfId="0" applyBorder="1" applyAlignment="1">
      <alignment wrapText="1"/>
    </xf>
    <xf numFmtId="0" fontId="0" fillId="0" borderId="46" xfId="0" applyBorder="1" applyAlignment="1">
      <alignment wrapText="1"/>
    </xf>
    <xf numFmtId="0" fontId="0" fillId="0" borderId="1" xfId="0" applyBorder="1" applyAlignment="1">
      <alignment horizontal="center"/>
    </xf>
    <xf numFmtId="0" fontId="58" fillId="2" borderId="25" xfId="0" applyFont="1" applyFill="1" applyBorder="1" applyAlignment="1">
      <alignment horizontal="center"/>
    </xf>
    <xf numFmtId="0" fontId="58" fillId="2" borderId="13" xfId="0" applyFont="1" applyFill="1" applyBorder="1" applyAlignment="1">
      <alignment horizontal="center"/>
    </xf>
    <xf numFmtId="0" fontId="58" fillId="2" borderId="26" xfId="0" applyFont="1" applyFill="1" applyBorder="1" applyAlignment="1">
      <alignment horizontal="center"/>
    </xf>
    <xf numFmtId="0" fontId="32" fillId="2" borderId="25" xfId="0" applyFont="1" applyFill="1" applyBorder="1" applyAlignment="1">
      <alignment horizontal="center"/>
    </xf>
    <xf numFmtId="0" fontId="32" fillId="2" borderId="13" xfId="0" applyFont="1" applyFill="1" applyBorder="1" applyAlignment="1">
      <alignment horizontal="center"/>
    </xf>
    <xf numFmtId="0" fontId="32" fillId="2" borderId="26" xfId="0" applyFont="1" applyFill="1" applyBorder="1" applyAlignment="1">
      <alignment horizontal="center"/>
    </xf>
    <xf numFmtId="0" fontId="13" fillId="0" borderId="14" xfId="0" applyFont="1" applyBorder="1" applyAlignment="1">
      <alignment horizontal="center"/>
    </xf>
    <xf numFmtId="0" fontId="32" fillId="2" borderId="25" xfId="0" applyFont="1" applyFill="1" applyBorder="1" applyAlignment="1">
      <alignment horizontal="center" wrapText="1"/>
    </xf>
    <xf numFmtId="0" fontId="32" fillId="2" borderId="13" xfId="0" applyFont="1" applyFill="1" applyBorder="1" applyAlignment="1">
      <alignment horizontal="center" wrapText="1"/>
    </xf>
    <xf numFmtId="0" fontId="32" fillId="2" borderId="26" xfId="0" applyFont="1" applyFill="1" applyBorder="1" applyAlignment="1">
      <alignment horizontal="center" wrapText="1"/>
    </xf>
    <xf numFmtId="0" fontId="15" fillId="0" borderId="0" xfId="0" applyFont="1" applyAlignment="1">
      <alignment horizontal="left" wrapText="1" indent="1"/>
    </xf>
    <xf numFmtId="0" fontId="15" fillId="0" borderId="0" xfId="0" applyFont="1" applyAlignment="1">
      <alignment horizontal="left" wrapText="1" indent="2"/>
    </xf>
    <xf numFmtId="0" fontId="20" fillId="5" borderId="0" xfId="0" applyFont="1" applyFill="1" applyAlignment="1">
      <alignment horizontal="left" vertical="center"/>
    </xf>
    <xf numFmtId="0" fontId="70" fillId="0" borderId="0" xfId="0" applyFont="1" applyAlignment="1">
      <alignment horizontal="left" vertical="top" wrapText="1" readingOrder="1"/>
    </xf>
    <xf numFmtId="0" fontId="14" fillId="2" borderId="25" xfId="0" applyFont="1" applyFill="1" applyBorder="1" applyAlignment="1">
      <alignment horizontal="left"/>
    </xf>
    <xf numFmtId="0" fontId="14" fillId="2" borderId="13" xfId="0" applyFont="1" applyFill="1" applyBorder="1" applyAlignment="1">
      <alignment horizontal="left"/>
    </xf>
    <xf numFmtId="0" fontId="14" fillId="2" borderId="26" xfId="0" applyFont="1" applyFill="1" applyBorder="1" applyAlignment="1">
      <alignment horizontal="left"/>
    </xf>
    <xf numFmtId="0" fontId="67" fillId="0" borderId="19" xfId="0" applyFont="1" applyBorder="1" applyAlignment="1">
      <alignment horizontal="center"/>
    </xf>
    <xf numFmtId="0" fontId="67" fillId="0" borderId="14" xfId="0" applyFont="1" applyBorder="1" applyAlignment="1">
      <alignment horizontal="center"/>
    </xf>
    <xf numFmtId="0" fontId="67" fillId="0" borderId="21" xfId="0" applyFont="1" applyBorder="1" applyAlignment="1">
      <alignment horizontal="center"/>
    </xf>
    <xf numFmtId="0" fontId="71" fillId="2" borderId="25" xfId="0" applyFont="1" applyFill="1" applyBorder="1" applyAlignment="1">
      <alignment horizontal="left"/>
    </xf>
    <xf numFmtId="0" fontId="71" fillId="2" borderId="26" xfId="0" applyFont="1" applyFill="1" applyBorder="1" applyAlignment="1">
      <alignment horizontal="left"/>
    </xf>
    <xf numFmtId="0" fontId="14" fillId="0" borderId="0" xfId="0" applyFont="1" applyAlignment="1">
      <alignment horizontal="left" vertical="top" wrapText="1"/>
    </xf>
    <xf numFmtId="0" fontId="87" fillId="0" borderId="0" xfId="11" applyFont="1" applyAlignment="1">
      <alignment horizontal="left" vertical="top" wrapText="1"/>
    </xf>
    <xf numFmtId="0" fontId="87" fillId="0" borderId="0" xfId="13" applyFont="1" applyAlignment="1">
      <alignment vertical="center" wrapText="1"/>
    </xf>
    <xf numFmtId="0" fontId="84" fillId="0" borderId="0" xfId="13" applyFont="1" applyAlignment="1">
      <alignment wrapText="1"/>
    </xf>
    <xf numFmtId="0" fontId="77" fillId="0" borderId="0" xfId="13" applyFont="1" applyAlignment="1">
      <alignment wrapText="1"/>
    </xf>
    <xf numFmtId="0" fontId="87" fillId="0" borderId="0" xfId="13" applyFont="1" applyAlignment="1">
      <alignment horizontal="left" vertical="top" wrapText="1"/>
    </xf>
    <xf numFmtId="0" fontId="12" fillId="0" borderId="21" xfId="0" applyFont="1" applyBorder="1" applyAlignment="1">
      <alignment horizontal="center"/>
    </xf>
    <xf numFmtId="0" fontId="5" fillId="0" borderId="0" xfId="18" applyAlignment="1">
      <alignment horizontal="left" vertical="center" wrapText="1"/>
    </xf>
    <xf numFmtId="0" fontId="5" fillId="0" borderId="0" xfId="18" applyAlignment="1">
      <alignment horizontal="left" vertical="top" wrapText="1"/>
    </xf>
    <xf numFmtId="0" fontId="1" fillId="0" borderId="0" xfId="18" applyFont="1" applyAlignment="1">
      <alignment vertical="center" wrapText="1"/>
    </xf>
    <xf numFmtId="0" fontId="5" fillId="0" borderId="0" xfId="18" applyAlignment="1">
      <alignment vertical="center" wrapText="1"/>
    </xf>
    <xf numFmtId="0" fontId="78" fillId="0" borderId="0" xfId="18" applyFont="1" applyAlignment="1">
      <alignment wrapText="1"/>
    </xf>
    <xf numFmtId="0" fontId="5" fillId="0" borderId="0" xfId="18" applyAlignment="1">
      <alignment wrapText="1"/>
    </xf>
    <xf numFmtId="0" fontId="87" fillId="0" borderId="0" xfId="18" applyFont="1" applyAlignment="1">
      <alignment vertical="center" wrapText="1"/>
    </xf>
    <xf numFmtId="0" fontId="71" fillId="2" borderId="13" xfId="0" applyFont="1" applyFill="1" applyBorder="1" applyAlignment="1">
      <alignment horizontal="left"/>
    </xf>
    <xf numFmtId="0" fontId="14" fillId="2" borderId="25"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26" xfId="0" applyFont="1" applyFill="1" applyBorder="1" applyAlignment="1">
      <alignment horizontal="left" vertical="top" wrapText="1"/>
    </xf>
    <xf numFmtId="0" fontId="87" fillId="0" borderId="0" xfId="18" applyFont="1" applyAlignment="1">
      <alignment horizontal="left" vertical="center" wrapText="1"/>
    </xf>
    <xf numFmtId="0" fontId="71" fillId="2" borderId="25" xfId="0" applyFont="1" applyFill="1" applyBorder="1" applyAlignment="1">
      <alignment horizontal="center"/>
    </xf>
    <xf numFmtId="0" fontId="71" fillId="2" borderId="13" xfId="0" applyFont="1" applyFill="1" applyBorder="1" applyAlignment="1">
      <alignment horizontal="center"/>
    </xf>
    <xf numFmtId="0" fontId="71" fillId="2" borderId="26" xfId="0" applyFont="1" applyFill="1" applyBorder="1" applyAlignment="1">
      <alignment horizontal="center"/>
    </xf>
    <xf numFmtId="0" fontId="12" fillId="0" borderId="0" xfId="0" applyFont="1"/>
  </cellXfs>
  <cellStyles count="25">
    <cellStyle name="Comma" xfId="1" builtinId="3"/>
    <cellStyle name="Comma 2" xfId="6" xr:uid="{00000000-0005-0000-0000-000001000000}"/>
    <cellStyle name="Comma 3" xfId="10" xr:uid="{00000000-0005-0000-0000-000002000000}"/>
    <cellStyle name="Comma 4" xfId="12" xr:uid="{00000000-0005-0000-0000-000003000000}"/>
    <cellStyle name="Comma 5" xfId="14" xr:uid="{00000000-0005-0000-0000-000004000000}"/>
    <cellStyle name="Comma 6" xfId="17" xr:uid="{00000000-0005-0000-0000-000005000000}"/>
    <cellStyle name="Comma 7" xfId="19" xr:uid="{00000000-0005-0000-0000-000006000000}"/>
    <cellStyle name="Comma 8" xfId="22" xr:uid="{7934D12A-0509-4C44-8762-F27DBA59E86A}"/>
    <cellStyle name="Currency" xfId="2" builtinId="4"/>
    <cellStyle name="Hyperlink" xfId="23" builtinId="8"/>
    <cellStyle name="Normal" xfId="0" builtinId="0"/>
    <cellStyle name="Normal 2" xfId="4" xr:uid="{00000000-0005-0000-0000-000009000000}"/>
    <cellStyle name="Normal 3" xfId="7" xr:uid="{00000000-0005-0000-0000-00000A000000}"/>
    <cellStyle name="Normal 4" xfId="8" xr:uid="{00000000-0005-0000-0000-00000B000000}"/>
    <cellStyle name="Normal 5" xfId="11" xr:uid="{00000000-0005-0000-0000-00000C000000}"/>
    <cellStyle name="Normal 6" xfId="13" xr:uid="{00000000-0005-0000-0000-00000D000000}"/>
    <cellStyle name="Normal 7" xfId="16" xr:uid="{00000000-0005-0000-0000-00000E000000}"/>
    <cellStyle name="Normal 8" xfId="18" xr:uid="{00000000-0005-0000-0000-00000F000000}"/>
    <cellStyle name="Normal 8 2" xfId="24" xr:uid="{9987F2A9-FD83-4292-B951-446362B78D08}"/>
    <cellStyle name="Normal 9" xfId="20" xr:uid="{2A49D079-62D2-415B-9B62-41E21F7DD333}"/>
    <cellStyle name="Percent" xfId="3" builtinId="5"/>
    <cellStyle name="Percent 2" xfId="5" xr:uid="{00000000-0005-0000-0000-000011000000}"/>
    <cellStyle name="Percent 3" xfId="9" xr:uid="{00000000-0005-0000-0000-000012000000}"/>
    <cellStyle name="Percent 4" xfId="15" xr:uid="{00000000-0005-0000-0000-000013000000}"/>
    <cellStyle name="Percent 5" xfId="21" xr:uid="{841902F3-8E6B-4D15-8946-1B898B36D28B}"/>
  </cellStyles>
  <dxfs count="11">
    <dxf>
      <fill>
        <patternFill>
          <bgColor rgb="FFFFFFCC"/>
        </patternFill>
      </fill>
    </dxf>
    <dxf>
      <fill>
        <patternFill>
          <bgColor rgb="FFFFFFCC"/>
        </patternFill>
      </fill>
    </dxf>
    <dxf>
      <fill>
        <patternFill>
          <bgColor rgb="FFFFFFCC"/>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6" tint="-0.24994659260841701"/>
        </patternFill>
      </fill>
    </dxf>
  </dxfs>
  <tableStyles count="0" defaultTableStyle="TableStyleMedium9" defaultPivotStyle="PivotStyleLight16"/>
  <colors>
    <mruColors>
      <color rgb="FFFFFF99"/>
      <color rgb="FFFFCC99"/>
      <color rgb="FF66FFFF"/>
      <color rgb="FFABF5FF"/>
      <color rgb="FFA3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108</xdr:row>
      <xdr:rowOff>142875</xdr:rowOff>
    </xdr:from>
    <xdr:to>
      <xdr:col>11</xdr:col>
      <xdr:colOff>9525</xdr:colOff>
      <xdr:row>119</xdr:row>
      <xdr:rowOff>0</xdr:rowOff>
    </xdr:to>
    <xdr:sp macro="" textlink="">
      <xdr:nvSpPr>
        <xdr:cNvPr id="22530" name="Text Box 2">
          <a:extLst>
            <a:ext uri="{FF2B5EF4-FFF2-40B4-BE49-F238E27FC236}">
              <a16:creationId xmlns:a16="http://schemas.microsoft.com/office/drawing/2014/main" id="{00000000-0008-0000-0000-000002580000}"/>
            </a:ext>
          </a:extLst>
        </xdr:cNvPr>
        <xdr:cNvSpPr txBox="1">
          <a:spLocks noChangeArrowheads="1"/>
        </xdr:cNvSpPr>
      </xdr:nvSpPr>
      <xdr:spPr bwMode="auto">
        <a:xfrm>
          <a:off x="0" y="17659350"/>
          <a:ext cx="6877050" cy="16383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Worksheets have been created such that they can be printed for offline review. On the Conversion worksheet, once all the detail fund data has been entered and the grand totals are as you expected, those detail fund columns can be hidden so that one sees the account titles on the left and then the column "Total Governmental Funds." By hiding detail columns you will be able to fit the conversion worksheet to legal size paper. Please note that to hide columns, you must "unlock" the worksheet. We suggest that once fund detail is verified that you unlock the worksheet, hide the detail fund columns, and then re-protect the worksheet in order not to overwrite formulas and mapping. All other worksheets fit on standard 8.5x11 paper. Some worksheets result in such complicated entries that a work section is presented below the final entry to accumulate all activity. These work sections are not defined in the normal print range. If you wish to print the work sections, you will need to select the work section for printing or redefine your print ranges. Please note that the work sections are often larger than regular 8.5x11 paper.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21166</xdr:colOff>
      <xdr:row>24</xdr:row>
      <xdr:rowOff>9525</xdr:rowOff>
    </xdr:from>
    <xdr:to>
      <xdr:col>4</xdr:col>
      <xdr:colOff>356658</xdr:colOff>
      <xdr:row>27</xdr:row>
      <xdr:rowOff>0</xdr:rowOff>
    </xdr:to>
    <xdr:sp macro="" textlink="">
      <xdr:nvSpPr>
        <xdr:cNvPr id="2" name="Right Brace 1">
          <a:extLst>
            <a:ext uri="{FF2B5EF4-FFF2-40B4-BE49-F238E27FC236}">
              <a16:creationId xmlns:a16="http://schemas.microsoft.com/office/drawing/2014/main" id="{00000000-0008-0000-1800-000002000000}"/>
            </a:ext>
          </a:extLst>
        </xdr:cNvPr>
        <xdr:cNvSpPr/>
      </xdr:nvSpPr>
      <xdr:spPr>
        <a:xfrm>
          <a:off x="7249583" y="6380692"/>
          <a:ext cx="335492" cy="530225"/>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127000</xdr:colOff>
      <xdr:row>6</xdr:row>
      <xdr:rowOff>26458</xdr:rowOff>
    </xdr:from>
    <xdr:to>
      <xdr:col>3</xdr:col>
      <xdr:colOff>952500</xdr:colOff>
      <xdr:row>16</xdr:row>
      <xdr:rowOff>569383</xdr:rowOff>
    </xdr:to>
    <xdr:sp macro="" textlink="">
      <xdr:nvSpPr>
        <xdr:cNvPr id="4" name="Right Brace 3">
          <a:extLst>
            <a:ext uri="{FF2B5EF4-FFF2-40B4-BE49-F238E27FC236}">
              <a16:creationId xmlns:a16="http://schemas.microsoft.com/office/drawing/2014/main" id="{00000000-0008-0000-1800-000004000000}"/>
            </a:ext>
          </a:extLst>
        </xdr:cNvPr>
        <xdr:cNvSpPr/>
      </xdr:nvSpPr>
      <xdr:spPr>
        <a:xfrm>
          <a:off x="6233583" y="1973791"/>
          <a:ext cx="825500" cy="3284009"/>
        </a:xfrm>
        <a:prstGeom prst="rightBrace">
          <a:avLst>
            <a:gd name="adj1" fmla="val 46574"/>
            <a:gd name="adj2" fmla="val 5327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38101</xdr:colOff>
      <xdr:row>24</xdr:row>
      <xdr:rowOff>38100</xdr:rowOff>
    </xdr:from>
    <xdr:to>
      <xdr:col>3</xdr:col>
      <xdr:colOff>1495425</xdr:colOff>
      <xdr:row>31</xdr:row>
      <xdr:rowOff>9525</xdr:rowOff>
    </xdr:to>
    <xdr:sp macro="" textlink="">
      <xdr:nvSpPr>
        <xdr:cNvPr id="2" name="Right Brace 1">
          <a:extLst>
            <a:ext uri="{FF2B5EF4-FFF2-40B4-BE49-F238E27FC236}">
              <a16:creationId xmlns:a16="http://schemas.microsoft.com/office/drawing/2014/main" id="{00000000-0008-0000-1900-000002000000}"/>
            </a:ext>
          </a:extLst>
        </xdr:cNvPr>
        <xdr:cNvSpPr/>
      </xdr:nvSpPr>
      <xdr:spPr>
        <a:xfrm>
          <a:off x="5191126" y="3276600"/>
          <a:ext cx="1457324" cy="2181225"/>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38101</xdr:colOff>
      <xdr:row>24</xdr:row>
      <xdr:rowOff>38100</xdr:rowOff>
    </xdr:from>
    <xdr:to>
      <xdr:col>3</xdr:col>
      <xdr:colOff>1495425</xdr:colOff>
      <xdr:row>31</xdr:row>
      <xdr:rowOff>9525</xdr:rowOff>
    </xdr:to>
    <xdr:sp macro="" textlink="">
      <xdr:nvSpPr>
        <xdr:cNvPr id="2" name="Right Brace 1">
          <a:extLst>
            <a:ext uri="{FF2B5EF4-FFF2-40B4-BE49-F238E27FC236}">
              <a16:creationId xmlns:a16="http://schemas.microsoft.com/office/drawing/2014/main" id="{00000000-0008-0000-1A00-000002000000}"/>
            </a:ext>
          </a:extLst>
        </xdr:cNvPr>
        <xdr:cNvSpPr/>
      </xdr:nvSpPr>
      <xdr:spPr>
        <a:xfrm>
          <a:off x="5191126" y="4095750"/>
          <a:ext cx="904874" cy="1790700"/>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38101</xdr:colOff>
      <xdr:row>24</xdr:row>
      <xdr:rowOff>38100</xdr:rowOff>
    </xdr:from>
    <xdr:to>
      <xdr:col>3</xdr:col>
      <xdr:colOff>1495425</xdr:colOff>
      <xdr:row>31</xdr:row>
      <xdr:rowOff>9525</xdr:rowOff>
    </xdr:to>
    <xdr:sp macro="" textlink="">
      <xdr:nvSpPr>
        <xdr:cNvPr id="2" name="Right Brace 1">
          <a:extLst>
            <a:ext uri="{FF2B5EF4-FFF2-40B4-BE49-F238E27FC236}">
              <a16:creationId xmlns:a16="http://schemas.microsoft.com/office/drawing/2014/main" id="{00000000-0008-0000-1B00-000002000000}"/>
            </a:ext>
          </a:extLst>
        </xdr:cNvPr>
        <xdr:cNvSpPr/>
      </xdr:nvSpPr>
      <xdr:spPr>
        <a:xfrm>
          <a:off x="5191126" y="4095750"/>
          <a:ext cx="904874" cy="1790700"/>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95250</xdr:colOff>
      <xdr:row>161</xdr:row>
      <xdr:rowOff>0</xdr:rowOff>
    </xdr:from>
    <xdr:to>
      <xdr:col>10</xdr:col>
      <xdr:colOff>581025</xdr:colOff>
      <xdr:row>162</xdr:row>
      <xdr:rowOff>95250</xdr:rowOff>
    </xdr:to>
    <xdr:sp macro="" textlink="">
      <xdr:nvSpPr>
        <xdr:cNvPr id="3319" name="Line 7">
          <a:extLst>
            <a:ext uri="{FF2B5EF4-FFF2-40B4-BE49-F238E27FC236}">
              <a16:creationId xmlns:a16="http://schemas.microsoft.com/office/drawing/2014/main" id="{00000000-0008-0000-0700-0000F70C0000}"/>
            </a:ext>
          </a:extLst>
        </xdr:cNvPr>
        <xdr:cNvSpPr>
          <a:spLocks noChangeShapeType="1"/>
        </xdr:cNvSpPr>
      </xdr:nvSpPr>
      <xdr:spPr bwMode="auto">
        <a:xfrm flipH="1">
          <a:off x="4629150" y="24660225"/>
          <a:ext cx="371475" cy="2571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95250</xdr:colOff>
      <xdr:row>162</xdr:row>
      <xdr:rowOff>95250</xdr:rowOff>
    </xdr:from>
    <xdr:to>
      <xdr:col>10</xdr:col>
      <xdr:colOff>600075</xdr:colOff>
      <xdr:row>163</xdr:row>
      <xdr:rowOff>123825</xdr:rowOff>
    </xdr:to>
    <xdr:sp macro="" textlink="">
      <xdr:nvSpPr>
        <xdr:cNvPr id="3320" name="Line 8">
          <a:extLst>
            <a:ext uri="{FF2B5EF4-FFF2-40B4-BE49-F238E27FC236}">
              <a16:creationId xmlns:a16="http://schemas.microsoft.com/office/drawing/2014/main" id="{00000000-0008-0000-0700-0000F80C0000}"/>
            </a:ext>
          </a:extLst>
        </xdr:cNvPr>
        <xdr:cNvSpPr>
          <a:spLocks noChangeShapeType="1"/>
        </xdr:cNvSpPr>
      </xdr:nvSpPr>
      <xdr:spPr bwMode="auto">
        <a:xfrm flipH="1" flipV="1">
          <a:off x="4629150" y="24917400"/>
          <a:ext cx="371475" cy="161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657225</xdr:colOff>
      <xdr:row>121</xdr:row>
      <xdr:rowOff>9525</xdr:rowOff>
    </xdr:from>
    <xdr:to>
      <xdr:col>6</xdr:col>
      <xdr:colOff>95250</xdr:colOff>
      <xdr:row>126</xdr:row>
      <xdr:rowOff>9525</xdr:rowOff>
    </xdr:to>
    <xdr:sp macro="" textlink="">
      <xdr:nvSpPr>
        <xdr:cNvPr id="6268" name="AutoShape 5">
          <a:extLst>
            <a:ext uri="{FF2B5EF4-FFF2-40B4-BE49-F238E27FC236}">
              <a16:creationId xmlns:a16="http://schemas.microsoft.com/office/drawing/2014/main" id="{00000000-0008-0000-0900-00007C180000}"/>
            </a:ext>
          </a:extLst>
        </xdr:cNvPr>
        <xdr:cNvSpPr>
          <a:spLocks/>
        </xdr:cNvSpPr>
      </xdr:nvSpPr>
      <xdr:spPr bwMode="auto">
        <a:xfrm>
          <a:off x="2714625" y="20612100"/>
          <a:ext cx="133350" cy="647700"/>
        </a:xfrm>
        <a:prstGeom prst="rightBrace">
          <a:avLst>
            <a:gd name="adj1" fmla="val 404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0</xdr:colOff>
      <xdr:row>26</xdr:row>
      <xdr:rowOff>9525</xdr:rowOff>
    </xdr:from>
    <xdr:to>
      <xdr:col>14</xdr:col>
      <xdr:colOff>0</xdr:colOff>
      <xdr:row>34</xdr:row>
      <xdr:rowOff>9525</xdr:rowOff>
    </xdr:to>
    <xdr:sp macro="" textlink="">
      <xdr:nvSpPr>
        <xdr:cNvPr id="11505" name="AutoShape 1">
          <a:extLst>
            <a:ext uri="{FF2B5EF4-FFF2-40B4-BE49-F238E27FC236}">
              <a16:creationId xmlns:a16="http://schemas.microsoft.com/office/drawing/2014/main" id="{00000000-0008-0000-0B00-0000F12C0000}"/>
            </a:ext>
          </a:extLst>
        </xdr:cNvPr>
        <xdr:cNvSpPr>
          <a:spLocks/>
        </xdr:cNvSpPr>
      </xdr:nvSpPr>
      <xdr:spPr bwMode="auto">
        <a:xfrm>
          <a:off x="6553200" y="6324600"/>
          <a:ext cx="0" cy="129540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0</xdr:colOff>
      <xdr:row>39</xdr:row>
      <xdr:rowOff>9525</xdr:rowOff>
    </xdr:from>
    <xdr:to>
      <xdr:col>14</xdr:col>
      <xdr:colOff>0</xdr:colOff>
      <xdr:row>47</xdr:row>
      <xdr:rowOff>9525</xdr:rowOff>
    </xdr:to>
    <xdr:sp macro="" textlink="">
      <xdr:nvSpPr>
        <xdr:cNvPr id="11506" name="AutoShape 2">
          <a:extLst>
            <a:ext uri="{FF2B5EF4-FFF2-40B4-BE49-F238E27FC236}">
              <a16:creationId xmlns:a16="http://schemas.microsoft.com/office/drawing/2014/main" id="{00000000-0008-0000-0B00-0000F22C0000}"/>
            </a:ext>
          </a:extLst>
        </xdr:cNvPr>
        <xdr:cNvSpPr>
          <a:spLocks/>
        </xdr:cNvSpPr>
      </xdr:nvSpPr>
      <xdr:spPr bwMode="auto">
        <a:xfrm>
          <a:off x="6553200" y="8305800"/>
          <a:ext cx="0" cy="129540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9525</xdr:colOff>
      <xdr:row>137</xdr:row>
      <xdr:rowOff>0</xdr:rowOff>
    </xdr:from>
    <xdr:to>
      <xdr:col>7</xdr:col>
      <xdr:colOff>95250</xdr:colOff>
      <xdr:row>137</xdr:row>
      <xdr:rowOff>0</xdr:rowOff>
    </xdr:to>
    <xdr:sp macro="" textlink="">
      <xdr:nvSpPr>
        <xdr:cNvPr id="28772" name="AutoShape 1">
          <a:extLst>
            <a:ext uri="{FF2B5EF4-FFF2-40B4-BE49-F238E27FC236}">
              <a16:creationId xmlns:a16="http://schemas.microsoft.com/office/drawing/2014/main" id="{00000000-0008-0000-0C00-000064700000}"/>
            </a:ext>
          </a:extLst>
        </xdr:cNvPr>
        <xdr:cNvSpPr>
          <a:spLocks/>
        </xdr:cNvSpPr>
      </xdr:nvSpPr>
      <xdr:spPr bwMode="auto">
        <a:xfrm>
          <a:off x="5924550" y="22450425"/>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131</xdr:row>
      <xdr:rowOff>19050</xdr:rowOff>
    </xdr:from>
    <xdr:to>
      <xdr:col>8</xdr:col>
      <xdr:colOff>95250</xdr:colOff>
      <xdr:row>136</xdr:row>
      <xdr:rowOff>28575</xdr:rowOff>
    </xdr:to>
    <xdr:sp macro="" textlink="">
      <xdr:nvSpPr>
        <xdr:cNvPr id="28773" name="AutoShape 3">
          <a:extLst>
            <a:ext uri="{FF2B5EF4-FFF2-40B4-BE49-F238E27FC236}">
              <a16:creationId xmlns:a16="http://schemas.microsoft.com/office/drawing/2014/main" id="{00000000-0008-0000-0C00-000065700000}"/>
            </a:ext>
          </a:extLst>
        </xdr:cNvPr>
        <xdr:cNvSpPr>
          <a:spLocks/>
        </xdr:cNvSpPr>
      </xdr:nvSpPr>
      <xdr:spPr bwMode="auto">
        <a:xfrm>
          <a:off x="6115050" y="20659725"/>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206</xdr:row>
      <xdr:rowOff>19050</xdr:rowOff>
    </xdr:from>
    <xdr:to>
      <xdr:col>7</xdr:col>
      <xdr:colOff>85725</xdr:colOff>
      <xdr:row>214</xdr:row>
      <xdr:rowOff>0</xdr:rowOff>
    </xdr:to>
    <xdr:sp macro="" textlink="">
      <xdr:nvSpPr>
        <xdr:cNvPr id="28774" name="AutoShape 4">
          <a:extLst>
            <a:ext uri="{FF2B5EF4-FFF2-40B4-BE49-F238E27FC236}">
              <a16:creationId xmlns:a16="http://schemas.microsoft.com/office/drawing/2014/main" id="{00000000-0008-0000-0C00-000066700000}"/>
            </a:ext>
          </a:extLst>
        </xdr:cNvPr>
        <xdr:cNvSpPr>
          <a:spLocks/>
        </xdr:cNvSpPr>
      </xdr:nvSpPr>
      <xdr:spPr bwMode="auto">
        <a:xfrm>
          <a:off x="5934075" y="31270575"/>
          <a:ext cx="66675" cy="1276350"/>
        </a:xfrm>
        <a:prstGeom prst="rightBrace">
          <a:avLst>
            <a:gd name="adj1" fmla="val 15952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199</xdr:row>
      <xdr:rowOff>19050</xdr:rowOff>
    </xdr:from>
    <xdr:to>
      <xdr:col>7</xdr:col>
      <xdr:colOff>85725</xdr:colOff>
      <xdr:row>204</xdr:row>
      <xdr:rowOff>133350</xdr:rowOff>
    </xdr:to>
    <xdr:sp macro="" textlink="">
      <xdr:nvSpPr>
        <xdr:cNvPr id="28775" name="AutoShape 5">
          <a:extLst>
            <a:ext uri="{FF2B5EF4-FFF2-40B4-BE49-F238E27FC236}">
              <a16:creationId xmlns:a16="http://schemas.microsoft.com/office/drawing/2014/main" id="{00000000-0008-0000-0C00-000067700000}"/>
            </a:ext>
          </a:extLst>
        </xdr:cNvPr>
        <xdr:cNvSpPr>
          <a:spLocks/>
        </xdr:cNvSpPr>
      </xdr:nvSpPr>
      <xdr:spPr bwMode="auto">
        <a:xfrm>
          <a:off x="5943600" y="30222825"/>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161</xdr:row>
      <xdr:rowOff>9525</xdr:rowOff>
    </xdr:from>
    <xdr:to>
      <xdr:col>7</xdr:col>
      <xdr:colOff>104775</xdr:colOff>
      <xdr:row>198</xdr:row>
      <xdr:rowOff>9525</xdr:rowOff>
    </xdr:to>
    <xdr:sp macro="" textlink="">
      <xdr:nvSpPr>
        <xdr:cNvPr id="28776" name="AutoShape 6">
          <a:extLst>
            <a:ext uri="{FF2B5EF4-FFF2-40B4-BE49-F238E27FC236}">
              <a16:creationId xmlns:a16="http://schemas.microsoft.com/office/drawing/2014/main" id="{00000000-0008-0000-0C00-000068700000}"/>
            </a:ext>
          </a:extLst>
        </xdr:cNvPr>
        <xdr:cNvSpPr>
          <a:spLocks/>
        </xdr:cNvSpPr>
      </xdr:nvSpPr>
      <xdr:spPr bwMode="auto">
        <a:xfrm>
          <a:off x="6019800" y="35613975"/>
          <a:ext cx="95250" cy="1225867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219</xdr:row>
      <xdr:rowOff>152400</xdr:rowOff>
    </xdr:from>
    <xdr:to>
      <xdr:col>7</xdr:col>
      <xdr:colOff>123825</xdr:colOff>
      <xdr:row>226</xdr:row>
      <xdr:rowOff>9525</xdr:rowOff>
    </xdr:to>
    <xdr:sp macro="" textlink="">
      <xdr:nvSpPr>
        <xdr:cNvPr id="28777" name="AutoShape 8">
          <a:extLst>
            <a:ext uri="{FF2B5EF4-FFF2-40B4-BE49-F238E27FC236}">
              <a16:creationId xmlns:a16="http://schemas.microsoft.com/office/drawing/2014/main" id="{00000000-0008-0000-0C00-000069700000}"/>
            </a:ext>
          </a:extLst>
        </xdr:cNvPr>
        <xdr:cNvSpPr>
          <a:spLocks/>
        </xdr:cNvSpPr>
      </xdr:nvSpPr>
      <xdr:spPr bwMode="auto">
        <a:xfrm>
          <a:off x="5962650" y="3351847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115</xdr:row>
      <xdr:rowOff>0</xdr:rowOff>
    </xdr:from>
    <xdr:to>
      <xdr:col>7</xdr:col>
      <xdr:colOff>85725</xdr:colOff>
      <xdr:row>118</xdr:row>
      <xdr:rowOff>123825</xdr:rowOff>
    </xdr:to>
    <xdr:sp macro="" textlink="">
      <xdr:nvSpPr>
        <xdr:cNvPr id="28778" name="AutoShape 9">
          <a:extLst>
            <a:ext uri="{FF2B5EF4-FFF2-40B4-BE49-F238E27FC236}">
              <a16:creationId xmlns:a16="http://schemas.microsoft.com/office/drawing/2014/main" id="{00000000-0008-0000-0C00-00006A700000}"/>
            </a:ext>
          </a:extLst>
        </xdr:cNvPr>
        <xdr:cNvSpPr>
          <a:spLocks/>
        </xdr:cNvSpPr>
      </xdr:nvSpPr>
      <xdr:spPr bwMode="auto">
        <a:xfrm>
          <a:off x="5934075" y="17154525"/>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76</xdr:row>
      <xdr:rowOff>0</xdr:rowOff>
    </xdr:from>
    <xdr:to>
      <xdr:col>7</xdr:col>
      <xdr:colOff>123825</xdr:colOff>
      <xdr:row>112</xdr:row>
      <xdr:rowOff>9525</xdr:rowOff>
    </xdr:to>
    <xdr:sp macro="" textlink="">
      <xdr:nvSpPr>
        <xdr:cNvPr id="28779" name="AutoShape 10">
          <a:extLst>
            <a:ext uri="{FF2B5EF4-FFF2-40B4-BE49-F238E27FC236}">
              <a16:creationId xmlns:a16="http://schemas.microsoft.com/office/drawing/2014/main" id="{00000000-0008-0000-0C00-00006B700000}"/>
            </a:ext>
          </a:extLst>
        </xdr:cNvPr>
        <xdr:cNvSpPr>
          <a:spLocks/>
        </xdr:cNvSpPr>
      </xdr:nvSpPr>
      <xdr:spPr bwMode="auto">
        <a:xfrm>
          <a:off x="5962650" y="13496925"/>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4</xdr:row>
      <xdr:rowOff>9525</xdr:rowOff>
    </xdr:from>
    <xdr:to>
      <xdr:col>9</xdr:col>
      <xdr:colOff>0</xdr:colOff>
      <xdr:row>13</xdr:row>
      <xdr:rowOff>38100</xdr:rowOff>
    </xdr:to>
    <xdr:sp macro="" textlink="">
      <xdr:nvSpPr>
        <xdr:cNvPr id="9227" name="Text Box 11">
          <a:extLst>
            <a:ext uri="{FF2B5EF4-FFF2-40B4-BE49-F238E27FC236}">
              <a16:creationId xmlns:a16="http://schemas.microsoft.com/office/drawing/2014/main" id="{00000000-0008-0000-0C00-00000B240000}"/>
            </a:ext>
          </a:extLst>
        </xdr:cNvPr>
        <xdr:cNvSpPr txBox="1">
          <a:spLocks noChangeArrowheads="1"/>
        </xdr:cNvSpPr>
      </xdr:nvSpPr>
      <xdr:spPr bwMode="auto">
        <a:xfrm>
          <a:off x="247650" y="771525"/>
          <a:ext cx="8248650" cy="14859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a:t>
          </a:r>
          <a:r>
            <a:rPr lang="en-US" sz="1000" b="0" i="0" u="none" strike="noStrike" baseline="0">
              <a:solidFill>
                <a:srgbClr val="FF0000"/>
              </a:solidFill>
              <a:latin typeface="Arial"/>
              <a:cs typeface="Arial"/>
            </a:rPr>
            <a:t> </a:t>
          </a:r>
          <a:r>
            <a:rPr lang="en-US" sz="1000" b="0" i="0" u="none" strike="noStrike" baseline="0">
              <a:solidFill>
                <a:srgbClr val="000000"/>
              </a:solidFill>
              <a:latin typeface="Arial"/>
              <a:cs typeface="Arial"/>
            </a:rPr>
            <a:t>      </a:t>
          </a:r>
        </a:p>
      </xdr:txBody>
    </xdr:sp>
    <xdr:clientData/>
  </xdr:twoCellAnchor>
  <xdr:twoCellAnchor>
    <xdr:from>
      <xdr:col>2</xdr:col>
      <xdr:colOff>9525</xdr:colOff>
      <xdr:row>16</xdr:row>
      <xdr:rowOff>47625</xdr:rowOff>
    </xdr:from>
    <xdr:to>
      <xdr:col>9</xdr:col>
      <xdr:colOff>9525</xdr:colOff>
      <xdr:row>22</xdr:row>
      <xdr:rowOff>0</xdr:rowOff>
    </xdr:to>
    <xdr:sp macro="" textlink="">
      <xdr:nvSpPr>
        <xdr:cNvPr id="9228" name="Text Box 12">
          <a:extLst>
            <a:ext uri="{FF2B5EF4-FFF2-40B4-BE49-F238E27FC236}">
              <a16:creationId xmlns:a16="http://schemas.microsoft.com/office/drawing/2014/main" id="{00000000-0008-0000-0C00-00000C240000}"/>
            </a:ext>
          </a:extLst>
        </xdr:cNvPr>
        <xdr:cNvSpPr txBox="1">
          <a:spLocks noChangeArrowheads="1"/>
        </xdr:cNvSpPr>
      </xdr:nvSpPr>
      <xdr:spPr bwMode="auto">
        <a:xfrm>
          <a:off x="390525" y="2914650"/>
          <a:ext cx="8115300" cy="8191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9525</xdr:colOff>
      <xdr:row>131</xdr:row>
      <xdr:rowOff>0</xdr:rowOff>
    </xdr:from>
    <xdr:to>
      <xdr:col>7</xdr:col>
      <xdr:colOff>95250</xdr:colOff>
      <xdr:row>131</xdr:row>
      <xdr:rowOff>0</xdr:rowOff>
    </xdr:to>
    <xdr:sp macro="" textlink="">
      <xdr:nvSpPr>
        <xdr:cNvPr id="29748" name="AutoShape 1">
          <a:extLst>
            <a:ext uri="{FF2B5EF4-FFF2-40B4-BE49-F238E27FC236}">
              <a16:creationId xmlns:a16="http://schemas.microsoft.com/office/drawing/2014/main" id="{00000000-0008-0000-0D00-000034740000}"/>
            </a:ext>
          </a:extLst>
        </xdr:cNvPr>
        <xdr:cNvSpPr>
          <a:spLocks/>
        </xdr:cNvSpPr>
      </xdr:nvSpPr>
      <xdr:spPr bwMode="auto">
        <a:xfrm>
          <a:off x="5924550" y="22450425"/>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125</xdr:row>
      <xdr:rowOff>19050</xdr:rowOff>
    </xdr:from>
    <xdr:to>
      <xdr:col>8</xdr:col>
      <xdr:colOff>95250</xdr:colOff>
      <xdr:row>130</xdr:row>
      <xdr:rowOff>28575</xdr:rowOff>
    </xdr:to>
    <xdr:sp macro="" textlink="">
      <xdr:nvSpPr>
        <xdr:cNvPr id="29749" name="AutoShape 2">
          <a:extLst>
            <a:ext uri="{FF2B5EF4-FFF2-40B4-BE49-F238E27FC236}">
              <a16:creationId xmlns:a16="http://schemas.microsoft.com/office/drawing/2014/main" id="{00000000-0008-0000-0D00-000035740000}"/>
            </a:ext>
          </a:extLst>
        </xdr:cNvPr>
        <xdr:cNvSpPr>
          <a:spLocks/>
        </xdr:cNvSpPr>
      </xdr:nvSpPr>
      <xdr:spPr bwMode="auto">
        <a:xfrm>
          <a:off x="6115050" y="20659725"/>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199</xdr:row>
      <xdr:rowOff>19050</xdr:rowOff>
    </xdr:from>
    <xdr:to>
      <xdr:col>7</xdr:col>
      <xdr:colOff>85725</xdr:colOff>
      <xdr:row>207</xdr:row>
      <xdr:rowOff>0</xdr:rowOff>
    </xdr:to>
    <xdr:sp macro="" textlink="">
      <xdr:nvSpPr>
        <xdr:cNvPr id="29750" name="AutoShape 3">
          <a:extLst>
            <a:ext uri="{FF2B5EF4-FFF2-40B4-BE49-F238E27FC236}">
              <a16:creationId xmlns:a16="http://schemas.microsoft.com/office/drawing/2014/main" id="{00000000-0008-0000-0D00-000036740000}"/>
            </a:ext>
          </a:extLst>
        </xdr:cNvPr>
        <xdr:cNvSpPr>
          <a:spLocks/>
        </xdr:cNvSpPr>
      </xdr:nvSpPr>
      <xdr:spPr bwMode="auto">
        <a:xfrm>
          <a:off x="5934075" y="31270575"/>
          <a:ext cx="66675" cy="1276350"/>
        </a:xfrm>
        <a:prstGeom prst="rightBrace">
          <a:avLst>
            <a:gd name="adj1" fmla="val 15952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192</xdr:row>
      <xdr:rowOff>19050</xdr:rowOff>
    </xdr:from>
    <xdr:to>
      <xdr:col>7</xdr:col>
      <xdr:colOff>85725</xdr:colOff>
      <xdr:row>197</xdr:row>
      <xdr:rowOff>133350</xdr:rowOff>
    </xdr:to>
    <xdr:sp macro="" textlink="">
      <xdr:nvSpPr>
        <xdr:cNvPr id="29751" name="AutoShape 4">
          <a:extLst>
            <a:ext uri="{FF2B5EF4-FFF2-40B4-BE49-F238E27FC236}">
              <a16:creationId xmlns:a16="http://schemas.microsoft.com/office/drawing/2014/main" id="{00000000-0008-0000-0D00-000037740000}"/>
            </a:ext>
          </a:extLst>
        </xdr:cNvPr>
        <xdr:cNvSpPr>
          <a:spLocks/>
        </xdr:cNvSpPr>
      </xdr:nvSpPr>
      <xdr:spPr bwMode="auto">
        <a:xfrm>
          <a:off x="5943600" y="30222825"/>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155</xdr:row>
      <xdr:rowOff>9525</xdr:rowOff>
    </xdr:from>
    <xdr:to>
      <xdr:col>7</xdr:col>
      <xdr:colOff>104775</xdr:colOff>
      <xdr:row>191</xdr:row>
      <xdr:rowOff>9525</xdr:rowOff>
    </xdr:to>
    <xdr:sp macro="" textlink="">
      <xdr:nvSpPr>
        <xdr:cNvPr id="29752" name="AutoShape 5">
          <a:extLst>
            <a:ext uri="{FF2B5EF4-FFF2-40B4-BE49-F238E27FC236}">
              <a16:creationId xmlns:a16="http://schemas.microsoft.com/office/drawing/2014/main" id="{00000000-0008-0000-0D00-000038740000}"/>
            </a:ext>
          </a:extLst>
        </xdr:cNvPr>
        <xdr:cNvSpPr>
          <a:spLocks/>
        </xdr:cNvSpPr>
      </xdr:nvSpPr>
      <xdr:spPr bwMode="auto">
        <a:xfrm>
          <a:off x="5924550" y="26736675"/>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212</xdr:row>
      <xdr:rowOff>152400</xdr:rowOff>
    </xdr:from>
    <xdr:to>
      <xdr:col>7</xdr:col>
      <xdr:colOff>123825</xdr:colOff>
      <xdr:row>219</xdr:row>
      <xdr:rowOff>9525</xdr:rowOff>
    </xdr:to>
    <xdr:sp macro="" textlink="">
      <xdr:nvSpPr>
        <xdr:cNvPr id="29753" name="AutoShape 6">
          <a:extLst>
            <a:ext uri="{FF2B5EF4-FFF2-40B4-BE49-F238E27FC236}">
              <a16:creationId xmlns:a16="http://schemas.microsoft.com/office/drawing/2014/main" id="{00000000-0008-0000-0D00-000039740000}"/>
            </a:ext>
          </a:extLst>
        </xdr:cNvPr>
        <xdr:cNvSpPr>
          <a:spLocks/>
        </xdr:cNvSpPr>
      </xdr:nvSpPr>
      <xdr:spPr bwMode="auto">
        <a:xfrm>
          <a:off x="5962650" y="3351847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109</xdr:row>
      <xdr:rowOff>0</xdr:rowOff>
    </xdr:from>
    <xdr:to>
      <xdr:col>7</xdr:col>
      <xdr:colOff>85725</xdr:colOff>
      <xdr:row>112</xdr:row>
      <xdr:rowOff>123825</xdr:rowOff>
    </xdr:to>
    <xdr:sp macro="" textlink="">
      <xdr:nvSpPr>
        <xdr:cNvPr id="29754" name="AutoShape 7">
          <a:extLst>
            <a:ext uri="{FF2B5EF4-FFF2-40B4-BE49-F238E27FC236}">
              <a16:creationId xmlns:a16="http://schemas.microsoft.com/office/drawing/2014/main" id="{00000000-0008-0000-0D00-00003A740000}"/>
            </a:ext>
          </a:extLst>
        </xdr:cNvPr>
        <xdr:cNvSpPr>
          <a:spLocks/>
        </xdr:cNvSpPr>
      </xdr:nvSpPr>
      <xdr:spPr bwMode="auto">
        <a:xfrm>
          <a:off x="5934075" y="17021175"/>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71</xdr:row>
      <xdr:rowOff>0</xdr:rowOff>
    </xdr:from>
    <xdr:to>
      <xdr:col>7</xdr:col>
      <xdr:colOff>123825</xdr:colOff>
      <xdr:row>106</xdr:row>
      <xdr:rowOff>9525</xdr:rowOff>
    </xdr:to>
    <xdr:sp macro="" textlink="">
      <xdr:nvSpPr>
        <xdr:cNvPr id="29755" name="AutoShape 8">
          <a:extLst>
            <a:ext uri="{FF2B5EF4-FFF2-40B4-BE49-F238E27FC236}">
              <a16:creationId xmlns:a16="http://schemas.microsoft.com/office/drawing/2014/main" id="{00000000-0008-0000-0D00-00003B740000}"/>
            </a:ext>
          </a:extLst>
        </xdr:cNvPr>
        <xdr:cNvSpPr>
          <a:spLocks/>
        </xdr:cNvSpPr>
      </xdr:nvSpPr>
      <xdr:spPr bwMode="auto">
        <a:xfrm>
          <a:off x="5962650" y="13363575"/>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217170</xdr:colOff>
      <xdr:row>4</xdr:row>
      <xdr:rowOff>0</xdr:rowOff>
    </xdr:from>
    <xdr:to>
      <xdr:col>8</xdr:col>
      <xdr:colOff>2392680</xdr:colOff>
      <xdr:row>13</xdr:row>
      <xdr:rowOff>0</xdr:rowOff>
    </xdr:to>
    <xdr:sp macro="" textlink="">
      <xdr:nvSpPr>
        <xdr:cNvPr id="20489" name="Text Box 9">
          <a:extLst>
            <a:ext uri="{FF2B5EF4-FFF2-40B4-BE49-F238E27FC236}">
              <a16:creationId xmlns:a16="http://schemas.microsoft.com/office/drawing/2014/main" id="{00000000-0008-0000-0D00-000009500000}"/>
            </a:ext>
          </a:extLst>
        </xdr:cNvPr>
        <xdr:cNvSpPr txBox="1">
          <a:spLocks noChangeArrowheads="1"/>
        </xdr:cNvSpPr>
      </xdr:nvSpPr>
      <xdr:spPr bwMode="auto">
        <a:xfrm>
          <a:off x="219075" y="76200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100"/>
            </a:lnSpc>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required an entry (and mapping) to the conversion worksheet or you may choose to enter the entries directly into the yellow "Misc. Entries" column (be careful not to overwrite the data mapped from the other internal service funds.)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9525</xdr:colOff>
      <xdr:row>131</xdr:row>
      <xdr:rowOff>0</xdr:rowOff>
    </xdr:from>
    <xdr:to>
      <xdr:col>7</xdr:col>
      <xdr:colOff>95250</xdr:colOff>
      <xdr:row>131</xdr:row>
      <xdr:rowOff>0</xdr:rowOff>
    </xdr:to>
    <xdr:sp macro="" textlink="">
      <xdr:nvSpPr>
        <xdr:cNvPr id="30772" name="AutoShape 1">
          <a:extLst>
            <a:ext uri="{FF2B5EF4-FFF2-40B4-BE49-F238E27FC236}">
              <a16:creationId xmlns:a16="http://schemas.microsoft.com/office/drawing/2014/main" id="{00000000-0008-0000-0E00-000034780000}"/>
            </a:ext>
          </a:extLst>
        </xdr:cNvPr>
        <xdr:cNvSpPr>
          <a:spLocks/>
        </xdr:cNvSpPr>
      </xdr:nvSpPr>
      <xdr:spPr bwMode="auto">
        <a:xfrm>
          <a:off x="5924550" y="22555200"/>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125</xdr:row>
      <xdr:rowOff>19050</xdr:rowOff>
    </xdr:from>
    <xdr:to>
      <xdr:col>8</xdr:col>
      <xdr:colOff>95250</xdr:colOff>
      <xdr:row>130</xdr:row>
      <xdr:rowOff>28575</xdr:rowOff>
    </xdr:to>
    <xdr:sp macro="" textlink="">
      <xdr:nvSpPr>
        <xdr:cNvPr id="30773" name="AutoShape 2">
          <a:extLst>
            <a:ext uri="{FF2B5EF4-FFF2-40B4-BE49-F238E27FC236}">
              <a16:creationId xmlns:a16="http://schemas.microsoft.com/office/drawing/2014/main" id="{00000000-0008-0000-0E00-000035780000}"/>
            </a:ext>
          </a:extLst>
        </xdr:cNvPr>
        <xdr:cNvSpPr>
          <a:spLocks/>
        </xdr:cNvSpPr>
      </xdr:nvSpPr>
      <xdr:spPr bwMode="auto">
        <a:xfrm>
          <a:off x="6115050" y="20745450"/>
          <a:ext cx="76200" cy="1676400"/>
        </a:xfrm>
        <a:prstGeom prst="rightBrace">
          <a:avLst>
            <a:gd name="adj1" fmla="val 18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199</xdr:row>
      <xdr:rowOff>19050</xdr:rowOff>
    </xdr:from>
    <xdr:to>
      <xdr:col>7</xdr:col>
      <xdr:colOff>85725</xdr:colOff>
      <xdr:row>207</xdr:row>
      <xdr:rowOff>0</xdr:rowOff>
    </xdr:to>
    <xdr:sp macro="" textlink="">
      <xdr:nvSpPr>
        <xdr:cNvPr id="30774" name="AutoShape 3">
          <a:extLst>
            <a:ext uri="{FF2B5EF4-FFF2-40B4-BE49-F238E27FC236}">
              <a16:creationId xmlns:a16="http://schemas.microsoft.com/office/drawing/2014/main" id="{00000000-0008-0000-0E00-000036780000}"/>
            </a:ext>
          </a:extLst>
        </xdr:cNvPr>
        <xdr:cNvSpPr>
          <a:spLocks/>
        </xdr:cNvSpPr>
      </xdr:nvSpPr>
      <xdr:spPr bwMode="auto">
        <a:xfrm>
          <a:off x="5934075" y="31375350"/>
          <a:ext cx="66675" cy="1276350"/>
        </a:xfrm>
        <a:prstGeom prst="rightBrace">
          <a:avLst>
            <a:gd name="adj1" fmla="val 15952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192</xdr:row>
      <xdr:rowOff>19050</xdr:rowOff>
    </xdr:from>
    <xdr:to>
      <xdr:col>7</xdr:col>
      <xdr:colOff>85725</xdr:colOff>
      <xdr:row>197</xdr:row>
      <xdr:rowOff>133350</xdr:rowOff>
    </xdr:to>
    <xdr:sp macro="" textlink="">
      <xdr:nvSpPr>
        <xdr:cNvPr id="30775" name="AutoShape 4">
          <a:extLst>
            <a:ext uri="{FF2B5EF4-FFF2-40B4-BE49-F238E27FC236}">
              <a16:creationId xmlns:a16="http://schemas.microsoft.com/office/drawing/2014/main" id="{00000000-0008-0000-0E00-000037780000}"/>
            </a:ext>
          </a:extLst>
        </xdr:cNvPr>
        <xdr:cNvSpPr>
          <a:spLocks/>
        </xdr:cNvSpPr>
      </xdr:nvSpPr>
      <xdr:spPr bwMode="auto">
        <a:xfrm>
          <a:off x="5943600" y="30327600"/>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155</xdr:row>
      <xdr:rowOff>9525</xdr:rowOff>
    </xdr:from>
    <xdr:to>
      <xdr:col>7</xdr:col>
      <xdr:colOff>104775</xdr:colOff>
      <xdr:row>191</xdr:row>
      <xdr:rowOff>9525</xdr:rowOff>
    </xdr:to>
    <xdr:sp macro="" textlink="">
      <xdr:nvSpPr>
        <xdr:cNvPr id="30776" name="AutoShape 5">
          <a:extLst>
            <a:ext uri="{FF2B5EF4-FFF2-40B4-BE49-F238E27FC236}">
              <a16:creationId xmlns:a16="http://schemas.microsoft.com/office/drawing/2014/main" id="{00000000-0008-0000-0E00-000038780000}"/>
            </a:ext>
          </a:extLst>
        </xdr:cNvPr>
        <xdr:cNvSpPr>
          <a:spLocks/>
        </xdr:cNvSpPr>
      </xdr:nvSpPr>
      <xdr:spPr bwMode="auto">
        <a:xfrm>
          <a:off x="5924550" y="26841450"/>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212</xdr:row>
      <xdr:rowOff>152400</xdr:rowOff>
    </xdr:from>
    <xdr:to>
      <xdr:col>7</xdr:col>
      <xdr:colOff>123825</xdr:colOff>
      <xdr:row>219</xdr:row>
      <xdr:rowOff>9525</xdr:rowOff>
    </xdr:to>
    <xdr:sp macro="" textlink="">
      <xdr:nvSpPr>
        <xdr:cNvPr id="30777" name="AutoShape 6">
          <a:extLst>
            <a:ext uri="{FF2B5EF4-FFF2-40B4-BE49-F238E27FC236}">
              <a16:creationId xmlns:a16="http://schemas.microsoft.com/office/drawing/2014/main" id="{00000000-0008-0000-0E00-000039780000}"/>
            </a:ext>
          </a:extLst>
        </xdr:cNvPr>
        <xdr:cNvSpPr>
          <a:spLocks/>
        </xdr:cNvSpPr>
      </xdr:nvSpPr>
      <xdr:spPr bwMode="auto">
        <a:xfrm>
          <a:off x="5962650" y="33623250"/>
          <a:ext cx="76200" cy="1114425"/>
        </a:xfrm>
        <a:prstGeom prst="rightBrace">
          <a:avLst>
            <a:gd name="adj1" fmla="val 12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109</xdr:row>
      <xdr:rowOff>0</xdr:rowOff>
    </xdr:from>
    <xdr:to>
      <xdr:col>7</xdr:col>
      <xdr:colOff>85725</xdr:colOff>
      <xdr:row>112</xdr:row>
      <xdr:rowOff>123825</xdr:rowOff>
    </xdr:to>
    <xdr:sp macro="" textlink="">
      <xdr:nvSpPr>
        <xdr:cNvPr id="30778" name="AutoShape 7">
          <a:extLst>
            <a:ext uri="{FF2B5EF4-FFF2-40B4-BE49-F238E27FC236}">
              <a16:creationId xmlns:a16="http://schemas.microsoft.com/office/drawing/2014/main" id="{00000000-0008-0000-0E00-00003A780000}"/>
            </a:ext>
          </a:extLst>
        </xdr:cNvPr>
        <xdr:cNvSpPr>
          <a:spLocks/>
        </xdr:cNvSpPr>
      </xdr:nvSpPr>
      <xdr:spPr bwMode="auto">
        <a:xfrm>
          <a:off x="5934075" y="17202150"/>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71</xdr:row>
      <xdr:rowOff>0</xdr:rowOff>
    </xdr:from>
    <xdr:to>
      <xdr:col>7</xdr:col>
      <xdr:colOff>123825</xdr:colOff>
      <xdr:row>106</xdr:row>
      <xdr:rowOff>9525</xdr:rowOff>
    </xdr:to>
    <xdr:sp macro="" textlink="">
      <xdr:nvSpPr>
        <xdr:cNvPr id="30779" name="AutoShape 8">
          <a:extLst>
            <a:ext uri="{FF2B5EF4-FFF2-40B4-BE49-F238E27FC236}">
              <a16:creationId xmlns:a16="http://schemas.microsoft.com/office/drawing/2014/main" id="{00000000-0008-0000-0E00-00003B780000}"/>
            </a:ext>
          </a:extLst>
        </xdr:cNvPr>
        <xdr:cNvSpPr>
          <a:spLocks/>
        </xdr:cNvSpPr>
      </xdr:nvSpPr>
      <xdr:spPr bwMode="auto">
        <a:xfrm>
          <a:off x="5962650" y="13544550"/>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1457325</xdr:rowOff>
    </xdr:from>
    <xdr:to>
      <xdr:col>9</xdr:col>
      <xdr:colOff>9525</xdr:colOff>
      <xdr:row>13</xdr:row>
      <xdr:rowOff>0</xdr:rowOff>
    </xdr:to>
    <xdr:sp macro="" textlink="">
      <xdr:nvSpPr>
        <xdr:cNvPr id="21513" name="Text Box 9">
          <a:extLst>
            <a:ext uri="{FF2B5EF4-FFF2-40B4-BE49-F238E27FC236}">
              <a16:creationId xmlns:a16="http://schemas.microsoft.com/office/drawing/2014/main" id="{00000000-0008-0000-0E00-000009540000}"/>
            </a:ext>
          </a:extLst>
        </xdr:cNvPr>
        <xdr:cNvSpPr txBox="1">
          <a:spLocks noChangeArrowheads="1"/>
        </xdr:cNvSpPr>
      </xdr:nvSpPr>
      <xdr:spPr bwMode="auto">
        <a:xfrm>
          <a:off x="238125" y="74295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bases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1066800</xdr:colOff>
      <xdr:row>198</xdr:row>
      <xdr:rowOff>257175</xdr:rowOff>
    </xdr:from>
    <xdr:to>
      <xdr:col>13</xdr:col>
      <xdr:colOff>38100</xdr:colOff>
      <xdr:row>206</xdr:row>
      <xdr:rowOff>0</xdr:rowOff>
    </xdr:to>
    <xdr:sp macro="" textlink="">
      <xdr:nvSpPr>
        <xdr:cNvPr id="31798" name="AutoShape 2">
          <a:extLst>
            <a:ext uri="{FF2B5EF4-FFF2-40B4-BE49-F238E27FC236}">
              <a16:creationId xmlns:a16="http://schemas.microsoft.com/office/drawing/2014/main" id="{00000000-0008-0000-0F00-0000367C0000}"/>
            </a:ext>
          </a:extLst>
        </xdr:cNvPr>
        <xdr:cNvSpPr>
          <a:spLocks/>
        </xdr:cNvSpPr>
      </xdr:nvSpPr>
      <xdr:spPr bwMode="auto">
        <a:xfrm>
          <a:off x="6886575" y="38357175"/>
          <a:ext cx="123825" cy="1038225"/>
        </a:xfrm>
        <a:prstGeom prst="rightBrace">
          <a:avLst>
            <a:gd name="adj1" fmla="val 69872"/>
            <a:gd name="adj2" fmla="val 4954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1047750</xdr:colOff>
      <xdr:row>207</xdr:row>
      <xdr:rowOff>9525</xdr:rowOff>
    </xdr:from>
    <xdr:to>
      <xdr:col>13</xdr:col>
      <xdr:colOff>57150</xdr:colOff>
      <xdr:row>211</xdr:row>
      <xdr:rowOff>133350</xdr:rowOff>
    </xdr:to>
    <xdr:sp macro="" textlink="">
      <xdr:nvSpPr>
        <xdr:cNvPr id="31799" name="AutoShape 3">
          <a:extLst>
            <a:ext uri="{FF2B5EF4-FFF2-40B4-BE49-F238E27FC236}">
              <a16:creationId xmlns:a16="http://schemas.microsoft.com/office/drawing/2014/main" id="{00000000-0008-0000-0F00-0000377C0000}"/>
            </a:ext>
          </a:extLst>
        </xdr:cNvPr>
        <xdr:cNvSpPr>
          <a:spLocks/>
        </xdr:cNvSpPr>
      </xdr:nvSpPr>
      <xdr:spPr bwMode="auto">
        <a:xfrm>
          <a:off x="6867525" y="39462075"/>
          <a:ext cx="161925" cy="771525"/>
        </a:xfrm>
        <a:prstGeom prst="rightBrace">
          <a:avLst>
            <a:gd name="adj1" fmla="val 39706"/>
            <a:gd name="adj2" fmla="val 4691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1019175</xdr:colOff>
      <xdr:row>213</xdr:row>
      <xdr:rowOff>9525</xdr:rowOff>
    </xdr:from>
    <xdr:to>
      <xdr:col>13</xdr:col>
      <xdr:colOff>19050</xdr:colOff>
      <xdr:row>216</xdr:row>
      <xdr:rowOff>142875</xdr:rowOff>
    </xdr:to>
    <xdr:sp macro="" textlink="">
      <xdr:nvSpPr>
        <xdr:cNvPr id="31800" name="AutoShape 5">
          <a:extLst>
            <a:ext uri="{FF2B5EF4-FFF2-40B4-BE49-F238E27FC236}">
              <a16:creationId xmlns:a16="http://schemas.microsoft.com/office/drawing/2014/main" id="{00000000-0008-0000-0F00-0000387C0000}"/>
            </a:ext>
          </a:extLst>
        </xdr:cNvPr>
        <xdr:cNvSpPr>
          <a:spLocks/>
        </xdr:cNvSpPr>
      </xdr:nvSpPr>
      <xdr:spPr bwMode="auto">
        <a:xfrm>
          <a:off x="6838950" y="40319325"/>
          <a:ext cx="152400" cy="619125"/>
        </a:xfrm>
        <a:prstGeom prst="rightBrace">
          <a:avLst>
            <a:gd name="adj1" fmla="val 3385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1057275</xdr:colOff>
      <xdr:row>217</xdr:row>
      <xdr:rowOff>57150</xdr:rowOff>
    </xdr:from>
    <xdr:to>
      <xdr:col>13</xdr:col>
      <xdr:colOff>19050</xdr:colOff>
      <xdr:row>221</xdr:row>
      <xdr:rowOff>152400</xdr:rowOff>
    </xdr:to>
    <xdr:sp macro="" textlink="">
      <xdr:nvSpPr>
        <xdr:cNvPr id="31801" name="AutoShape 6">
          <a:extLst>
            <a:ext uri="{FF2B5EF4-FFF2-40B4-BE49-F238E27FC236}">
              <a16:creationId xmlns:a16="http://schemas.microsoft.com/office/drawing/2014/main" id="{00000000-0008-0000-0F00-0000397C0000}"/>
            </a:ext>
          </a:extLst>
        </xdr:cNvPr>
        <xdr:cNvSpPr>
          <a:spLocks/>
        </xdr:cNvSpPr>
      </xdr:nvSpPr>
      <xdr:spPr bwMode="auto">
        <a:xfrm>
          <a:off x="6877050" y="41014650"/>
          <a:ext cx="114300" cy="647700"/>
        </a:xfrm>
        <a:prstGeom prst="rightBrace">
          <a:avLst>
            <a:gd name="adj1" fmla="val 472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1057275</xdr:colOff>
      <xdr:row>242</xdr:row>
      <xdr:rowOff>66675</xdr:rowOff>
    </xdr:from>
    <xdr:to>
      <xdr:col>13</xdr:col>
      <xdr:colOff>95250</xdr:colOff>
      <xdr:row>268</xdr:row>
      <xdr:rowOff>19050</xdr:rowOff>
    </xdr:to>
    <xdr:sp macro="" textlink="">
      <xdr:nvSpPr>
        <xdr:cNvPr id="31802" name="AutoShape 7">
          <a:extLst>
            <a:ext uri="{FF2B5EF4-FFF2-40B4-BE49-F238E27FC236}">
              <a16:creationId xmlns:a16="http://schemas.microsoft.com/office/drawing/2014/main" id="{00000000-0008-0000-0F00-00003A7C0000}"/>
            </a:ext>
          </a:extLst>
        </xdr:cNvPr>
        <xdr:cNvSpPr>
          <a:spLocks/>
        </xdr:cNvSpPr>
      </xdr:nvSpPr>
      <xdr:spPr bwMode="auto">
        <a:xfrm>
          <a:off x="6877050" y="44434125"/>
          <a:ext cx="190500" cy="4162425"/>
        </a:xfrm>
        <a:prstGeom prst="rightBrace">
          <a:avLst>
            <a:gd name="adj1" fmla="val 1820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1076325</xdr:colOff>
      <xdr:row>268</xdr:row>
      <xdr:rowOff>9525</xdr:rowOff>
    </xdr:from>
    <xdr:to>
      <xdr:col>13</xdr:col>
      <xdr:colOff>28575</xdr:colOff>
      <xdr:row>278</xdr:row>
      <xdr:rowOff>104775</xdr:rowOff>
    </xdr:to>
    <xdr:sp macro="" textlink="">
      <xdr:nvSpPr>
        <xdr:cNvPr id="31803" name="AutoShape 8">
          <a:extLst>
            <a:ext uri="{FF2B5EF4-FFF2-40B4-BE49-F238E27FC236}">
              <a16:creationId xmlns:a16="http://schemas.microsoft.com/office/drawing/2014/main" id="{00000000-0008-0000-0F00-00003B7C0000}"/>
            </a:ext>
          </a:extLst>
        </xdr:cNvPr>
        <xdr:cNvSpPr>
          <a:spLocks/>
        </xdr:cNvSpPr>
      </xdr:nvSpPr>
      <xdr:spPr bwMode="auto">
        <a:xfrm>
          <a:off x="6896100" y="48587025"/>
          <a:ext cx="104775" cy="1590675"/>
        </a:xfrm>
        <a:prstGeom prst="rightBrace">
          <a:avLst>
            <a:gd name="adj1" fmla="val 126515"/>
            <a:gd name="adj2" fmla="val 5054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1028700</xdr:colOff>
      <xdr:row>223</xdr:row>
      <xdr:rowOff>9525</xdr:rowOff>
    </xdr:from>
    <xdr:to>
      <xdr:col>13</xdr:col>
      <xdr:colOff>28575</xdr:colOff>
      <xdr:row>241</xdr:row>
      <xdr:rowOff>9525</xdr:rowOff>
    </xdr:to>
    <xdr:sp macro="" textlink="">
      <xdr:nvSpPr>
        <xdr:cNvPr id="31804" name="AutoShape 10">
          <a:extLst>
            <a:ext uri="{FF2B5EF4-FFF2-40B4-BE49-F238E27FC236}">
              <a16:creationId xmlns:a16="http://schemas.microsoft.com/office/drawing/2014/main" id="{00000000-0008-0000-0F00-00003C7C0000}"/>
            </a:ext>
          </a:extLst>
        </xdr:cNvPr>
        <xdr:cNvSpPr>
          <a:spLocks/>
        </xdr:cNvSpPr>
      </xdr:nvSpPr>
      <xdr:spPr bwMode="auto">
        <a:xfrm>
          <a:off x="6848475" y="41729025"/>
          <a:ext cx="152400" cy="2590800"/>
        </a:xfrm>
        <a:prstGeom prst="rightBrace">
          <a:avLst>
            <a:gd name="adj1" fmla="val 14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1066800</xdr:colOff>
      <xdr:row>284</xdr:row>
      <xdr:rowOff>0</xdr:rowOff>
    </xdr:from>
    <xdr:to>
      <xdr:col>13</xdr:col>
      <xdr:colOff>38100</xdr:colOff>
      <xdr:row>296</xdr:row>
      <xdr:rowOff>152400</xdr:rowOff>
    </xdr:to>
    <xdr:sp macro="" textlink="">
      <xdr:nvSpPr>
        <xdr:cNvPr id="31805" name="AutoShape 11">
          <a:extLst>
            <a:ext uri="{FF2B5EF4-FFF2-40B4-BE49-F238E27FC236}">
              <a16:creationId xmlns:a16="http://schemas.microsoft.com/office/drawing/2014/main" id="{00000000-0008-0000-0F00-00003D7C0000}"/>
            </a:ext>
          </a:extLst>
        </xdr:cNvPr>
        <xdr:cNvSpPr>
          <a:spLocks/>
        </xdr:cNvSpPr>
      </xdr:nvSpPr>
      <xdr:spPr bwMode="auto">
        <a:xfrm>
          <a:off x="6886575" y="50920650"/>
          <a:ext cx="123825" cy="2095500"/>
        </a:xfrm>
        <a:prstGeom prst="rightBrace">
          <a:avLst>
            <a:gd name="adj1" fmla="val 14102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280</xdr:row>
      <xdr:rowOff>0</xdr:rowOff>
    </xdr:from>
    <xdr:to>
      <xdr:col>13</xdr:col>
      <xdr:colOff>28575</xdr:colOff>
      <xdr:row>284</xdr:row>
      <xdr:rowOff>0</xdr:rowOff>
    </xdr:to>
    <xdr:sp macro="" textlink="">
      <xdr:nvSpPr>
        <xdr:cNvPr id="31806" name="AutoShape 14">
          <a:extLst>
            <a:ext uri="{FF2B5EF4-FFF2-40B4-BE49-F238E27FC236}">
              <a16:creationId xmlns:a16="http://schemas.microsoft.com/office/drawing/2014/main" id="{00000000-0008-0000-0F00-00003E7C0000}"/>
            </a:ext>
          </a:extLst>
        </xdr:cNvPr>
        <xdr:cNvSpPr>
          <a:spLocks/>
        </xdr:cNvSpPr>
      </xdr:nvSpPr>
      <xdr:spPr bwMode="auto">
        <a:xfrm>
          <a:off x="6924675" y="50330100"/>
          <a:ext cx="76200" cy="590550"/>
        </a:xfrm>
        <a:prstGeom prst="rightBrace">
          <a:avLst>
            <a:gd name="adj1" fmla="val 645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19050</xdr:colOff>
      <xdr:row>70</xdr:row>
      <xdr:rowOff>0</xdr:rowOff>
    </xdr:from>
    <xdr:to>
      <xdr:col>3</xdr:col>
      <xdr:colOff>95250</xdr:colOff>
      <xdr:row>70</xdr:row>
      <xdr:rowOff>0</xdr:rowOff>
    </xdr:to>
    <xdr:sp macro="" textlink="">
      <xdr:nvSpPr>
        <xdr:cNvPr id="19935" name="AutoShape 3">
          <a:extLst>
            <a:ext uri="{FF2B5EF4-FFF2-40B4-BE49-F238E27FC236}">
              <a16:creationId xmlns:a16="http://schemas.microsoft.com/office/drawing/2014/main" id="{00000000-0008-0000-1000-0000DF4D0000}"/>
            </a:ext>
          </a:extLst>
        </xdr:cNvPr>
        <xdr:cNvSpPr>
          <a:spLocks/>
        </xdr:cNvSpPr>
      </xdr:nvSpPr>
      <xdr:spPr bwMode="auto">
        <a:xfrm>
          <a:off x="3829050" y="11239500"/>
          <a:ext cx="7620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19050</xdr:colOff>
      <xdr:row>70</xdr:row>
      <xdr:rowOff>19050</xdr:rowOff>
    </xdr:from>
    <xdr:to>
      <xdr:col>3</xdr:col>
      <xdr:colOff>95250</xdr:colOff>
      <xdr:row>78</xdr:row>
      <xdr:rowOff>133350</xdr:rowOff>
    </xdr:to>
    <xdr:sp macro="" textlink="">
      <xdr:nvSpPr>
        <xdr:cNvPr id="19936" name="AutoShape 4">
          <a:extLst>
            <a:ext uri="{FF2B5EF4-FFF2-40B4-BE49-F238E27FC236}">
              <a16:creationId xmlns:a16="http://schemas.microsoft.com/office/drawing/2014/main" id="{00000000-0008-0000-1000-0000E04D0000}"/>
            </a:ext>
          </a:extLst>
        </xdr:cNvPr>
        <xdr:cNvSpPr>
          <a:spLocks/>
        </xdr:cNvSpPr>
      </xdr:nvSpPr>
      <xdr:spPr bwMode="auto">
        <a:xfrm>
          <a:off x="3829050" y="11258550"/>
          <a:ext cx="76200" cy="1571625"/>
        </a:xfrm>
        <a:prstGeom prst="rightBrace">
          <a:avLst>
            <a:gd name="adj1" fmla="val 17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56</xdr:row>
      <xdr:rowOff>0</xdr:rowOff>
    </xdr:from>
    <xdr:to>
      <xdr:col>5</xdr:col>
      <xdr:colOff>114300</xdr:colOff>
      <xdr:row>67</xdr:row>
      <xdr:rowOff>114300</xdr:rowOff>
    </xdr:to>
    <xdr:sp macro="" textlink="">
      <xdr:nvSpPr>
        <xdr:cNvPr id="19937" name="AutoShape 5">
          <a:extLst>
            <a:ext uri="{FF2B5EF4-FFF2-40B4-BE49-F238E27FC236}">
              <a16:creationId xmlns:a16="http://schemas.microsoft.com/office/drawing/2014/main" id="{00000000-0008-0000-1000-0000E14D0000}"/>
            </a:ext>
          </a:extLst>
        </xdr:cNvPr>
        <xdr:cNvSpPr>
          <a:spLocks/>
        </xdr:cNvSpPr>
      </xdr:nvSpPr>
      <xdr:spPr bwMode="auto">
        <a:xfrm>
          <a:off x="5676900" y="9296400"/>
          <a:ext cx="76200" cy="1571625"/>
        </a:xfrm>
        <a:prstGeom prst="rightBrace">
          <a:avLst>
            <a:gd name="adj1" fmla="val 17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217170</xdr:colOff>
      <xdr:row>7</xdr:row>
      <xdr:rowOff>76200</xdr:rowOff>
    </xdr:from>
    <xdr:to>
      <xdr:col>9</xdr:col>
      <xdr:colOff>0</xdr:colOff>
      <xdr:row>12</xdr:row>
      <xdr:rowOff>1905</xdr:rowOff>
    </xdr:to>
    <xdr:sp macro="" textlink="">
      <xdr:nvSpPr>
        <xdr:cNvPr id="19462" name="Text Box 6">
          <a:extLst>
            <a:ext uri="{FF2B5EF4-FFF2-40B4-BE49-F238E27FC236}">
              <a16:creationId xmlns:a16="http://schemas.microsoft.com/office/drawing/2014/main" id="{00000000-0008-0000-1000-0000064C0000}"/>
            </a:ext>
          </a:extLst>
        </xdr:cNvPr>
        <xdr:cNvSpPr txBox="1">
          <a:spLocks noChangeArrowheads="1"/>
        </xdr:cNvSpPr>
      </xdr:nvSpPr>
      <xdr:spPr bwMode="auto">
        <a:xfrm>
          <a:off x="219075" y="2095500"/>
          <a:ext cx="8115300" cy="1362075"/>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000"/>
            </a:lnSpc>
            <a:defRPr sz="1000"/>
          </a:pPr>
          <a:r>
            <a:rPr lang="en-US" sz="1000" b="0" i="0" u="none" strike="noStrike" baseline="0">
              <a:solidFill>
                <a:srgbClr val="000000"/>
              </a:solidFill>
              <a:latin typeface="Arial"/>
              <a:cs typeface="Arial"/>
            </a:rPr>
            <a:t>Restricted net position is calculated in total for the government-wide activities.  However, the fund statements are needed to begin this calculation. In the yellow cells below, enter the indicated totals by function (which may require some aggregation of funds).  For example, the functional expenditure for the Emergency Telephone System Special Revenue Fund  is public safety, so the restricted net position for that fund is calculated entirely on that line.  The transportation function is Powell Bill funds that are a part of the General Fund.  Restricted net position is that restricted by an external source such as a grantor agency or a creditor, or restricted by board action in conjunction with separate legislation, such as the levying of an occupancy tax.  Board action by itself is not enough to restrict net position.  Once the determination is made that restricted net position exists, then the total amount to be restricted must be calculated to include any receivables of that asset less any payables or unearned income that relate to that asset (not accounted for in the Stabilization by State Statute amount). All numbers are entered as positive numbers.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c0051\AppData\Local\Microsoft\Windows\Temporary%20Internet%20Files\Content.Outlook\2YIUDKCC\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JakeLorentz\Desktop\Dogwood\2%20Dogwood%20WIP\2023%20Marked%20Up%20Files\FY23%20City%20of%20Dogwood%20Governmental%20Activities%20Conversion%20Worksheet%20with%20JWL%20chan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s>
    <sheetDataSet>
      <sheetData sheetId="0"/>
      <sheetData sheetId="1"/>
      <sheetData sheetId="2"/>
      <sheetData sheetId="3">
        <row r="39">
          <cell r="L39">
            <v>4249859016</v>
          </cell>
        </row>
        <row r="42">
          <cell r="K42" t="str">
            <v>C</v>
          </cell>
          <cell r="L42">
            <v>329196929</v>
          </cell>
        </row>
        <row r="43">
          <cell r="L43">
            <v>162733483</v>
          </cell>
        </row>
        <row r="44">
          <cell r="L44">
            <v>29528</v>
          </cell>
        </row>
        <row r="45">
          <cell r="K45" t="str">
            <v>C</v>
          </cell>
          <cell r="L45">
            <v>1234415</v>
          </cell>
        </row>
        <row r="46">
          <cell r="K46" t="str">
            <v>C</v>
          </cell>
          <cell r="L46">
            <v>12649523</v>
          </cell>
        </row>
        <row r="47">
          <cell r="L47">
            <v>505843878</v>
          </cell>
        </row>
        <row r="50">
          <cell r="L50">
            <v>272886687</v>
          </cell>
        </row>
        <row r="51">
          <cell r="K51" t="str">
            <v>P</v>
          </cell>
          <cell r="L51">
            <v>48038073</v>
          </cell>
        </row>
        <row r="52">
          <cell r="K52" t="str">
            <v>P</v>
          </cell>
          <cell r="L52">
            <v>3242156</v>
          </cell>
        </row>
        <row r="53">
          <cell r="K53" t="str">
            <v>P</v>
          </cell>
          <cell r="L53">
            <v>21864</v>
          </cell>
        </row>
        <row r="54">
          <cell r="L54">
            <v>324188780</v>
          </cell>
        </row>
        <row r="56">
          <cell r="L56">
            <v>4431514114</v>
          </cell>
        </row>
        <row r="60">
          <cell r="L60">
            <v>15473778789</v>
          </cell>
        </row>
        <row r="65">
          <cell r="L65">
            <v>315973832</v>
          </cell>
        </row>
        <row r="66">
          <cell r="L66">
            <v>70637813</v>
          </cell>
        </row>
        <row r="67">
          <cell r="L67">
            <v>278178</v>
          </cell>
        </row>
        <row r="68">
          <cell r="L68">
            <v>475429</v>
          </cell>
        </row>
        <row r="70">
          <cell r="L70">
            <v>11012485</v>
          </cell>
        </row>
        <row r="71">
          <cell r="L71">
            <v>11130</v>
          </cell>
        </row>
        <row r="72">
          <cell r="K72" t="str">
            <v>C</v>
          </cell>
          <cell r="L72">
            <v>398388867</v>
          </cell>
        </row>
        <row r="74">
          <cell r="L74">
            <v>2388746266</v>
          </cell>
        </row>
        <row r="75">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3">
          <cell r="L83">
            <v>3064914391</v>
          </cell>
        </row>
        <row r="86">
          <cell r="K86" t="str">
            <v>P</v>
          </cell>
          <cell r="L86">
            <v>1013743417</v>
          </cell>
        </row>
        <row r="87">
          <cell r="L87">
            <v>29528</v>
          </cell>
        </row>
        <row r="88">
          <cell r="L88">
            <v>162733483</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L95">
            <v>1185952194</v>
          </cell>
        </row>
      </sheetData>
      <sheetData sheetId="4"/>
      <sheetData sheetId="5"/>
      <sheetData sheetId="6"/>
      <sheetData sheetId="7"/>
      <sheetData sheetId="8"/>
      <sheetData sheetId="9"/>
      <sheetData sheetId="10"/>
      <sheetData sheetId="11"/>
      <sheetData sheetId="12"/>
      <sheetData sheetId="13"/>
      <sheetData sheetId="14">
        <row r="7">
          <cell r="B7">
            <v>70505</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Conversion Worksheet"/>
      <sheetName val="A. Revenue by function"/>
      <sheetName val="B.  Property Taxes"/>
      <sheetName val="C. Other Revenues"/>
      <sheetName val="D. Depreciation"/>
      <sheetName val="E. Capital Outlay"/>
      <sheetName val="F.  Other Cap Asset Entries"/>
      <sheetName val="G. Debt Service"/>
      <sheetName val="H. Debt Issues"/>
      <sheetName val="I.  Other Asset Entries"/>
      <sheetName val="J. Other Liability &amp; Expenses"/>
      <sheetName val="K.1  Int. Service Fd Allocation"/>
      <sheetName val="K.2  Int. Service Fd Alloca"/>
      <sheetName val="K.3 Int. Service Fd Alloca"/>
      <sheetName val="L. Eliminations-Consolidations"/>
      <sheetName val="M. Net Position Calculation"/>
      <sheetName val="N.1a LGERS Data CY"/>
      <sheetName val="N.1b LGERS Data PY"/>
      <sheetName val="N.1a 2019 summary"/>
      <sheetName val="N.1a 2018 summary"/>
      <sheetName val="N.1 GASB 68 LGERS"/>
      <sheetName val="N.1b 2017 summary"/>
      <sheetName val="N.1c LGERS Contributions FY2018"/>
      <sheetName val="N.1c LGERS Contributions FY2017"/>
      <sheetName val="N.2 GASB 68 FRSWPF"/>
      <sheetName val="O. GASB 73 LEO Entries"/>
      <sheetName val="P. GASB 75 OPEB 1 Entries"/>
      <sheetName val="P. GASB 75 OPEB 2 Entries "/>
      <sheetName val="P. GASB 75 3 OPEB Entries "/>
      <sheetName val="Q. GASB 87 Lease Entries"/>
      <sheetName val="R. GASB 96 Subscription Entries"/>
    </sheetNames>
    <sheetDataSet>
      <sheetData sheetId="0"/>
      <sheetData sheetId="1"/>
      <sheetData sheetId="2"/>
      <sheetData sheetId="3"/>
      <sheetData sheetId="4"/>
      <sheetData sheetId="5">
        <row r="53">
          <cell r="A53" t="str">
            <v>D.1</v>
          </cell>
        </row>
      </sheetData>
      <sheetData sheetId="6">
        <row r="51">
          <cell r="D51" t="str">
            <v>E.1</v>
          </cell>
        </row>
      </sheetData>
      <sheetData sheetId="7">
        <row r="214">
          <cell r="D214" t="str">
            <v>F.1</v>
          </cell>
        </row>
      </sheetData>
      <sheetData sheetId="8">
        <row r="47">
          <cell r="D47" t="str">
            <v>G.1</v>
          </cell>
        </row>
      </sheetData>
      <sheetData sheetId="9">
        <row r="77">
          <cell r="D77" t="str">
            <v>H.1</v>
          </cell>
        </row>
      </sheetData>
      <sheetData sheetId="10"/>
      <sheetData sheetId="11"/>
      <sheetData sheetId="12"/>
      <sheetData sheetId="13"/>
      <sheetData sheetId="14"/>
      <sheetData sheetId="15">
        <row r="224">
          <cell r="A224" t="str">
            <v>L.6</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6.bin"/><Relationship Id="rId4" Type="http://schemas.openxmlformats.org/officeDocument/2006/relationships/comments" Target="../comments9.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nctreasurer.com/state-and-local-government-finance-division/local-government-commission/memo-document"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25"/>
  <sheetViews>
    <sheetView workbookViewId="0"/>
  </sheetViews>
  <sheetFormatPr defaultRowHeight="12.75" x14ac:dyDescent="0.2"/>
  <cols>
    <col min="1" max="1" width="3.28515625" customWidth="1"/>
    <col min="11" max="11" width="17.42578125" customWidth="1"/>
    <col min="12" max="12" width="3.42578125" customWidth="1"/>
  </cols>
  <sheetData>
    <row r="1" spans="1:11" ht="7.5" customHeight="1" x14ac:dyDescent="0.2"/>
    <row r="2" spans="1:11" x14ac:dyDescent="0.2">
      <c r="A2" s="885" t="s">
        <v>842</v>
      </c>
      <c r="B2" s="886"/>
      <c r="C2" s="886"/>
      <c r="D2" s="886"/>
      <c r="E2" s="886"/>
      <c r="F2" s="886"/>
      <c r="G2" s="886"/>
      <c r="H2" s="886"/>
      <c r="I2" s="886"/>
      <c r="J2" s="886"/>
      <c r="K2" s="887"/>
    </row>
    <row r="3" spans="1:11" ht="21" customHeight="1" x14ac:dyDescent="0.2">
      <c r="A3" s="888"/>
      <c r="B3" s="889"/>
      <c r="C3" s="889"/>
      <c r="D3" s="889"/>
      <c r="E3" s="889"/>
      <c r="F3" s="889"/>
      <c r="G3" s="889"/>
      <c r="H3" s="889"/>
      <c r="I3" s="889"/>
      <c r="J3" s="889"/>
      <c r="K3" s="890"/>
    </row>
    <row r="4" spans="1:11" ht="8.25" customHeight="1" x14ac:dyDescent="0.2"/>
    <row r="5" spans="1:11" x14ac:dyDescent="0.2">
      <c r="A5" s="883" t="s">
        <v>135</v>
      </c>
      <c r="B5" s="883"/>
      <c r="C5" s="883"/>
      <c r="D5" s="883"/>
      <c r="E5" s="883"/>
      <c r="F5" s="883"/>
      <c r="G5" s="883"/>
      <c r="H5" s="883"/>
      <c r="I5" s="883"/>
      <c r="J5" s="883"/>
      <c r="K5" s="883"/>
    </row>
    <row r="6" spans="1:11" x14ac:dyDescent="0.2">
      <c r="A6" s="883"/>
      <c r="B6" s="883"/>
      <c r="C6" s="883"/>
      <c r="D6" s="883"/>
      <c r="E6" s="883"/>
      <c r="F6" s="883"/>
      <c r="G6" s="883"/>
      <c r="H6" s="883"/>
      <c r="I6" s="883"/>
      <c r="J6" s="883"/>
      <c r="K6" s="883"/>
    </row>
    <row r="7" spans="1:11" ht="24.75" customHeight="1" x14ac:dyDescent="0.2">
      <c r="A7" s="883"/>
      <c r="B7" s="883"/>
      <c r="C7" s="883"/>
      <c r="D7" s="883"/>
      <c r="E7" s="883"/>
      <c r="F7" s="883"/>
      <c r="G7" s="883"/>
      <c r="H7" s="883"/>
      <c r="I7" s="883"/>
      <c r="J7" s="883"/>
      <c r="K7" s="883"/>
    </row>
    <row r="8" spans="1:11" ht="9.75" customHeight="1" x14ac:dyDescent="0.2"/>
    <row r="9" spans="1:11" ht="12.75" customHeight="1" x14ac:dyDescent="0.2">
      <c r="A9" s="883" t="s">
        <v>297</v>
      </c>
      <c r="B9" s="883"/>
      <c r="C9" s="883"/>
      <c r="D9" s="883"/>
      <c r="E9" s="883"/>
      <c r="F9" s="883"/>
      <c r="G9" s="883"/>
      <c r="H9" s="883"/>
      <c r="I9" s="883"/>
      <c r="J9" s="883"/>
      <c r="K9" s="883"/>
    </row>
    <row r="10" spans="1:11" ht="36.75" customHeight="1" x14ac:dyDescent="0.2">
      <c r="A10" s="883"/>
      <c r="B10" s="883"/>
      <c r="C10" s="883"/>
      <c r="D10" s="883"/>
      <c r="E10" s="883"/>
      <c r="F10" s="883"/>
      <c r="G10" s="883"/>
      <c r="H10" s="883"/>
      <c r="I10" s="883"/>
      <c r="J10" s="883"/>
      <c r="K10" s="883"/>
    </row>
    <row r="11" spans="1:11" ht="9.75" customHeight="1" x14ac:dyDescent="0.2"/>
    <row r="12" spans="1:11" x14ac:dyDescent="0.2">
      <c r="A12" s="883" t="s">
        <v>677</v>
      </c>
      <c r="B12" s="883"/>
      <c r="C12" s="883"/>
      <c r="D12" s="883"/>
      <c r="E12" s="883"/>
      <c r="F12" s="883"/>
      <c r="G12" s="883"/>
      <c r="H12" s="883"/>
      <c r="I12" s="883"/>
      <c r="J12" s="883"/>
      <c r="K12" s="883"/>
    </row>
    <row r="13" spans="1:11" x14ac:dyDescent="0.2">
      <c r="A13" s="883"/>
      <c r="B13" s="883"/>
      <c r="C13" s="883"/>
      <c r="D13" s="883"/>
      <c r="E13" s="883"/>
      <c r="F13" s="883"/>
      <c r="G13" s="883"/>
      <c r="H13" s="883"/>
      <c r="I13" s="883"/>
      <c r="J13" s="883"/>
      <c r="K13" s="883"/>
    </row>
    <row r="14" spans="1:11" x14ac:dyDescent="0.2">
      <c r="A14" s="883"/>
      <c r="B14" s="883"/>
      <c r="C14" s="883"/>
      <c r="D14" s="883"/>
      <c r="E14" s="883"/>
      <c r="F14" s="883"/>
      <c r="G14" s="883"/>
      <c r="H14" s="883"/>
      <c r="I14" s="883"/>
      <c r="J14" s="883"/>
      <c r="K14" s="883"/>
    </row>
    <row r="15" spans="1:11" ht="9.75" customHeight="1" x14ac:dyDescent="0.2"/>
    <row r="16" spans="1:11" ht="9.75" customHeight="1" x14ac:dyDescent="0.2">
      <c r="A16" s="893" t="s">
        <v>2543</v>
      </c>
      <c r="B16" s="893"/>
      <c r="C16" s="893"/>
      <c r="D16" s="893"/>
      <c r="E16" s="893"/>
      <c r="F16" s="893"/>
      <c r="G16" s="893"/>
      <c r="H16" s="893"/>
      <c r="I16" s="893"/>
      <c r="J16" s="893"/>
      <c r="K16" s="893"/>
    </row>
    <row r="17" spans="1:11" ht="9.75" customHeight="1" x14ac:dyDescent="0.2">
      <c r="A17" s="893"/>
      <c r="B17" s="893"/>
      <c r="C17" s="893"/>
      <c r="D17" s="893"/>
      <c r="E17" s="893"/>
      <c r="F17" s="893"/>
      <c r="G17" s="893"/>
      <c r="H17" s="893"/>
      <c r="I17" s="893"/>
      <c r="J17" s="893"/>
      <c r="K17" s="893"/>
    </row>
    <row r="18" spans="1:11" ht="60" customHeight="1" x14ac:dyDescent="0.2">
      <c r="A18" s="893"/>
      <c r="B18" s="893"/>
      <c r="C18" s="893"/>
      <c r="D18" s="893"/>
      <c r="E18" s="893"/>
      <c r="F18" s="893"/>
      <c r="G18" s="893"/>
      <c r="H18" s="893"/>
      <c r="I18" s="893"/>
      <c r="J18" s="893"/>
      <c r="K18" s="893"/>
    </row>
    <row r="19" spans="1:11" ht="9.75" customHeight="1" x14ac:dyDescent="0.2"/>
    <row r="20" spans="1:11" x14ac:dyDescent="0.2">
      <c r="A20" s="883" t="s">
        <v>555</v>
      </c>
      <c r="B20" s="883"/>
      <c r="C20" s="883"/>
      <c r="D20" s="883"/>
      <c r="E20" s="883"/>
      <c r="F20" s="883"/>
      <c r="G20" s="883"/>
      <c r="H20" s="883"/>
      <c r="I20" s="883"/>
      <c r="J20" s="883"/>
      <c r="K20" s="883"/>
    </row>
    <row r="21" spans="1:11" x14ac:dyDescent="0.2">
      <c r="A21" s="883"/>
      <c r="B21" s="883"/>
      <c r="C21" s="883"/>
      <c r="D21" s="883"/>
      <c r="E21" s="883"/>
      <c r="F21" s="883"/>
      <c r="G21" s="883"/>
      <c r="H21" s="883"/>
      <c r="I21" s="883"/>
      <c r="J21" s="883"/>
      <c r="K21" s="883"/>
    </row>
    <row r="22" spans="1:11" ht="26.25" customHeight="1" x14ac:dyDescent="0.2">
      <c r="A22" s="883"/>
      <c r="B22" s="883"/>
      <c r="C22" s="883"/>
      <c r="D22" s="883"/>
      <c r="E22" s="883"/>
      <c r="F22" s="883"/>
      <c r="G22" s="883"/>
      <c r="H22" s="883"/>
      <c r="I22" s="883"/>
      <c r="J22" s="883"/>
      <c r="K22" s="883"/>
    </row>
    <row r="23" spans="1:11" ht="9.75" customHeight="1" x14ac:dyDescent="0.2">
      <c r="A23" s="883"/>
      <c r="B23" s="883"/>
      <c r="C23" s="883"/>
      <c r="D23" s="883"/>
      <c r="E23" s="883"/>
      <c r="F23" s="883"/>
      <c r="G23" s="883"/>
      <c r="H23" s="883"/>
      <c r="I23" s="883"/>
      <c r="J23" s="883"/>
      <c r="K23" s="883"/>
    </row>
    <row r="24" spans="1:11" x14ac:dyDescent="0.2">
      <c r="A24" s="883" t="s">
        <v>782</v>
      </c>
      <c r="B24" s="883"/>
      <c r="C24" s="883"/>
      <c r="D24" s="883"/>
      <c r="E24" s="883"/>
      <c r="F24" s="883"/>
      <c r="G24" s="883"/>
      <c r="H24" s="883"/>
      <c r="I24" s="883"/>
      <c r="J24" s="883"/>
      <c r="K24" s="883"/>
    </row>
    <row r="25" spans="1:11" x14ac:dyDescent="0.2">
      <c r="A25" s="883"/>
      <c r="B25" s="883"/>
      <c r="C25" s="883"/>
      <c r="D25" s="883"/>
      <c r="E25" s="883"/>
      <c r="F25" s="883"/>
      <c r="G25" s="883"/>
      <c r="H25" s="883"/>
      <c r="I25" s="883"/>
      <c r="J25" s="883"/>
      <c r="K25" s="883"/>
    </row>
    <row r="26" spans="1:11" ht="24.75" customHeight="1" x14ac:dyDescent="0.2">
      <c r="A26" s="883"/>
      <c r="B26" s="883"/>
      <c r="C26" s="883"/>
      <c r="D26" s="883"/>
      <c r="E26" s="883"/>
      <c r="F26" s="883"/>
      <c r="G26" s="883"/>
      <c r="H26" s="883"/>
      <c r="I26" s="883"/>
      <c r="J26" s="883"/>
      <c r="K26" s="883"/>
    </row>
    <row r="27" spans="1:11" ht="9.75" customHeight="1" x14ac:dyDescent="0.2"/>
    <row r="28" spans="1:11" x14ac:dyDescent="0.2">
      <c r="A28" s="883" t="s">
        <v>17</v>
      </c>
      <c r="B28" s="883"/>
      <c r="C28" s="883"/>
      <c r="D28" s="883"/>
      <c r="E28" s="883"/>
      <c r="F28" s="883"/>
      <c r="G28" s="883"/>
      <c r="H28" s="883"/>
      <c r="I28" s="883"/>
      <c r="J28" s="883"/>
      <c r="K28" s="883"/>
    </row>
    <row r="29" spans="1:11" x14ac:dyDescent="0.2">
      <c r="A29" s="883"/>
      <c r="B29" s="883"/>
      <c r="C29" s="883"/>
      <c r="D29" s="883"/>
      <c r="E29" s="883"/>
      <c r="F29" s="883"/>
      <c r="G29" s="883"/>
      <c r="H29" s="883"/>
      <c r="I29" s="883"/>
      <c r="J29" s="883"/>
      <c r="K29" s="883"/>
    </row>
    <row r="30" spans="1:11" x14ac:dyDescent="0.2">
      <c r="A30" s="883"/>
      <c r="B30" s="883"/>
      <c r="C30" s="883"/>
      <c r="D30" s="883"/>
      <c r="E30" s="883"/>
      <c r="F30" s="883"/>
      <c r="G30" s="883"/>
      <c r="H30" s="883"/>
      <c r="I30" s="883"/>
      <c r="J30" s="883"/>
      <c r="K30" s="883"/>
    </row>
    <row r="31" spans="1:11" x14ac:dyDescent="0.2">
      <c r="A31" s="883"/>
      <c r="B31" s="883"/>
      <c r="C31" s="883"/>
      <c r="D31" s="883"/>
      <c r="E31" s="883"/>
      <c r="F31" s="883"/>
      <c r="G31" s="883"/>
      <c r="H31" s="883"/>
      <c r="I31" s="883"/>
      <c r="J31" s="883"/>
      <c r="K31" s="883"/>
    </row>
    <row r="32" spans="1:11" x14ac:dyDescent="0.2">
      <c r="A32" s="883"/>
      <c r="B32" s="883"/>
      <c r="C32" s="883"/>
      <c r="D32" s="883"/>
      <c r="E32" s="883"/>
      <c r="F32" s="883"/>
      <c r="G32" s="883"/>
      <c r="H32" s="883"/>
      <c r="I32" s="883"/>
      <c r="J32" s="883"/>
      <c r="K32" s="883"/>
    </row>
    <row r="33" spans="1:11" x14ac:dyDescent="0.2">
      <c r="A33" s="883"/>
      <c r="B33" s="883"/>
      <c r="C33" s="883"/>
      <c r="D33" s="883"/>
      <c r="E33" s="883"/>
      <c r="F33" s="883"/>
      <c r="G33" s="883"/>
      <c r="H33" s="883"/>
      <c r="I33" s="883"/>
      <c r="J33" s="883"/>
      <c r="K33" s="883"/>
    </row>
    <row r="34" spans="1:11" ht="9.75" customHeight="1" x14ac:dyDescent="0.2"/>
    <row r="35" spans="1:11" x14ac:dyDescent="0.2">
      <c r="A35" s="883" t="s">
        <v>392</v>
      </c>
      <c r="B35" s="883"/>
      <c r="C35" s="883"/>
      <c r="D35" s="883"/>
      <c r="E35" s="883"/>
      <c r="F35" s="883"/>
      <c r="G35" s="883"/>
      <c r="H35" s="883"/>
      <c r="I35" s="883"/>
      <c r="J35" s="883"/>
      <c r="K35" s="883"/>
    </row>
    <row r="36" spans="1:11" x14ac:dyDescent="0.2">
      <c r="A36" s="883"/>
      <c r="B36" s="883"/>
      <c r="C36" s="883"/>
      <c r="D36" s="883"/>
      <c r="E36" s="883"/>
      <c r="F36" s="883"/>
      <c r="G36" s="883"/>
      <c r="H36" s="883"/>
      <c r="I36" s="883"/>
      <c r="J36" s="883"/>
      <c r="K36" s="883"/>
    </row>
    <row r="37" spans="1:11" x14ac:dyDescent="0.2">
      <c r="A37" s="883"/>
      <c r="B37" s="883"/>
      <c r="C37" s="883"/>
      <c r="D37" s="883"/>
      <c r="E37" s="883"/>
      <c r="F37" s="883"/>
      <c r="G37" s="883"/>
      <c r="H37" s="883"/>
      <c r="I37" s="883"/>
      <c r="J37" s="883"/>
      <c r="K37" s="883"/>
    </row>
    <row r="38" spans="1:11" ht="9.75" customHeight="1" x14ac:dyDescent="0.2"/>
    <row r="39" spans="1:11" x14ac:dyDescent="0.2">
      <c r="A39" s="883" t="s">
        <v>622</v>
      </c>
      <c r="B39" s="883"/>
      <c r="C39" s="883"/>
      <c r="D39" s="883"/>
      <c r="E39" s="883"/>
      <c r="F39" s="883"/>
      <c r="G39" s="883"/>
      <c r="H39" s="883"/>
      <c r="I39" s="883"/>
      <c r="J39" s="883"/>
      <c r="K39" s="883"/>
    </row>
    <row r="40" spans="1:11" ht="36.75" customHeight="1" x14ac:dyDescent="0.2">
      <c r="A40" s="883"/>
      <c r="B40" s="883"/>
      <c r="C40" s="883"/>
      <c r="D40" s="883"/>
      <c r="E40" s="883"/>
      <c r="F40" s="883"/>
      <c r="G40" s="883"/>
      <c r="H40" s="883"/>
      <c r="I40" s="883"/>
      <c r="J40" s="883"/>
      <c r="K40" s="883"/>
    </row>
    <row r="41" spans="1:11" x14ac:dyDescent="0.2">
      <c r="A41" s="46"/>
      <c r="B41" s="46"/>
      <c r="C41" s="46"/>
      <c r="D41" s="46"/>
      <c r="E41" s="46"/>
      <c r="F41" s="46"/>
      <c r="G41" s="46"/>
      <c r="H41" s="46"/>
      <c r="I41" s="46"/>
      <c r="J41" s="46"/>
      <c r="K41" s="46"/>
    </row>
    <row r="42" spans="1:11" ht="66" customHeight="1" x14ac:dyDescent="0.2">
      <c r="A42" s="878" t="s">
        <v>4877</v>
      </c>
      <c r="B42" s="879"/>
      <c r="C42" s="879"/>
      <c r="D42" s="879"/>
      <c r="E42" s="879"/>
      <c r="F42" s="879"/>
      <c r="G42" s="879"/>
      <c r="H42" s="879"/>
      <c r="I42" s="879"/>
      <c r="J42" s="879"/>
      <c r="K42" s="879"/>
    </row>
    <row r="43" spans="1:11" ht="18.75" customHeight="1" x14ac:dyDescent="0.2"/>
    <row r="44" spans="1:11" x14ac:dyDescent="0.2">
      <c r="A44" s="4" t="s">
        <v>393</v>
      </c>
    </row>
    <row r="45" spans="1:11" ht="8.25" customHeight="1" x14ac:dyDescent="0.2">
      <c r="A45" s="4"/>
    </row>
    <row r="46" spans="1:11" ht="12.75" customHeight="1" x14ac:dyDescent="0.2">
      <c r="A46" s="892" t="s">
        <v>1036</v>
      </c>
      <c r="B46" s="883"/>
      <c r="C46" s="883"/>
      <c r="D46" s="883"/>
      <c r="E46" s="883"/>
      <c r="F46" s="883"/>
      <c r="G46" s="883"/>
      <c r="H46" s="883"/>
      <c r="I46" s="883"/>
      <c r="J46" s="883"/>
      <c r="K46" s="883"/>
    </row>
    <row r="47" spans="1:11" x14ac:dyDescent="0.2">
      <c r="A47" s="883"/>
      <c r="B47" s="883"/>
      <c r="C47" s="883"/>
      <c r="D47" s="883"/>
      <c r="E47" s="883"/>
      <c r="F47" s="883"/>
      <c r="G47" s="883"/>
      <c r="H47" s="883"/>
      <c r="I47" s="883"/>
      <c r="J47" s="883"/>
      <c r="K47" s="883"/>
    </row>
    <row r="48" spans="1:11" x14ac:dyDescent="0.2">
      <c r="A48" s="883"/>
      <c r="B48" s="883"/>
      <c r="C48" s="883"/>
      <c r="D48" s="883"/>
      <c r="E48" s="883"/>
      <c r="F48" s="883"/>
      <c r="G48" s="883"/>
      <c r="H48" s="883"/>
      <c r="I48" s="883"/>
      <c r="J48" s="883"/>
      <c r="K48" s="883"/>
    </row>
    <row r="49" spans="1:11" x14ac:dyDescent="0.2">
      <c r="A49" s="883"/>
      <c r="B49" s="883"/>
      <c r="C49" s="883"/>
      <c r="D49" s="883"/>
      <c r="E49" s="883"/>
      <c r="F49" s="883"/>
      <c r="G49" s="883"/>
      <c r="H49" s="883"/>
      <c r="I49" s="883"/>
      <c r="J49" s="883"/>
      <c r="K49" s="883"/>
    </row>
    <row r="50" spans="1:11" ht="26.25" customHeight="1" x14ac:dyDescent="0.2">
      <c r="A50" s="883"/>
      <c r="B50" s="883"/>
      <c r="C50" s="883"/>
      <c r="D50" s="883"/>
      <c r="E50" s="883"/>
      <c r="F50" s="883"/>
      <c r="G50" s="883"/>
      <c r="H50" s="883"/>
      <c r="I50" s="883"/>
      <c r="J50" s="883"/>
      <c r="K50" s="883"/>
    </row>
    <row r="51" spans="1:11" ht="40.9" customHeight="1" x14ac:dyDescent="0.2">
      <c r="A51" s="883"/>
      <c r="B51" s="883"/>
      <c r="C51" s="883"/>
      <c r="D51" s="883"/>
      <c r="E51" s="883"/>
      <c r="F51" s="883"/>
      <c r="G51" s="883"/>
      <c r="H51" s="883"/>
      <c r="I51" s="883"/>
      <c r="J51" s="883"/>
      <c r="K51" s="883"/>
    </row>
    <row r="52" spans="1:11" ht="9.75" customHeight="1" x14ac:dyDescent="0.2">
      <c r="A52" s="46"/>
      <c r="B52" s="46"/>
      <c r="C52" s="46"/>
      <c r="D52" s="46"/>
      <c r="E52" s="46"/>
      <c r="F52" s="46"/>
      <c r="G52" s="46"/>
      <c r="H52" s="46"/>
      <c r="I52" s="46"/>
      <c r="J52" s="46"/>
      <c r="K52" s="46"/>
    </row>
    <row r="53" spans="1:11" x14ac:dyDescent="0.2">
      <c r="A53" s="892" t="s">
        <v>1037</v>
      </c>
      <c r="B53" s="883"/>
      <c r="C53" s="883"/>
      <c r="D53" s="883"/>
      <c r="E53" s="883"/>
      <c r="F53" s="883"/>
      <c r="G53" s="883"/>
      <c r="H53" s="883"/>
      <c r="I53" s="883"/>
      <c r="J53" s="883"/>
      <c r="K53" s="883"/>
    </row>
    <row r="54" spans="1:11" x14ac:dyDescent="0.2">
      <c r="A54" s="883"/>
      <c r="B54" s="883"/>
      <c r="C54" s="883"/>
      <c r="D54" s="883"/>
      <c r="E54" s="883"/>
      <c r="F54" s="883"/>
      <c r="G54" s="883"/>
      <c r="H54" s="883"/>
      <c r="I54" s="883"/>
      <c r="J54" s="883"/>
      <c r="K54" s="883"/>
    </row>
    <row r="55" spans="1:11" x14ac:dyDescent="0.2">
      <c r="A55" s="883"/>
      <c r="B55" s="883"/>
      <c r="C55" s="883"/>
      <c r="D55" s="883"/>
      <c r="E55" s="883"/>
      <c r="F55" s="883"/>
      <c r="G55" s="883"/>
      <c r="H55" s="883"/>
      <c r="I55" s="883"/>
      <c r="J55" s="883"/>
      <c r="K55" s="883"/>
    </row>
    <row r="56" spans="1:11" ht="23.25" customHeight="1" x14ac:dyDescent="0.2">
      <c r="A56" s="883"/>
      <c r="B56" s="883"/>
      <c r="C56" s="883"/>
      <c r="D56" s="883"/>
      <c r="E56" s="883"/>
      <c r="F56" s="883"/>
      <c r="G56" s="883"/>
      <c r="H56" s="883"/>
      <c r="I56" s="883"/>
      <c r="J56" s="883"/>
      <c r="K56" s="883"/>
    </row>
    <row r="57" spans="1:11" ht="15.75" customHeight="1" x14ac:dyDescent="0.2">
      <c r="A57" s="883"/>
      <c r="B57" s="883"/>
      <c r="C57" s="883"/>
      <c r="D57" s="883"/>
      <c r="E57" s="883"/>
      <c r="F57" s="883"/>
      <c r="G57" s="883"/>
      <c r="H57" s="883"/>
      <c r="I57" s="883"/>
      <c r="J57" s="883"/>
      <c r="K57" s="883"/>
    </row>
    <row r="58" spans="1:11" x14ac:dyDescent="0.2">
      <c r="A58" s="46"/>
      <c r="B58" s="46"/>
      <c r="C58" s="46"/>
      <c r="D58" s="46"/>
      <c r="E58" s="46"/>
      <c r="F58" s="46"/>
      <c r="G58" s="46"/>
      <c r="H58" s="46"/>
      <c r="I58" s="46"/>
      <c r="J58" s="46"/>
      <c r="K58" s="46"/>
    </row>
    <row r="59" spans="1:11" x14ac:dyDescent="0.2">
      <c r="A59" s="4" t="s">
        <v>846</v>
      </c>
      <c r="B59" s="46"/>
      <c r="C59" s="46"/>
      <c r="D59" s="46"/>
      <c r="E59" s="46"/>
      <c r="F59" s="46"/>
      <c r="G59" s="46"/>
      <c r="H59" s="46"/>
      <c r="I59" s="46"/>
      <c r="J59" s="46"/>
      <c r="K59" s="46"/>
    </row>
    <row r="60" spans="1:11" ht="8.25" customHeight="1" x14ac:dyDescent="0.2">
      <c r="A60" s="46"/>
      <c r="B60" s="46"/>
      <c r="C60" s="46"/>
      <c r="D60" s="46"/>
      <c r="E60" s="46"/>
      <c r="F60" s="46"/>
      <c r="G60" s="46"/>
      <c r="H60" s="46"/>
      <c r="I60" s="46"/>
      <c r="J60" s="46"/>
      <c r="K60" s="46"/>
    </row>
    <row r="61" spans="1:11" ht="12.75" customHeight="1" x14ac:dyDescent="0.2">
      <c r="A61" s="891" t="s">
        <v>4915</v>
      </c>
      <c r="B61" s="883"/>
      <c r="C61" s="883"/>
      <c r="D61" s="883"/>
      <c r="E61" s="883"/>
      <c r="F61" s="883"/>
      <c r="G61" s="883"/>
      <c r="H61" s="883"/>
      <c r="I61" s="883"/>
      <c r="J61" s="883"/>
      <c r="K61" s="883"/>
    </row>
    <row r="62" spans="1:11" x14ac:dyDescent="0.2">
      <c r="A62" s="883"/>
      <c r="B62" s="883"/>
      <c r="C62" s="883"/>
      <c r="D62" s="883"/>
      <c r="E62" s="883"/>
      <c r="F62" s="883"/>
      <c r="G62" s="883"/>
      <c r="H62" s="883"/>
      <c r="I62" s="883"/>
      <c r="J62" s="883"/>
      <c r="K62" s="883"/>
    </row>
    <row r="63" spans="1:11" x14ac:dyDescent="0.2">
      <c r="A63" s="883"/>
      <c r="B63" s="883"/>
      <c r="C63" s="883"/>
      <c r="D63" s="883"/>
      <c r="E63" s="883"/>
      <c r="F63" s="883"/>
      <c r="G63" s="883"/>
      <c r="H63" s="883"/>
      <c r="I63" s="883"/>
      <c r="J63" s="883"/>
      <c r="K63" s="883"/>
    </row>
    <row r="64" spans="1:11" x14ac:dyDescent="0.2">
      <c r="A64" s="883"/>
      <c r="B64" s="883"/>
      <c r="C64" s="883"/>
      <c r="D64" s="883"/>
      <c r="E64" s="883"/>
      <c r="F64" s="883"/>
      <c r="G64" s="883"/>
      <c r="H64" s="883"/>
      <c r="I64" s="883"/>
      <c r="J64" s="883"/>
      <c r="K64" s="883"/>
    </row>
    <row r="65" spans="1:11" ht="9" customHeight="1" x14ac:dyDescent="0.2">
      <c r="A65" s="883"/>
      <c r="B65" s="883"/>
      <c r="C65" s="883"/>
      <c r="D65" s="883"/>
      <c r="E65" s="883"/>
      <c r="F65" s="883"/>
      <c r="G65" s="883"/>
      <c r="H65" s="883"/>
      <c r="I65" s="883"/>
      <c r="J65" s="883"/>
      <c r="K65" s="883"/>
    </row>
    <row r="66" spans="1:11" x14ac:dyDescent="0.2">
      <c r="A66" s="883"/>
      <c r="B66" s="883"/>
      <c r="C66" s="883"/>
      <c r="D66" s="883"/>
      <c r="E66" s="883"/>
      <c r="F66" s="883"/>
      <c r="G66" s="883"/>
      <c r="H66" s="883"/>
      <c r="I66" s="883"/>
      <c r="J66" s="883"/>
      <c r="K66" s="883"/>
    </row>
    <row r="67" spans="1:11" ht="12.75" customHeight="1" x14ac:dyDescent="0.2">
      <c r="A67" s="46"/>
      <c r="B67" s="46"/>
      <c r="C67" s="46"/>
      <c r="D67" s="46"/>
      <c r="E67" s="46"/>
      <c r="F67" s="46"/>
      <c r="G67" s="46"/>
      <c r="H67" s="46"/>
      <c r="I67" s="46"/>
      <c r="J67" s="46"/>
      <c r="K67" s="46"/>
    </row>
    <row r="68" spans="1:11" x14ac:dyDescent="0.2">
      <c r="A68" s="4" t="s">
        <v>1001</v>
      </c>
    </row>
    <row r="69" spans="1:11" ht="4.5" customHeight="1" x14ac:dyDescent="0.2"/>
    <row r="70" spans="1:11" ht="12.75" customHeight="1" x14ac:dyDescent="0.2">
      <c r="A70" s="883" t="s">
        <v>554</v>
      </c>
      <c r="B70" s="883"/>
      <c r="C70" s="883"/>
      <c r="D70" s="883"/>
      <c r="E70" s="883"/>
      <c r="F70" s="883"/>
      <c r="G70" s="883"/>
      <c r="H70" s="883"/>
      <c r="I70" s="883"/>
      <c r="J70" s="883"/>
      <c r="K70" s="883"/>
    </row>
    <row r="71" spans="1:11" ht="12.75" customHeight="1" x14ac:dyDescent="0.2">
      <c r="A71" s="883"/>
      <c r="B71" s="883"/>
      <c r="C71" s="883"/>
      <c r="D71" s="883"/>
      <c r="E71" s="883"/>
      <c r="F71" s="883"/>
      <c r="G71" s="883"/>
      <c r="H71" s="883"/>
      <c r="I71" s="883"/>
      <c r="J71" s="883"/>
      <c r="K71" s="883"/>
    </row>
    <row r="72" spans="1:11" ht="2.25" customHeight="1" x14ac:dyDescent="0.2"/>
    <row r="73" spans="1:11" ht="12.75" customHeight="1" x14ac:dyDescent="0.2">
      <c r="B73" s="4" t="s">
        <v>875</v>
      </c>
    </row>
    <row r="74" spans="1:11" ht="12.75" customHeight="1" x14ac:dyDescent="0.2">
      <c r="A74" s="881"/>
      <c r="B74" s="880" t="s">
        <v>165</v>
      </c>
      <c r="C74" s="880"/>
      <c r="D74" s="880"/>
      <c r="E74" s="880"/>
      <c r="F74" s="880"/>
      <c r="G74" s="880"/>
      <c r="H74" s="880"/>
      <c r="I74" s="880"/>
      <c r="J74" s="880"/>
      <c r="K74" s="880"/>
    </row>
    <row r="75" spans="1:11" ht="26.25" customHeight="1" x14ac:dyDescent="0.2">
      <c r="A75" s="881"/>
      <c r="B75" s="880"/>
      <c r="C75" s="880"/>
      <c r="D75" s="880"/>
      <c r="E75" s="880"/>
      <c r="F75" s="880"/>
      <c r="G75" s="880"/>
      <c r="H75" s="880"/>
      <c r="I75" s="880"/>
      <c r="J75" s="880"/>
      <c r="K75" s="880"/>
    </row>
    <row r="76" spans="1:11" x14ac:dyDescent="0.2">
      <c r="A76" s="49" t="s">
        <v>860</v>
      </c>
      <c r="B76" s="880" t="s">
        <v>1038</v>
      </c>
      <c r="C76" s="880"/>
      <c r="D76" s="880"/>
      <c r="E76" s="880"/>
      <c r="F76" s="880"/>
      <c r="G76" s="880"/>
      <c r="H76" s="880"/>
      <c r="I76" s="880"/>
      <c r="J76" s="880"/>
      <c r="K76" s="880"/>
    </row>
    <row r="77" spans="1:11" ht="37.5" customHeight="1" x14ac:dyDescent="0.2">
      <c r="A77" s="49"/>
      <c r="B77" s="880"/>
      <c r="C77" s="880"/>
      <c r="D77" s="880"/>
      <c r="E77" s="880"/>
      <c r="F77" s="880"/>
      <c r="G77" s="880"/>
      <c r="H77" s="880"/>
      <c r="I77" s="880"/>
      <c r="J77" s="880"/>
      <c r="K77" s="880"/>
    </row>
    <row r="78" spans="1:11" x14ac:dyDescent="0.2">
      <c r="A78" s="49" t="s">
        <v>861</v>
      </c>
      <c r="B78" s="4" t="s">
        <v>696</v>
      </c>
    </row>
    <row r="79" spans="1:11" x14ac:dyDescent="0.2">
      <c r="A79" s="49" t="s">
        <v>459</v>
      </c>
      <c r="B79" s="4" t="s">
        <v>697</v>
      </c>
    </row>
    <row r="80" spans="1:11" ht="40.15" customHeight="1" x14ac:dyDescent="0.2">
      <c r="A80" s="49" t="s">
        <v>465</v>
      </c>
      <c r="B80" s="882" t="s">
        <v>4921</v>
      </c>
      <c r="C80" s="882"/>
      <c r="D80" s="882"/>
      <c r="E80" s="882"/>
      <c r="F80" s="882"/>
      <c r="G80" s="882"/>
      <c r="H80" s="882"/>
      <c r="I80" s="882"/>
      <c r="J80" s="882"/>
      <c r="K80" s="882"/>
    </row>
    <row r="81" spans="1:11" ht="13.15" customHeight="1" x14ac:dyDescent="0.2">
      <c r="A81" s="49" t="s">
        <v>481</v>
      </c>
      <c r="B81" s="882" t="s">
        <v>4878</v>
      </c>
      <c r="C81" s="882"/>
      <c r="D81" s="882"/>
      <c r="E81" s="882"/>
      <c r="F81" s="882"/>
      <c r="G81" s="882"/>
      <c r="H81" s="882"/>
      <c r="I81" s="882"/>
      <c r="J81" s="882"/>
      <c r="K81" s="882"/>
    </row>
    <row r="82" spans="1:11" ht="27" customHeight="1" x14ac:dyDescent="0.2">
      <c r="A82" s="49"/>
      <c r="B82" s="882"/>
      <c r="C82" s="882"/>
      <c r="D82" s="882"/>
      <c r="E82" s="882"/>
      <c r="F82" s="882"/>
      <c r="G82" s="882"/>
      <c r="H82" s="882"/>
      <c r="I82" s="882"/>
      <c r="J82" s="882"/>
      <c r="K82" s="882"/>
    </row>
    <row r="83" spans="1:11" x14ac:dyDescent="0.2">
      <c r="A83" s="49" t="s">
        <v>813</v>
      </c>
      <c r="B83" s="880" t="s">
        <v>1039</v>
      </c>
      <c r="C83" s="880"/>
      <c r="D83" s="880"/>
      <c r="E83" s="880"/>
      <c r="F83" s="880"/>
      <c r="G83" s="880"/>
      <c r="H83" s="880"/>
      <c r="I83" s="880"/>
      <c r="J83" s="880"/>
      <c r="K83" s="880"/>
    </row>
    <row r="84" spans="1:11" ht="38.25" customHeight="1" x14ac:dyDescent="0.2">
      <c r="A84" s="49"/>
      <c r="B84" s="880"/>
      <c r="C84" s="880"/>
      <c r="D84" s="880"/>
      <c r="E84" s="880"/>
      <c r="F84" s="880"/>
      <c r="G84" s="880"/>
      <c r="H84" s="880"/>
      <c r="I84" s="880"/>
      <c r="J84" s="880"/>
      <c r="K84" s="880"/>
    </row>
    <row r="85" spans="1:11" x14ac:dyDescent="0.2">
      <c r="A85" s="49" t="s">
        <v>814</v>
      </c>
      <c r="B85" s="4" t="s">
        <v>698</v>
      </c>
    </row>
    <row r="86" spans="1:11" x14ac:dyDescent="0.2">
      <c r="A86" s="49" t="s">
        <v>145</v>
      </c>
      <c r="B86" s="4" t="s">
        <v>675</v>
      </c>
    </row>
    <row r="87" spans="1:11" x14ac:dyDescent="0.2">
      <c r="A87" s="49" t="s">
        <v>270</v>
      </c>
      <c r="B87" s="880" t="s">
        <v>676</v>
      </c>
      <c r="C87" s="880"/>
      <c r="D87" s="880"/>
      <c r="E87" s="880"/>
      <c r="F87" s="880"/>
      <c r="G87" s="880"/>
      <c r="H87" s="880"/>
      <c r="I87" s="880"/>
      <c r="J87" s="880"/>
      <c r="K87" s="880"/>
    </row>
    <row r="88" spans="1:11" x14ac:dyDescent="0.2">
      <c r="A88" s="49"/>
      <c r="B88" s="880"/>
      <c r="C88" s="880"/>
      <c r="D88" s="880"/>
      <c r="E88" s="880"/>
      <c r="F88" s="880"/>
      <c r="G88" s="880"/>
      <c r="H88" s="880"/>
      <c r="I88" s="880"/>
      <c r="J88" s="880"/>
      <c r="K88" s="880"/>
    </row>
    <row r="89" spans="1:11" x14ac:dyDescent="0.2">
      <c r="A89" s="49" t="s">
        <v>146</v>
      </c>
      <c r="B89" s="880" t="s">
        <v>840</v>
      </c>
      <c r="C89" s="880"/>
      <c r="D89" s="880"/>
      <c r="E89" s="880"/>
      <c r="F89" s="880"/>
      <c r="G89" s="880"/>
      <c r="H89" s="880"/>
      <c r="I89" s="880"/>
      <c r="J89" s="880"/>
      <c r="K89" s="880"/>
    </row>
    <row r="90" spans="1:11" x14ac:dyDescent="0.2">
      <c r="A90" s="49"/>
      <c r="B90" s="880"/>
      <c r="C90" s="880"/>
      <c r="D90" s="880"/>
      <c r="E90" s="880"/>
      <c r="F90" s="880"/>
      <c r="G90" s="880"/>
      <c r="H90" s="880"/>
      <c r="I90" s="880"/>
      <c r="J90" s="880"/>
      <c r="K90" s="880"/>
    </row>
    <row r="91" spans="1:11" x14ac:dyDescent="0.2">
      <c r="A91" s="49" t="s">
        <v>843</v>
      </c>
      <c r="B91" s="880" t="s">
        <v>1040</v>
      </c>
      <c r="C91" s="880"/>
      <c r="D91" s="880"/>
      <c r="E91" s="880"/>
      <c r="F91" s="880"/>
      <c r="G91" s="880"/>
      <c r="H91" s="880"/>
      <c r="I91" s="880"/>
      <c r="J91" s="880"/>
      <c r="K91" s="880"/>
    </row>
    <row r="92" spans="1:11" ht="25.5" customHeight="1" x14ac:dyDescent="0.2">
      <c r="A92" s="49"/>
      <c r="B92" s="880"/>
      <c r="C92" s="880"/>
      <c r="D92" s="880"/>
      <c r="E92" s="880"/>
      <c r="F92" s="880"/>
      <c r="G92" s="880"/>
      <c r="H92" s="880"/>
      <c r="I92" s="880"/>
      <c r="J92" s="880"/>
      <c r="K92" s="880"/>
    </row>
    <row r="93" spans="1:11" x14ac:dyDescent="0.2">
      <c r="A93" s="49" t="s">
        <v>844</v>
      </c>
      <c r="B93" s="880" t="s">
        <v>4916</v>
      </c>
      <c r="C93" s="880"/>
      <c r="D93" s="880"/>
      <c r="E93" s="880"/>
      <c r="F93" s="880"/>
      <c r="G93" s="880"/>
      <c r="H93" s="880"/>
      <c r="I93" s="880"/>
      <c r="J93" s="880"/>
      <c r="K93" s="880"/>
    </row>
    <row r="94" spans="1:11" ht="24.75" customHeight="1" x14ac:dyDescent="0.2">
      <c r="A94" s="49"/>
      <c r="B94" s="880"/>
      <c r="C94" s="880"/>
      <c r="D94" s="880"/>
      <c r="E94" s="880"/>
      <c r="F94" s="880"/>
      <c r="G94" s="880"/>
      <c r="H94" s="880"/>
      <c r="I94" s="880"/>
      <c r="J94" s="880"/>
      <c r="K94" s="880"/>
    </row>
    <row r="95" spans="1:11" x14ac:dyDescent="0.2">
      <c r="A95" s="49" t="s">
        <v>845</v>
      </c>
      <c r="B95" s="880" t="s">
        <v>1041</v>
      </c>
      <c r="C95" s="880"/>
      <c r="D95" s="880"/>
      <c r="E95" s="880"/>
      <c r="F95" s="880"/>
      <c r="G95" s="880"/>
      <c r="H95" s="880"/>
      <c r="I95" s="880"/>
      <c r="J95" s="880"/>
      <c r="K95" s="880"/>
    </row>
    <row r="96" spans="1:11" x14ac:dyDescent="0.2">
      <c r="A96" s="55"/>
      <c r="B96" s="880"/>
      <c r="C96" s="880"/>
      <c r="D96" s="880"/>
      <c r="E96" s="880"/>
      <c r="F96" s="880"/>
      <c r="G96" s="880"/>
      <c r="H96" s="880"/>
      <c r="I96" s="880"/>
      <c r="J96" s="880"/>
      <c r="K96" s="880"/>
    </row>
    <row r="97" spans="1:11" x14ac:dyDescent="0.2">
      <c r="A97" s="49" t="s">
        <v>2048</v>
      </c>
      <c r="B97" s="4" t="s">
        <v>3936</v>
      </c>
      <c r="C97" s="4"/>
      <c r="D97" s="4"/>
      <c r="E97" s="4"/>
      <c r="F97" s="4"/>
      <c r="G97" s="4"/>
      <c r="H97" s="4"/>
      <c r="I97" s="4"/>
      <c r="J97" s="4"/>
      <c r="K97" s="4"/>
    </row>
    <row r="98" spans="1:11" x14ac:dyDescent="0.2">
      <c r="A98" s="49" t="s">
        <v>2049</v>
      </c>
      <c r="B98" s="4" t="s">
        <v>3937</v>
      </c>
      <c r="C98" s="329"/>
      <c r="D98" s="329"/>
      <c r="E98" s="329"/>
      <c r="F98" s="329"/>
      <c r="G98" s="329"/>
      <c r="H98" s="329"/>
      <c r="I98" s="329"/>
      <c r="J98" s="329"/>
      <c r="K98" s="329"/>
    </row>
    <row r="99" spans="1:11" x14ac:dyDescent="0.2">
      <c r="A99" s="49" t="s">
        <v>3934</v>
      </c>
      <c r="B99" s="4" t="s">
        <v>3938</v>
      </c>
      <c r="C99" s="329"/>
      <c r="D99" s="329"/>
      <c r="E99" s="329"/>
      <c r="F99" s="329"/>
      <c r="G99" s="329"/>
      <c r="H99" s="329"/>
      <c r="I99" s="329"/>
      <c r="J99" s="329"/>
      <c r="K99" s="329"/>
    </row>
    <row r="100" spans="1:11" x14ac:dyDescent="0.2">
      <c r="A100" s="49" t="s">
        <v>3935</v>
      </c>
      <c r="B100" s="4" t="s">
        <v>3939</v>
      </c>
      <c r="C100" s="329"/>
      <c r="D100" s="329"/>
      <c r="E100" s="329"/>
      <c r="F100" s="329"/>
      <c r="G100" s="329"/>
      <c r="H100" s="329"/>
      <c r="I100" s="329"/>
      <c r="J100" s="329"/>
      <c r="K100" s="329"/>
    </row>
    <row r="101" spans="1:11" ht="51" customHeight="1" x14ac:dyDescent="0.2">
      <c r="A101" s="872" t="s">
        <v>4879</v>
      </c>
      <c r="B101" s="882" t="s">
        <v>4922</v>
      </c>
      <c r="C101" s="883"/>
      <c r="D101" s="883"/>
      <c r="E101" s="883"/>
      <c r="F101" s="883"/>
      <c r="G101" s="883"/>
      <c r="H101" s="883"/>
      <c r="I101" s="883"/>
      <c r="J101" s="883"/>
      <c r="K101" s="883"/>
    </row>
    <row r="102" spans="1:11" ht="13.15" customHeight="1" x14ac:dyDescent="0.2">
      <c r="A102" s="871" t="s">
        <v>4880</v>
      </c>
      <c r="B102" s="882" t="s">
        <v>4923</v>
      </c>
      <c r="C102" s="882"/>
      <c r="D102" s="882"/>
      <c r="E102" s="882"/>
      <c r="F102" s="882"/>
      <c r="G102" s="882"/>
      <c r="H102" s="882"/>
      <c r="I102" s="882"/>
      <c r="J102" s="882"/>
      <c r="K102" s="882"/>
    </row>
    <row r="103" spans="1:11" ht="39.6" customHeight="1" x14ac:dyDescent="0.2">
      <c r="A103" s="4"/>
      <c r="B103" s="882"/>
      <c r="C103" s="882"/>
      <c r="D103" s="882"/>
      <c r="E103" s="882"/>
      <c r="F103" s="882"/>
      <c r="G103" s="882"/>
      <c r="H103" s="882"/>
      <c r="I103" s="882"/>
      <c r="J103" s="882"/>
      <c r="K103" s="882"/>
    </row>
    <row r="104" spans="1:11" ht="6.75" customHeight="1" x14ac:dyDescent="0.2">
      <c r="A104" s="4"/>
    </row>
    <row r="105" spans="1:11" ht="13.15" customHeight="1" x14ac:dyDescent="0.2">
      <c r="A105" s="4"/>
      <c r="B105" s="884" t="s">
        <v>674</v>
      </c>
      <c r="C105" s="884"/>
      <c r="D105" s="884"/>
      <c r="E105" s="884"/>
      <c r="F105" s="884"/>
      <c r="G105" s="884"/>
      <c r="H105" s="884"/>
      <c r="I105" s="884"/>
      <c r="J105" s="884"/>
      <c r="K105" s="884"/>
    </row>
    <row r="106" spans="1:11" x14ac:dyDescent="0.2">
      <c r="A106" s="4"/>
      <c r="B106" s="884"/>
      <c r="C106" s="884"/>
      <c r="D106" s="884"/>
      <c r="E106" s="884"/>
      <c r="F106" s="884"/>
      <c r="G106" s="884"/>
      <c r="H106" s="884"/>
      <c r="I106" s="884"/>
      <c r="J106" s="884"/>
      <c r="K106" s="884"/>
    </row>
    <row r="107" spans="1:11" x14ac:dyDescent="0.2">
      <c r="A107" s="4"/>
    </row>
    <row r="108" spans="1:11" x14ac:dyDescent="0.2">
      <c r="A108" s="4" t="s">
        <v>556</v>
      </c>
    </row>
    <row r="121" spans="1:12" x14ac:dyDescent="0.2">
      <c r="A121" s="4" t="s">
        <v>904</v>
      </c>
    </row>
    <row r="122" spans="1:12" x14ac:dyDescent="0.2">
      <c r="A122" s="883" t="s">
        <v>643</v>
      </c>
      <c r="B122" s="883"/>
      <c r="C122" s="883"/>
      <c r="D122" s="883"/>
      <c r="E122" s="883"/>
      <c r="F122" s="883"/>
      <c r="G122" s="883"/>
      <c r="H122" s="883"/>
      <c r="I122" s="883"/>
      <c r="J122" s="883"/>
      <c r="K122" s="883"/>
      <c r="L122" s="883"/>
    </row>
    <row r="123" spans="1:12" x14ac:dyDescent="0.2">
      <c r="A123" s="883"/>
      <c r="B123" s="883"/>
      <c r="C123" s="883"/>
      <c r="D123" s="883"/>
      <c r="E123" s="883"/>
      <c r="F123" s="883"/>
      <c r="G123" s="883"/>
      <c r="H123" s="883"/>
      <c r="I123" s="883"/>
      <c r="J123" s="883"/>
      <c r="K123" s="883"/>
      <c r="L123" s="883"/>
    </row>
    <row r="124" spans="1:12" x14ac:dyDescent="0.2">
      <c r="A124" s="883"/>
      <c r="B124" s="883"/>
      <c r="C124" s="883"/>
      <c r="D124" s="883"/>
      <c r="E124" s="883"/>
      <c r="F124" s="883"/>
      <c r="G124" s="883"/>
      <c r="H124" s="883"/>
      <c r="I124" s="883"/>
      <c r="J124" s="883"/>
      <c r="K124" s="883"/>
      <c r="L124" s="883"/>
    </row>
    <row r="125" spans="1:12" x14ac:dyDescent="0.2">
      <c r="A125" s="883"/>
      <c r="B125" s="883"/>
      <c r="C125" s="883"/>
      <c r="D125" s="883"/>
      <c r="E125" s="883"/>
      <c r="F125" s="883"/>
      <c r="G125" s="883"/>
      <c r="H125" s="883"/>
      <c r="I125" s="883"/>
      <c r="J125" s="883"/>
      <c r="K125" s="883"/>
      <c r="L125" s="883"/>
    </row>
  </sheetData>
  <mergeCells count="31">
    <mergeCell ref="A2:K3"/>
    <mergeCell ref="B81:K82"/>
    <mergeCell ref="A24:K26"/>
    <mergeCell ref="A28:K33"/>
    <mergeCell ref="A61:K66"/>
    <mergeCell ref="A35:K37"/>
    <mergeCell ref="A5:K7"/>
    <mergeCell ref="A12:K14"/>
    <mergeCell ref="A70:K71"/>
    <mergeCell ref="A53:K57"/>
    <mergeCell ref="A9:K10"/>
    <mergeCell ref="A20:K22"/>
    <mergeCell ref="A23:K23"/>
    <mergeCell ref="A39:K40"/>
    <mergeCell ref="A46:K51"/>
    <mergeCell ref="A16:K18"/>
    <mergeCell ref="A122:L125"/>
    <mergeCell ref="B105:K106"/>
    <mergeCell ref="B91:K92"/>
    <mergeCell ref="B93:K94"/>
    <mergeCell ref="B95:K96"/>
    <mergeCell ref="B101:K101"/>
    <mergeCell ref="B102:K103"/>
    <mergeCell ref="A42:K42"/>
    <mergeCell ref="B87:K88"/>
    <mergeCell ref="B89:K90"/>
    <mergeCell ref="A74:A75"/>
    <mergeCell ref="B74:K75"/>
    <mergeCell ref="B76:K77"/>
    <mergeCell ref="B83:K84"/>
    <mergeCell ref="B80:K80"/>
  </mergeCells>
  <phoneticPr fontId="15" type="noConversion"/>
  <pageMargins left="0.61" right="0.39" top="0.65" bottom="0.65" header="0.5" footer="0.5"/>
  <pageSetup scale="89" orientation="portrait" r:id="rId1"/>
  <headerFooter alignWithMargins="0">
    <oddHeader>&amp;RInstructions</oddHeader>
    <oddFooter>&amp;L&amp;8&amp;F&amp;R&amp;P</oddFooter>
  </headerFooter>
  <rowBreaks count="2" manualBreakCount="2">
    <brk id="58" max="11" man="1"/>
    <brk id="125" max="11"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S129"/>
  <sheetViews>
    <sheetView topLeftCell="A32" workbookViewId="0">
      <selection activeCell="C53" sqref="C53:G54"/>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9" max="9" width="11.28515625" customWidth="1"/>
    <col min="10" max="10" width="11.85546875" bestFit="1" customWidth="1"/>
    <col min="11" max="11" width="11.140625" customWidth="1"/>
    <col min="12" max="12" width="11.42578125" bestFit="1" customWidth="1"/>
    <col min="13" max="13" width="1.7109375" customWidth="1"/>
    <col min="14" max="14" width="12.5703125" customWidth="1"/>
    <col min="15" max="15" width="10" bestFit="1" customWidth="1"/>
    <col min="16" max="16" width="1.7109375" customWidth="1"/>
    <col min="17" max="17" width="11.28515625" customWidth="1"/>
    <col min="18" max="19" width="11.42578125" customWidth="1"/>
  </cols>
  <sheetData>
    <row r="1" spans="1:16" ht="7.5" customHeight="1" x14ac:dyDescent="0.2"/>
    <row r="2" spans="1:16" ht="33.75" customHeight="1" x14ac:dyDescent="0.25">
      <c r="A2" s="956" t="s">
        <v>333</v>
      </c>
      <c r="B2" s="957"/>
      <c r="C2" s="957"/>
      <c r="D2" s="957"/>
      <c r="E2" s="957"/>
      <c r="F2" s="957"/>
      <c r="G2" s="957"/>
      <c r="H2" s="957"/>
      <c r="I2" s="957"/>
      <c r="J2" s="957"/>
      <c r="K2" s="957"/>
      <c r="L2" s="957"/>
      <c r="M2" s="957"/>
      <c r="N2" s="957"/>
      <c r="O2" s="957"/>
      <c r="P2" s="958"/>
    </row>
    <row r="3" spans="1:16" ht="11.25" customHeight="1" x14ac:dyDescent="0.2"/>
    <row r="4" spans="1:16" ht="91.5" customHeight="1" x14ac:dyDescent="0.2">
      <c r="B4" s="892" t="s">
        <v>1072</v>
      </c>
      <c r="C4" s="883"/>
      <c r="D4" s="883"/>
      <c r="E4" s="883"/>
      <c r="F4" s="883"/>
      <c r="G4" s="883"/>
      <c r="H4" s="883"/>
      <c r="I4" s="883"/>
      <c r="J4" s="883"/>
      <c r="K4" s="883"/>
      <c r="L4" s="883"/>
      <c r="M4" s="883"/>
      <c r="N4" s="883"/>
      <c r="O4" s="883"/>
      <c r="P4" s="883"/>
    </row>
    <row r="5" spans="1:16" ht="5.25" customHeight="1" x14ac:dyDescent="0.2"/>
    <row r="6" spans="1:16" ht="9" customHeight="1" x14ac:dyDescent="0.2"/>
    <row r="7" spans="1:16" ht="12.75" customHeight="1" x14ac:dyDescent="0.2">
      <c r="B7" s="50" t="s">
        <v>930</v>
      </c>
      <c r="C7" s="883" t="s">
        <v>332</v>
      </c>
      <c r="D7" s="883"/>
      <c r="E7" s="883"/>
      <c r="F7" s="883"/>
      <c r="G7" s="883"/>
      <c r="H7" s="883"/>
      <c r="I7" s="883"/>
      <c r="J7" s="883"/>
      <c r="K7" s="883"/>
      <c r="L7" s="883"/>
      <c r="M7" s="883"/>
      <c r="N7" s="883"/>
      <c r="O7" s="883"/>
      <c r="P7" s="883"/>
    </row>
    <row r="8" spans="1:16" ht="12.75" customHeight="1" x14ac:dyDescent="0.2">
      <c r="B8" s="50"/>
      <c r="C8" s="883"/>
      <c r="D8" s="883"/>
      <c r="E8" s="883"/>
      <c r="F8" s="883"/>
      <c r="G8" s="883"/>
      <c r="H8" s="883"/>
      <c r="I8" s="883"/>
      <c r="J8" s="883"/>
      <c r="K8" s="883"/>
      <c r="L8" s="883"/>
      <c r="M8" s="883"/>
      <c r="N8" s="883"/>
      <c r="O8" s="883"/>
      <c r="P8" s="883"/>
    </row>
    <row r="9" spans="1:16" ht="5.25" customHeight="1" x14ac:dyDescent="0.2">
      <c r="B9" s="50"/>
      <c r="C9" s="46"/>
      <c r="D9" s="46"/>
      <c r="E9" s="46"/>
      <c r="F9" s="46"/>
      <c r="G9" s="46"/>
      <c r="H9" s="46"/>
      <c r="I9" s="46"/>
      <c r="J9" s="46"/>
      <c r="K9" s="46"/>
      <c r="L9" s="46"/>
      <c r="M9" s="46"/>
      <c r="N9" s="46"/>
      <c r="O9" s="46"/>
      <c r="P9" s="46"/>
    </row>
    <row r="10" spans="1:16" ht="12.75" customHeight="1" x14ac:dyDescent="0.2">
      <c r="B10" s="50" t="s">
        <v>931</v>
      </c>
      <c r="C10" s="883" t="s">
        <v>617</v>
      </c>
      <c r="D10" s="883"/>
      <c r="E10" s="883"/>
      <c r="F10" s="883"/>
      <c r="G10" s="883"/>
      <c r="H10" s="883"/>
      <c r="I10" s="883"/>
      <c r="J10" s="883"/>
      <c r="K10" s="883"/>
      <c r="L10" s="883"/>
      <c r="M10" s="883"/>
      <c r="N10" s="883"/>
      <c r="O10" s="883"/>
    </row>
    <row r="11" spans="1:16" ht="12.75" customHeight="1" x14ac:dyDescent="0.2">
      <c r="B11" s="50"/>
      <c r="C11" s="883"/>
      <c r="D11" s="883"/>
      <c r="E11" s="883"/>
      <c r="F11" s="883"/>
      <c r="G11" s="883"/>
      <c r="H11" s="883"/>
      <c r="I11" s="883"/>
      <c r="J11" s="883"/>
      <c r="K11" s="883"/>
      <c r="L11" s="883"/>
      <c r="M11" s="883"/>
      <c r="N11" s="883"/>
      <c r="O11" s="883"/>
    </row>
    <row r="12" spans="1:16" ht="5.25" customHeight="1" x14ac:dyDescent="0.2">
      <c r="B12" s="50"/>
    </row>
    <row r="13" spans="1:16" ht="12.75" customHeight="1" x14ac:dyDescent="0.2">
      <c r="B13" s="50" t="s">
        <v>464</v>
      </c>
      <c r="C13" s="883" t="s">
        <v>88</v>
      </c>
      <c r="D13" s="883"/>
      <c r="E13" s="883"/>
      <c r="F13" s="883"/>
      <c r="G13" s="883"/>
      <c r="H13" s="883"/>
      <c r="I13" s="883"/>
      <c r="J13" s="883"/>
      <c r="K13" s="883"/>
      <c r="L13" s="883"/>
      <c r="M13" s="883"/>
      <c r="N13" s="883"/>
      <c r="O13" s="883"/>
    </row>
    <row r="14" spans="1:16" ht="12.75" customHeight="1" x14ac:dyDescent="0.2">
      <c r="B14" s="50"/>
      <c r="C14" s="883"/>
      <c r="D14" s="883"/>
      <c r="E14" s="883"/>
      <c r="F14" s="883"/>
      <c r="G14" s="883"/>
      <c r="H14" s="883"/>
      <c r="I14" s="883"/>
      <c r="J14" s="883"/>
      <c r="K14" s="883"/>
      <c r="L14" s="883"/>
      <c r="M14" s="883"/>
      <c r="N14" s="883"/>
      <c r="O14" s="883"/>
    </row>
    <row r="15" spans="1:16" ht="6" customHeight="1" x14ac:dyDescent="0.2"/>
    <row r="16" spans="1:16" x14ac:dyDescent="0.2">
      <c r="C16" s="883"/>
      <c r="D16" s="883"/>
      <c r="E16" s="883"/>
      <c r="F16" s="883"/>
      <c r="G16" s="883"/>
      <c r="H16" s="883"/>
      <c r="I16" s="883"/>
      <c r="J16" s="883"/>
      <c r="K16" s="883"/>
      <c r="L16" s="883"/>
      <c r="M16" s="883"/>
      <c r="N16" s="883"/>
      <c r="O16" s="883"/>
    </row>
    <row r="17" spans="1:16" ht="25.5" customHeight="1" x14ac:dyDescent="0.2">
      <c r="A17" s="4" t="s">
        <v>860</v>
      </c>
      <c r="B17" s="962" t="s">
        <v>700</v>
      </c>
      <c r="C17" s="963"/>
      <c r="D17" s="963"/>
      <c r="E17" s="963"/>
      <c r="F17" s="963"/>
      <c r="G17" s="963"/>
      <c r="H17" s="963"/>
      <c r="I17" s="963"/>
      <c r="J17" s="963"/>
      <c r="K17" s="963"/>
      <c r="L17" s="963"/>
      <c r="M17" s="963"/>
      <c r="N17" s="963"/>
      <c r="O17" s="964"/>
      <c r="P17" s="4"/>
    </row>
    <row r="18" spans="1:16" ht="12.75" customHeight="1" x14ac:dyDescent="0.2">
      <c r="B18" s="4"/>
      <c r="H18" s="45"/>
    </row>
    <row r="19" spans="1:16" x14ac:dyDescent="0.2">
      <c r="B19" s="4"/>
      <c r="H19" s="45"/>
      <c r="J19" s="55" t="s">
        <v>343</v>
      </c>
      <c r="K19" s="55"/>
      <c r="L19" s="55"/>
      <c r="M19" s="55"/>
      <c r="N19" s="239" t="s">
        <v>1073</v>
      </c>
    </row>
    <row r="20" spans="1:16" x14ac:dyDescent="0.2">
      <c r="H20" s="10"/>
      <c r="I20" s="10"/>
      <c r="J20" s="3" t="s">
        <v>61</v>
      </c>
      <c r="K20" s="3" t="s">
        <v>344</v>
      </c>
      <c r="L20" s="3" t="s">
        <v>345</v>
      </c>
      <c r="M20" s="3"/>
      <c r="N20" s="539" t="s">
        <v>1074</v>
      </c>
    </row>
    <row r="21" spans="1:16" ht="6" customHeight="1" x14ac:dyDescent="0.2">
      <c r="H21" s="10"/>
      <c r="I21" s="10"/>
    </row>
    <row r="22" spans="1:16" ht="13.5" customHeight="1" x14ac:dyDescent="0.2">
      <c r="B22" s="50" t="s">
        <v>930</v>
      </c>
      <c r="C22" s="883" t="s">
        <v>334</v>
      </c>
      <c r="D22" s="883"/>
      <c r="E22" s="883"/>
      <c r="F22" s="883"/>
      <c r="G22" s="883"/>
      <c r="H22" s="883"/>
      <c r="I22" s="10"/>
      <c r="J22" s="45"/>
    </row>
    <row r="23" spans="1:16" ht="24.75" customHeight="1" x14ac:dyDescent="0.2">
      <c r="B23" s="50"/>
      <c r="C23" s="883"/>
      <c r="D23" s="883"/>
      <c r="E23" s="883"/>
      <c r="F23" s="883"/>
      <c r="G23" s="883"/>
      <c r="H23" s="883"/>
      <c r="I23" s="10"/>
      <c r="J23" s="45"/>
    </row>
    <row r="24" spans="1:16" x14ac:dyDescent="0.2">
      <c r="D24" t="s">
        <v>742</v>
      </c>
      <c r="H24"/>
      <c r="I24" s="10"/>
      <c r="J24" s="447"/>
      <c r="K24" s="448"/>
      <c r="L24" s="448"/>
      <c r="M24" s="414"/>
      <c r="N24" s="448"/>
    </row>
    <row r="25" spans="1:16" x14ac:dyDescent="0.2">
      <c r="D25" t="s">
        <v>486</v>
      </c>
      <c r="H25"/>
      <c r="I25" s="10"/>
      <c r="J25" s="447"/>
      <c r="K25" s="5"/>
      <c r="L25" s="5"/>
      <c r="M25" s="5"/>
      <c r="N25" s="448"/>
    </row>
    <row r="26" spans="1:16" x14ac:dyDescent="0.2">
      <c r="D26" t="s">
        <v>721</v>
      </c>
      <c r="H26"/>
      <c r="I26" s="10"/>
      <c r="J26" s="447"/>
      <c r="K26" s="5"/>
      <c r="L26" s="5"/>
      <c r="M26" s="5"/>
      <c r="N26" s="448"/>
    </row>
    <row r="27" spans="1:16" x14ac:dyDescent="0.2">
      <c r="D27" s="571" t="s">
        <v>4864</v>
      </c>
      <c r="H27"/>
      <c r="I27" s="10"/>
      <c r="J27" s="447"/>
      <c r="K27" s="5"/>
      <c r="L27" s="5"/>
      <c r="M27" s="5"/>
      <c r="N27" s="448"/>
    </row>
    <row r="28" spans="1:16" x14ac:dyDescent="0.2">
      <c r="D28" s="571" t="s">
        <v>4896</v>
      </c>
      <c r="H28" s="45"/>
      <c r="I28" s="45"/>
      <c r="J28" s="448"/>
      <c r="N28" s="448">
        <v>0</v>
      </c>
    </row>
    <row r="29" spans="1:16" ht="7.5" customHeight="1" x14ac:dyDescent="0.2">
      <c r="H29" s="10"/>
      <c r="I29" s="10"/>
      <c r="J29" s="45"/>
    </row>
    <row r="30" spans="1:16" ht="17.25" thickBot="1" x14ac:dyDescent="0.4">
      <c r="D30" t="s">
        <v>718</v>
      </c>
      <c r="H30" s="10"/>
      <c r="I30" s="66"/>
      <c r="J30" s="88">
        <f>SUM(J24:J28)</f>
        <v>0</v>
      </c>
    </row>
    <row r="31" spans="1:16" ht="17.25" thickTop="1" x14ac:dyDescent="0.35">
      <c r="H31" s="10"/>
      <c r="I31" s="66"/>
      <c r="J31" s="5"/>
    </row>
    <row r="32" spans="1:16" x14ac:dyDescent="0.2">
      <c r="H32" s="10"/>
    </row>
    <row r="33" spans="1:16" ht="25.5" customHeight="1" x14ac:dyDescent="0.2">
      <c r="A33" s="4" t="s">
        <v>861</v>
      </c>
      <c r="B33" s="962" t="s">
        <v>336</v>
      </c>
      <c r="C33" s="963"/>
      <c r="D33" s="963"/>
      <c r="E33" s="963"/>
      <c r="F33" s="963"/>
      <c r="G33" s="963"/>
      <c r="H33" s="963"/>
      <c r="I33" s="963"/>
      <c r="J33" s="963"/>
      <c r="K33" s="963"/>
      <c r="L33" s="963"/>
      <c r="M33" s="963"/>
      <c r="N33" s="963"/>
      <c r="O33" s="964"/>
      <c r="P33" s="4"/>
    </row>
    <row r="34" spans="1:16" ht="19.5" customHeight="1" x14ac:dyDescent="0.2">
      <c r="H34" s="10"/>
      <c r="I34" s="10"/>
      <c r="J34" s="10"/>
      <c r="K34" s="10"/>
      <c r="L34" s="10"/>
      <c r="N34" s="10"/>
    </row>
    <row r="35" spans="1:16" ht="13.5" customHeight="1" x14ac:dyDescent="0.2">
      <c r="B35" s="4" t="s">
        <v>337</v>
      </c>
      <c r="H35" s="10"/>
      <c r="I35" s="10"/>
      <c r="J35" s="10"/>
      <c r="K35" s="10"/>
      <c r="L35" s="10"/>
      <c r="N35" s="10"/>
    </row>
    <row r="36" spans="1:16" ht="12.75" customHeight="1" x14ac:dyDescent="0.2">
      <c r="B36" s="50" t="s">
        <v>930</v>
      </c>
      <c r="C36" s="883" t="s">
        <v>250</v>
      </c>
      <c r="D36" s="883"/>
      <c r="E36" s="883"/>
      <c r="F36" s="883"/>
      <c r="G36" s="883"/>
      <c r="H36"/>
      <c r="K36" s="1011"/>
      <c r="L36" s="10"/>
      <c r="N36" s="10"/>
    </row>
    <row r="37" spans="1:16" ht="15.75" customHeight="1" x14ac:dyDescent="0.2">
      <c r="B37" s="50"/>
      <c r="C37" s="883"/>
      <c r="D37" s="883"/>
      <c r="E37" s="883"/>
      <c r="F37" s="883"/>
      <c r="G37" s="883"/>
      <c r="H37"/>
      <c r="K37" s="1011"/>
      <c r="L37" s="10"/>
    </row>
    <row r="38" spans="1:16" ht="4.5" customHeight="1" x14ac:dyDescent="0.2">
      <c r="H38"/>
      <c r="K38" s="10"/>
      <c r="L38" s="10"/>
      <c r="M38" s="1014" t="s">
        <v>1075</v>
      </c>
      <c r="N38" s="1014"/>
    </row>
    <row r="39" spans="1:16" ht="24.75" customHeight="1" x14ac:dyDescent="0.2">
      <c r="B39" s="50" t="s">
        <v>931</v>
      </c>
      <c r="C39" s="892" t="s">
        <v>251</v>
      </c>
      <c r="D39" s="892"/>
      <c r="E39" s="892"/>
      <c r="F39" s="892"/>
      <c r="G39" s="892"/>
      <c r="H39"/>
      <c r="I39" s="1014" t="s">
        <v>154</v>
      </c>
      <c r="J39" s="1013"/>
      <c r="K39" s="1014" t="s">
        <v>155</v>
      </c>
      <c r="L39" s="989">
        <v>0</v>
      </c>
      <c r="M39" s="1014"/>
      <c r="N39" s="1014"/>
      <c r="O39" s="989"/>
    </row>
    <row r="40" spans="1:16" ht="11.25" customHeight="1" x14ac:dyDescent="0.2">
      <c r="B40" s="50"/>
      <c r="C40" s="892"/>
      <c r="D40" s="892"/>
      <c r="E40" s="892"/>
      <c r="F40" s="892"/>
      <c r="G40" s="892"/>
      <c r="H40"/>
      <c r="I40" s="1014"/>
      <c r="J40" s="1013"/>
      <c r="K40" s="1014"/>
      <c r="L40" s="989"/>
      <c r="M40" s="1014"/>
      <c r="N40" s="1014"/>
      <c r="O40" s="989"/>
    </row>
    <row r="41" spans="1:16" ht="12.75" customHeight="1" x14ac:dyDescent="0.2">
      <c r="H41"/>
      <c r="K41" s="10"/>
      <c r="L41" s="10"/>
      <c r="N41" s="10"/>
    </row>
    <row r="42" spans="1:16" ht="12.75" customHeight="1" x14ac:dyDescent="0.2">
      <c r="B42" s="4" t="s">
        <v>563</v>
      </c>
      <c r="H42"/>
      <c r="K42" s="10"/>
      <c r="L42" s="10"/>
      <c r="N42" s="10"/>
    </row>
    <row r="43" spans="1:16" ht="14.25" customHeight="1" x14ac:dyDescent="0.2">
      <c r="B43" s="50" t="s">
        <v>932</v>
      </c>
      <c r="C43" s="881" t="s">
        <v>638</v>
      </c>
      <c r="D43" s="881"/>
      <c r="E43" s="881"/>
      <c r="F43" s="881"/>
      <c r="G43" s="881"/>
      <c r="H43"/>
      <c r="K43" s="447"/>
      <c r="L43" s="10"/>
    </row>
    <row r="44" spans="1:16" ht="4.5" customHeight="1" x14ac:dyDescent="0.2">
      <c r="H44"/>
      <c r="K44" s="419"/>
      <c r="L44" s="10"/>
    </row>
    <row r="45" spans="1:16" ht="14.25" customHeight="1" x14ac:dyDescent="0.2">
      <c r="B45" s="50" t="s">
        <v>862</v>
      </c>
      <c r="C45" s="1012" t="s">
        <v>635</v>
      </c>
      <c r="D45" s="1012"/>
      <c r="E45" s="1012"/>
      <c r="F45" s="1012"/>
      <c r="G45" s="1012"/>
      <c r="H45"/>
      <c r="J45" s="31"/>
      <c r="K45" s="447"/>
    </row>
    <row r="46" spans="1:16" ht="4.5" customHeight="1" x14ac:dyDescent="0.2">
      <c r="H46"/>
      <c r="K46" s="419"/>
      <c r="L46" s="10"/>
    </row>
    <row r="47" spans="1:16" ht="12.75" customHeight="1" x14ac:dyDescent="0.2">
      <c r="B47" s="50" t="s">
        <v>863</v>
      </c>
      <c r="C47" t="s">
        <v>636</v>
      </c>
      <c r="H47"/>
      <c r="K47" s="447"/>
      <c r="L47" s="10"/>
    </row>
    <row r="48" spans="1:16" ht="4.5" customHeight="1" x14ac:dyDescent="0.2">
      <c r="H48"/>
      <c r="K48" s="419"/>
      <c r="L48" s="10"/>
    </row>
    <row r="49" spans="1:16" ht="14.25" customHeight="1" x14ac:dyDescent="0.2">
      <c r="B49" s="50" t="s">
        <v>323</v>
      </c>
      <c r="C49" s="881" t="s">
        <v>335</v>
      </c>
      <c r="D49" s="881"/>
      <c r="E49" s="881"/>
      <c r="F49" s="881"/>
      <c r="G49" s="881"/>
      <c r="H49"/>
      <c r="K49" s="449"/>
      <c r="L49" s="10"/>
    </row>
    <row r="50" spans="1:16" ht="12.75" customHeight="1" x14ac:dyDescent="0.2">
      <c r="D50" t="s">
        <v>1013</v>
      </c>
      <c r="H50"/>
      <c r="K50" s="141">
        <f>K43-K45+K47-K49</f>
        <v>0</v>
      </c>
      <c r="L50" s="10"/>
      <c r="N50" s="10"/>
      <c r="O50" s="59"/>
    </row>
    <row r="51" spans="1:16" ht="12.75" customHeight="1" x14ac:dyDescent="0.2">
      <c r="H51"/>
      <c r="K51" s="10"/>
      <c r="L51" s="10"/>
      <c r="N51" s="10"/>
      <c r="O51" s="59"/>
    </row>
    <row r="52" spans="1:16" ht="12.75" customHeight="1" x14ac:dyDescent="0.2">
      <c r="B52" s="4" t="s">
        <v>637</v>
      </c>
      <c r="H52"/>
      <c r="K52" s="10"/>
      <c r="L52" s="10"/>
      <c r="N52" s="10"/>
      <c r="O52" s="59"/>
    </row>
    <row r="53" spans="1:16" ht="13.5" customHeight="1" x14ac:dyDescent="0.2">
      <c r="B53" s="50" t="s">
        <v>153</v>
      </c>
      <c r="C53" s="883" t="s">
        <v>839</v>
      </c>
      <c r="D53" s="883"/>
      <c r="E53" s="883"/>
      <c r="F53" s="883"/>
      <c r="G53" s="883"/>
      <c r="H53"/>
      <c r="K53" s="1011"/>
      <c r="L53" s="10"/>
      <c r="N53" s="10"/>
    </row>
    <row r="54" spans="1:16" ht="12" customHeight="1" x14ac:dyDescent="0.2">
      <c r="B54" s="50"/>
      <c r="C54" s="883"/>
      <c r="D54" s="883"/>
      <c r="E54" s="883"/>
      <c r="F54" s="883"/>
      <c r="G54" s="883"/>
      <c r="H54"/>
      <c r="K54" s="1011"/>
      <c r="L54" s="10"/>
      <c r="N54" s="10"/>
    </row>
    <row r="55" spans="1:16" ht="4.5" customHeight="1" x14ac:dyDescent="0.2">
      <c r="B55" s="50"/>
      <c r="H55"/>
      <c r="K55" s="10"/>
      <c r="L55" s="10"/>
      <c r="N55" s="10"/>
    </row>
    <row r="56" spans="1:16" ht="13.5" customHeight="1" x14ac:dyDescent="0.2">
      <c r="B56" s="50" t="s">
        <v>743</v>
      </c>
      <c r="C56" s="883" t="s">
        <v>386</v>
      </c>
      <c r="D56" s="883"/>
      <c r="E56" s="883"/>
      <c r="F56" s="883"/>
      <c r="G56" s="883"/>
      <c r="H56"/>
      <c r="K56" s="1011"/>
      <c r="L56" s="10"/>
      <c r="N56" s="10"/>
    </row>
    <row r="57" spans="1:16" ht="12.75" customHeight="1" x14ac:dyDescent="0.2">
      <c r="B57" s="50"/>
      <c r="C57" s="883"/>
      <c r="D57" s="883"/>
      <c r="E57" s="883"/>
      <c r="F57" s="883"/>
      <c r="G57" s="883"/>
      <c r="H57"/>
      <c r="K57" s="1011"/>
      <c r="L57" s="10"/>
      <c r="N57" s="10"/>
    </row>
    <row r="58" spans="1:16" ht="12.75" customHeight="1" x14ac:dyDescent="0.2">
      <c r="B58" s="50"/>
      <c r="C58" s="46"/>
      <c r="D58" s="883" t="s">
        <v>517</v>
      </c>
      <c r="E58" s="883"/>
      <c r="F58" s="883"/>
      <c r="G58" s="883"/>
      <c r="H58"/>
      <c r="K58" s="141">
        <f>K53+K56</f>
        <v>0</v>
      </c>
      <c r="L58" s="10"/>
      <c r="N58" s="10"/>
    </row>
    <row r="59" spans="1:16" ht="19.5" customHeight="1" x14ac:dyDescent="0.2">
      <c r="G59" s="5"/>
      <c r="H59" s="10"/>
      <c r="I59" s="10"/>
      <c r="J59" s="10"/>
      <c r="K59" s="10"/>
      <c r="L59" s="10"/>
      <c r="N59" s="10"/>
    </row>
    <row r="60" spans="1:16" ht="25.5" customHeight="1" x14ac:dyDescent="0.2">
      <c r="A60" s="4" t="s">
        <v>459</v>
      </c>
      <c r="B60" s="962" t="s">
        <v>1076</v>
      </c>
      <c r="C60" s="963"/>
      <c r="D60" s="963"/>
      <c r="E60" s="963"/>
      <c r="F60" s="963"/>
      <c r="G60" s="963"/>
      <c r="H60" s="963"/>
      <c r="I60" s="963"/>
      <c r="J60" s="963"/>
      <c r="K60" s="963"/>
      <c r="L60" s="963"/>
      <c r="M60" s="963"/>
      <c r="N60" s="963"/>
      <c r="O60" s="964"/>
      <c r="P60" s="4"/>
    </row>
    <row r="61" spans="1:16" ht="10.5" customHeight="1" x14ac:dyDescent="0.2"/>
    <row r="62" spans="1:16" ht="27" customHeight="1" x14ac:dyDescent="0.2">
      <c r="B62" s="883" t="s">
        <v>253</v>
      </c>
      <c r="C62" s="883"/>
      <c r="D62" s="883"/>
      <c r="E62" s="883"/>
      <c r="F62" s="883"/>
      <c r="G62" s="883"/>
      <c r="H62" s="883"/>
      <c r="I62" s="883"/>
      <c r="J62" s="883"/>
      <c r="K62" s="883"/>
      <c r="L62" s="883"/>
      <c r="M62" s="883"/>
      <c r="N62" s="883"/>
      <c r="O62" s="883"/>
    </row>
    <row r="63" spans="1:16" ht="6" customHeight="1" x14ac:dyDescent="0.2"/>
    <row r="64" spans="1:16" ht="12.75" customHeight="1" x14ac:dyDescent="0.2">
      <c r="B64" s="50" t="s">
        <v>930</v>
      </c>
      <c r="C64" s="188" t="s">
        <v>1077</v>
      </c>
      <c r="K64" s="447"/>
    </row>
    <row r="65" spans="1:15" ht="9" customHeight="1" x14ac:dyDescent="0.2"/>
    <row r="66" spans="1:15" ht="12.75" customHeight="1" x14ac:dyDescent="0.2">
      <c r="B66" s="50" t="s">
        <v>931</v>
      </c>
      <c r="C66" t="s">
        <v>639</v>
      </c>
      <c r="K66" s="447"/>
    </row>
    <row r="67" spans="1:15" ht="7.5" customHeight="1" x14ac:dyDescent="0.2"/>
    <row r="68" spans="1:15" ht="12.75" customHeight="1" x14ac:dyDescent="0.2">
      <c r="B68" s="50" t="s">
        <v>932</v>
      </c>
      <c r="C68" s="883" t="s">
        <v>195</v>
      </c>
      <c r="D68" s="883"/>
      <c r="E68" s="883"/>
      <c r="F68" s="883"/>
      <c r="G68" s="883"/>
      <c r="K68" s="1011"/>
    </row>
    <row r="69" spans="1:15" ht="12.75" customHeight="1" x14ac:dyDescent="0.2">
      <c r="B69" s="50"/>
      <c r="C69" s="883"/>
      <c r="D69" s="883"/>
      <c r="E69" s="883"/>
      <c r="F69" s="883"/>
      <c r="G69" s="883"/>
      <c r="K69" s="1011"/>
    </row>
    <row r="70" spans="1:15" ht="7.5" customHeight="1" x14ac:dyDescent="0.2"/>
    <row r="71" spans="1:15" ht="12.75" customHeight="1" x14ac:dyDescent="0.2">
      <c r="B71" s="50" t="s">
        <v>862</v>
      </c>
      <c r="C71" t="s">
        <v>640</v>
      </c>
      <c r="K71" s="447"/>
    </row>
    <row r="72" spans="1:15" ht="12.75" customHeight="1" x14ac:dyDescent="0.2"/>
    <row r="73" spans="1:15" ht="12.75" customHeight="1" x14ac:dyDescent="0.2"/>
    <row r="74" spans="1:15" ht="25.5" customHeight="1" x14ac:dyDescent="0.2">
      <c r="A74" s="4" t="s">
        <v>465</v>
      </c>
      <c r="B74" s="962" t="s">
        <v>444</v>
      </c>
      <c r="C74" s="963"/>
      <c r="D74" s="963"/>
      <c r="E74" s="963"/>
      <c r="F74" s="963"/>
      <c r="G74" s="963"/>
      <c r="H74" s="963"/>
      <c r="I74" s="963"/>
      <c r="J74" s="963"/>
      <c r="K74" s="963"/>
      <c r="L74" s="963"/>
      <c r="M74" s="963"/>
      <c r="N74" s="963"/>
      <c r="O74" s="964"/>
    </row>
    <row r="75" spans="1:15" ht="19.5" customHeight="1" x14ac:dyDescent="0.2"/>
    <row r="76" spans="1:15" ht="12.75" customHeight="1" x14ac:dyDescent="0.2">
      <c r="L76" s="58" t="s">
        <v>64</v>
      </c>
      <c r="N76" s="58" t="s">
        <v>65</v>
      </c>
    </row>
    <row r="77" spans="1:15" ht="12.75" customHeight="1" x14ac:dyDescent="0.2">
      <c r="D77" t="s">
        <v>824</v>
      </c>
      <c r="E77" s="571" t="s">
        <v>4871</v>
      </c>
      <c r="L77" s="11">
        <f>R106-S106</f>
        <v>0</v>
      </c>
      <c r="N77" s="11">
        <v>0</v>
      </c>
    </row>
    <row r="78" spans="1:15" ht="12.75" customHeight="1" x14ac:dyDescent="0.2">
      <c r="E78" s="571" t="s">
        <v>4900</v>
      </c>
      <c r="H78" s="95"/>
      <c r="L78" s="11">
        <f>R109-S109</f>
        <v>0</v>
      </c>
      <c r="N78" s="11">
        <v>0</v>
      </c>
    </row>
    <row r="79" spans="1:15" ht="12.75" customHeight="1" x14ac:dyDescent="0.2">
      <c r="E79" t="s">
        <v>613</v>
      </c>
      <c r="L79" s="11">
        <f>R108-S108</f>
        <v>0</v>
      </c>
      <c r="N79" s="11">
        <v>0</v>
      </c>
    </row>
    <row r="80" spans="1:15" ht="12.75" customHeight="1" x14ac:dyDescent="0.2">
      <c r="E80" t="s">
        <v>778</v>
      </c>
      <c r="L80" s="11">
        <f>R109-S109</f>
        <v>0</v>
      </c>
      <c r="N80" s="11">
        <v>0</v>
      </c>
    </row>
    <row r="81" spans="5:14" ht="12.75" customHeight="1" x14ac:dyDescent="0.2">
      <c r="E81" t="s">
        <v>614</v>
      </c>
      <c r="L81" s="11">
        <f>R110-S110</f>
        <v>0</v>
      </c>
      <c r="N81" s="11">
        <v>0</v>
      </c>
    </row>
    <row r="82" spans="5:14" ht="12.75" customHeight="1" x14ac:dyDescent="0.2">
      <c r="E82" t="s">
        <v>615</v>
      </c>
      <c r="L82" s="11">
        <f>R111</f>
        <v>0</v>
      </c>
      <c r="N82" s="11">
        <f>S111</f>
        <v>0</v>
      </c>
    </row>
    <row r="83" spans="5:14" ht="12.75" customHeight="1" x14ac:dyDescent="0.2">
      <c r="E83" s="188" t="s">
        <v>1078</v>
      </c>
      <c r="L83" s="11">
        <f>R112</f>
        <v>0</v>
      </c>
      <c r="N83" s="11">
        <f>S112</f>
        <v>0</v>
      </c>
    </row>
    <row r="84" spans="5:14" ht="12.75" customHeight="1" x14ac:dyDescent="0.2">
      <c r="E84" t="s">
        <v>847</v>
      </c>
      <c r="L84" s="11">
        <f>R113</f>
        <v>0</v>
      </c>
      <c r="N84" s="11">
        <f>S113</f>
        <v>0</v>
      </c>
    </row>
    <row r="85" spans="5:14" ht="12.75" customHeight="1" x14ac:dyDescent="0.2">
      <c r="E85" t="s">
        <v>744</v>
      </c>
      <c r="L85" s="11">
        <f>R114-S114</f>
        <v>0</v>
      </c>
      <c r="N85" s="11">
        <v>0</v>
      </c>
    </row>
    <row r="86" spans="5:14" ht="12.75" customHeight="1" x14ac:dyDescent="0.2">
      <c r="F86" t="s">
        <v>67</v>
      </c>
      <c r="L86" s="11">
        <v>0</v>
      </c>
      <c r="N86" s="11">
        <f>S115-R115</f>
        <v>0</v>
      </c>
    </row>
    <row r="87" spans="5:14" ht="12.75" customHeight="1" x14ac:dyDescent="0.2">
      <c r="F87" s="188" t="s">
        <v>1079</v>
      </c>
      <c r="L87" s="11">
        <v>0</v>
      </c>
      <c r="N87" s="11">
        <f>S116-R116</f>
        <v>0</v>
      </c>
    </row>
    <row r="88" spans="5:14" ht="12.75" customHeight="1" x14ac:dyDescent="0.2">
      <c r="F88" t="s">
        <v>71</v>
      </c>
      <c r="L88" s="11">
        <v>0</v>
      </c>
      <c r="N88" s="11">
        <f>S117-R117</f>
        <v>0</v>
      </c>
    </row>
    <row r="89" spans="5:14" ht="12.75" customHeight="1" x14ac:dyDescent="0.2">
      <c r="F89" t="s">
        <v>745</v>
      </c>
      <c r="L89" s="11">
        <f>R118-S118</f>
        <v>0</v>
      </c>
      <c r="N89" s="11">
        <v>0</v>
      </c>
    </row>
    <row r="90" spans="5:14" ht="12.75" customHeight="1" x14ac:dyDescent="0.2">
      <c r="F90" t="s">
        <v>616</v>
      </c>
      <c r="L90" s="11">
        <v>0</v>
      </c>
      <c r="N90" s="11">
        <f>S119-R119</f>
        <v>0</v>
      </c>
    </row>
    <row r="91" spans="5:14" ht="12.75" customHeight="1" x14ac:dyDescent="0.2">
      <c r="F91" t="s">
        <v>388</v>
      </c>
      <c r="L91" s="11">
        <v>0</v>
      </c>
      <c r="N91" s="11">
        <f>S120-R120</f>
        <v>0</v>
      </c>
    </row>
    <row r="92" spans="5:14" ht="12.75" customHeight="1" x14ac:dyDescent="0.2">
      <c r="F92" t="s">
        <v>141</v>
      </c>
      <c r="L92" s="11">
        <f>R121</f>
        <v>0</v>
      </c>
      <c r="N92" s="11">
        <f>S121</f>
        <v>0</v>
      </c>
    </row>
    <row r="93" spans="5:14" ht="12.75" customHeight="1" x14ac:dyDescent="0.2">
      <c r="F93" t="s">
        <v>742</v>
      </c>
      <c r="L93" s="11">
        <f>R122</f>
        <v>0</v>
      </c>
      <c r="N93" s="11">
        <f>S122</f>
        <v>0</v>
      </c>
    </row>
    <row r="94" spans="5:14" ht="12.75" customHeight="1" x14ac:dyDescent="0.2">
      <c r="F94" t="s">
        <v>486</v>
      </c>
      <c r="L94" s="11">
        <v>0</v>
      </c>
      <c r="N94" s="11">
        <f>S123-R123</f>
        <v>0</v>
      </c>
    </row>
    <row r="95" spans="5:14" ht="12.75" customHeight="1" x14ac:dyDescent="0.2">
      <c r="F95" t="s">
        <v>721</v>
      </c>
      <c r="L95" s="11">
        <v>0</v>
      </c>
      <c r="N95" s="11">
        <f>S124-R124</f>
        <v>0</v>
      </c>
    </row>
    <row r="96" spans="5:14" ht="12.75" customHeight="1" x14ac:dyDescent="0.2">
      <c r="F96" s="571" t="s">
        <v>4864</v>
      </c>
      <c r="L96" s="11">
        <v>0</v>
      </c>
      <c r="N96" s="11">
        <f>S125-R125</f>
        <v>0</v>
      </c>
    </row>
    <row r="97" spans="1:19" ht="12.75" customHeight="1" x14ac:dyDescent="0.2">
      <c r="F97" s="571" t="s">
        <v>4896</v>
      </c>
      <c r="L97" s="11">
        <v>0</v>
      </c>
      <c r="N97" s="11">
        <f>S126-R126</f>
        <v>0</v>
      </c>
    </row>
    <row r="98" spans="1:19" ht="12.75" customHeight="1" thickBot="1" x14ac:dyDescent="0.25">
      <c r="L98" s="80">
        <f>SUM(L77:L97)</f>
        <v>0</v>
      </c>
      <c r="N98" s="80">
        <f>SUM(N77:N97)</f>
        <v>0</v>
      </c>
    </row>
    <row r="99" spans="1:19" ht="12.75" customHeight="1" thickTop="1" x14ac:dyDescent="0.2">
      <c r="L99" s="5"/>
    </row>
    <row r="100" spans="1:19" ht="12.75" customHeight="1" x14ac:dyDescent="0.2"/>
    <row r="101" spans="1:19" ht="26.25" customHeight="1" x14ac:dyDescent="0.25">
      <c r="A101" s="1009" t="s">
        <v>347</v>
      </c>
      <c r="B101" s="1010"/>
      <c r="C101" s="1010"/>
      <c r="D101" s="1010"/>
      <c r="E101" s="1010"/>
      <c r="F101" s="1010"/>
      <c r="G101" s="1010"/>
      <c r="H101" s="1010"/>
      <c r="I101" s="1010"/>
      <c r="J101" s="1010"/>
      <c r="K101" s="1010"/>
      <c r="L101" s="1010"/>
      <c r="M101" s="1010"/>
      <c r="N101" s="1010"/>
      <c r="O101" s="1010"/>
      <c r="P101" s="1017"/>
    </row>
    <row r="102" spans="1:19" ht="12.75" customHeight="1" x14ac:dyDescent="0.2"/>
    <row r="103" spans="1:19" ht="12.75" customHeight="1" x14ac:dyDescent="0.2">
      <c r="J103" s="1015" t="s">
        <v>412</v>
      </c>
      <c r="K103" s="1016"/>
      <c r="L103" s="1015" t="s">
        <v>245</v>
      </c>
      <c r="M103" s="1018"/>
      <c r="N103" s="1016"/>
      <c r="O103" s="1015" t="s">
        <v>246</v>
      </c>
      <c r="P103" s="1018"/>
      <c r="Q103" s="1016"/>
      <c r="R103" s="1015" t="s">
        <v>102</v>
      </c>
      <c r="S103" s="1016"/>
    </row>
    <row r="104" spans="1:19" x14ac:dyDescent="0.2">
      <c r="J104" s="120" t="s">
        <v>64</v>
      </c>
      <c r="K104" s="121" t="s">
        <v>65</v>
      </c>
      <c r="L104" s="71" t="s">
        <v>64</v>
      </c>
      <c r="M104" s="3"/>
      <c r="N104" s="72" t="s">
        <v>65</v>
      </c>
      <c r="O104" s="71" t="s">
        <v>64</v>
      </c>
      <c r="P104" s="8"/>
      <c r="Q104" s="72" t="s">
        <v>65</v>
      </c>
      <c r="R104" s="71" t="s">
        <v>327</v>
      </c>
      <c r="S104" s="72" t="s">
        <v>65</v>
      </c>
    </row>
    <row r="105" spans="1:19" ht="6.75" customHeight="1" x14ac:dyDescent="0.2">
      <c r="J105" s="122"/>
      <c r="R105" s="122"/>
      <c r="S105" s="124"/>
    </row>
    <row r="106" spans="1:19" ht="12.75" customHeight="1" x14ac:dyDescent="0.2">
      <c r="C106" t="s">
        <v>142</v>
      </c>
      <c r="F106" s="1"/>
      <c r="H106"/>
      <c r="J106" s="127">
        <f>J27</f>
        <v>0</v>
      </c>
      <c r="K106" s="95"/>
      <c r="R106" s="9">
        <f>J106+L106+O106</f>
        <v>0</v>
      </c>
      <c r="S106" s="125">
        <f>K106+N106+Q106</f>
        <v>0</v>
      </c>
    </row>
    <row r="107" spans="1:19" ht="12.75" customHeight="1" x14ac:dyDescent="0.2">
      <c r="C107" s="571" t="s">
        <v>4901</v>
      </c>
      <c r="F107" s="95"/>
      <c r="H107"/>
      <c r="J107" s="127">
        <f>J28</f>
        <v>0</v>
      </c>
      <c r="K107" s="95"/>
      <c r="R107" s="9">
        <f>J107+L107+O107</f>
        <v>0</v>
      </c>
      <c r="S107" s="125">
        <f>K107+N107+Q107</f>
        <v>0</v>
      </c>
    </row>
    <row r="108" spans="1:19" x14ac:dyDescent="0.2">
      <c r="C108" t="s">
        <v>143</v>
      </c>
      <c r="F108" s="1"/>
      <c r="H108"/>
      <c r="J108" s="127">
        <f>J26</f>
        <v>0</v>
      </c>
      <c r="K108" s="95"/>
      <c r="R108" s="9">
        <f t="shared" ref="R108:R124" si="0">J108+L108+O108</f>
        <v>0</v>
      </c>
      <c r="S108" s="125">
        <f t="shared" ref="S108:S124" si="1">K108+N108+Q108</f>
        <v>0</v>
      </c>
    </row>
    <row r="109" spans="1:19" x14ac:dyDescent="0.2">
      <c r="C109" t="s">
        <v>144</v>
      </c>
      <c r="F109" s="1"/>
      <c r="H109"/>
      <c r="J109" s="127">
        <f>J24+J25</f>
        <v>0</v>
      </c>
      <c r="K109" s="95"/>
      <c r="L109" s="5">
        <f>K43</f>
        <v>0</v>
      </c>
      <c r="R109" s="9">
        <f>J109+L109+O109</f>
        <v>0</v>
      </c>
      <c r="S109" s="125">
        <f t="shared" si="1"/>
        <v>0</v>
      </c>
    </row>
    <row r="110" spans="1:19" x14ac:dyDescent="0.2">
      <c r="C110" t="s">
        <v>66</v>
      </c>
      <c r="F110" s="1"/>
      <c r="H110"/>
      <c r="J110" s="127">
        <f>L24</f>
        <v>0</v>
      </c>
      <c r="K110" s="95"/>
      <c r="L110" s="5">
        <f>K47</f>
        <v>0</v>
      </c>
      <c r="R110" s="9">
        <f t="shared" si="0"/>
        <v>0</v>
      </c>
      <c r="S110" s="125">
        <f t="shared" si="1"/>
        <v>0</v>
      </c>
    </row>
    <row r="111" spans="1:19" x14ac:dyDescent="0.2">
      <c r="C111" t="s">
        <v>615</v>
      </c>
      <c r="F111" s="1"/>
      <c r="H111"/>
      <c r="J111" s="127">
        <f>K24</f>
        <v>0</v>
      </c>
      <c r="K111" s="95"/>
      <c r="L111" s="5">
        <f>K45</f>
        <v>0</v>
      </c>
      <c r="N111" s="5">
        <f>J39</f>
        <v>0</v>
      </c>
      <c r="Q111" s="5">
        <f>K66</f>
        <v>0</v>
      </c>
      <c r="R111" s="9">
        <f t="shared" si="0"/>
        <v>0</v>
      </c>
      <c r="S111" s="125">
        <f t="shared" si="1"/>
        <v>0</v>
      </c>
    </row>
    <row r="112" spans="1:19" x14ac:dyDescent="0.2">
      <c r="C112" s="188" t="s">
        <v>1080</v>
      </c>
      <c r="F112" s="95"/>
      <c r="H112"/>
      <c r="J112" s="127">
        <f>N24+N25+N26+N27</f>
        <v>0</v>
      </c>
      <c r="K112" s="95"/>
      <c r="L112" s="5">
        <f>K49</f>
        <v>0</v>
      </c>
      <c r="N112" s="5">
        <f>O39</f>
        <v>0</v>
      </c>
      <c r="Q112" s="5">
        <f>K64</f>
        <v>0</v>
      </c>
      <c r="R112" s="9">
        <f t="shared" si="0"/>
        <v>0</v>
      </c>
      <c r="S112" s="125">
        <f t="shared" si="1"/>
        <v>0</v>
      </c>
    </row>
    <row r="113" spans="3:19" x14ac:dyDescent="0.2">
      <c r="C113" t="s">
        <v>387</v>
      </c>
      <c r="F113" s="95"/>
      <c r="H113"/>
      <c r="J113" s="127"/>
      <c r="K113" s="95"/>
      <c r="L113" s="5">
        <f>(K53+K56)-(K36+L39-J39-O39)</f>
        <v>0</v>
      </c>
      <c r="Q113" s="5">
        <f>K68</f>
        <v>0</v>
      </c>
      <c r="R113" s="9">
        <f t="shared" si="0"/>
        <v>0</v>
      </c>
      <c r="S113" s="125">
        <f t="shared" si="1"/>
        <v>0</v>
      </c>
    </row>
    <row r="114" spans="3:19" x14ac:dyDescent="0.2">
      <c r="C114" t="s">
        <v>744</v>
      </c>
      <c r="F114" s="1"/>
      <c r="H114"/>
      <c r="J114" s="127"/>
      <c r="K114" s="95"/>
      <c r="L114" s="5"/>
      <c r="O114" s="5">
        <f>K64</f>
        <v>0</v>
      </c>
      <c r="R114" s="9">
        <f t="shared" si="0"/>
        <v>0</v>
      </c>
      <c r="S114" s="125">
        <f t="shared" si="1"/>
        <v>0</v>
      </c>
    </row>
    <row r="115" spans="3:19" x14ac:dyDescent="0.2">
      <c r="D115" t="s">
        <v>67</v>
      </c>
      <c r="F115" s="1"/>
      <c r="H115"/>
      <c r="J115" s="127"/>
      <c r="K115" s="95">
        <f>N24+N25+N26+N27</f>
        <v>0</v>
      </c>
      <c r="N115" s="5">
        <f>K49</f>
        <v>0</v>
      </c>
      <c r="R115" s="9">
        <f t="shared" si="0"/>
        <v>0</v>
      </c>
      <c r="S115" s="125">
        <f t="shared" si="1"/>
        <v>0</v>
      </c>
    </row>
    <row r="116" spans="3:19" x14ac:dyDescent="0.2">
      <c r="D116" s="188" t="s">
        <v>1079</v>
      </c>
      <c r="F116" s="95"/>
      <c r="H116"/>
      <c r="J116" s="127"/>
      <c r="K116" s="95">
        <f>SUM(N24:N27)</f>
        <v>0</v>
      </c>
      <c r="N116" s="5"/>
      <c r="R116" s="9">
        <f>J116+L116+O116</f>
        <v>0</v>
      </c>
      <c r="S116" s="125">
        <f>K116+N116+Q116</f>
        <v>0</v>
      </c>
    </row>
    <row r="117" spans="3:19" x14ac:dyDescent="0.2">
      <c r="D117" t="s">
        <v>68</v>
      </c>
      <c r="F117" s="95"/>
      <c r="H117"/>
      <c r="J117" s="127"/>
      <c r="K117" s="95"/>
      <c r="N117" s="5">
        <f>K56</f>
        <v>0</v>
      </c>
      <c r="R117" s="9">
        <f t="shared" si="0"/>
        <v>0</v>
      </c>
      <c r="S117" s="125">
        <f t="shared" si="1"/>
        <v>0</v>
      </c>
    </row>
    <row r="118" spans="3:19" x14ac:dyDescent="0.2">
      <c r="D118" t="s">
        <v>745</v>
      </c>
      <c r="F118" s="95"/>
      <c r="H118"/>
      <c r="J118" s="127"/>
      <c r="K118" s="95"/>
      <c r="N118" s="5"/>
      <c r="O118" s="5">
        <f>K66+K68-K71</f>
        <v>0</v>
      </c>
      <c r="R118" s="9">
        <f t="shared" si="0"/>
        <v>0</v>
      </c>
      <c r="S118" s="125">
        <f t="shared" si="1"/>
        <v>0</v>
      </c>
    </row>
    <row r="119" spans="3:19" x14ac:dyDescent="0.2">
      <c r="D119" t="s">
        <v>616</v>
      </c>
      <c r="F119" s="1"/>
      <c r="H119"/>
      <c r="J119" s="127"/>
      <c r="K119" s="95">
        <f>K24</f>
        <v>0</v>
      </c>
      <c r="N119" s="5">
        <f>K45</f>
        <v>0</v>
      </c>
      <c r="R119" s="9">
        <f t="shared" si="0"/>
        <v>0</v>
      </c>
      <c r="S119" s="125">
        <f t="shared" si="1"/>
        <v>0</v>
      </c>
    </row>
    <row r="120" spans="3:19" x14ac:dyDescent="0.2">
      <c r="D120" t="s">
        <v>388</v>
      </c>
      <c r="F120" s="1"/>
      <c r="H120"/>
      <c r="J120" s="127"/>
      <c r="K120" s="95"/>
      <c r="N120" s="5">
        <f>K53</f>
        <v>0</v>
      </c>
      <c r="R120" s="9">
        <f t="shared" si="0"/>
        <v>0</v>
      </c>
      <c r="S120" s="125">
        <f t="shared" si="1"/>
        <v>0</v>
      </c>
    </row>
    <row r="121" spans="3:19" x14ac:dyDescent="0.2">
      <c r="D121" t="s">
        <v>69</v>
      </c>
      <c r="F121" s="1"/>
      <c r="H121"/>
      <c r="J121" s="127"/>
      <c r="K121" s="95">
        <f>L24</f>
        <v>0</v>
      </c>
      <c r="L121">
        <f>L39</f>
        <v>0</v>
      </c>
      <c r="N121" s="5">
        <f>K47</f>
        <v>0</v>
      </c>
      <c r="O121" s="5">
        <f>K71</f>
        <v>0</v>
      </c>
      <c r="R121" s="9">
        <f t="shared" si="0"/>
        <v>0</v>
      </c>
      <c r="S121" s="125">
        <f t="shared" si="1"/>
        <v>0</v>
      </c>
    </row>
    <row r="122" spans="3:19" x14ac:dyDescent="0.2">
      <c r="D122" t="s">
        <v>742</v>
      </c>
      <c r="F122" s="1"/>
      <c r="H122"/>
      <c r="J122" s="127"/>
      <c r="K122" s="95">
        <f>J24</f>
        <v>0</v>
      </c>
      <c r="L122" s="5">
        <f>K36</f>
        <v>0</v>
      </c>
      <c r="N122" s="5">
        <f>K43</f>
        <v>0</v>
      </c>
      <c r="R122" s="9">
        <f t="shared" si="0"/>
        <v>0</v>
      </c>
      <c r="S122" s="125">
        <f t="shared" si="1"/>
        <v>0</v>
      </c>
    </row>
    <row r="123" spans="3:19" x14ac:dyDescent="0.2">
      <c r="D123" t="s">
        <v>486</v>
      </c>
      <c r="F123" s="1"/>
      <c r="G123" s="380" t="s">
        <v>70</v>
      </c>
      <c r="H123"/>
      <c r="J123" s="127"/>
      <c r="K123" s="95">
        <f>J25</f>
        <v>0</v>
      </c>
      <c r="R123" s="9">
        <f t="shared" si="0"/>
        <v>0</v>
      </c>
      <c r="S123" s="125">
        <f t="shared" si="1"/>
        <v>0</v>
      </c>
    </row>
    <row r="124" spans="3:19" x14ac:dyDescent="0.2">
      <c r="D124" t="s">
        <v>721</v>
      </c>
      <c r="F124" s="1"/>
      <c r="H124"/>
      <c r="J124" s="127"/>
      <c r="K124" s="95">
        <f>J26</f>
        <v>0</v>
      </c>
      <c r="R124" s="9">
        <f t="shared" si="0"/>
        <v>0</v>
      </c>
      <c r="S124" s="125">
        <f t="shared" si="1"/>
        <v>0</v>
      </c>
    </row>
    <row r="125" spans="3:19" x14ac:dyDescent="0.2">
      <c r="D125" t="s">
        <v>296</v>
      </c>
      <c r="F125" s="1"/>
      <c r="H125"/>
      <c r="J125" s="127"/>
      <c r="K125" s="95">
        <f>J26</f>
        <v>0</v>
      </c>
      <c r="R125" s="9">
        <f t="shared" ref="R125:R126" si="2">J125+L125+O125</f>
        <v>0</v>
      </c>
      <c r="S125" s="125">
        <f t="shared" ref="S125:S126" si="3">K125+N125+Q125</f>
        <v>0</v>
      </c>
    </row>
    <row r="126" spans="3:19" x14ac:dyDescent="0.2">
      <c r="D126" s="571" t="s">
        <v>4902</v>
      </c>
      <c r="F126" s="95"/>
      <c r="H126"/>
      <c r="J126" s="127"/>
      <c r="K126" s="95">
        <f>J28</f>
        <v>0</v>
      </c>
      <c r="R126" s="9">
        <f t="shared" si="2"/>
        <v>0</v>
      </c>
      <c r="S126" s="125">
        <f t="shared" si="3"/>
        <v>0</v>
      </c>
    </row>
    <row r="127" spans="3:19" ht="5.25" customHeight="1" x14ac:dyDescent="0.2">
      <c r="F127" s="1"/>
      <c r="H127"/>
      <c r="J127" s="128"/>
      <c r="K127" s="95"/>
      <c r="R127" s="123"/>
      <c r="S127" s="126"/>
    </row>
    <row r="128" spans="3:19" ht="13.5" thickBot="1" x14ac:dyDescent="0.25">
      <c r="F128" s="1"/>
      <c r="H128"/>
      <c r="J128" s="113">
        <f t="shared" ref="J128:S128" si="4">SUM(J106:J127)</f>
        <v>0</v>
      </c>
      <c r="K128" s="32">
        <f t="shared" si="4"/>
        <v>0</v>
      </c>
      <c r="L128" s="32">
        <f t="shared" si="4"/>
        <v>0</v>
      </c>
      <c r="M128" s="5">
        <f t="shared" si="4"/>
        <v>0</v>
      </c>
      <c r="N128" s="32">
        <f t="shared" si="4"/>
        <v>0</v>
      </c>
      <c r="O128" s="32">
        <f t="shared" si="4"/>
        <v>0</v>
      </c>
      <c r="P128" s="5">
        <f t="shared" si="4"/>
        <v>0</v>
      </c>
      <c r="Q128" s="32">
        <f t="shared" si="4"/>
        <v>0</v>
      </c>
      <c r="R128" s="32">
        <f t="shared" si="4"/>
        <v>0</v>
      </c>
      <c r="S128" s="129">
        <f t="shared" si="4"/>
        <v>0</v>
      </c>
    </row>
    <row r="129" spans="6:8" ht="13.5" thickTop="1" x14ac:dyDescent="0.2">
      <c r="F129" s="1"/>
      <c r="H129"/>
    </row>
  </sheetData>
  <sheetProtection algorithmName="SHA-512" hashValue="xImPTHXTkZS1XfzPgOEn4QzDvhtTXpR7uyzb7dD6gUacvi57QrzvX5Ud4f6m2CMaFiRwXMW7IIsMd0hTmIW4SA==" saltValue="LE6i71QOQL8btHjH7W/t/A==" spinCount="100000" sheet="1" objects="1" scenarios="1"/>
  <mergeCells count="36">
    <mergeCell ref="C68:G69"/>
    <mergeCell ref="K68:K69"/>
    <mergeCell ref="B62:O62"/>
    <mergeCell ref="B74:O74"/>
    <mergeCell ref="R103:S103"/>
    <mergeCell ref="A101:P101"/>
    <mergeCell ref="J103:K103"/>
    <mergeCell ref="L103:N103"/>
    <mergeCell ref="O103:Q103"/>
    <mergeCell ref="B33:O33"/>
    <mergeCell ref="L39:L40"/>
    <mergeCell ref="O39:O40"/>
    <mergeCell ref="I39:I40"/>
    <mergeCell ref="K39:K40"/>
    <mergeCell ref="M38:N40"/>
    <mergeCell ref="C43:G43"/>
    <mergeCell ref="K53:K54"/>
    <mergeCell ref="C45:G45"/>
    <mergeCell ref="C49:G49"/>
    <mergeCell ref="A2:P2"/>
    <mergeCell ref="B4:P4"/>
    <mergeCell ref="B17:O17"/>
    <mergeCell ref="C16:O16"/>
    <mergeCell ref="C7:P8"/>
    <mergeCell ref="C10:O11"/>
    <mergeCell ref="C13:O14"/>
    <mergeCell ref="K36:K37"/>
    <mergeCell ref="C36:G37"/>
    <mergeCell ref="C22:H23"/>
    <mergeCell ref="C39:G40"/>
    <mergeCell ref="J39:J40"/>
    <mergeCell ref="B60:O60"/>
    <mergeCell ref="K56:K57"/>
    <mergeCell ref="C56:G57"/>
    <mergeCell ref="C53:G54"/>
    <mergeCell ref="D58:G58"/>
  </mergeCells>
  <phoneticPr fontId="15" type="noConversion"/>
  <printOptions horizontalCentered="1"/>
  <pageMargins left="0.36" right="0.37" top="0.71" bottom="0.5" header="0.5" footer="0.5"/>
  <pageSetup scale="69" orientation="portrait" r:id="rId1"/>
  <headerFooter alignWithMargins="0">
    <oddHeader>&amp;R&amp;"Arial,Bold"&amp;12Entry H</oddHeader>
    <oddFooter>&amp;L&amp;8&amp;D - City model&amp;R &amp;P</oddFooter>
  </headerFooter>
  <rowBreaks count="2" manualBreakCount="2">
    <brk id="71" max="16" man="1"/>
    <brk id="99" max="18"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S143"/>
  <sheetViews>
    <sheetView workbookViewId="0">
      <selection activeCell="B30" sqref="B30:O30"/>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0.42578125" style="1" customWidth="1"/>
    <col min="10" max="10" width="4" customWidth="1"/>
    <col min="11" max="11" width="11.28515625" customWidth="1"/>
    <col min="12" max="12" width="12.5703125" customWidth="1"/>
    <col min="13" max="13" width="0.7109375" customWidth="1"/>
    <col min="14" max="14" width="12.7109375" customWidth="1"/>
    <col min="15" max="15" width="10.42578125" bestFit="1" customWidth="1"/>
    <col min="16" max="16" width="1.28515625" customWidth="1"/>
    <col min="17" max="17" width="1.5703125" customWidth="1"/>
  </cols>
  <sheetData>
    <row r="1" spans="1:16" ht="7.5" customHeight="1" x14ac:dyDescent="0.2"/>
    <row r="2" spans="1:16" ht="33.75" customHeight="1" x14ac:dyDescent="0.25">
      <c r="A2" s="956" t="s">
        <v>722</v>
      </c>
      <c r="B2" s="957"/>
      <c r="C2" s="957"/>
      <c r="D2" s="957"/>
      <c r="E2" s="957"/>
      <c r="F2" s="957"/>
      <c r="G2" s="957"/>
      <c r="H2" s="957"/>
      <c r="I2" s="957"/>
      <c r="J2" s="957"/>
      <c r="K2" s="957"/>
      <c r="L2" s="957"/>
      <c r="M2" s="957"/>
      <c r="N2" s="957"/>
      <c r="O2" s="957"/>
      <c r="P2" s="958"/>
    </row>
    <row r="3" spans="1:16" ht="11.25" customHeight="1" x14ac:dyDescent="0.2"/>
    <row r="4" spans="1:16" ht="77.25" customHeight="1" x14ac:dyDescent="0.2">
      <c r="B4" s="892" t="s">
        <v>819</v>
      </c>
      <c r="C4" s="892"/>
      <c r="D4" s="892"/>
      <c r="E4" s="892"/>
      <c r="F4" s="892"/>
      <c r="G4" s="892"/>
      <c r="H4" s="892"/>
      <c r="I4" s="892"/>
      <c r="J4" s="892"/>
      <c r="K4" s="892"/>
      <c r="L4" s="892"/>
      <c r="M4" s="892"/>
      <c r="N4" s="892"/>
      <c r="O4" s="892"/>
      <c r="P4" s="892"/>
    </row>
    <row r="5" spans="1:16" ht="5.25" customHeight="1" x14ac:dyDescent="0.2"/>
    <row r="6" spans="1:16" ht="12.75" customHeight="1" x14ac:dyDescent="0.2">
      <c r="B6" s="50" t="s">
        <v>930</v>
      </c>
      <c r="C6" s="883" t="s">
        <v>913</v>
      </c>
      <c r="D6" s="883"/>
      <c r="E6" s="883"/>
      <c r="F6" s="883"/>
      <c r="G6" s="883"/>
      <c r="H6" s="883"/>
      <c r="I6" s="883"/>
      <c r="J6" s="883"/>
      <c r="K6" s="883"/>
      <c r="L6" s="883"/>
      <c r="M6" s="883"/>
      <c r="N6" s="883"/>
      <c r="O6" s="883"/>
      <c r="P6" s="46"/>
    </row>
    <row r="7" spans="1:16" ht="12" customHeight="1" x14ac:dyDescent="0.2">
      <c r="B7" s="50"/>
      <c r="C7" s="883"/>
      <c r="D7" s="883"/>
      <c r="E7" s="883"/>
      <c r="F7" s="883"/>
      <c r="G7" s="883"/>
      <c r="H7" s="883"/>
      <c r="I7" s="883"/>
      <c r="J7" s="883"/>
      <c r="K7" s="883"/>
      <c r="L7" s="883"/>
      <c r="M7" s="883"/>
      <c r="N7" s="883"/>
      <c r="O7" s="883"/>
      <c r="P7" s="46"/>
    </row>
    <row r="8" spans="1:16" ht="5.25" customHeight="1" x14ac:dyDescent="0.2">
      <c r="B8" s="50"/>
      <c r="C8" s="46"/>
      <c r="D8" s="46"/>
      <c r="E8" s="46"/>
      <c r="F8" s="46"/>
      <c r="G8" s="46"/>
      <c r="H8" s="46"/>
      <c r="I8" s="46"/>
      <c r="J8" s="46"/>
      <c r="K8" s="46"/>
      <c r="L8" s="46"/>
      <c r="M8" s="46"/>
      <c r="N8" s="46"/>
      <c r="O8" s="46"/>
      <c r="P8" s="46"/>
    </row>
    <row r="9" spans="1:16" ht="12.75" customHeight="1" x14ac:dyDescent="0.2">
      <c r="B9" s="50" t="s">
        <v>931</v>
      </c>
      <c r="C9" s="883" t="s">
        <v>958</v>
      </c>
      <c r="D9" s="883"/>
      <c r="E9" s="883"/>
      <c r="F9" s="883"/>
      <c r="G9" s="883"/>
      <c r="H9" s="883"/>
      <c r="I9" s="883"/>
      <c r="J9" s="883"/>
      <c r="K9" s="883"/>
      <c r="L9" s="883"/>
      <c r="M9" s="883"/>
      <c r="N9" s="883"/>
      <c r="O9" s="883"/>
    </row>
    <row r="10" spans="1:16" ht="51.75" customHeight="1" x14ac:dyDescent="0.2">
      <c r="B10" s="50"/>
      <c r="C10" s="883"/>
      <c r="D10" s="883"/>
      <c r="E10" s="883"/>
      <c r="F10" s="883"/>
      <c r="G10" s="883"/>
      <c r="H10" s="883"/>
      <c r="I10" s="883"/>
      <c r="J10" s="883"/>
      <c r="K10" s="883"/>
      <c r="L10" s="883"/>
      <c r="M10" s="883"/>
      <c r="N10" s="883"/>
      <c r="O10" s="883"/>
    </row>
    <row r="11" spans="1:16" ht="5.25" customHeight="1" x14ac:dyDescent="0.2">
      <c r="B11" s="50"/>
    </row>
    <row r="12" spans="1:16" ht="12.75" customHeight="1" x14ac:dyDescent="0.2">
      <c r="B12" s="50" t="s">
        <v>464</v>
      </c>
      <c r="C12" s="883" t="s">
        <v>450</v>
      </c>
      <c r="D12" s="883"/>
      <c r="E12" s="883"/>
      <c r="F12" s="883"/>
      <c r="G12" s="883"/>
      <c r="H12" s="883"/>
      <c r="I12" s="883"/>
      <c r="J12" s="883"/>
      <c r="K12" s="883"/>
      <c r="L12" s="883"/>
      <c r="M12" s="883"/>
      <c r="N12" s="883"/>
      <c r="O12" s="883"/>
    </row>
    <row r="13" spans="1:16" ht="12.75" customHeight="1" x14ac:dyDescent="0.2">
      <c r="C13" s="883"/>
      <c r="D13" s="883"/>
      <c r="E13" s="883"/>
      <c r="F13" s="883"/>
      <c r="G13" s="883"/>
      <c r="H13" s="883"/>
      <c r="I13" s="883"/>
      <c r="J13" s="883"/>
      <c r="K13" s="883"/>
      <c r="L13" s="883"/>
      <c r="M13" s="883"/>
      <c r="N13" s="883"/>
      <c r="O13" s="883"/>
    </row>
    <row r="14" spans="1:16" ht="6" customHeight="1" x14ac:dyDescent="0.2"/>
    <row r="16" spans="1:16" ht="25.5" customHeight="1" x14ac:dyDescent="0.2">
      <c r="A16" s="4" t="s">
        <v>860</v>
      </c>
      <c r="B16" s="962" t="s">
        <v>23</v>
      </c>
      <c r="C16" s="963"/>
      <c r="D16" s="963"/>
      <c r="E16" s="963"/>
      <c r="F16" s="963"/>
      <c r="G16" s="963"/>
      <c r="H16" s="963"/>
      <c r="I16" s="963"/>
      <c r="J16" s="963"/>
      <c r="K16" s="963"/>
      <c r="L16" s="963"/>
      <c r="M16" s="963"/>
      <c r="N16" s="963"/>
      <c r="O16" s="964"/>
      <c r="P16" s="4"/>
    </row>
    <row r="17" spans="1:16" ht="3.75" customHeight="1" x14ac:dyDescent="0.2">
      <c r="B17" s="4"/>
      <c r="H17" s="45"/>
    </row>
    <row r="18" spans="1:16" x14ac:dyDescent="0.2">
      <c r="H18"/>
      <c r="K18" s="55" t="s">
        <v>61</v>
      </c>
    </row>
    <row r="19" spans="1:16" ht="14.25" customHeight="1" x14ac:dyDescent="0.2">
      <c r="B19" s="50" t="s">
        <v>930</v>
      </c>
      <c r="C19" s="883" t="s">
        <v>151</v>
      </c>
      <c r="D19" s="883"/>
      <c r="E19" s="883"/>
      <c r="F19" s="883"/>
      <c r="G19" s="883"/>
      <c r="H19" s="883"/>
      <c r="I19" s="883"/>
      <c r="K19" s="1011"/>
    </row>
    <row r="20" spans="1:16" ht="13.5" customHeight="1" x14ac:dyDescent="0.2">
      <c r="C20" s="883"/>
      <c r="D20" s="883"/>
      <c r="E20" s="883"/>
      <c r="F20" s="883"/>
      <c r="G20" s="883"/>
      <c r="H20" s="883"/>
      <c r="I20" s="883"/>
      <c r="K20" s="1011"/>
    </row>
    <row r="21" spans="1:16" ht="13.5" customHeight="1" x14ac:dyDescent="0.2">
      <c r="H21"/>
      <c r="K21" s="45"/>
    </row>
    <row r="22" spans="1:16" ht="12.75" customHeight="1" x14ac:dyDescent="0.2">
      <c r="B22" s="50" t="s">
        <v>931</v>
      </c>
      <c r="C22" s="883" t="s">
        <v>196</v>
      </c>
      <c r="D22" s="883"/>
      <c r="E22" s="883"/>
      <c r="F22" s="883"/>
      <c r="G22" s="883"/>
      <c r="H22" s="883"/>
      <c r="I22" s="883"/>
      <c r="K22" s="1011"/>
    </row>
    <row r="23" spans="1:16" x14ac:dyDescent="0.2">
      <c r="C23" s="883"/>
      <c r="D23" s="883"/>
      <c r="E23" s="883"/>
      <c r="F23" s="883"/>
      <c r="G23" s="883"/>
      <c r="H23" s="883"/>
      <c r="I23" s="883"/>
      <c r="K23" s="1011"/>
    </row>
    <row r="24" spans="1:16" x14ac:dyDescent="0.2">
      <c r="H24"/>
      <c r="K24" s="95"/>
    </row>
    <row r="25" spans="1:16" ht="12.75" customHeight="1" x14ac:dyDescent="0.2">
      <c r="B25" s="50" t="s">
        <v>932</v>
      </c>
      <c r="C25" s="883" t="s">
        <v>22</v>
      </c>
      <c r="D25" s="883"/>
      <c r="E25" s="883"/>
      <c r="F25" s="883"/>
      <c r="G25" s="883"/>
      <c r="H25" s="883"/>
      <c r="I25" s="883"/>
      <c r="K25" s="1011"/>
    </row>
    <row r="26" spans="1:16" x14ac:dyDescent="0.2">
      <c r="C26" s="883"/>
      <c r="D26" s="883"/>
      <c r="E26" s="883"/>
      <c r="F26" s="883"/>
      <c r="G26" s="883"/>
      <c r="H26" s="883"/>
      <c r="I26" s="883"/>
      <c r="K26" s="1011"/>
    </row>
    <row r="27" spans="1:16" x14ac:dyDescent="0.2">
      <c r="H27"/>
      <c r="K27" s="114"/>
    </row>
    <row r="28" spans="1:16" x14ac:dyDescent="0.2">
      <c r="G28" t="s">
        <v>797</v>
      </c>
      <c r="H28"/>
      <c r="K28" s="195">
        <f>K25-K19</f>
        <v>0</v>
      </c>
    </row>
    <row r="29" spans="1:16" x14ac:dyDescent="0.2">
      <c r="H29"/>
      <c r="K29" s="114"/>
    </row>
    <row r="30" spans="1:16" ht="25.5" customHeight="1" x14ac:dyDescent="0.2">
      <c r="A30" s="4" t="s">
        <v>861</v>
      </c>
      <c r="B30" s="965" t="s">
        <v>1081</v>
      </c>
      <c r="C30" s="967"/>
      <c r="D30" s="967"/>
      <c r="E30" s="967"/>
      <c r="F30" s="967"/>
      <c r="G30" s="967"/>
      <c r="H30" s="967"/>
      <c r="I30" s="967"/>
      <c r="J30" s="967"/>
      <c r="K30" s="967"/>
      <c r="L30" s="967"/>
      <c r="M30" s="967"/>
      <c r="N30" s="967"/>
      <c r="O30" s="968"/>
      <c r="P30" s="4"/>
    </row>
    <row r="31" spans="1:16" ht="6.75" customHeight="1" x14ac:dyDescent="0.2">
      <c r="H31" s="10"/>
      <c r="I31" s="10"/>
      <c r="J31" s="10"/>
      <c r="K31" s="10"/>
      <c r="L31" s="10"/>
      <c r="M31" s="10"/>
      <c r="O31" s="10"/>
    </row>
    <row r="32" spans="1:16" x14ac:dyDescent="0.2">
      <c r="B32" s="1024"/>
      <c r="C32" s="1024"/>
      <c r="D32" s="1024"/>
      <c r="E32" s="1024"/>
      <c r="F32" s="1024"/>
      <c r="G32" s="1024"/>
      <c r="H32" s="1024"/>
      <c r="I32" s="1024"/>
      <c r="J32" s="10"/>
      <c r="K32" s="146" t="s">
        <v>61</v>
      </c>
      <c r="L32" s="10"/>
      <c r="M32" s="10"/>
      <c r="O32" s="10"/>
    </row>
    <row r="33" spans="1:15" ht="6" customHeight="1" x14ac:dyDescent="0.2">
      <c r="H33" s="10"/>
      <c r="I33" s="10"/>
      <c r="J33" s="10"/>
      <c r="K33" s="143"/>
      <c r="L33" s="10"/>
      <c r="M33" s="10"/>
      <c r="O33" s="10"/>
    </row>
    <row r="34" spans="1:15" ht="12.75" customHeight="1" x14ac:dyDescent="0.2">
      <c r="B34" s="50" t="s">
        <v>930</v>
      </c>
      <c r="C34" s="883" t="s">
        <v>746</v>
      </c>
      <c r="D34" s="883"/>
      <c r="E34" s="883"/>
      <c r="F34" s="883"/>
      <c r="G34" s="883"/>
      <c r="H34" s="883"/>
      <c r="I34" s="883"/>
      <c r="K34" s="988"/>
      <c r="L34" s="10"/>
      <c r="M34" s="10"/>
      <c r="O34" s="10"/>
    </row>
    <row r="35" spans="1:15" ht="12.75" customHeight="1" x14ac:dyDescent="0.2">
      <c r="B35" s="50"/>
      <c r="C35" s="883"/>
      <c r="D35" s="883"/>
      <c r="E35" s="883"/>
      <c r="F35" s="883"/>
      <c r="G35" s="883"/>
      <c r="H35" s="883"/>
      <c r="I35" s="883"/>
      <c r="K35" s="988"/>
      <c r="M35" s="10"/>
      <c r="O35" s="10"/>
    </row>
    <row r="36" spans="1:15" ht="7.5" customHeight="1" x14ac:dyDescent="0.2">
      <c r="H36"/>
      <c r="L36" s="10"/>
      <c r="M36" s="10"/>
      <c r="O36" s="10"/>
    </row>
    <row r="37" spans="1:15" ht="12.75" customHeight="1" x14ac:dyDescent="0.2">
      <c r="B37" s="50" t="s">
        <v>931</v>
      </c>
      <c r="C37" s="883" t="s">
        <v>747</v>
      </c>
      <c r="D37" s="883"/>
      <c r="E37" s="883"/>
      <c r="F37" s="883"/>
      <c r="G37" s="883"/>
      <c r="H37" s="883"/>
      <c r="I37" s="883"/>
      <c r="K37" s="985"/>
      <c r="L37" s="10"/>
      <c r="M37" s="10"/>
      <c r="O37" s="10"/>
    </row>
    <row r="38" spans="1:15" ht="12.75" customHeight="1" x14ac:dyDescent="0.2">
      <c r="A38"/>
      <c r="C38" s="883"/>
      <c r="D38" s="883"/>
      <c r="E38" s="883"/>
      <c r="F38" s="883"/>
      <c r="G38" s="883"/>
      <c r="H38" s="883"/>
      <c r="I38" s="883"/>
      <c r="K38" s="985"/>
      <c r="L38" s="193"/>
    </row>
    <row r="39" spans="1:15" ht="12.75" customHeight="1" thickBot="1" x14ac:dyDescent="0.25">
      <c r="G39" t="s">
        <v>338</v>
      </c>
      <c r="H39"/>
      <c r="K39" s="80">
        <f>K37-K34</f>
        <v>0</v>
      </c>
      <c r="L39" s="193" t="s">
        <v>758</v>
      </c>
      <c r="M39" s="10"/>
      <c r="O39" s="10"/>
    </row>
    <row r="40" spans="1:15" ht="5.25" customHeight="1" thickTop="1" x14ac:dyDescent="0.2">
      <c r="H40"/>
      <c r="K40" s="5"/>
      <c r="L40" s="193"/>
      <c r="M40" s="10"/>
      <c r="O40" s="10"/>
    </row>
    <row r="41" spans="1:15" ht="12.75" customHeight="1" x14ac:dyDescent="0.2">
      <c r="B41" s="50" t="s">
        <v>932</v>
      </c>
      <c r="C41" s="883" t="s">
        <v>264</v>
      </c>
      <c r="D41" s="883"/>
      <c r="E41" s="883"/>
      <c r="F41" s="883"/>
      <c r="G41" s="883"/>
      <c r="H41" s="883"/>
      <c r="I41" s="883"/>
      <c r="J41" s="46"/>
      <c r="L41" s="10"/>
      <c r="M41" s="10"/>
    </row>
    <row r="42" spans="1:15" ht="27" customHeight="1" x14ac:dyDescent="0.2">
      <c r="B42" s="50"/>
      <c r="C42" s="883"/>
      <c r="D42" s="883"/>
      <c r="E42" s="883"/>
      <c r="F42" s="883"/>
      <c r="G42" s="883"/>
      <c r="H42" s="883"/>
      <c r="I42" s="883"/>
      <c r="J42" s="46"/>
      <c r="L42" s="10"/>
      <c r="M42" s="10"/>
    </row>
    <row r="43" spans="1:15" ht="36" customHeight="1" x14ac:dyDescent="0.2">
      <c r="B43" s="50"/>
      <c r="C43" s="46"/>
      <c r="D43" s="46"/>
      <c r="E43" s="46"/>
      <c r="F43" s="46"/>
      <c r="G43" s="46"/>
      <c r="H43"/>
      <c r="I43" s="46"/>
      <c r="J43" s="46"/>
      <c r="K43" s="91" t="s">
        <v>362</v>
      </c>
      <c r="L43" s="10"/>
      <c r="M43" s="10"/>
    </row>
    <row r="44" spans="1:15" x14ac:dyDescent="0.2">
      <c r="G44" t="s">
        <v>704</v>
      </c>
      <c r="H44"/>
      <c r="K44" s="437"/>
      <c r="L44" s="10"/>
      <c r="M44" s="10"/>
    </row>
    <row r="45" spans="1:15" x14ac:dyDescent="0.2">
      <c r="G45" t="s">
        <v>879</v>
      </c>
      <c r="H45"/>
      <c r="K45" s="437"/>
      <c r="L45" s="10"/>
      <c r="M45" s="10"/>
    </row>
    <row r="46" spans="1:15" x14ac:dyDescent="0.2">
      <c r="G46" t="s">
        <v>729</v>
      </c>
      <c r="H46"/>
      <c r="K46" s="437"/>
      <c r="L46" s="10"/>
      <c r="M46" s="10"/>
    </row>
    <row r="47" spans="1:15" x14ac:dyDescent="0.2">
      <c r="G47" t="s">
        <v>474</v>
      </c>
      <c r="H47"/>
      <c r="K47" s="437"/>
      <c r="L47" s="10"/>
      <c r="M47" s="10"/>
    </row>
    <row r="48" spans="1:15" x14ac:dyDescent="0.2">
      <c r="G48" t="s">
        <v>463</v>
      </c>
      <c r="H48"/>
      <c r="K48" s="437"/>
      <c r="L48" s="10"/>
      <c r="M48" s="10"/>
    </row>
    <row r="49" spans="1:15" x14ac:dyDescent="0.2">
      <c r="G49" t="s">
        <v>78</v>
      </c>
      <c r="H49"/>
      <c r="K49" s="437"/>
      <c r="L49" s="10"/>
      <c r="M49" s="10"/>
    </row>
    <row r="50" spans="1:15" x14ac:dyDescent="0.2">
      <c r="G50" t="s">
        <v>910</v>
      </c>
      <c r="H50"/>
      <c r="I50" s="884"/>
      <c r="K50" s="437"/>
      <c r="L50" s="191"/>
      <c r="M50" s="191"/>
    </row>
    <row r="51" spans="1:15" x14ac:dyDescent="0.2">
      <c r="G51" s="415" t="s">
        <v>201</v>
      </c>
      <c r="H51"/>
      <c r="I51" s="884"/>
      <c r="K51" s="437"/>
      <c r="L51" s="1019" t="str">
        <f>IF(K52=K39," ","Recheck numbers. Entry is out of balance.")</f>
        <v xml:space="preserve"> </v>
      </c>
      <c r="M51" s="191"/>
    </row>
    <row r="52" spans="1:15" ht="20.25" customHeight="1" thickBot="1" x14ac:dyDescent="0.25">
      <c r="H52"/>
      <c r="I52" s="884"/>
      <c r="J52" s="212" t="s">
        <v>758</v>
      </c>
      <c r="K52" s="76">
        <f>SUM(K44:K51)</f>
        <v>0</v>
      </c>
      <c r="L52" s="1019"/>
      <c r="M52" s="211"/>
    </row>
    <row r="53" spans="1:15" ht="13.5" thickTop="1" x14ac:dyDescent="0.2">
      <c r="H53"/>
      <c r="L53" s="10"/>
      <c r="M53" s="10"/>
    </row>
    <row r="54" spans="1:15" ht="25.5" customHeight="1" x14ac:dyDescent="0.2">
      <c r="A54" s="4" t="s">
        <v>459</v>
      </c>
      <c r="B54" s="962" t="s">
        <v>351</v>
      </c>
      <c r="C54" s="963"/>
      <c r="D54" s="963"/>
      <c r="E54" s="963"/>
      <c r="F54" s="963"/>
      <c r="G54" s="963"/>
      <c r="H54" s="963"/>
      <c r="I54" s="963"/>
      <c r="J54" s="963"/>
      <c r="K54" s="963"/>
      <c r="L54" s="963"/>
      <c r="M54" s="963"/>
      <c r="N54" s="963"/>
      <c r="O54" s="964"/>
    </row>
    <row r="55" spans="1:15" ht="5.25" customHeight="1" x14ac:dyDescent="0.2">
      <c r="H55"/>
      <c r="L55" s="10"/>
      <c r="M55" s="10"/>
    </row>
    <row r="56" spans="1:15" x14ac:dyDescent="0.2">
      <c r="B56" s="1022" t="s">
        <v>836</v>
      </c>
      <c r="C56" s="1022"/>
      <c r="D56" s="1022"/>
      <c r="E56" s="1022"/>
      <c r="H56"/>
      <c r="L56" s="10"/>
      <c r="M56" s="10"/>
    </row>
    <row r="57" spans="1:15" x14ac:dyDescent="0.2">
      <c r="H57"/>
      <c r="L57" s="10"/>
      <c r="M57" s="10"/>
    </row>
    <row r="58" spans="1:15" ht="12.75" customHeight="1" x14ac:dyDescent="0.2">
      <c r="B58" s="50" t="s">
        <v>930</v>
      </c>
      <c r="C58" s="883" t="s">
        <v>396</v>
      </c>
      <c r="D58" s="883"/>
      <c r="E58" s="883"/>
      <c r="F58" s="883"/>
      <c r="G58" s="883"/>
      <c r="H58" s="883"/>
      <c r="I58" s="883"/>
      <c r="K58" s="437"/>
      <c r="L58" s="10"/>
      <c r="M58" s="10"/>
    </row>
    <row r="59" spans="1:15" ht="5.25" customHeight="1" x14ac:dyDescent="0.2">
      <c r="H59"/>
      <c r="K59" s="446"/>
      <c r="L59" s="10"/>
      <c r="M59" s="10"/>
    </row>
    <row r="60" spans="1:15" x14ac:dyDescent="0.2">
      <c r="B60" s="50" t="s">
        <v>931</v>
      </c>
      <c r="C60" s="883" t="s">
        <v>259</v>
      </c>
      <c r="D60" s="883"/>
      <c r="E60" s="883"/>
      <c r="F60" s="883"/>
      <c r="G60" s="883"/>
      <c r="H60" s="883"/>
      <c r="I60" s="883"/>
      <c r="K60" s="437"/>
      <c r="L60" s="10"/>
      <c r="M60" s="10"/>
    </row>
    <row r="61" spans="1:15" ht="18" customHeight="1" thickBot="1" x14ac:dyDescent="0.25">
      <c r="G61" t="s">
        <v>338</v>
      </c>
      <c r="H61"/>
      <c r="K61" s="76">
        <f>K60-K58</f>
        <v>0</v>
      </c>
      <c r="L61" s="193" t="s">
        <v>759</v>
      </c>
      <c r="M61" s="10"/>
    </row>
    <row r="62" spans="1:15" ht="4.5" customHeight="1" thickTop="1" x14ac:dyDescent="0.2">
      <c r="H62"/>
      <c r="L62" s="10"/>
      <c r="M62" s="10"/>
    </row>
    <row r="63" spans="1:15" ht="4.5" customHeight="1" x14ac:dyDescent="0.2">
      <c r="H63"/>
      <c r="L63" s="10"/>
      <c r="M63" s="10"/>
    </row>
    <row r="64" spans="1:15" x14ac:dyDescent="0.2">
      <c r="B64" s="50" t="s">
        <v>932</v>
      </c>
      <c r="C64" s="1023" t="s">
        <v>835</v>
      </c>
      <c r="D64" s="1023"/>
      <c r="E64" s="1023"/>
      <c r="F64" s="1023"/>
      <c r="G64" s="1023"/>
      <c r="H64" s="1023"/>
      <c r="I64" s="1023"/>
      <c r="L64" s="10"/>
      <c r="M64" s="10"/>
    </row>
    <row r="65" spans="1:15" ht="15.6" customHeight="1" x14ac:dyDescent="0.2">
      <c r="C65" s="1023"/>
      <c r="D65" s="1023"/>
      <c r="E65" s="1023"/>
      <c r="F65" s="1023"/>
      <c r="G65" s="1023"/>
      <c r="H65" s="1023"/>
      <c r="I65" s="1023"/>
      <c r="L65" s="10"/>
      <c r="M65" s="10"/>
    </row>
    <row r="66" spans="1:15" ht="36" customHeight="1" x14ac:dyDescent="0.2">
      <c r="H66"/>
      <c r="K66" s="91" t="s">
        <v>339</v>
      </c>
      <c r="L66" s="10"/>
      <c r="M66" s="10"/>
    </row>
    <row r="67" spans="1:15" x14ac:dyDescent="0.2">
      <c r="G67" t="s">
        <v>704</v>
      </c>
      <c r="H67"/>
      <c r="K67" s="437"/>
      <c r="L67" s="10"/>
      <c r="M67" s="10"/>
    </row>
    <row r="68" spans="1:15" x14ac:dyDescent="0.2">
      <c r="G68" t="s">
        <v>879</v>
      </c>
      <c r="H68"/>
      <c r="K68" s="437"/>
    </row>
    <row r="69" spans="1:15" x14ac:dyDescent="0.2">
      <c r="G69" t="s">
        <v>729</v>
      </c>
      <c r="H69"/>
      <c r="K69" s="437"/>
    </row>
    <row r="70" spans="1:15" x14ac:dyDescent="0.2">
      <c r="G70" t="s">
        <v>474</v>
      </c>
      <c r="H70"/>
      <c r="K70" s="437"/>
    </row>
    <row r="71" spans="1:15" x14ac:dyDescent="0.2">
      <c r="G71" t="s">
        <v>463</v>
      </c>
      <c r="H71"/>
      <c r="K71" s="437"/>
    </row>
    <row r="72" spans="1:15" x14ac:dyDescent="0.2">
      <c r="G72" t="s">
        <v>78</v>
      </c>
      <c r="H72"/>
      <c r="K72" s="437"/>
    </row>
    <row r="73" spans="1:15" x14ac:dyDescent="0.2">
      <c r="G73" t="s">
        <v>910</v>
      </c>
      <c r="H73"/>
      <c r="K73" s="437"/>
    </row>
    <row r="74" spans="1:15" ht="12.75" customHeight="1" x14ac:dyDescent="0.2">
      <c r="G74" s="415" t="s">
        <v>201</v>
      </c>
      <c r="H74"/>
      <c r="K74" s="437"/>
      <c r="L74" s="884" t="str">
        <f>IF(K75=K61," ","Recheck numbers. Entry is out of balance.")</f>
        <v xml:space="preserve"> </v>
      </c>
    </row>
    <row r="75" spans="1:15" ht="20.25" customHeight="1" thickBot="1" x14ac:dyDescent="0.25">
      <c r="G75" s="194"/>
      <c r="H75"/>
      <c r="J75" s="193" t="s">
        <v>759</v>
      </c>
      <c r="K75" s="76">
        <f>SUM(K67:K74)</f>
        <v>0</v>
      </c>
      <c r="L75" s="884"/>
    </row>
    <row r="76" spans="1:15" ht="13.5" thickTop="1" x14ac:dyDescent="0.2">
      <c r="H76"/>
      <c r="L76" s="10"/>
      <c r="M76" s="10"/>
    </row>
    <row r="77" spans="1:15" x14ac:dyDescent="0.2">
      <c r="H77"/>
      <c r="L77" s="10"/>
      <c r="M77" s="10"/>
    </row>
    <row r="78" spans="1:15" ht="25.5" customHeight="1" x14ac:dyDescent="0.2">
      <c r="A78" s="4" t="s">
        <v>465</v>
      </c>
      <c r="B78" s="962" t="s">
        <v>684</v>
      </c>
      <c r="C78" s="1020"/>
      <c r="D78" s="1020"/>
      <c r="E78" s="1020"/>
      <c r="F78" s="1020"/>
      <c r="G78" s="1020"/>
      <c r="H78" s="1020"/>
      <c r="I78" s="1020"/>
      <c r="J78" s="1020"/>
      <c r="K78" s="1020"/>
      <c r="L78" s="1020"/>
      <c r="M78" s="1020"/>
      <c r="N78" s="1020"/>
      <c r="O78" s="1021"/>
    </row>
    <row r="79" spans="1:15" x14ac:dyDescent="0.2">
      <c r="H79"/>
      <c r="L79" s="10"/>
      <c r="M79" s="10"/>
    </row>
    <row r="80" spans="1:15" x14ac:dyDescent="0.2">
      <c r="H80"/>
      <c r="L80" s="10"/>
      <c r="M80" s="10"/>
      <c r="N80" s="55" t="s">
        <v>61</v>
      </c>
    </row>
    <row r="81" spans="2:17" ht="15" customHeight="1" x14ac:dyDescent="0.2">
      <c r="B81" s="50" t="s">
        <v>930</v>
      </c>
      <c r="C81" s="883" t="s">
        <v>124</v>
      </c>
      <c r="D81" s="883"/>
      <c r="E81" s="883"/>
      <c r="F81" s="883"/>
      <c r="G81" s="883"/>
      <c r="H81" s="883"/>
      <c r="I81" s="883"/>
      <c r="J81" s="883"/>
      <c r="K81" s="883"/>
      <c r="L81" s="883"/>
      <c r="M81" s="10"/>
      <c r="N81" s="988">
        <v>0</v>
      </c>
      <c r="Q81" s="10"/>
    </row>
    <row r="82" spans="2:17" ht="12.75" customHeight="1" x14ac:dyDescent="0.2">
      <c r="B82" s="50"/>
      <c r="C82" s="883"/>
      <c r="D82" s="883"/>
      <c r="E82" s="883"/>
      <c r="F82" s="883"/>
      <c r="G82" s="883"/>
      <c r="H82" s="883"/>
      <c r="I82" s="883"/>
      <c r="J82" s="883"/>
      <c r="K82" s="883"/>
      <c r="L82" s="883"/>
      <c r="M82" s="10"/>
      <c r="N82" s="988"/>
      <c r="Q82" s="10"/>
    </row>
    <row r="83" spans="2:17" ht="12.75" customHeight="1" x14ac:dyDescent="0.2">
      <c r="B83" s="50"/>
      <c r="C83" s="46"/>
      <c r="D83" s="46"/>
      <c r="E83" s="46"/>
      <c r="F83" s="46"/>
      <c r="G83" s="46"/>
      <c r="H83" s="46"/>
      <c r="I83" s="46"/>
      <c r="J83" s="46"/>
      <c r="K83" s="46"/>
      <c r="M83" s="10"/>
      <c r="Q83" s="10"/>
    </row>
    <row r="84" spans="2:17" ht="12.75" customHeight="1" x14ac:dyDescent="0.2">
      <c r="B84" s="50" t="s">
        <v>931</v>
      </c>
      <c r="C84" s="883" t="s">
        <v>795</v>
      </c>
      <c r="D84" s="883"/>
      <c r="E84" s="883"/>
      <c r="F84" s="883"/>
      <c r="G84" s="883"/>
      <c r="H84" s="883"/>
      <c r="I84" s="883"/>
      <c r="J84" s="883"/>
      <c r="K84" s="883"/>
      <c r="L84" s="883"/>
      <c r="M84" s="10"/>
      <c r="N84" s="988">
        <v>0</v>
      </c>
      <c r="Q84" s="10"/>
    </row>
    <row r="85" spans="2:17" ht="12.75" customHeight="1" x14ac:dyDescent="0.2">
      <c r="B85" s="50"/>
      <c r="C85" s="883"/>
      <c r="D85" s="883"/>
      <c r="E85" s="883"/>
      <c r="F85" s="883"/>
      <c r="G85" s="883"/>
      <c r="H85" s="883"/>
      <c r="I85" s="883"/>
      <c r="J85" s="883"/>
      <c r="K85" s="883"/>
      <c r="L85" s="883"/>
      <c r="M85" s="10"/>
      <c r="N85" s="989"/>
      <c r="Q85" s="10"/>
    </row>
    <row r="86" spans="2:17" ht="16.5" customHeight="1" thickBot="1" x14ac:dyDescent="0.25">
      <c r="B86" s="50"/>
      <c r="C86" s="46"/>
      <c r="E86" s="46"/>
      <c r="F86" s="46"/>
      <c r="G86" s="883" t="s">
        <v>796</v>
      </c>
      <c r="H86" s="883"/>
      <c r="I86" s="883"/>
      <c r="J86" s="883"/>
      <c r="K86" s="883"/>
      <c r="L86" s="883"/>
      <c r="M86" s="10"/>
      <c r="N86" s="87">
        <f>N84-N81</f>
        <v>0</v>
      </c>
      <c r="O86" s="193" t="s">
        <v>662</v>
      </c>
      <c r="Q86" s="10"/>
    </row>
    <row r="87" spans="2:17" ht="12.75" customHeight="1" thickTop="1" x14ac:dyDescent="0.2">
      <c r="B87" s="50"/>
      <c r="C87" s="46"/>
      <c r="D87" s="46"/>
      <c r="E87" s="46"/>
      <c r="F87" s="46"/>
      <c r="G87" s="46"/>
      <c r="H87" s="46"/>
      <c r="I87" s="46"/>
      <c r="J87" s="46"/>
      <c r="K87" s="46"/>
      <c r="M87" s="10"/>
      <c r="Q87" s="10"/>
    </row>
    <row r="88" spans="2:17" ht="12.75" customHeight="1" x14ac:dyDescent="0.2">
      <c r="B88" s="50" t="s">
        <v>932</v>
      </c>
      <c r="C88" s="883" t="s">
        <v>871</v>
      </c>
      <c r="D88" s="883"/>
      <c r="E88" s="883"/>
      <c r="F88" s="883"/>
      <c r="G88" s="883"/>
      <c r="H88" s="883"/>
      <c r="I88" s="883"/>
      <c r="J88" s="883"/>
      <c r="K88" s="883"/>
      <c r="L88" s="883"/>
      <c r="M88" s="46"/>
      <c r="Q88" s="10"/>
    </row>
    <row r="89" spans="2:17" ht="38.25" customHeight="1" x14ac:dyDescent="0.2">
      <c r="B89" s="50"/>
      <c r="C89" s="883"/>
      <c r="D89" s="883"/>
      <c r="E89" s="883"/>
      <c r="F89" s="883"/>
      <c r="G89" s="883"/>
      <c r="H89" s="883"/>
      <c r="I89" s="883"/>
      <c r="J89" s="883"/>
      <c r="K89" s="883"/>
      <c r="L89" s="883"/>
      <c r="M89" s="46"/>
      <c r="Q89" s="10"/>
    </row>
    <row r="90" spans="2:17" ht="13.5" customHeight="1" x14ac:dyDescent="0.2">
      <c r="B90" s="50"/>
      <c r="F90" t="s">
        <v>704</v>
      </c>
      <c r="H90"/>
      <c r="K90" s="437"/>
      <c r="M90" s="45"/>
      <c r="Q90" s="10"/>
    </row>
    <row r="91" spans="2:17" x14ac:dyDescent="0.2">
      <c r="B91" s="50"/>
      <c r="F91" t="s">
        <v>879</v>
      </c>
      <c r="H91"/>
      <c r="K91" s="437"/>
      <c r="M91" s="45"/>
      <c r="Q91" s="10"/>
    </row>
    <row r="92" spans="2:17" x14ac:dyDescent="0.2">
      <c r="B92" s="50"/>
      <c r="F92" t="s">
        <v>729</v>
      </c>
      <c r="H92"/>
      <c r="K92" s="437"/>
      <c r="M92" s="45"/>
      <c r="Q92" s="10"/>
    </row>
    <row r="93" spans="2:17" x14ac:dyDescent="0.2">
      <c r="B93" s="50"/>
      <c r="F93" t="s">
        <v>474</v>
      </c>
      <c r="H93"/>
      <c r="K93" s="437"/>
      <c r="M93" s="45"/>
      <c r="Q93" s="10"/>
    </row>
    <row r="94" spans="2:17" ht="12.75" customHeight="1" x14ac:dyDescent="0.2">
      <c r="B94" s="50"/>
      <c r="F94" t="s">
        <v>463</v>
      </c>
      <c r="H94"/>
      <c r="K94" s="437"/>
      <c r="M94" s="45"/>
      <c r="Q94" s="10"/>
    </row>
    <row r="95" spans="2:17" x14ac:dyDescent="0.2">
      <c r="B95" s="50"/>
      <c r="F95" t="s">
        <v>78</v>
      </c>
      <c r="H95"/>
      <c r="K95" s="437"/>
      <c r="L95" s="10"/>
      <c r="M95" s="45"/>
      <c r="Q95" s="10"/>
    </row>
    <row r="96" spans="2:17" ht="12.75" customHeight="1" x14ac:dyDescent="0.2">
      <c r="B96" s="50"/>
      <c r="F96" t="s">
        <v>910</v>
      </c>
      <c r="H96"/>
      <c r="K96" s="437"/>
      <c r="L96" s="10"/>
      <c r="M96" s="45"/>
    </row>
    <row r="97" spans="1:17" ht="12.75" customHeight="1" x14ac:dyDescent="0.2">
      <c r="B97" s="50"/>
      <c r="F97" s="415" t="s">
        <v>201</v>
      </c>
      <c r="H97"/>
      <c r="K97" s="437"/>
      <c r="L97" s="1019" t="str">
        <f>IF(K98=N86," ","Recheck numbers. Entry is out of balance.")</f>
        <v xml:space="preserve"> </v>
      </c>
      <c r="M97" s="45"/>
    </row>
    <row r="98" spans="1:17" ht="27.75" customHeight="1" thickBot="1" x14ac:dyDescent="0.25">
      <c r="G98" t="s">
        <v>24</v>
      </c>
      <c r="H98"/>
      <c r="J98" s="193" t="s">
        <v>662</v>
      </c>
      <c r="K98" s="80">
        <f>SUM(K90:K97)</f>
        <v>0</v>
      </c>
      <c r="L98" s="1019"/>
      <c r="M98" s="45"/>
    </row>
    <row r="99" spans="1:17" ht="14.25" thickTop="1" x14ac:dyDescent="0.25">
      <c r="H99"/>
      <c r="K99" s="10"/>
      <c r="L99" s="10"/>
      <c r="M99" s="45"/>
      <c r="P99" s="140"/>
      <c r="Q99" s="140"/>
    </row>
    <row r="100" spans="1:17" ht="13.5" x14ac:dyDescent="0.25">
      <c r="H100"/>
      <c r="K100" s="10"/>
      <c r="L100" s="10"/>
      <c r="M100" s="45"/>
      <c r="N100" s="45"/>
      <c r="O100" s="142"/>
      <c r="P100" s="140"/>
      <c r="Q100" s="140"/>
    </row>
    <row r="101" spans="1:17" ht="25.5" customHeight="1" x14ac:dyDescent="0.25">
      <c r="B101" s="962" t="s">
        <v>832</v>
      </c>
      <c r="C101" s="1020"/>
      <c r="D101" s="1020"/>
      <c r="E101" s="1020"/>
      <c r="F101" s="1020"/>
      <c r="G101" s="1020"/>
      <c r="H101" s="1020"/>
      <c r="I101" s="1020"/>
      <c r="J101" s="1020"/>
      <c r="K101" s="1020"/>
      <c r="L101" s="1020"/>
      <c r="M101" s="1020"/>
      <c r="N101" s="1020"/>
      <c r="O101" s="1021"/>
      <c r="P101" s="140"/>
      <c r="Q101" s="140"/>
    </row>
    <row r="102" spans="1:17" ht="13.5" x14ac:dyDescent="0.25">
      <c r="A102" s="4" t="s">
        <v>481</v>
      </c>
      <c r="H102"/>
      <c r="K102" s="10"/>
      <c r="L102" s="10"/>
      <c r="M102" s="45"/>
      <c r="N102" s="45"/>
      <c r="O102" s="142"/>
      <c r="P102" s="140"/>
      <c r="Q102" s="140"/>
    </row>
    <row r="103" spans="1:17" ht="13.5" x14ac:dyDescent="0.25">
      <c r="H103"/>
      <c r="K103" s="10"/>
      <c r="L103" s="146" t="s">
        <v>64</v>
      </c>
      <c r="M103" s="144"/>
      <c r="N103" s="147" t="s">
        <v>65</v>
      </c>
      <c r="O103" s="142"/>
      <c r="P103" s="140"/>
      <c r="Q103" s="140"/>
    </row>
    <row r="104" spans="1:17" ht="6.75" customHeight="1" x14ac:dyDescent="0.25">
      <c r="H104"/>
      <c r="K104" s="10"/>
      <c r="L104" s="143"/>
      <c r="M104" s="144"/>
      <c r="N104" s="145"/>
      <c r="O104" s="142"/>
      <c r="P104" s="140"/>
      <c r="Q104" s="140"/>
    </row>
    <row r="105" spans="1:17" x14ac:dyDescent="0.2">
      <c r="B105" s="148" t="s">
        <v>914</v>
      </c>
      <c r="E105" t="s">
        <v>911</v>
      </c>
      <c r="L105" s="11">
        <f t="shared" ref="L105:L119" si="0">R127</f>
        <v>0</v>
      </c>
      <c r="N105" s="11">
        <f t="shared" ref="N105:N119" si="1">S127</f>
        <v>0</v>
      </c>
    </row>
    <row r="106" spans="1:17" x14ac:dyDescent="0.2">
      <c r="B106" s="148"/>
      <c r="D106" s="2"/>
      <c r="E106" t="s">
        <v>436</v>
      </c>
      <c r="L106" s="11">
        <f t="shared" si="0"/>
        <v>0</v>
      </c>
      <c r="N106" s="11">
        <f t="shared" si="1"/>
        <v>0</v>
      </c>
    </row>
    <row r="107" spans="1:17" ht="13.5" customHeight="1" x14ac:dyDescent="0.2">
      <c r="B107" s="148"/>
      <c r="E107" t="s">
        <v>829</v>
      </c>
      <c r="L107" s="11">
        <f t="shared" si="0"/>
        <v>0</v>
      </c>
      <c r="N107" s="11">
        <f t="shared" si="1"/>
        <v>0</v>
      </c>
    </row>
    <row r="108" spans="1:17" ht="13.5" customHeight="1" x14ac:dyDescent="0.2">
      <c r="B108" s="148"/>
      <c r="E108" t="s">
        <v>837</v>
      </c>
      <c r="L108" s="11">
        <f t="shared" si="0"/>
        <v>0</v>
      </c>
      <c r="N108" s="11">
        <f t="shared" si="1"/>
        <v>0</v>
      </c>
    </row>
    <row r="109" spans="1:17" ht="12.75" customHeight="1" x14ac:dyDescent="0.2">
      <c r="B109" s="148"/>
      <c r="E109" t="s">
        <v>125</v>
      </c>
      <c r="L109" s="11">
        <f t="shared" si="0"/>
        <v>0</v>
      </c>
      <c r="N109" s="11">
        <f t="shared" si="1"/>
        <v>0</v>
      </c>
    </row>
    <row r="110" spans="1:17" x14ac:dyDescent="0.2">
      <c r="B110" s="148"/>
      <c r="F110" t="s">
        <v>704</v>
      </c>
      <c r="L110" s="11">
        <f t="shared" si="0"/>
        <v>0</v>
      </c>
      <c r="M110" s="96"/>
      <c r="N110" s="11">
        <f t="shared" si="1"/>
        <v>0</v>
      </c>
    </row>
    <row r="111" spans="1:17" x14ac:dyDescent="0.2">
      <c r="B111" s="148"/>
      <c r="F111" t="s">
        <v>879</v>
      </c>
      <c r="L111" s="11">
        <f t="shared" si="0"/>
        <v>0</v>
      </c>
      <c r="M111" s="96"/>
      <c r="N111" s="11">
        <f t="shared" si="1"/>
        <v>0</v>
      </c>
    </row>
    <row r="112" spans="1:17" x14ac:dyDescent="0.2">
      <c r="B112" s="148"/>
      <c r="F112" t="s">
        <v>729</v>
      </c>
      <c r="L112" s="11">
        <f t="shared" si="0"/>
        <v>0</v>
      </c>
      <c r="M112" s="96"/>
      <c r="N112" s="11">
        <f t="shared" si="1"/>
        <v>0</v>
      </c>
    </row>
    <row r="113" spans="1:19" x14ac:dyDescent="0.2">
      <c r="F113" t="s">
        <v>474</v>
      </c>
      <c r="L113" s="11">
        <f t="shared" si="0"/>
        <v>0</v>
      </c>
      <c r="M113" s="96"/>
      <c r="N113" s="11">
        <f t="shared" si="1"/>
        <v>0</v>
      </c>
    </row>
    <row r="114" spans="1:19" x14ac:dyDescent="0.2">
      <c r="F114" t="s">
        <v>463</v>
      </c>
      <c r="L114" s="11">
        <f t="shared" si="0"/>
        <v>0</v>
      </c>
      <c r="M114" s="96"/>
      <c r="N114" s="11">
        <f t="shared" si="1"/>
        <v>0</v>
      </c>
    </row>
    <row r="115" spans="1:19" x14ac:dyDescent="0.2">
      <c r="F115" t="s">
        <v>78</v>
      </c>
      <c r="L115" s="11">
        <f t="shared" si="0"/>
        <v>0</v>
      </c>
      <c r="M115" s="96"/>
      <c r="N115" s="11">
        <f t="shared" si="1"/>
        <v>0</v>
      </c>
    </row>
    <row r="116" spans="1:19" x14ac:dyDescent="0.2">
      <c r="F116" t="s">
        <v>910</v>
      </c>
      <c r="L116" s="11">
        <f t="shared" si="0"/>
        <v>0</v>
      </c>
      <c r="M116" s="96"/>
      <c r="N116" s="11">
        <f t="shared" si="1"/>
        <v>0</v>
      </c>
    </row>
    <row r="117" spans="1:19" x14ac:dyDescent="0.2">
      <c r="F117" s="415" t="s">
        <v>201</v>
      </c>
      <c r="L117" s="11">
        <f t="shared" si="0"/>
        <v>0</v>
      </c>
      <c r="M117" s="96"/>
      <c r="N117" s="11">
        <f t="shared" si="1"/>
        <v>0</v>
      </c>
    </row>
    <row r="118" spans="1:19" x14ac:dyDescent="0.2">
      <c r="F118" t="s">
        <v>959</v>
      </c>
      <c r="L118" s="11">
        <f t="shared" si="0"/>
        <v>0</v>
      </c>
      <c r="M118" s="96"/>
      <c r="N118" s="11">
        <f t="shared" si="1"/>
        <v>0</v>
      </c>
    </row>
    <row r="119" spans="1:19" x14ac:dyDescent="0.2">
      <c r="F119" t="s">
        <v>915</v>
      </c>
      <c r="L119" s="11">
        <f t="shared" si="0"/>
        <v>0</v>
      </c>
      <c r="M119" s="96"/>
      <c r="N119" s="11">
        <f t="shared" si="1"/>
        <v>0</v>
      </c>
    </row>
    <row r="120" spans="1:19" ht="13.5" thickBot="1" x14ac:dyDescent="0.25">
      <c r="L120" s="76">
        <f>SUM(L105:L119)</f>
        <v>0</v>
      </c>
      <c r="M120" s="56"/>
      <c r="N120" s="76">
        <f>SUM(N105:N119)</f>
        <v>0</v>
      </c>
    </row>
    <row r="121" spans="1:19" ht="13.5" thickTop="1" x14ac:dyDescent="0.2"/>
    <row r="122" spans="1:19" x14ac:dyDescent="0.2">
      <c r="B122" s="108"/>
      <c r="C122" s="108"/>
      <c r="D122" s="108"/>
      <c r="E122" s="108"/>
      <c r="F122" s="108"/>
      <c r="G122" s="108"/>
      <c r="H122" s="196"/>
      <c r="I122" s="108"/>
      <c r="J122" s="108"/>
      <c r="K122" s="108"/>
      <c r="L122" s="108"/>
      <c r="M122" s="108"/>
      <c r="N122" s="108"/>
      <c r="O122" s="108"/>
    </row>
    <row r="123" spans="1:19" ht="18" x14ac:dyDescent="0.25">
      <c r="B123" s="197" t="s">
        <v>455</v>
      </c>
      <c r="C123" s="108"/>
      <c r="D123" s="108"/>
      <c r="E123" s="108"/>
      <c r="F123" s="108"/>
      <c r="G123" s="108"/>
      <c r="H123" s="196"/>
      <c r="I123" s="108"/>
      <c r="J123" s="108"/>
      <c r="K123" s="108"/>
      <c r="L123" s="108"/>
      <c r="M123" s="108"/>
      <c r="N123" s="108"/>
      <c r="O123" s="108"/>
    </row>
    <row r="125" spans="1:19" x14ac:dyDescent="0.2">
      <c r="F125" s="975" t="s">
        <v>412</v>
      </c>
      <c r="G125" s="976"/>
      <c r="H125" s="975" t="s">
        <v>245</v>
      </c>
      <c r="I125" s="976"/>
      <c r="J125" s="192"/>
      <c r="K125" s="975" t="s">
        <v>246</v>
      </c>
      <c r="L125" s="976"/>
      <c r="M125" s="55"/>
      <c r="N125" s="975" t="s">
        <v>247</v>
      </c>
      <c r="O125" s="976"/>
      <c r="R125" s="975" t="s">
        <v>102</v>
      </c>
      <c r="S125" s="976"/>
    </row>
    <row r="126" spans="1:19" x14ac:dyDescent="0.2">
      <c r="F126" s="71" t="s">
        <v>64</v>
      </c>
      <c r="G126" s="110" t="s">
        <v>65</v>
      </c>
      <c r="H126" s="71" t="s">
        <v>64</v>
      </c>
      <c r="I126" s="72" t="s">
        <v>65</v>
      </c>
      <c r="K126" s="71" t="s">
        <v>327</v>
      </c>
      <c r="L126" s="72" t="s">
        <v>65</v>
      </c>
      <c r="M126" s="55"/>
      <c r="N126" s="71" t="s">
        <v>327</v>
      </c>
      <c r="O126" s="72" t="s">
        <v>65</v>
      </c>
      <c r="R126" s="71" t="s">
        <v>327</v>
      </c>
      <c r="S126" s="72" t="s">
        <v>456</v>
      </c>
    </row>
    <row r="127" spans="1:19" x14ac:dyDescent="0.2">
      <c r="A127" t="s">
        <v>911</v>
      </c>
      <c r="F127" s="5">
        <f>K25</f>
        <v>0</v>
      </c>
      <c r="G127" s="1"/>
      <c r="H127"/>
      <c r="R127" s="5">
        <f>F127+H127+K127+N127</f>
        <v>0</v>
      </c>
      <c r="S127" s="5">
        <f>G127+I127+L127+O127</f>
        <v>0</v>
      </c>
    </row>
    <row r="128" spans="1:19" x14ac:dyDescent="0.2">
      <c r="A128" t="s">
        <v>436</v>
      </c>
      <c r="F128" s="5">
        <f>K22</f>
        <v>0</v>
      </c>
      <c r="G128" s="1"/>
      <c r="H128"/>
      <c r="R128" s="5">
        <f t="shared" ref="R128:R141" si="2">F128+H128+K128+N128</f>
        <v>0</v>
      </c>
      <c r="S128" s="5">
        <f t="shared" ref="S128:S141" si="3">G128+I128+L128+O128</f>
        <v>0</v>
      </c>
    </row>
    <row r="129" spans="1:19" x14ac:dyDescent="0.2">
      <c r="A129" t="s">
        <v>827</v>
      </c>
      <c r="G129" s="1"/>
      <c r="H129" s="5">
        <f>K39</f>
        <v>0</v>
      </c>
      <c r="R129" s="5">
        <f t="shared" si="2"/>
        <v>0</v>
      </c>
      <c r="S129" s="5">
        <f t="shared" si="3"/>
        <v>0</v>
      </c>
    </row>
    <row r="130" spans="1:19" x14ac:dyDescent="0.2">
      <c r="A130" t="s">
        <v>828</v>
      </c>
      <c r="G130" s="1"/>
      <c r="H130" s="5"/>
      <c r="K130" s="47">
        <f>K61</f>
        <v>0</v>
      </c>
      <c r="R130" s="5">
        <f t="shared" si="2"/>
        <v>0</v>
      </c>
      <c r="S130" s="5">
        <f t="shared" si="3"/>
        <v>0</v>
      </c>
    </row>
    <row r="131" spans="1:19" x14ac:dyDescent="0.2">
      <c r="A131" t="s">
        <v>125</v>
      </c>
      <c r="G131" s="1"/>
      <c r="H131"/>
      <c r="N131" s="5">
        <f>N84</f>
        <v>0</v>
      </c>
      <c r="R131" s="5">
        <f t="shared" si="2"/>
        <v>0</v>
      </c>
      <c r="S131" s="5">
        <f t="shared" si="3"/>
        <v>0</v>
      </c>
    </row>
    <row r="132" spans="1:19" x14ac:dyDescent="0.2">
      <c r="B132" t="s">
        <v>704</v>
      </c>
      <c r="G132" s="1"/>
      <c r="H132"/>
      <c r="I132" s="5">
        <f t="shared" ref="I132:I139" si="4">K44-H44</f>
        <v>0</v>
      </c>
      <c r="L132" s="47">
        <f t="shared" ref="L132:L139" si="5">K67-H67</f>
        <v>0</v>
      </c>
      <c r="O132" s="5">
        <f t="shared" ref="O132:O139" si="6">K90</f>
        <v>0</v>
      </c>
      <c r="R132" s="5">
        <f t="shared" si="2"/>
        <v>0</v>
      </c>
      <c r="S132" s="5">
        <f t="shared" si="3"/>
        <v>0</v>
      </c>
    </row>
    <row r="133" spans="1:19" x14ac:dyDescent="0.2">
      <c r="B133" t="s">
        <v>879</v>
      </c>
      <c r="G133" s="1"/>
      <c r="H133"/>
      <c r="I133" s="5">
        <f t="shared" si="4"/>
        <v>0</v>
      </c>
      <c r="L133" s="47">
        <f t="shared" si="5"/>
        <v>0</v>
      </c>
      <c r="O133" s="5">
        <f t="shared" si="6"/>
        <v>0</v>
      </c>
      <c r="R133" s="5">
        <f t="shared" si="2"/>
        <v>0</v>
      </c>
      <c r="S133" s="5">
        <f t="shared" si="3"/>
        <v>0</v>
      </c>
    </row>
    <row r="134" spans="1:19" x14ac:dyDescent="0.2">
      <c r="B134" t="s">
        <v>729</v>
      </c>
      <c r="G134" s="1"/>
      <c r="H134"/>
      <c r="I134" s="5">
        <f t="shared" si="4"/>
        <v>0</v>
      </c>
      <c r="L134" s="47">
        <f t="shared" si="5"/>
        <v>0</v>
      </c>
      <c r="O134" s="5">
        <f t="shared" si="6"/>
        <v>0</v>
      </c>
      <c r="R134" s="5">
        <f t="shared" si="2"/>
        <v>0</v>
      </c>
      <c r="S134" s="5">
        <f t="shared" si="3"/>
        <v>0</v>
      </c>
    </row>
    <row r="135" spans="1:19" x14ac:dyDescent="0.2">
      <c r="B135" t="s">
        <v>474</v>
      </c>
      <c r="G135" s="1"/>
      <c r="H135"/>
      <c r="I135" s="5">
        <f t="shared" si="4"/>
        <v>0</v>
      </c>
      <c r="L135" s="47">
        <f t="shared" si="5"/>
        <v>0</v>
      </c>
      <c r="O135" s="5">
        <f t="shared" si="6"/>
        <v>0</v>
      </c>
      <c r="R135" s="5">
        <f t="shared" si="2"/>
        <v>0</v>
      </c>
      <c r="S135" s="5">
        <f t="shared" si="3"/>
        <v>0</v>
      </c>
    </row>
    <row r="136" spans="1:19" x14ac:dyDescent="0.2">
      <c r="B136" t="s">
        <v>463</v>
      </c>
      <c r="G136" s="1"/>
      <c r="H136"/>
      <c r="I136" s="5">
        <f t="shared" si="4"/>
        <v>0</v>
      </c>
      <c r="L136" s="47">
        <f t="shared" si="5"/>
        <v>0</v>
      </c>
      <c r="O136" s="5">
        <f t="shared" si="6"/>
        <v>0</v>
      </c>
      <c r="R136" s="5">
        <f t="shared" si="2"/>
        <v>0</v>
      </c>
      <c r="S136" s="5">
        <f t="shared" si="3"/>
        <v>0</v>
      </c>
    </row>
    <row r="137" spans="1:19" x14ac:dyDescent="0.2">
      <c r="B137" t="s">
        <v>78</v>
      </c>
      <c r="G137" s="1"/>
      <c r="H137"/>
      <c r="I137" s="5">
        <f t="shared" si="4"/>
        <v>0</v>
      </c>
      <c r="L137" s="47">
        <f t="shared" si="5"/>
        <v>0</v>
      </c>
      <c r="O137" s="5">
        <f t="shared" si="6"/>
        <v>0</v>
      </c>
      <c r="R137" s="5">
        <f t="shared" si="2"/>
        <v>0</v>
      </c>
      <c r="S137" s="5">
        <f t="shared" si="3"/>
        <v>0</v>
      </c>
    </row>
    <row r="138" spans="1:19" x14ac:dyDescent="0.2">
      <c r="B138" t="s">
        <v>910</v>
      </c>
      <c r="G138" s="1"/>
      <c r="H138"/>
      <c r="I138" s="5">
        <f t="shared" si="4"/>
        <v>0</v>
      </c>
      <c r="L138" s="47">
        <f t="shared" si="5"/>
        <v>0</v>
      </c>
      <c r="O138" s="5">
        <f t="shared" si="6"/>
        <v>0</v>
      </c>
      <c r="R138" s="5">
        <f t="shared" si="2"/>
        <v>0</v>
      </c>
      <c r="S138" s="5">
        <f t="shared" si="3"/>
        <v>0</v>
      </c>
    </row>
    <row r="139" spans="1:19" x14ac:dyDescent="0.2">
      <c r="B139" s="415" t="s">
        <v>201</v>
      </c>
      <c r="G139" s="1"/>
      <c r="H139"/>
      <c r="I139" s="5">
        <f t="shared" si="4"/>
        <v>0</v>
      </c>
      <c r="L139" s="47">
        <f t="shared" si="5"/>
        <v>0</v>
      </c>
      <c r="O139" s="5">
        <f t="shared" si="6"/>
        <v>0</v>
      </c>
      <c r="R139" s="5">
        <f t="shared" si="2"/>
        <v>0</v>
      </c>
      <c r="S139" s="5">
        <f t="shared" si="3"/>
        <v>0</v>
      </c>
    </row>
    <row r="140" spans="1:19" x14ac:dyDescent="0.2">
      <c r="B140" t="s">
        <v>960</v>
      </c>
      <c r="F140" t="str">
        <f>IF((K28+K22)&lt;0,-(K28+K22),"0")</f>
        <v>0</v>
      </c>
      <c r="G140" s="1">
        <f>IF((K28+K22)&gt;=0,(K28+K22),"0")</f>
        <v>0</v>
      </c>
      <c r="H140"/>
      <c r="L140" s="47"/>
      <c r="R140" s="5">
        <f t="shared" si="2"/>
        <v>0</v>
      </c>
      <c r="S140" s="5">
        <f t="shared" si="3"/>
        <v>0</v>
      </c>
    </row>
    <row r="141" spans="1:19" x14ac:dyDescent="0.2">
      <c r="B141" t="s">
        <v>915</v>
      </c>
      <c r="G141" s="1">
        <f>K19</f>
        <v>0</v>
      </c>
      <c r="H141"/>
      <c r="I141" s="5"/>
      <c r="L141" s="47"/>
      <c r="O141" s="5">
        <f>N81</f>
        <v>0</v>
      </c>
      <c r="R141" s="5">
        <f t="shared" si="2"/>
        <v>0</v>
      </c>
      <c r="S141" s="5">
        <f t="shared" si="3"/>
        <v>0</v>
      </c>
    </row>
    <row r="142" spans="1:19" ht="13.5" thickBot="1" x14ac:dyDescent="0.25">
      <c r="F142" s="32">
        <f>SUM(F127:F141)</f>
        <v>0</v>
      </c>
      <c r="G142" s="32">
        <f>SUM(G127:G141)</f>
        <v>0</v>
      </c>
      <c r="H142" s="32">
        <f>SUM(H127:H141)</f>
        <v>0</v>
      </c>
      <c r="I142" s="32">
        <f>SUM(I127:I141)</f>
        <v>0</v>
      </c>
      <c r="J142" s="32"/>
      <c r="K142" s="32">
        <f>SUM(K127:K141)</f>
        <v>0</v>
      </c>
      <c r="L142" s="32">
        <f>SUM(L127:L141)</f>
        <v>0</v>
      </c>
      <c r="M142" s="32"/>
      <c r="N142" s="32">
        <f>SUM(N127:N141)</f>
        <v>0</v>
      </c>
      <c r="O142" s="32">
        <f>SUM(O127:O141)</f>
        <v>0</v>
      </c>
      <c r="P142" s="32"/>
      <c r="Q142" s="32"/>
      <c r="R142" s="32">
        <f>SUM(R127:R141)</f>
        <v>0</v>
      </c>
      <c r="S142" s="32">
        <f>SUM(S127:S141)</f>
        <v>0</v>
      </c>
    </row>
    <row r="143" spans="1:19" ht="13.5" thickTop="1" x14ac:dyDescent="0.2">
      <c r="G143" s="1"/>
      <c r="H143"/>
    </row>
  </sheetData>
  <sheetProtection algorithmName="SHA-512" hashValue="VjAHmnWxErKPfkK/mVzyW9lskzu21nKnOCFZmIc0UvggOR7ucu6fFLBaeQ5GoEE3eLLhNG/gT3MUORC+kEr0aA==" saltValue="i2YYZAcPvyMJ2hFSuDh0Hg==" spinCount="100000" sheet="1" objects="1" scenarios="1"/>
  <mergeCells count="41">
    <mergeCell ref="B32:I32"/>
    <mergeCell ref="B30:O30"/>
    <mergeCell ref="C22:I23"/>
    <mergeCell ref="C37:I38"/>
    <mergeCell ref="K34:K35"/>
    <mergeCell ref="C34:I35"/>
    <mergeCell ref="K25:K26"/>
    <mergeCell ref="C25:I26"/>
    <mergeCell ref="K22:K23"/>
    <mergeCell ref="K37:K38"/>
    <mergeCell ref="R125:S125"/>
    <mergeCell ref="F125:G125"/>
    <mergeCell ref="H125:I125"/>
    <mergeCell ref="K125:L125"/>
    <mergeCell ref="N84:N85"/>
    <mergeCell ref="G86:L86"/>
    <mergeCell ref="C88:L89"/>
    <mergeCell ref="L97:L98"/>
    <mergeCell ref="C84:L85"/>
    <mergeCell ref="B101:O101"/>
    <mergeCell ref="N125:O125"/>
    <mergeCell ref="C41:I42"/>
    <mergeCell ref="I50:I52"/>
    <mergeCell ref="L51:L52"/>
    <mergeCell ref="C81:L82"/>
    <mergeCell ref="B54:O54"/>
    <mergeCell ref="B78:O78"/>
    <mergeCell ref="C58:I58"/>
    <mergeCell ref="C60:I60"/>
    <mergeCell ref="B56:E56"/>
    <mergeCell ref="C64:I65"/>
    <mergeCell ref="N81:N82"/>
    <mergeCell ref="L74:L75"/>
    <mergeCell ref="K19:K20"/>
    <mergeCell ref="A2:P2"/>
    <mergeCell ref="B4:P4"/>
    <mergeCell ref="B16:O16"/>
    <mergeCell ref="C6:O7"/>
    <mergeCell ref="C9:O10"/>
    <mergeCell ref="C12:O13"/>
    <mergeCell ref="C19:I20"/>
  </mergeCells>
  <phoneticPr fontId="15" type="noConversion"/>
  <printOptions horizontalCentered="1"/>
  <pageMargins left="0.36" right="0.37" top="0.71" bottom="0.5" header="0.5" footer="0.5"/>
  <pageSetup scale="75" orientation="portrait" r:id="rId1"/>
  <headerFooter alignWithMargins="0">
    <oddHeader>&amp;R&amp;"Arial,Bold"&amp;12Entry&amp;"Times New Roman,Bold" I</oddHeader>
    <oddFooter>&amp;L&amp;8&amp;D - City model&amp;R&amp;P</oddFooter>
  </headerFooter>
  <rowBreaks count="2" manualBreakCount="2">
    <brk id="53" max="16" man="1"/>
    <brk id="99" max="16"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E234"/>
  <sheetViews>
    <sheetView topLeftCell="A10" workbookViewId="0">
      <selection activeCell="B22" sqref="B22:O22"/>
    </sheetView>
  </sheetViews>
  <sheetFormatPr defaultRowHeight="12.75" x14ac:dyDescent="0.2"/>
  <cols>
    <col min="1" max="1" width="4" style="4" customWidth="1"/>
    <col min="2" max="2" width="4" customWidth="1"/>
    <col min="4" max="4" width="9.28515625" customWidth="1"/>
    <col min="5" max="5" width="3.5703125" customWidth="1"/>
    <col min="6" max="6" width="9.7109375" customWidth="1"/>
    <col min="7" max="7" width="10.42578125" customWidth="1"/>
    <col min="8" max="8" width="12.42578125" customWidth="1"/>
    <col min="9" max="9" width="0.7109375" customWidth="1"/>
    <col min="10" max="10" width="10.42578125" style="1" customWidth="1"/>
    <col min="11" max="11" width="1.85546875" style="1" customWidth="1"/>
    <col min="12" max="12" width="10.7109375" customWidth="1"/>
    <col min="13" max="13" width="0.7109375" customWidth="1"/>
    <col min="14" max="14" width="11.28515625" customWidth="1"/>
    <col min="15" max="15" width="12" customWidth="1"/>
    <col min="16" max="16" width="3.85546875" customWidth="1"/>
    <col min="17" max="17" width="10.42578125" customWidth="1"/>
    <col min="18" max="18" width="11.28515625" bestFit="1" customWidth="1"/>
    <col min="19" max="19" width="3" customWidth="1"/>
    <col min="20" max="20" width="11.7109375" customWidth="1"/>
    <col min="21" max="21" width="9.42578125" bestFit="1" customWidth="1"/>
    <col min="22" max="22" width="9.28515625" bestFit="1" customWidth="1"/>
    <col min="23" max="24" width="9.28515625" customWidth="1"/>
  </cols>
  <sheetData>
    <row r="1" spans="1:17" ht="7.5" customHeight="1" x14ac:dyDescent="0.2"/>
    <row r="2" spans="1:17" ht="33.75" customHeight="1" x14ac:dyDescent="0.25">
      <c r="A2" s="956" t="s">
        <v>445</v>
      </c>
      <c r="B2" s="957"/>
      <c r="C2" s="957"/>
      <c r="D2" s="957"/>
      <c r="E2" s="957"/>
      <c r="F2" s="957"/>
      <c r="G2" s="957"/>
      <c r="H2" s="957"/>
      <c r="I2" s="957"/>
      <c r="J2" s="957"/>
      <c r="K2" s="957"/>
      <c r="L2" s="957"/>
      <c r="M2" s="957"/>
      <c r="N2" s="957"/>
      <c r="O2" s="957"/>
      <c r="P2" s="958"/>
    </row>
    <row r="3" spans="1:17" ht="6" customHeight="1" x14ac:dyDescent="0.2"/>
    <row r="4" spans="1:17" ht="51.75" customHeight="1" x14ac:dyDescent="0.2">
      <c r="B4" s="892" t="s">
        <v>16</v>
      </c>
      <c r="C4" s="980"/>
      <c r="D4" s="980"/>
      <c r="E4" s="980"/>
      <c r="F4" s="980"/>
      <c r="G4" s="980"/>
      <c r="H4" s="980"/>
      <c r="I4" s="980"/>
      <c r="J4" s="980"/>
      <c r="K4" s="980"/>
      <c r="L4" s="980"/>
      <c r="M4" s="980"/>
      <c r="N4" s="980"/>
      <c r="O4" s="980"/>
      <c r="P4" s="980"/>
    </row>
    <row r="5" spans="1:17" ht="4.5" customHeight="1" x14ac:dyDescent="0.2"/>
    <row r="6" spans="1:17" ht="12.75" customHeight="1" x14ac:dyDescent="0.2">
      <c r="B6" s="50" t="s">
        <v>930</v>
      </c>
      <c r="C6" s="1031" t="s">
        <v>961</v>
      </c>
      <c r="D6" s="1031"/>
      <c r="E6" s="1031"/>
      <c r="F6" s="1031"/>
      <c r="G6" s="1031"/>
      <c r="H6" s="1031"/>
      <c r="I6" s="1031"/>
      <c r="J6" s="1031"/>
      <c r="K6" s="1031"/>
      <c r="L6" s="1031"/>
      <c r="M6" s="1031"/>
      <c r="N6" s="1031"/>
      <c r="O6" s="1031"/>
      <c r="P6" s="46"/>
      <c r="Q6" s="132"/>
    </row>
    <row r="7" spans="1:17" ht="88.5" customHeight="1" x14ac:dyDescent="0.2">
      <c r="B7" s="50"/>
      <c r="C7" s="1031"/>
      <c r="D7" s="1031"/>
      <c r="E7" s="1031"/>
      <c r="F7" s="1031"/>
      <c r="G7" s="1031"/>
      <c r="H7" s="1031"/>
      <c r="I7" s="1031"/>
      <c r="J7" s="1031"/>
      <c r="K7" s="1031"/>
      <c r="L7" s="1031"/>
      <c r="M7" s="1031"/>
      <c r="N7" s="1031"/>
      <c r="O7" s="1031"/>
      <c r="P7" s="46"/>
    </row>
    <row r="8" spans="1:17" ht="3" customHeight="1" x14ac:dyDescent="0.2">
      <c r="B8" s="50"/>
      <c r="C8" s="530"/>
      <c r="D8" s="530"/>
      <c r="E8" s="530"/>
      <c r="F8" s="530"/>
      <c r="G8" s="530"/>
      <c r="H8" s="530"/>
      <c r="I8" s="530"/>
      <c r="J8" s="530"/>
      <c r="K8" s="530"/>
      <c r="L8" s="530"/>
      <c r="M8" s="530"/>
      <c r="N8" s="530"/>
      <c r="O8" s="530"/>
      <c r="P8" s="46"/>
    </row>
    <row r="9" spans="1:17" ht="13.5" customHeight="1" x14ac:dyDescent="0.2">
      <c r="B9" s="50" t="s">
        <v>931</v>
      </c>
      <c r="C9" s="1023" t="s">
        <v>633</v>
      </c>
      <c r="D9" s="1023"/>
      <c r="E9" s="1023"/>
      <c r="F9" s="1023"/>
      <c r="G9" s="1023"/>
      <c r="H9" s="1023"/>
      <c r="I9" s="1023"/>
      <c r="J9" s="1023"/>
      <c r="K9" s="1023"/>
      <c r="L9" s="1023"/>
      <c r="M9" s="1023"/>
      <c r="N9" s="1023"/>
      <c r="O9" s="1023"/>
    </row>
    <row r="10" spans="1:17" ht="24" customHeight="1" x14ac:dyDescent="0.2">
      <c r="B10" s="50"/>
      <c r="C10" s="1023"/>
      <c r="D10" s="1023"/>
      <c r="E10" s="1023"/>
      <c r="F10" s="1023"/>
      <c r="G10" s="1023"/>
      <c r="H10" s="1023"/>
      <c r="I10" s="1023"/>
      <c r="J10" s="1023"/>
      <c r="K10" s="1023"/>
      <c r="L10" s="1023"/>
      <c r="M10" s="1023"/>
      <c r="N10" s="1023"/>
      <c r="O10" s="1023"/>
    </row>
    <row r="11" spans="1:17" ht="3" customHeight="1" x14ac:dyDescent="0.2">
      <c r="B11" s="50"/>
      <c r="C11" s="531"/>
      <c r="D11" s="531"/>
      <c r="E11" s="531"/>
      <c r="F11" s="531"/>
      <c r="G11" s="531"/>
      <c r="H11" s="531"/>
      <c r="I11" s="531"/>
      <c r="J11" s="532"/>
      <c r="K11" s="532"/>
      <c r="L11" s="531"/>
      <c r="M11" s="531"/>
      <c r="N11" s="531"/>
      <c r="O11" s="531"/>
    </row>
    <row r="12" spans="1:17" ht="12.75" customHeight="1" x14ac:dyDescent="0.2">
      <c r="B12" s="50" t="s">
        <v>464</v>
      </c>
      <c r="C12" s="1023" t="s">
        <v>604</v>
      </c>
      <c r="D12" s="1023"/>
      <c r="E12" s="1023"/>
      <c r="F12" s="1023"/>
      <c r="G12" s="1023"/>
      <c r="H12" s="1023"/>
      <c r="I12" s="1023"/>
      <c r="J12" s="1023"/>
      <c r="K12" s="1023"/>
      <c r="L12" s="1023"/>
      <c r="M12" s="1023"/>
      <c r="N12" s="1023"/>
      <c r="O12" s="1023"/>
    </row>
    <row r="13" spans="1:17" ht="53.25" customHeight="1" x14ac:dyDescent="0.2">
      <c r="B13" s="50"/>
      <c r="C13" s="1023"/>
      <c r="D13" s="1023"/>
      <c r="E13" s="1023"/>
      <c r="F13" s="1023"/>
      <c r="G13" s="1023"/>
      <c r="H13" s="1023"/>
      <c r="I13" s="1023"/>
      <c r="J13" s="1023"/>
      <c r="K13" s="1023"/>
      <c r="L13" s="1023"/>
      <c r="M13" s="1023"/>
      <c r="N13" s="1023"/>
      <c r="O13" s="1023"/>
    </row>
    <row r="14" spans="1:17" ht="3" customHeight="1" x14ac:dyDescent="0.2">
      <c r="C14" s="531"/>
      <c r="D14" s="531"/>
      <c r="E14" s="531"/>
      <c r="F14" s="531"/>
      <c r="G14" s="531"/>
      <c r="H14" s="531"/>
      <c r="I14" s="531"/>
      <c r="J14" s="532"/>
      <c r="K14" s="532"/>
      <c r="L14" s="531"/>
      <c r="M14" s="531"/>
      <c r="N14" s="531"/>
      <c r="O14" s="531"/>
    </row>
    <row r="15" spans="1:17" x14ac:dyDescent="0.2">
      <c r="B15" s="50" t="s">
        <v>862</v>
      </c>
      <c r="C15" s="1023" t="s">
        <v>606</v>
      </c>
      <c r="D15" s="1023"/>
      <c r="E15" s="1023"/>
      <c r="F15" s="1023"/>
      <c r="G15" s="1023"/>
      <c r="H15" s="1023"/>
      <c r="I15" s="1023"/>
      <c r="J15" s="1023"/>
      <c r="K15" s="1023"/>
      <c r="L15" s="1023"/>
      <c r="M15" s="1023"/>
      <c r="N15" s="1023"/>
      <c r="O15" s="1023"/>
    </row>
    <row r="16" spans="1:17" ht="56.25" customHeight="1" x14ac:dyDescent="0.2">
      <c r="C16" s="1023"/>
      <c r="D16" s="1023"/>
      <c r="E16" s="1023"/>
      <c r="F16" s="1023"/>
      <c r="G16" s="1023"/>
      <c r="H16" s="1023"/>
      <c r="I16" s="1023"/>
      <c r="J16" s="1023"/>
      <c r="K16" s="1023"/>
      <c r="L16" s="1023"/>
      <c r="M16" s="1023"/>
      <c r="N16" s="1023"/>
      <c r="O16" s="1023"/>
    </row>
    <row r="17" spans="1:16" ht="4.5" customHeight="1" x14ac:dyDescent="0.2">
      <c r="C17" s="531"/>
      <c r="D17" s="531"/>
      <c r="E17" s="531"/>
      <c r="F17" s="531"/>
      <c r="G17" s="531"/>
      <c r="H17" s="531"/>
      <c r="I17" s="531"/>
      <c r="J17" s="532"/>
      <c r="K17" s="532"/>
      <c r="L17" s="531"/>
      <c r="M17" s="531"/>
      <c r="N17" s="531"/>
      <c r="O17" s="531"/>
    </row>
    <row r="18" spans="1:16" ht="12.75" customHeight="1" x14ac:dyDescent="0.2">
      <c r="B18" s="50" t="s">
        <v>863</v>
      </c>
      <c r="C18" s="1023" t="s">
        <v>605</v>
      </c>
      <c r="D18" s="1023"/>
      <c r="E18" s="1023"/>
      <c r="F18" s="1023"/>
      <c r="G18" s="1023"/>
      <c r="H18" s="1023"/>
      <c r="I18" s="1023"/>
      <c r="J18" s="1023"/>
      <c r="K18" s="1023"/>
      <c r="L18" s="1023"/>
      <c r="M18" s="1023"/>
      <c r="N18" s="1023"/>
      <c r="O18" s="1023"/>
    </row>
    <row r="19" spans="1:16" ht="26.25" customHeight="1" x14ac:dyDescent="0.2">
      <c r="B19" s="50"/>
      <c r="C19" s="1023"/>
      <c r="D19" s="1023"/>
      <c r="E19" s="1023"/>
      <c r="F19" s="1023"/>
      <c r="G19" s="1023"/>
      <c r="H19" s="1023"/>
      <c r="I19" s="1023"/>
      <c r="J19" s="1023"/>
      <c r="K19" s="1023"/>
      <c r="L19" s="1023"/>
      <c r="M19" s="1023"/>
      <c r="N19" s="1023"/>
      <c r="O19" s="1023"/>
    </row>
    <row r="20" spans="1:16" ht="6.6" customHeight="1" x14ac:dyDescent="0.2">
      <c r="B20" s="50"/>
      <c r="C20" s="530"/>
      <c r="D20" s="530"/>
      <c r="E20" s="530"/>
      <c r="F20" s="530"/>
      <c r="G20" s="530"/>
      <c r="H20" s="530"/>
      <c r="I20" s="530"/>
      <c r="J20" s="530"/>
      <c r="K20" s="530"/>
      <c r="L20" s="530"/>
      <c r="M20" s="530"/>
      <c r="N20" s="530"/>
      <c r="O20" s="530"/>
    </row>
    <row r="21" spans="1:16" ht="43.15" customHeight="1" x14ac:dyDescent="0.2">
      <c r="B21" s="615" t="s">
        <v>323</v>
      </c>
      <c r="C21" s="1032" t="s">
        <v>2084</v>
      </c>
      <c r="D21" s="1033"/>
      <c r="E21" s="1033"/>
      <c r="F21" s="1033"/>
      <c r="G21" s="1033"/>
      <c r="H21" s="1033"/>
      <c r="I21" s="1033"/>
      <c r="J21" s="1033"/>
      <c r="K21" s="1033"/>
      <c r="L21" s="1033"/>
      <c r="M21" s="1033"/>
      <c r="N21" s="1033"/>
      <c r="O21" s="1033"/>
    </row>
    <row r="22" spans="1:16" ht="40.5" customHeight="1" x14ac:dyDescent="0.2">
      <c r="A22" s="4" t="s">
        <v>860</v>
      </c>
      <c r="B22" s="965" t="s">
        <v>4940</v>
      </c>
      <c r="C22" s="967"/>
      <c r="D22" s="967"/>
      <c r="E22" s="967"/>
      <c r="F22" s="967"/>
      <c r="G22" s="967"/>
      <c r="H22" s="967"/>
      <c r="I22" s="967"/>
      <c r="J22" s="967"/>
      <c r="K22" s="967"/>
      <c r="L22" s="967"/>
      <c r="M22" s="967"/>
      <c r="N22" s="967"/>
      <c r="O22" s="968"/>
      <c r="P22" s="4"/>
    </row>
    <row r="23" spans="1:16" ht="6.75" customHeight="1" x14ac:dyDescent="0.2">
      <c r="B23" s="4"/>
      <c r="H23" s="203"/>
      <c r="I23" s="203"/>
      <c r="J23" s="204"/>
      <c r="K23" s="204"/>
      <c r="L23" s="203"/>
      <c r="M23" s="203"/>
      <c r="N23" s="203"/>
    </row>
    <row r="24" spans="1:16" x14ac:dyDescent="0.2">
      <c r="B24" s="60" t="s">
        <v>46</v>
      </c>
      <c r="H24" s="201" t="s">
        <v>723</v>
      </c>
      <c r="I24" s="55"/>
      <c r="J24" s="1027" t="s">
        <v>725</v>
      </c>
      <c r="K24" s="1028"/>
      <c r="L24" s="1029"/>
      <c r="M24" s="55"/>
      <c r="N24" s="201" t="s">
        <v>728</v>
      </c>
    </row>
    <row r="25" spans="1:16" ht="12.75" customHeight="1" x14ac:dyDescent="0.2">
      <c r="H25" s="97" t="s">
        <v>724</v>
      </c>
      <c r="I25" s="55"/>
      <c r="J25" s="98" t="s">
        <v>726</v>
      </c>
      <c r="K25" s="99"/>
      <c r="L25" s="101" t="s">
        <v>364</v>
      </c>
      <c r="M25" s="55"/>
      <c r="N25" s="97" t="s">
        <v>724</v>
      </c>
    </row>
    <row r="26" spans="1:16" ht="2.25" customHeight="1" x14ac:dyDescent="0.2">
      <c r="B26" s="50"/>
      <c r="J26"/>
      <c r="K26"/>
    </row>
    <row r="27" spans="1:16" ht="12.75" customHeight="1" x14ac:dyDescent="0.2">
      <c r="B27" s="50"/>
      <c r="C27" t="s">
        <v>704</v>
      </c>
      <c r="H27" s="450"/>
      <c r="I27" s="56"/>
      <c r="J27" s="434"/>
      <c r="K27" s="56"/>
      <c r="L27" s="270">
        <f t="shared" ref="L27:L34" si="0">H27+J27-N27</f>
        <v>0</v>
      </c>
      <c r="M27" s="56"/>
      <c r="N27" s="434"/>
    </row>
    <row r="28" spans="1:16" x14ac:dyDescent="0.2">
      <c r="C28" t="s">
        <v>879</v>
      </c>
      <c r="H28" s="450"/>
      <c r="I28" s="56"/>
      <c r="J28" s="434"/>
      <c r="K28" s="56"/>
      <c r="L28" s="270">
        <f t="shared" si="0"/>
        <v>0</v>
      </c>
      <c r="M28" s="56"/>
      <c r="N28" s="434"/>
    </row>
    <row r="29" spans="1:16" x14ac:dyDescent="0.2">
      <c r="C29" t="s">
        <v>729</v>
      </c>
      <c r="H29" s="450"/>
      <c r="I29" s="56"/>
      <c r="J29" s="434"/>
      <c r="K29" s="56"/>
      <c r="L29" s="270">
        <f t="shared" si="0"/>
        <v>0</v>
      </c>
      <c r="M29" s="56"/>
      <c r="N29" s="434"/>
    </row>
    <row r="30" spans="1:16" x14ac:dyDescent="0.2">
      <c r="C30" t="s">
        <v>474</v>
      </c>
      <c r="H30" s="450"/>
      <c r="I30" s="56"/>
      <c r="J30" s="434"/>
      <c r="K30" s="56"/>
      <c r="L30" s="270">
        <f t="shared" si="0"/>
        <v>0</v>
      </c>
      <c r="M30" s="56"/>
      <c r="N30" s="434"/>
    </row>
    <row r="31" spans="1:16" x14ac:dyDescent="0.2">
      <c r="C31" t="s">
        <v>463</v>
      </c>
      <c r="H31" s="450"/>
      <c r="I31" s="56"/>
      <c r="J31" s="434"/>
      <c r="K31" s="56"/>
      <c r="L31" s="270">
        <f t="shared" si="0"/>
        <v>0</v>
      </c>
      <c r="M31" s="56"/>
      <c r="N31" s="434"/>
    </row>
    <row r="32" spans="1:16" ht="12.75" customHeight="1" x14ac:dyDescent="0.2">
      <c r="C32" t="s">
        <v>78</v>
      </c>
      <c r="H32" s="450"/>
      <c r="I32" s="56"/>
      <c r="J32" s="434"/>
      <c r="K32" s="56"/>
      <c r="L32" s="270">
        <f t="shared" si="0"/>
        <v>0</v>
      </c>
      <c r="M32" s="56"/>
      <c r="N32" s="434"/>
    </row>
    <row r="33" spans="2:14" ht="12.75" customHeight="1" x14ac:dyDescent="0.2">
      <c r="C33" t="s">
        <v>910</v>
      </c>
      <c r="H33" s="450"/>
      <c r="I33" s="56"/>
      <c r="J33" s="434"/>
      <c r="K33" s="56"/>
      <c r="L33" s="270">
        <f t="shared" si="0"/>
        <v>0</v>
      </c>
      <c r="M33" s="56"/>
      <c r="N33" s="434"/>
    </row>
    <row r="34" spans="2:14" ht="12.75" customHeight="1" x14ac:dyDescent="0.2">
      <c r="C34" s="415" t="s">
        <v>201</v>
      </c>
      <c r="H34" s="451"/>
      <c r="I34" s="343"/>
      <c r="J34" s="445"/>
      <c r="K34" s="343"/>
      <c r="L34" s="331">
        <f t="shared" si="0"/>
        <v>0</v>
      </c>
      <c r="M34" s="343"/>
      <c r="N34" s="445"/>
    </row>
    <row r="35" spans="2:14" ht="13.5" thickBot="1" x14ac:dyDescent="0.25">
      <c r="H35" s="330">
        <f>SUM(H27:H34)</f>
        <v>0</v>
      </c>
      <c r="J35" s="87">
        <f>SUM(J26:J34)</f>
        <v>0</v>
      </c>
      <c r="K35"/>
      <c r="L35" s="87">
        <f>SUM(L27:L34)</f>
        <v>0</v>
      </c>
      <c r="N35" s="87">
        <f>SUM(N27:N34)</f>
        <v>0</v>
      </c>
    </row>
    <row r="36" spans="2:14" ht="12.75" customHeight="1" thickTop="1" x14ac:dyDescent="0.2">
      <c r="H36" s="8"/>
      <c r="I36" s="8"/>
      <c r="J36" s="8"/>
      <c r="K36" s="8"/>
      <c r="L36" s="8"/>
      <c r="M36" s="8"/>
      <c r="N36" s="8"/>
    </row>
    <row r="37" spans="2:14" x14ac:dyDescent="0.2">
      <c r="B37" s="60" t="s">
        <v>47</v>
      </c>
      <c r="H37" s="201" t="s">
        <v>723</v>
      </c>
      <c r="I37" s="55"/>
      <c r="J37" s="1027" t="s">
        <v>725</v>
      </c>
      <c r="K37" s="1028"/>
      <c r="L37" s="1029"/>
      <c r="M37" s="55"/>
      <c r="N37" s="201" t="s">
        <v>728</v>
      </c>
    </row>
    <row r="38" spans="2:14" x14ac:dyDescent="0.2">
      <c r="H38" s="97" t="s">
        <v>724</v>
      </c>
      <c r="I38" s="55"/>
      <c r="J38" s="103" t="s">
        <v>365</v>
      </c>
      <c r="K38" s="99"/>
      <c r="L38" s="102" t="s">
        <v>727</v>
      </c>
      <c r="M38" s="55"/>
      <c r="N38" s="97" t="s">
        <v>724</v>
      </c>
    </row>
    <row r="39" spans="2:14" ht="2.25" customHeight="1" x14ac:dyDescent="0.2">
      <c r="J39"/>
      <c r="K39"/>
    </row>
    <row r="40" spans="2:14" x14ac:dyDescent="0.2">
      <c r="C40" t="s">
        <v>704</v>
      </c>
      <c r="H40" s="450"/>
      <c r="I40" s="56"/>
      <c r="J40" s="83">
        <f>N40+L40-H40</f>
        <v>0</v>
      </c>
      <c r="K40" s="96"/>
      <c r="L40" s="437"/>
      <c r="M40" s="56"/>
      <c r="N40" s="437"/>
    </row>
    <row r="41" spans="2:14" x14ac:dyDescent="0.2">
      <c r="C41" t="s">
        <v>879</v>
      </c>
      <c r="H41" s="450"/>
      <c r="I41" s="56"/>
      <c r="J41" s="83">
        <f t="shared" ref="J41:J47" si="1">N41+L41-H41</f>
        <v>0</v>
      </c>
      <c r="K41" s="96"/>
      <c r="L41" s="437"/>
      <c r="M41" s="56"/>
      <c r="N41" s="437"/>
    </row>
    <row r="42" spans="2:14" x14ac:dyDescent="0.2">
      <c r="C42" t="s">
        <v>729</v>
      </c>
      <c r="H42" s="450"/>
      <c r="I42" s="56"/>
      <c r="J42" s="83">
        <f t="shared" si="1"/>
        <v>0</v>
      </c>
      <c r="K42" s="96"/>
      <c r="L42" s="437"/>
      <c r="M42" s="56"/>
      <c r="N42" s="437"/>
    </row>
    <row r="43" spans="2:14" x14ac:dyDescent="0.2">
      <c r="C43" t="s">
        <v>474</v>
      </c>
      <c r="H43" s="450"/>
      <c r="I43" s="56"/>
      <c r="J43" s="83">
        <f t="shared" si="1"/>
        <v>0</v>
      </c>
      <c r="K43" s="96"/>
      <c r="L43" s="437"/>
      <c r="M43" s="56"/>
      <c r="N43" s="437"/>
    </row>
    <row r="44" spans="2:14" x14ac:dyDescent="0.2">
      <c r="C44" t="s">
        <v>463</v>
      </c>
      <c r="H44" s="450"/>
      <c r="I44" s="56"/>
      <c r="J44" s="83">
        <f t="shared" si="1"/>
        <v>0</v>
      </c>
      <c r="K44" s="96"/>
      <c r="L44" s="437"/>
      <c r="M44" s="56"/>
      <c r="N44" s="437"/>
    </row>
    <row r="45" spans="2:14" x14ac:dyDescent="0.2">
      <c r="C45" t="s">
        <v>78</v>
      </c>
      <c r="H45" s="450"/>
      <c r="I45" s="56"/>
      <c r="J45" s="83">
        <f t="shared" si="1"/>
        <v>0</v>
      </c>
      <c r="K45" s="96"/>
      <c r="L45" s="437"/>
      <c r="M45" s="56"/>
      <c r="N45" s="437"/>
    </row>
    <row r="46" spans="2:14" x14ac:dyDescent="0.2">
      <c r="C46" t="s">
        <v>910</v>
      </c>
      <c r="H46" s="450"/>
      <c r="I46" s="56"/>
      <c r="J46" s="83">
        <f t="shared" si="1"/>
        <v>0</v>
      </c>
      <c r="K46" s="96"/>
      <c r="L46" s="437"/>
      <c r="M46" s="56"/>
      <c r="N46" s="437"/>
    </row>
    <row r="47" spans="2:14" x14ac:dyDescent="0.2">
      <c r="C47" s="415" t="s">
        <v>201</v>
      </c>
      <c r="H47" s="451">
        <v>0</v>
      </c>
      <c r="I47" s="56"/>
      <c r="J47" s="83">
        <f t="shared" si="1"/>
        <v>0</v>
      </c>
      <c r="K47" s="96"/>
      <c r="L47" s="437"/>
      <c r="M47" s="56"/>
      <c r="N47" s="445"/>
    </row>
    <row r="48" spans="2:14" ht="13.5" thickBot="1" x14ac:dyDescent="0.25">
      <c r="H48" s="330">
        <f>SUM(H40:H47)</f>
        <v>0</v>
      </c>
      <c r="I48" s="56"/>
      <c r="J48" s="76">
        <f>SUM(J40:J47)</f>
        <v>0</v>
      </c>
      <c r="K48" s="96"/>
      <c r="L48" s="76">
        <f>SUM(L40:L47)</f>
        <v>0</v>
      </c>
      <c r="M48" s="56"/>
      <c r="N48" s="342">
        <f>SUM(N40:N47)</f>
        <v>0</v>
      </c>
    </row>
    <row r="49" spans="1:16" ht="13.5" thickTop="1" x14ac:dyDescent="0.2">
      <c r="B49" s="104" t="s">
        <v>929</v>
      </c>
      <c r="C49" s="60" t="s">
        <v>577</v>
      </c>
      <c r="J49"/>
      <c r="K49"/>
    </row>
    <row r="50" spans="1:16" ht="4.5" customHeight="1" x14ac:dyDescent="0.2">
      <c r="J50"/>
      <c r="K50"/>
    </row>
    <row r="51" spans="1:16" ht="25.5" customHeight="1" x14ac:dyDescent="0.2">
      <c r="A51" s="4" t="s">
        <v>861</v>
      </c>
      <c r="B51" s="962" t="s">
        <v>73</v>
      </c>
      <c r="C51" s="963"/>
      <c r="D51" s="963"/>
      <c r="E51" s="963"/>
      <c r="F51" s="963"/>
      <c r="G51" s="963"/>
      <c r="H51" s="963"/>
      <c r="I51" s="963"/>
      <c r="J51" s="963"/>
      <c r="K51" s="963"/>
      <c r="L51" s="963"/>
      <c r="M51" s="963"/>
      <c r="N51" s="963"/>
      <c r="O51" s="964"/>
      <c r="P51" s="4"/>
    </row>
    <row r="52" spans="1:16" ht="8.25" customHeight="1" x14ac:dyDescent="0.2">
      <c r="J52" s="10"/>
      <c r="K52" s="10"/>
      <c r="L52" s="10"/>
      <c r="M52" s="45"/>
      <c r="N52" s="10"/>
    </row>
    <row r="53" spans="1:16" ht="15" customHeight="1" x14ac:dyDescent="0.2">
      <c r="B53" s="50" t="s">
        <v>930</v>
      </c>
      <c r="C53" t="s">
        <v>76</v>
      </c>
      <c r="J53"/>
      <c r="K53" s="10"/>
      <c r="L53" s="10"/>
      <c r="M53" s="45"/>
      <c r="N53" s="447"/>
    </row>
    <row r="54" spans="1:16" ht="4.5" customHeight="1" x14ac:dyDescent="0.2">
      <c r="J54"/>
      <c r="K54" s="10"/>
      <c r="L54" s="10"/>
      <c r="M54" s="45"/>
      <c r="N54" s="10"/>
    </row>
    <row r="55" spans="1:16" ht="4.5" customHeight="1" x14ac:dyDescent="0.2">
      <c r="J55"/>
      <c r="K55" s="10"/>
      <c r="L55" s="10"/>
      <c r="M55" s="45"/>
      <c r="N55" s="10"/>
    </row>
    <row r="56" spans="1:16" ht="12.75" customHeight="1" x14ac:dyDescent="0.2">
      <c r="B56" s="50" t="s">
        <v>931</v>
      </c>
      <c r="C56" t="s">
        <v>1017</v>
      </c>
      <c r="J56"/>
      <c r="K56" s="10"/>
      <c r="L56" s="10"/>
      <c r="M56" s="45"/>
      <c r="N56" s="447"/>
      <c r="O56" s="193" t="s">
        <v>758</v>
      </c>
    </row>
    <row r="57" spans="1:16" ht="4.5" customHeight="1" x14ac:dyDescent="0.2">
      <c r="J57"/>
      <c r="K57" s="10"/>
      <c r="L57" s="10"/>
      <c r="M57" s="45"/>
      <c r="N57" s="10"/>
    </row>
    <row r="58" spans="1:16" ht="13.5" customHeight="1" x14ac:dyDescent="0.2">
      <c r="B58" s="50" t="s">
        <v>932</v>
      </c>
      <c r="C58" t="s">
        <v>872</v>
      </c>
      <c r="J58"/>
      <c r="K58" s="10"/>
      <c r="L58" s="10"/>
      <c r="M58" s="45"/>
      <c r="N58" s="447"/>
      <c r="O58" s="193" t="s">
        <v>759</v>
      </c>
    </row>
    <row r="59" spans="1:16" ht="4.5" customHeight="1" x14ac:dyDescent="0.2">
      <c r="J59"/>
      <c r="K59" s="10"/>
      <c r="L59" s="10"/>
      <c r="M59" s="45"/>
      <c r="N59" s="10"/>
    </row>
    <row r="60" spans="1:16" ht="12.75" customHeight="1" x14ac:dyDescent="0.2">
      <c r="B60" s="50" t="s">
        <v>862</v>
      </c>
      <c r="C60" s="883" t="s">
        <v>649</v>
      </c>
      <c r="D60" s="883"/>
      <c r="E60" s="883"/>
      <c r="F60" s="883"/>
      <c r="G60" s="883"/>
      <c r="H60" s="883"/>
      <c r="I60" s="883"/>
      <c r="J60" s="883"/>
      <c r="K60" s="10"/>
      <c r="L60" s="10"/>
      <c r="M60" s="45"/>
      <c r="N60" s="1011"/>
      <c r="O60" s="1040" t="s">
        <v>662</v>
      </c>
    </row>
    <row r="61" spans="1:16" ht="8.25" customHeight="1" x14ac:dyDescent="0.2">
      <c r="C61" s="883"/>
      <c r="D61" s="883"/>
      <c r="E61" s="883"/>
      <c r="F61" s="883"/>
      <c r="G61" s="883"/>
      <c r="H61" s="883"/>
      <c r="I61" s="883"/>
      <c r="J61" s="883"/>
      <c r="K61" s="10"/>
      <c r="L61" s="10"/>
      <c r="M61" s="45"/>
      <c r="N61" s="1011"/>
      <c r="O61" s="1040"/>
    </row>
    <row r="62" spans="1:16" ht="4.5" customHeight="1" x14ac:dyDescent="0.2">
      <c r="C62" s="883"/>
      <c r="D62" s="883"/>
      <c r="E62" s="883"/>
      <c r="F62" s="883"/>
      <c r="G62" s="883"/>
      <c r="H62" s="883"/>
      <c r="I62" s="883"/>
      <c r="J62" s="883"/>
      <c r="K62" s="10"/>
      <c r="L62" s="10"/>
      <c r="M62" s="45"/>
      <c r="N62" s="10"/>
    </row>
    <row r="63" spans="1:16" ht="4.5" customHeight="1" x14ac:dyDescent="0.2">
      <c r="C63" s="46"/>
      <c r="D63" s="46"/>
      <c r="E63" s="46"/>
      <c r="F63" s="46"/>
      <c r="G63" s="46"/>
      <c r="H63" s="46"/>
      <c r="I63" s="46"/>
      <c r="J63" s="46"/>
      <c r="K63" s="10"/>
      <c r="L63" s="10"/>
      <c r="M63" s="45"/>
      <c r="N63" s="10"/>
    </row>
    <row r="64" spans="1:16" ht="12.75" customHeight="1" thickBot="1" x14ac:dyDescent="0.25">
      <c r="B64" s="50" t="s">
        <v>863</v>
      </c>
      <c r="C64" t="s">
        <v>873</v>
      </c>
      <c r="J64"/>
      <c r="K64" s="10"/>
      <c r="L64" s="10"/>
      <c r="M64" s="45"/>
      <c r="N64" s="94">
        <f>(N53+N56+N60)-N58</f>
        <v>0</v>
      </c>
    </row>
    <row r="65" spans="2:15" ht="3" customHeight="1" thickTop="1" x14ac:dyDescent="0.2">
      <c r="J65"/>
      <c r="K65" s="10"/>
      <c r="L65" s="10"/>
      <c r="M65" s="45"/>
      <c r="N65" s="10"/>
    </row>
    <row r="66" spans="2:15" ht="12.75" customHeight="1" x14ac:dyDescent="0.2">
      <c r="B66" s="50" t="s">
        <v>323</v>
      </c>
      <c r="C66" s="883" t="s">
        <v>611</v>
      </c>
      <c r="D66" s="883"/>
      <c r="E66" s="883"/>
      <c r="F66" s="883"/>
      <c r="G66" s="883"/>
      <c r="H66" s="883"/>
      <c r="I66" s="883"/>
      <c r="J66" s="883"/>
      <c r="K66" s="883"/>
      <c r="L66" s="883"/>
      <c r="M66" s="45"/>
    </row>
    <row r="67" spans="2:15" ht="49.5" customHeight="1" x14ac:dyDescent="0.2">
      <c r="B67" s="50"/>
      <c r="C67" s="883"/>
      <c r="D67" s="883"/>
      <c r="E67" s="883"/>
      <c r="F67" s="883"/>
      <c r="G67" s="883"/>
      <c r="H67" s="883"/>
      <c r="I67" s="883"/>
      <c r="J67" s="883"/>
      <c r="K67" s="883"/>
      <c r="L67" s="883"/>
      <c r="M67" s="45"/>
    </row>
    <row r="68" spans="2:15" ht="14.25" customHeight="1" x14ac:dyDescent="0.2">
      <c r="B68" s="50"/>
      <c r="C68" s="46"/>
      <c r="D68" s="46"/>
      <c r="E68" s="46"/>
      <c r="F68" s="46"/>
      <c r="G68" s="133" t="s">
        <v>75</v>
      </c>
      <c r="I68" s="46"/>
      <c r="J68" s="133" t="s">
        <v>74</v>
      </c>
      <c r="K68" s="46"/>
      <c r="L68" s="10"/>
      <c r="M68" s="45"/>
      <c r="N68" s="8" t="s">
        <v>1018</v>
      </c>
    </row>
    <row r="69" spans="2:15" x14ac:dyDescent="0.2">
      <c r="C69" t="s">
        <v>704</v>
      </c>
      <c r="G69" s="447"/>
      <c r="J69" s="437"/>
      <c r="K69"/>
      <c r="L69" s="10"/>
      <c r="M69" s="45"/>
      <c r="N69" s="444"/>
      <c r="O69" s="5"/>
    </row>
    <row r="70" spans="2:15" ht="12" customHeight="1" x14ac:dyDescent="0.2">
      <c r="C70" t="s">
        <v>879</v>
      </c>
      <c r="G70" s="447"/>
      <c r="J70" s="437"/>
      <c r="K70"/>
      <c r="L70" s="10"/>
      <c r="M70" s="45"/>
      <c r="N70" s="444"/>
      <c r="O70" s="5"/>
    </row>
    <row r="71" spans="2:15" x14ac:dyDescent="0.2">
      <c r="C71" t="s">
        <v>729</v>
      </c>
      <c r="G71" s="447"/>
      <c r="J71" s="437"/>
      <c r="K71"/>
      <c r="L71" s="10"/>
      <c r="M71" s="45"/>
      <c r="N71" s="444"/>
      <c r="O71" s="5"/>
    </row>
    <row r="72" spans="2:15" x14ac:dyDescent="0.2">
      <c r="C72" t="s">
        <v>474</v>
      </c>
      <c r="G72" s="447"/>
      <c r="J72" s="437"/>
      <c r="K72"/>
      <c r="L72" s="10"/>
      <c r="M72" s="45"/>
      <c r="N72" s="444"/>
      <c r="O72" s="5"/>
    </row>
    <row r="73" spans="2:15" x14ac:dyDescent="0.2">
      <c r="C73" t="s">
        <v>463</v>
      </c>
      <c r="G73" s="447"/>
      <c r="J73" s="437"/>
      <c r="K73"/>
      <c r="L73" s="10"/>
      <c r="M73" s="45"/>
      <c r="N73" s="444"/>
      <c r="O73" s="5"/>
    </row>
    <row r="74" spans="2:15" x14ac:dyDescent="0.2">
      <c r="C74" t="s">
        <v>78</v>
      </c>
      <c r="G74" s="447"/>
      <c r="J74" s="447"/>
      <c r="K74" s="10"/>
      <c r="L74" s="10"/>
      <c r="M74" s="45"/>
      <c r="N74" s="444"/>
      <c r="O74" s="5"/>
    </row>
    <row r="75" spans="2:15" ht="12.75" customHeight="1" x14ac:dyDescent="0.2">
      <c r="C75" t="s">
        <v>910</v>
      </c>
      <c r="G75" s="447"/>
      <c r="H75" s="884" t="str">
        <f>IF(G79=N56," ","Recheck numbers for step 2. Entry is out of balance.")</f>
        <v xml:space="preserve"> </v>
      </c>
      <c r="J75" s="447"/>
      <c r="K75" s="10"/>
      <c r="L75" s="1019" t="str">
        <f>IF(J79=N58," ","Recheck numbers. Entry is out of balance.")</f>
        <v xml:space="preserve"> </v>
      </c>
      <c r="M75" s="45"/>
      <c r="N75" s="444"/>
      <c r="O75" s="1034" t="str">
        <f>IF(N79=N60," ","Recheck numbers for step 4. Entry is out of balance.")</f>
        <v xml:space="preserve"> </v>
      </c>
    </row>
    <row r="76" spans="2:15" ht="12.75" customHeight="1" x14ac:dyDescent="0.2">
      <c r="C76" s="415" t="s">
        <v>201</v>
      </c>
      <c r="G76" s="447"/>
      <c r="H76" s="884"/>
      <c r="J76" s="447"/>
      <c r="K76" s="10"/>
      <c r="L76" s="1019"/>
      <c r="M76" s="45"/>
      <c r="N76" s="444"/>
      <c r="O76" s="1034"/>
    </row>
    <row r="77" spans="2:15" ht="12.75" customHeight="1" x14ac:dyDescent="0.2">
      <c r="C77" t="s">
        <v>908</v>
      </c>
      <c r="G77" s="447"/>
      <c r="H77" s="884"/>
      <c r="J77" s="447"/>
      <c r="K77" s="10"/>
      <c r="L77" s="1019"/>
      <c r="M77" s="45"/>
      <c r="N77" s="444"/>
      <c r="O77" s="1034"/>
    </row>
    <row r="78" spans="2:15" ht="12.75" customHeight="1" x14ac:dyDescent="0.2">
      <c r="C78" t="s">
        <v>909</v>
      </c>
      <c r="G78" s="449"/>
      <c r="H78" s="884"/>
      <c r="J78" s="449"/>
      <c r="K78" s="10"/>
      <c r="L78" s="1019"/>
      <c r="M78" s="45"/>
      <c r="N78" s="444"/>
      <c r="O78" s="1034"/>
    </row>
    <row r="79" spans="2:15" ht="18" customHeight="1" thickBot="1" x14ac:dyDescent="0.4">
      <c r="F79" s="194" t="s">
        <v>758</v>
      </c>
      <c r="G79" s="88">
        <f>SUM(G69:G78)</f>
        <v>0</v>
      </c>
      <c r="H79" s="194" t="s">
        <v>759</v>
      </c>
      <c r="J79" s="93">
        <f>SUM(J69:J78)</f>
        <v>0</v>
      </c>
      <c r="K79" s="10"/>
      <c r="L79" s="194" t="s">
        <v>662</v>
      </c>
      <c r="M79" s="100"/>
      <c r="N79" s="218">
        <f>SUM(N69:N78)</f>
        <v>0</v>
      </c>
    </row>
    <row r="80" spans="2:15" ht="12" customHeight="1" thickTop="1" x14ac:dyDescent="0.35">
      <c r="J80" s="10"/>
      <c r="K80" s="10"/>
      <c r="L80" s="66"/>
      <c r="M80" s="100"/>
      <c r="N80" s="5"/>
    </row>
    <row r="81" spans="1:15" ht="25.5" customHeight="1" x14ac:dyDescent="0.2">
      <c r="A81" s="4" t="s">
        <v>459</v>
      </c>
      <c r="B81" s="1036" t="s">
        <v>4938</v>
      </c>
      <c r="C81" s="1037"/>
      <c r="D81" s="1037"/>
      <c r="E81" s="1037"/>
      <c r="F81" s="1037"/>
      <c r="G81" s="1037"/>
      <c r="H81" s="1037"/>
      <c r="I81" s="1037"/>
      <c r="J81" s="1037"/>
      <c r="K81" s="1037"/>
      <c r="L81" s="1037"/>
      <c r="M81" s="1037"/>
      <c r="N81" s="1037"/>
      <c r="O81" s="1038"/>
    </row>
    <row r="82" spans="1:15" ht="8.25" customHeight="1" x14ac:dyDescent="0.2">
      <c r="J82"/>
      <c r="K82"/>
      <c r="L82" s="10"/>
      <c r="M82" s="45"/>
      <c r="N82" s="4"/>
    </row>
    <row r="83" spans="1:15" x14ac:dyDescent="0.2">
      <c r="J83"/>
      <c r="K83"/>
      <c r="L83" s="10"/>
      <c r="M83" s="45"/>
      <c r="N83" s="55" t="s">
        <v>61</v>
      </c>
    </row>
    <row r="84" spans="1:15" ht="12.75" customHeight="1" x14ac:dyDescent="0.2">
      <c r="B84" s="50" t="s">
        <v>930</v>
      </c>
      <c r="C84" s="883" t="s">
        <v>354</v>
      </c>
      <c r="D84" s="883"/>
      <c r="E84" s="883"/>
      <c r="F84" s="883"/>
      <c r="G84" s="883"/>
      <c r="H84" s="883"/>
      <c r="I84" s="883"/>
      <c r="J84" s="883"/>
      <c r="K84" s="883"/>
      <c r="L84" s="883"/>
      <c r="M84" s="45"/>
      <c r="N84" s="1026">
        <v>0</v>
      </c>
    </row>
    <row r="85" spans="1:15" ht="25.5" customHeight="1" x14ac:dyDescent="0.2">
      <c r="B85" s="50"/>
      <c r="C85" s="883"/>
      <c r="D85" s="883"/>
      <c r="E85" s="883"/>
      <c r="F85" s="883"/>
      <c r="G85" s="883"/>
      <c r="H85" s="883"/>
      <c r="I85" s="883"/>
      <c r="J85" s="883"/>
      <c r="K85" s="883"/>
      <c r="L85" s="883"/>
      <c r="M85" s="45"/>
      <c r="N85" s="1026"/>
    </row>
    <row r="86" spans="1:15" ht="3.75" customHeight="1" x14ac:dyDescent="0.2">
      <c r="B86" s="50"/>
      <c r="C86" s="46"/>
      <c r="D86" s="46"/>
      <c r="E86" s="46"/>
      <c r="F86" s="46"/>
      <c r="G86" s="46"/>
      <c r="H86" s="46"/>
      <c r="I86" s="46"/>
      <c r="J86" s="46"/>
      <c r="K86" s="46"/>
      <c r="L86" s="46"/>
      <c r="M86" s="45"/>
      <c r="N86" s="453"/>
    </row>
    <row r="87" spans="1:15" ht="15" customHeight="1" thickBot="1" x14ac:dyDescent="0.25">
      <c r="B87" s="50"/>
      <c r="C87" s="46"/>
      <c r="D87" s="46"/>
      <c r="E87" s="46"/>
      <c r="F87" s="883" t="s">
        <v>3500</v>
      </c>
      <c r="G87" s="883"/>
      <c r="H87" s="883"/>
      <c r="I87" s="883"/>
      <c r="J87" s="883"/>
      <c r="K87" s="883"/>
      <c r="L87" s="883"/>
      <c r="M87" s="45"/>
      <c r="N87" s="200">
        <f>N84</f>
        <v>0</v>
      </c>
      <c r="O87" s="193" t="s">
        <v>706</v>
      </c>
    </row>
    <row r="88" spans="1:15" ht="6" customHeight="1" thickTop="1" x14ac:dyDescent="0.2">
      <c r="B88" s="50"/>
      <c r="C88" s="46"/>
      <c r="D88" s="46"/>
      <c r="E88" s="46"/>
      <c r="F88" s="46"/>
      <c r="G88" s="46"/>
      <c r="H88" s="46"/>
      <c r="I88" s="46"/>
      <c r="J88" s="46"/>
      <c r="K88"/>
      <c r="L88" s="10"/>
      <c r="M88" s="45"/>
      <c r="N88" s="4"/>
    </row>
    <row r="89" spans="1:15" ht="6" customHeight="1" x14ac:dyDescent="0.35">
      <c r="J89" s="10"/>
      <c r="K89" s="10"/>
      <c r="L89" s="100"/>
      <c r="M89" s="5" t="e">
        <f>SUM(#REF!)</f>
        <v>#REF!</v>
      </c>
      <c r="N89" s="4"/>
    </row>
    <row r="90" spans="1:15" ht="33" customHeight="1" x14ac:dyDescent="0.2">
      <c r="A90" s="4" t="s">
        <v>465</v>
      </c>
      <c r="B90" s="965" t="s">
        <v>600</v>
      </c>
      <c r="C90" s="1041"/>
      <c r="D90" s="1041"/>
      <c r="E90" s="1041"/>
      <c r="F90" s="1041"/>
      <c r="G90" s="1041"/>
      <c r="H90" s="1041"/>
      <c r="I90" s="1041"/>
      <c r="J90" s="1041"/>
      <c r="K90" s="1041"/>
      <c r="L90" s="1041"/>
      <c r="M90" s="1041"/>
      <c r="N90" s="1041"/>
      <c r="O90" s="1042"/>
    </row>
    <row r="91" spans="1:15" ht="8.25" customHeight="1" x14ac:dyDescent="0.2">
      <c r="J91"/>
      <c r="K91"/>
      <c r="L91" s="10"/>
      <c r="M91" s="45"/>
      <c r="N91" s="4"/>
    </row>
    <row r="92" spans="1:15" x14ac:dyDescent="0.2">
      <c r="J92"/>
      <c r="K92"/>
      <c r="L92" s="10"/>
      <c r="M92" s="45"/>
      <c r="N92" s="55" t="s">
        <v>61</v>
      </c>
    </row>
    <row r="93" spans="1:15" ht="12.75" customHeight="1" x14ac:dyDescent="0.2">
      <c r="B93" s="50" t="s">
        <v>930</v>
      </c>
      <c r="C93" s="1035" t="s">
        <v>3872</v>
      </c>
      <c r="D93" s="1023"/>
      <c r="E93" s="1023"/>
      <c r="F93" s="1023"/>
      <c r="G93" s="1023"/>
      <c r="H93" s="1023"/>
      <c r="I93" s="1023"/>
      <c r="J93" s="1023"/>
      <c r="K93" s="1023"/>
      <c r="L93" s="1023"/>
      <c r="M93" s="45"/>
      <c r="N93" s="1026"/>
    </row>
    <row r="94" spans="1:15" ht="25.5" customHeight="1" x14ac:dyDescent="0.2">
      <c r="B94" s="50"/>
      <c r="C94" s="1023"/>
      <c r="D94" s="1023"/>
      <c r="E94" s="1023"/>
      <c r="F94" s="1023"/>
      <c r="G94" s="1023"/>
      <c r="H94" s="1023"/>
      <c r="I94" s="1023"/>
      <c r="J94" s="1023"/>
      <c r="K94" s="1023"/>
      <c r="L94" s="1023"/>
      <c r="M94" s="45"/>
      <c r="N94" s="1026"/>
    </row>
    <row r="95" spans="1:15" ht="3.75" customHeight="1" x14ac:dyDescent="0.2">
      <c r="B95" s="50"/>
      <c r="C95" s="46"/>
      <c r="D95" s="46"/>
      <c r="E95" s="46"/>
      <c r="F95" s="46"/>
      <c r="G95" s="46"/>
      <c r="H95" s="46"/>
      <c r="I95" s="46"/>
      <c r="J95" s="46"/>
      <c r="K95" s="46"/>
      <c r="L95" s="46"/>
      <c r="M95" s="45"/>
      <c r="N95" s="453"/>
    </row>
    <row r="96" spans="1:15" ht="12.75" customHeight="1" x14ac:dyDescent="0.2">
      <c r="B96" s="50"/>
      <c r="C96" s="1039" t="s">
        <v>4939</v>
      </c>
      <c r="D96" s="1039"/>
      <c r="E96" s="1039"/>
      <c r="F96" s="1039"/>
      <c r="G96" s="1039"/>
      <c r="H96" s="1039"/>
      <c r="I96" s="1039"/>
      <c r="J96" s="1039"/>
      <c r="K96" s="1039"/>
      <c r="L96" s="1039"/>
      <c r="M96" s="1039"/>
      <c r="N96" s="1039"/>
    </row>
    <row r="97" spans="1:16" x14ac:dyDescent="0.2">
      <c r="B97" s="50"/>
      <c r="C97" s="1039"/>
      <c r="D97" s="1039"/>
      <c r="E97" s="1039"/>
      <c r="F97" s="1039"/>
      <c r="G97" s="1039"/>
      <c r="H97" s="1039"/>
      <c r="I97" s="1039"/>
      <c r="J97" s="1039"/>
      <c r="K97" s="1039"/>
      <c r="L97" s="1039"/>
      <c r="M97" s="1039"/>
      <c r="N97" s="1039"/>
    </row>
    <row r="98" spans="1:16" ht="15" customHeight="1" thickBot="1" x14ac:dyDescent="0.25">
      <c r="B98" s="50"/>
      <c r="C98" s="46"/>
      <c r="D98" s="46"/>
      <c r="E98" s="883" t="s">
        <v>389</v>
      </c>
      <c r="F98" s="881"/>
      <c r="G98" s="881"/>
      <c r="H98" s="881"/>
      <c r="I98" s="881"/>
      <c r="J98" s="881"/>
      <c r="K98" s="881"/>
      <c r="L98" s="46"/>
      <c r="M98" s="45"/>
      <c r="N98" s="200">
        <f>N96-N93</f>
        <v>0</v>
      </c>
      <c r="O98" s="193" t="s">
        <v>530</v>
      </c>
    </row>
    <row r="99" spans="1:16" ht="6" customHeight="1" thickTop="1" x14ac:dyDescent="0.2">
      <c r="B99" s="50"/>
      <c r="C99" s="46"/>
      <c r="D99" s="46"/>
      <c r="E99" s="46"/>
      <c r="F99" s="46"/>
      <c r="G99" s="46"/>
      <c r="H99" s="46"/>
      <c r="I99" s="46"/>
      <c r="J99" s="46"/>
      <c r="K99"/>
      <c r="L99" s="10"/>
      <c r="M99" s="45"/>
      <c r="N99" s="4"/>
    </row>
    <row r="100" spans="1:16" ht="51" customHeight="1" x14ac:dyDescent="0.2">
      <c r="B100" s="533" t="s">
        <v>932</v>
      </c>
      <c r="C100" s="1023" t="s">
        <v>687</v>
      </c>
      <c r="D100" s="1023"/>
      <c r="E100" s="1023"/>
      <c r="F100" s="1023"/>
      <c r="G100" s="1023"/>
      <c r="H100" s="1023"/>
      <c r="I100" s="1023"/>
      <c r="J100" s="1023"/>
      <c r="K100" s="1023"/>
      <c r="L100" s="1023"/>
      <c r="M100" s="45"/>
      <c r="N100" s="4"/>
    </row>
    <row r="101" spans="1:16" x14ac:dyDescent="0.2">
      <c r="B101" s="50"/>
      <c r="D101" t="s">
        <v>704</v>
      </c>
      <c r="J101"/>
      <c r="K101"/>
      <c r="L101" s="45"/>
      <c r="M101" s="45">
        <v>1</v>
      </c>
      <c r="N101" s="452"/>
    </row>
    <row r="102" spans="1:16" x14ac:dyDescent="0.2">
      <c r="B102" s="50"/>
      <c r="D102" t="s">
        <v>879</v>
      </c>
      <c r="J102"/>
      <c r="K102"/>
      <c r="L102" s="45"/>
      <c r="M102" s="45">
        <v>2</v>
      </c>
      <c r="N102" s="452"/>
    </row>
    <row r="103" spans="1:16" x14ac:dyDescent="0.2">
      <c r="B103" s="50"/>
      <c r="D103" t="s">
        <v>729</v>
      </c>
      <c r="J103"/>
      <c r="K103"/>
      <c r="L103" s="45"/>
      <c r="M103" s="45">
        <v>3</v>
      </c>
      <c r="N103" s="452"/>
    </row>
    <row r="104" spans="1:16" x14ac:dyDescent="0.2">
      <c r="B104" s="50"/>
      <c r="D104" t="s">
        <v>474</v>
      </c>
      <c r="J104"/>
      <c r="K104"/>
      <c r="L104" s="45"/>
      <c r="M104" s="45">
        <v>4</v>
      </c>
      <c r="N104" s="452"/>
    </row>
    <row r="105" spans="1:16" x14ac:dyDescent="0.2">
      <c r="B105" s="50"/>
      <c r="D105" t="s">
        <v>463</v>
      </c>
      <c r="J105"/>
      <c r="K105"/>
      <c r="L105" s="45"/>
      <c r="M105" s="45">
        <v>5</v>
      </c>
      <c r="N105" s="452"/>
    </row>
    <row r="106" spans="1:16" x14ac:dyDescent="0.2">
      <c r="B106" s="50"/>
      <c r="D106" t="s">
        <v>78</v>
      </c>
      <c r="J106" s="10"/>
      <c r="K106" s="10"/>
      <c r="L106" s="45"/>
      <c r="M106" s="45">
        <v>7</v>
      </c>
      <c r="N106" s="452"/>
    </row>
    <row r="107" spans="1:16" ht="12.75" customHeight="1" x14ac:dyDescent="0.2">
      <c r="B107" s="50"/>
      <c r="D107" t="s">
        <v>910</v>
      </c>
      <c r="J107" s="10"/>
      <c r="K107" s="10"/>
      <c r="L107" s="45"/>
      <c r="M107" s="45"/>
      <c r="N107" s="452"/>
      <c r="O107" s="884" t="str">
        <f>IF(N109=N98," ","Recheck numbers. Entry is out of balance.")</f>
        <v xml:space="preserve"> </v>
      </c>
      <c r="P107" s="884"/>
    </row>
    <row r="108" spans="1:16" ht="12.75" customHeight="1" x14ac:dyDescent="0.2">
      <c r="B108" s="50"/>
      <c r="D108" s="415" t="s">
        <v>201</v>
      </c>
      <c r="J108" s="10"/>
      <c r="K108" s="10"/>
      <c r="L108" s="45"/>
      <c r="M108" s="45"/>
      <c r="N108" s="452"/>
      <c r="O108" s="884"/>
      <c r="P108" s="884"/>
    </row>
    <row r="109" spans="1:16" ht="12.75" customHeight="1" thickBot="1" x14ac:dyDescent="0.25">
      <c r="B109" s="50"/>
      <c r="D109" s="415"/>
      <c r="E109" t="s">
        <v>390</v>
      </c>
      <c r="J109" s="10"/>
      <c r="K109" s="10"/>
      <c r="L109" s="194" t="s">
        <v>530</v>
      </c>
      <c r="M109" s="45"/>
      <c r="N109" s="534">
        <f>SUM(N101:N108)</f>
        <v>0</v>
      </c>
      <c r="O109" s="884"/>
      <c r="P109" s="884"/>
    </row>
    <row r="110" spans="1:16" ht="7.5" customHeight="1" thickTop="1" x14ac:dyDescent="0.35">
      <c r="J110" s="10"/>
      <c r="K110" s="10"/>
      <c r="L110" s="100"/>
      <c r="M110" s="255"/>
      <c r="N110" s="4"/>
    </row>
    <row r="111" spans="1:16" ht="25.5" customHeight="1" x14ac:dyDescent="0.2">
      <c r="A111" s="4" t="s">
        <v>481</v>
      </c>
      <c r="B111" s="962" t="s">
        <v>1016</v>
      </c>
      <c r="C111" s="963"/>
      <c r="D111" s="963"/>
      <c r="E111" s="963"/>
      <c r="F111" s="963"/>
      <c r="G111" s="963"/>
      <c r="H111" s="963"/>
      <c r="I111" s="963"/>
      <c r="J111" s="963"/>
      <c r="K111" s="963"/>
      <c r="L111" s="963"/>
      <c r="M111" s="1049"/>
      <c r="N111" s="963"/>
      <c r="O111" s="964"/>
    </row>
    <row r="112" spans="1:16" ht="3.75" customHeight="1" x14ac:dyDescent="0.2">
      <c r="J112"/>
      <c r="K112"/>
      <c r="L112" s="10"/>
      <c r="M112" s="45"/>
      <c r="N112" s="4"/>
    </row>
    <row r="113" spans="1:16" ht="21" customHeight="1" x14ac:dyDescent="0.2">
      <c r="J113"/>
      <c r="K113"/>
      <c r="L113" s="10"/>
      <c r="M113" s="45"/>
      <c r="N113" s="469" t="s">
        <v>483</v>
      </c>
      <c r="O113" s="469" t="s">
        <v>1015</v>
      </c>
    </row>
    <row r="114" spans="1:16" ht="14.25" customHeight="1" x14ac:dyDescent="0.2">
      <c r="A114"/>
      <c r="B114" s="50" t="s">
        <v>930</v>
      </c>
      <c r="C114" t="s">
        <v>841</v>
      </c>
      <c r="J114"/>
      <c r="K114" s="10"/>
      <c r="L114" s="10"/>
      <c r="M114" s="45"/>
      <c r="N114" s="447"/>
      <c r="O114" s="436"/>
    </row>
    <row r="115" spans="1:16" ht="6" customHeight="1" x14ac:dyDescent="0.2">
      <c r="A115"/>
      <c r="J115"/>
      <c r="K115" s="10"/>
      <c r="L115" s="10"/>
      <c r="M115" s="45"/>
      <c r="N115" s="419"/>
      <c r="O115" s="415"/>
    </row>
    <row r="116" spans="1:16" ht="14.25" customHeight="1" x14ac:dyDescent="0.2">
      <c r="A116"/>
      <c r="B116" s="50" t="s">
        <v>931</v>
      </c>
      <c r="C116" s="881" t="s">
        <v>1017</v>
      </c>
      <c r="D116" s="881"/>
      <c r="E116" s="881"/>
      <c r="F116" s="881"/>
      <c r="G116" s="881"/>
      <c r="H116" s="881"/>
      <c r="I116" s="881"/>
      <c r="J116" s="881"/>
      <c r="K116" s="10"/>
      <c r="L116" s="194" t="s">
        <v>531</v>
      </c>
      <c r="M116" s="45"/>
      <c r="N116" s="447"/>
      <c r="O116" s="436"/>
      <c r="P116" s="236" t="s">
        <v>235</v>
      </c>
    </row>
    <row r="117" spans="1:16" ht="6" customHeight="1" x14ac:dyDescent="0.2">
      <c r="A117"/>
      <c r="J117"/>
      <c r="K117" s="10"/>
      <c r="L117" s="10"/>
      <c r="M117" s="45"/>
      <c r="N117" s="419"/>
      <c r="O117" s="415"/>
    </row>
    <row r="118" spans="1:16" ht="13.5" customHeight="1" x14ac:dyDescent="0.2">
      <c r="A118"/>
      <c r="B118" s="50" t="s">
        <v>932</v>
      </c>
      <c r="C118" s="881" t="s">
        <v>612</v>
      </c>
      <c r="D118" s="881"/>
      <c r="E118" s="881"/>
      <c r="F118" s="881"/>
      <c r="G118" s="881"/>
      <c r="H118" s="881"/>
      <c r="I118" s="881"/>
      <c r="J118" s="881"/>
      <c r="K118" s="10"/>
      <c r="L118" s="194" t="s">
        <v>233</v>
      </c>
      <c r="M118" s="45"/>
      <c r="N118" s="447"/>
      <c r="O118" s="436"/>
      <c r="P118" s="236" t="s">
        <v>236</v>
      </c>
    </row>
    <row r="119" spans="1:16" ht="5.25" customHeight="1" x14ac:dyDescent="0.2">
      <c r="A119"/>
      <c r="J119"/>
      <c r="K119" s="10"/>
      <c r="L119" s="235"/>
      <c r="M119" s="45"/>
      <c r="N119" s="419"/>
      <c r="O119" s="415"/>
      <c r="P119" s="55"/>
    </row>
    <row r="120" spans="1:16" ht="12.75" customHeight="1" x14ac:dyDescent="0.2">
      <c r="A120"/>
      <c r="B120" s="50" t="s">
        <v>862</v>
      </c>
      <c r="C120" s="883" t="s">
        <v>650</v>
      </c>
      <c r="D120" s="883"/>
      <c r="E120" s="883"/>
      <c r="F120" s="883"/>
      <c r="G120" s="883"/>
      <c r="H120" s="883"/>
      <c r="I120" s="883"/>
      <c r="J120" s="883"/>
      <c r="K120" s="10"/>
      <c r="L120" s="1052" t="s">
        <v>234</v>
      </c>
      <c r="M120" s="45"/>
      <c r="N120" s="993"/>
      <c r="O120" s="993"/>
      <c r="P120" s="1051" t="s">
        <v>200</v>
      </c>
    </row>
    <row r="121" spans="1:16" ht="12.75" customHeight="1" x14ac:dyDescent="0.2">
      <c r="A121"/>
      <c r="B121" s="50"/>
      <c r="C121" s="883"/>
      <c r="D121" s="883"/>
      <c r="E121" s="883"/>
      <c r="F121" s="883"/>
      <c r="G121" s="883"/>
      <c r="H121" s="883"/>
      <c r="I121" s="883"/>
      <c r="J121" s="883"/>
      <c r="K121" s="10"/>
      <c r="L121" s="1052"/>
      <c r="M121" s="45"/>
      <c r="N121" s="993"/>
      <c r="O121" s="993"/>
      <c r="P121" s="1051"/>
    </row>
    <row r="122" spans="1:16" ht="4.5" customHeight="1" x14ac:dyDescent="0.2">
      <c r="A122"/>
      <c r="J122"/>
      <c r="K122" s="10"/>
      <c r="L122" s="10"/>
      <c r="M122" s="45"/>
      <c r="N122" s="10"/>
    </row>
    <row r="123" spans="1:16" ht="12.75" customHeight="1" thickBot="1" x14ac:dyDescent="0.25">
      <c r="A123"/>
      <c r="B123" s="50" t="s">
        <v>863</v>
      </c>
      <c r="C123" t="s">
        <v>231</v>
      </c>
      <c r="J123"/>
      <c r="K123" s="10"/>
      <c r="L123" s="10"/>
      <c r="M123" s="45"/>
      <c r="N123" s="94">
        <f>N114+N116+N120-N118</f>
        <v>0</v>
      </c>
      <c r="O123" s="94">
        <f>O114+O116+O120-O118</f>
        <v>0</v>
      </c>
    </row>
    <row r="124" spans="1:16" ht="4.5" customHeight="1" thickTop="1" x14ac:dyDescent="0.2">
      <c r="A124"/>
      <c r="J124"/>
      <c r="K124" s="10"/>
      <c r="L124" s="10"/>
      <c r="M124" s="45"/>
      <c r="N124" s="10"/>
    </row>
    <row r="125" spans="1:16" x14ac:dyDescent="0.2">
      <c r="A125"/>
      <c r="B125" s="50" t="s">
        <v>323</v>
      </c>
      <c r="C125" s="883" t="s">
        <v>232</v>
      </c>
      <c r="D125" s="883"/>
      <c r="E125" s="883"/>
      <c r="F125" s="883"/>
      <c r="G125" s="883"/>
      <c r="H125" s="883"/>
      <c r="I125" s="883"/>
      <c r="J125" s="883"/>
      <c r="K125" s="883"/>
      <c r="L125" s="883"/>
      <c r="M125" s="45"/>
    </row>
    <row r="126" spans="1:16" ht="51" customHeight="1" x14ac:dyDescent="0.2">
      <c r="A126"/>
      <c r="B126" s="50"/>
      <c r="C126" s="883"/>
      <c r="D126" s="883"/>
      <c r="E126" s="883"/>
      <c r="F126" s="883"/>
      <c r="G126" s="883"/>
      <c r="H126" s="883"/>
      <c r="I126" s="883"/>
      <c r="J126" s="883"/>
      <c r="K126" s="883"/>
      <c r="L126" s="883"/>
      <c r="M126" s="45"/>
    </row>
    <row r="127" spans="1:16" ht="6.75" customHeight="1" x14ac:dyDescent="0.2">
      <c r="A127"/>
      <c r="B127" s="50"/>
      <c r="C127" s="46"/>
      <c r="D127" s="46"/>
      <c r="E127" s="46"/>
      <c r="F127" s="46"/>
      <c r="G127" s="46"/>
      <c r="H127" s="46"/>
      <c r="I127" s="46"/>
      <c r="J127" s="46"/>
      <c r="K127" s="46"/>
      <c r="L127" s="46"/>
      <c r="M127" s="45"/>
    </row>
    <row r="128" spans="1:16" ht="15.75" customHeight="1" x14ac:dyDescent="0.2">
      <c r="A128"/>
      <c r="B128" s="50"/>
      <c r="C128" s="46"/>
      <c r="D128" s="46"/>
      <c r="E128" s="46"/>
      <c r="F128" s="46"/>
      <c r="G128" s="1046" t="s">
        <v>483</v>
      </c>
      <c r="H128" s="1047"/>
      <c r="I128" s="1047"/>
      <c r="J128" s="1048"/>
      <c r="K128" s="46"/>
      <c r="L128" s="1046" t="s">
        <v>1015</v>
      </c>
      <c r="M128" s="1047"/>
      <c r="N128" s="1047"/>
      <c r="O128" s="1048"/>
    </row>
    <row r="129" spans="1:15" x14ac:dyDescent="0.2">
      <c r="A129"/>
      <c r="B129" s="50"/>
      <c r="C129" s="46"/>
      <c r="D129" s="46"/>
      <c r="E129" s="46"/>
      <c r="F129" s="46"/>
      <c r="G129" s="133" t="s">
        <v>75</v>
      </c>
      <c r="H129" s="133" t="s">
        <v>74</v>
      </c>
      <c r="I129" s="46"/>
      <c r="J129" s="238" t="s">
        <v>1018</v>
      </c>
      <c r="K129" s="46"/>
      <c r="L129" s="133" t="s">
        <v>75</v>
      </c>
      <c r="M129" s="45"/>
      <c r="N129" s="133" t="s">
        <v>74</v>
      </c>
      <c r="O129" s="237" t="s">
        <v>1018</v>
      </c>
    </row>
    <row r="130" spans="1:15" x14ac:dyDescent="0.2">
      <c r="A130"/>
      <c r="C130" t="s">
        <v>704</v>
      </c>
      <c r="G130" s="447"/>
      <c r="H130" s="437"/>
      <c r="I130" s="415"/>
      <c r="J130" s="441"/>
      <c r="K130" s="415"/>
      <c r="L130" s="447"/>
      <c r="M130" s="422"/>
      <c r="N130" s="437"/>
      <c r="O130" s="441"/>
    </row>
    <row r="131" spans="1:15" x14ac:dyDescent="0.2">
      <c r="A131"/>
      <c r="C131" t="s">
        <v>879</v>
      </c>
      <c r="G131" s="447"/>
      <c r="H131" s="437"/>
      <c r="I131" s="415"/>
      <c r="J131" s="441"/>
      <c r="K131" s="415"/>
      <c r="L131" s="447"/>
      <c r="M131" s="422"/>
      <c r="N131" s="437"/>
      <c r="O131" s="441"/>
    </row>
    <row r="132" spans="1:15" x14ac:dyDescent="0.2">
      <c r="A132"/>
      <c r="C132" t="s">
        <v>729</v>
      </c>
      <c r="G132" s="447"/>
      <c r="H132" s="437"/>
      <c r="I132" s="415"/>
      <c r="J132" s="441"/>
      <c r="K132" s="415"/>
      <c r="L132" s="447"/>
      <c r="M132" s="422"/>
      <c r="N132" s="437"/>
      <c r="O132" s="441"/>
    </row>
    <row r="133" spans="1:15" x14ac:dyDescent="0.2">
      <c r="A133"/>
      <c r="C133" t="s">
        <v>474</v>
      </c>
      <c r="G133" s="447"/>
      <c r="H133" s="437"/>
      <c r="I133" s="415"/>
      <c r="J133" s="441"/>
      <c r="K133" s="415"/>
      <c r="L133" s="447"/>
      <c r="M133" s="422"/>
      <c r="N133" s="437"/>
      <c r="O133" s="441"/>
    </row>
    <row r="134" spans="1:15" x14ac:dyDescent="0.2">
      <c r="A134"/>
      <c r="C134" t="s">
        <v>463</v>
      </c>
      <c r="G134" s="447"/>
      <c r="H134" s="437"/>
      <c r="I134" s="415"/>
      <c r="J134" s="441"/>
      <c r="K134" s="415"/>
      <c r="L134" s="447"/>
      <c r="M134" s="422"/>
      <c r="N134" s="437"/>
      <c r="O134" s="441"/>
    </row>
    <row r="135" spans="1:15" x14ac:dyDescent="0.2">
      <c r="A135"/>
      <c r="C135" t="s">
        <v>78</v>
      </c>
      <c r="G135" s="447"/>
      <c r="H135" s="447"/>
      <c r="I135" s="415"/>
      <c r="J135" s="441"/>
      <c r="K135" s="419"/>
      <c r="L135" s="447"/>
      <c r="M135" s="422"/>
      <c r="N135" s="447"/>
      <c r="O135" s="441"/>
    </row>
    <row r="136" spans="1:15" x14ac:dyDescent="0.2">
      <c r="A136"/>
      <c r="C136" t="s">
        <v>910</v>
      </c>
      <c r="G136" s="447"/>
      <c r="H136" s="447"/>
      <c r="I136" s="415"/>
      <c r="J136" s="437"/>
      <c r="K136" s="419"/>
      <c r="L136" s="447"/>
      <c r="M136" s="422"/>
      <c r="N136" s="447"/>
      <c r="O136" s="437"/>
    </row>
    <row r="137" spans="1:15" x14ac:dyDescent="0.2">
      <c r="A137"/>
      <c r="C137" s="415" t="s">
        <v>201</v>
      </c>
      <c r="G137" s="447"/>
      <c r="H137" s="447"/>
      <c r="I137" s="415"/>
      <c r="J137" s="437"/>
      <c r="K137" s="419"/>
      <c r="L137" s="447"/>
      <c r="M137" s="422"/>
      <c r="N137" s="447"/>
      <c r="O137" s="437"/>
    </row>
    <row r="138" spans="1:15" x14ac:dyDescent="0.2">
      <c r="A138"/>
      <c r="C138" t="s">
        <v>908</v>
      </c>
      <c r="G138" s="447"/>
      <c r="H138" s="447"/>
      <c r="I138" s="415"/>
      <c r="J138" s="437"/>
      <c r="K138" s="419"/>
      <c r="L138" s="447"/>
      <c r="M138" s="422"/>
      <c r="N138" s="447"/>
      <c r="O138" s="437"/>
    </row>
    <row r="139" spans="1:15" ht="17.25" customHeight="1" x14ac:dyDescent="0.2">
      <c r="A139"/>
      <c r="C139" t="s">
        <v>909</v>
      </c>
      <c r="G139" s="449"/>
      <c r="H139" s="449"/>
      <c r="I139" s="415"/>
      <c r="J139" s="437"/>
      <c r="K139" s="419"/>
      <c r="L139" s="449"/>
      <c r="M139" s="422"/>
      <c r="N139" s="449"/>
      <c r="O139" s="437"/>
    </row>
    <row r="140" spans="1:15" ht="17.25" thickBot="1" x14ac:dyDescent="0.4">
      <c r="A140"/>
      <c r="G140" s="88">
        <f>SUM(G130:G139)</f>
        <v>0</v>
      </c>
      <c r="H140" s="93">
        <f>SUM(H130:H139)</f>
        <v>0</v>
      </c>
      <c r="J140" s="94">
        <f>SUM(J130:J139)</f>
        <v>0</v>
      </c>
      <c r="K140" s="10"/>
      <c r="L140" s="88">
        <f>SUM(L130:L139)</f>
        <v>0</v>
      </c>
      <c r="M140" s="100"/>
      <c r="N140" s="93">
        <f>SUM(N130:N139)</f>
        <v>0</v>
      </c>
      <c r="O140" s="94">
        <f>SUM(O130:O139)</f>
        <v>0</v>
      </c>
    </row>
    <row r="141" spans="1:15" ht="15.75" thickTop="1" x14ac:dyDescent="0.2">
      <c r="A141"/>
      <c r="G141" s="194" t="s">
        <v>531</v>
      </c>
      <c r="H141" s="236" t="s">
        <v>233</v>
      </c>
      <c r="I141" s="55"/>
      <c r="J141" s="236" t="s">
        <v>234</v>
      </c>
      <c r="K141"/>
      <c r="L141" s="236" t="s">
        <v>235</v>
      </c>
      <c r="N141" s="236" t="s">
        <v>236</v>
      </c>
      <c r="O141" s="236" t="s">
        <v>200</v>
      </c>
    </row>
    <row r="142" spans="1:15" s="188" customFormat="1" ht="8.25" customHeight="1" x14ac:dyDescent="0.2">
      <c r="G142" s="1050" t="str">
        <f>IF(G140=N116," ","Recheck numbers. Entry is out of balance.")</f>
        <v xml:space="preserve"> </v>
      </c>
      <c r="H142" s="1050" t="str">
        <f>IF(H140=N118," ","Recheck numbers. Entry is out of balance.")</f>
        <v xml:space="preserve"> </v>
      </c>
      <c r="I142" s="239"/>
      <c r="J142" s="1050" t="str">
        <f>IF(J140=N120," ","Recheck numbers. Entry is out of balance.")</f>
        <v xml:space="preserve"> </v>
      </c>
      <c r="L142" s="1050" t="str">
        <f>IF(L140=O116," ","Recheck numbers. Entry is out of balance.")</f>
        <v xml:space="preserve"> </v>
      </c>
      <c r="N142" s="1050" t="str">
        <f>IF(N140=O118," ","Recheck numbers. Entry is out of balance.")</f>
        <v xml:space="preserve"> </v>
      </c>
      <c r="O142" s="1050" t="str">
        <f>IF(O140=O120," ","Recheck numbers. Entry is out of balance.")</f>
        <v xml:space="preserve"> </v>
      </c>
    </row>
    <row r="143" spans="1:15" s="188" customFormat="1" ht="15" customHeight="1" x14ac:dyDescent="0.2">
      <c r="G143" s="1050"/>
      <c r="H143" s="1050"/>
      <c r="I143" s="239"/>
      <c r="J143" s="1050"/>
      <c r="L143" s="1050"/>
      <c r="N143" s="1050"/>
      <c r="O143" s="1050"/>
    </row>
    <row r="144" spans="1:15" s="188" customFormat="1" ht="22.5" customHeight="1" x14ac:dyDescent="0.2">
      <c r="G144" s="1050"/>
      <c r="H144" s="1050"/>
      <c r="I144" s="239"/>
      <c r="J144" s="1050"/>
      <c r="L144" s="1050"/>
      <c r="N144" s="1050"/>
      <c r="O144" s="1050"/>
    </row>
    <row r="145" spans="1:15" s="188" customFormat="1" ht="22.5" customHeight="1" x14ac:dyDescent="0.2">
      <c r="A145" s="571" t="s">
        <v>813</v>
      </c>
      <c r="B145" s="962" t="s">
        <v>2050</v>
      </c>
      <c r="C145" s="963"/>
      <c r="D145" s="963"/>
      <c r="E145" s="963"/>
      <c r="F145" s="963"/>
      <c r="G145" s="963"/>
      <c r="H145" s="963"/>
      <c r="I145" s="963"/>
      <c r="J145" s="963"/>
      <c r="K145" s="963"/>
      <c r="L145" s="963"/>
      <c r="M145" s="1049"/>
      <c r="N145" s="963"/>
      <c r="O145" s="964"/>
    </row>
    <row r="146" spans="1:15" s="188" customFormat="1" x14ac:dyDescent="0.2">
      <c r="G146" s="569"/>
      <c r="H146" s="569"/>
      <c r="I146" s="239"/>
      <c r="J146" s="569"/>
      <c r="L146" s="569"/>
      <c r="N146" s="569"/>
      <c r="O146" s="569"/>
    </row>
    <row r="147" spans="1:15" s="188" customFormat="1" ht="27" customHeight="1" x14ac:dyDescent="0.2">
      <c r="B147" s="50" t="s">
        <v>930</v>
      </c>
      <c r="C147" s="1035" t="s">
        <v>2085</v>
      </c>
      <c r="D147" s="1023"/>
      <c r="E147" s="1023"/>
      <c r="F147" s="1023"/>
      <c r="G147" s="1023"/>
      <c r="H147" s="1023"/>
      <c r="I147" s="1023"/>
      <c r="J147" s="1023"/>
      <c r="L147" s="447"/>
      <c r="N147" s="569"/>
      <c r="O147" s="569"/>
    </row>
    <row r="148" spans="1:15" s="188" customFormat="1" ht="9.75" customHeight="1" x14ac:dyDescent="0.2">
      <c r="A148" s="616"/>
      <c r="B148" s="50"/>
      <c r="C148" s="571"/>
      <c r="G148" s="569"/>
      <c r="H148" s="569"/>
      <c r="I148" s="239"/>
      <c r="J148" s="569"/>
      <c r="L148" s="573"/>
      <c r="N148" s="569"/>
      <c r="O148" s="569"/>
    </row>
    <row r="149" spans="1:15" s="188" customFormat="1" x14ac:dyDescent="0.2">
      <c r="B149" s="50" t="s">
        <v>931</v>
      </c>
      <c r="C149" s="571" t="s">
        <v>2064</v>
      </c>
      <c r="G149" s="569"/>
      <c r="H149" s="569"/>
      <c r="I149" s="239"/>
      <c r="J149" s="569"/>
      <c r="L149" s="569"/>
      <c r="N149" s="569"/>
      <c r="O149" s="569"/>
    </row>
    <row r="150" spans="1:15" s="188" customFormat="1" x14ac:dyDescent="0.2">
      <c r="B150" s="50"/>
      <c r="C150" s="571"/>
      <c r="G150" s="569"/>
      <c r="H150" s="569"/>
      <c r="I150" s="239"/>
      <c r="J150" s="569"/>
      <c r="L150" s="580"/>
      <c r="N150" s="569"/>
      <c r="O150" s="569"/>
    </row>
    <row r="151" spans="1:15" s="188" customFormat="1" x14ac:dyDescent="0.2">
      <c r="B151" s="50"/>
      <c r="C151" s="157" t="s">
        <v>2083</v>
      </c>
      <c r="G151" s="569"/>
      <c r="H151" s="569"/>
      <c r="I151" s="239"/>
      <c r="J151" s="569"/>
      <c r="L151" s="617"/>
      <c r="M151" s="571"/>
      <c r="N151" s="157"/>
      <c r="O151" s="569"/>
    </row>
    <row r="152" spans="1:15" s="188" customFormat="1" x14ac:dyDescent="0.2">
      <c r="B152" s="50"/>
      <c r="C152" s="157" t="s">
        <v>2081</v>
      </c>
      <c r="G152" s="569"/>
      <c r="H152" s="569"/>
      <c r="I152" s="239"/>
      <c r="J152" s="569"/>
      <c r="L152" s="617"/>
      <c r="M152" s="571"/>
      <c r="N152" s="157"/>
      <c r="O152" s="569"/>
    </row>
    <row r="153" spans="1:15" s="188" customFormat="1" x14ac:dyDescent="0.2">
      <c r="B153" s="50"/>
      <c r="C153" s="157" t="s">
        <v>2052</v>
      </c>
      <c r="G153" s="569"/>
      <c r="H153" s="569"/>
      <c r="I153" s="239"/>
      <c r="J153" s="569"/>
      <c r="L153" s="617"/>
      <c r="M153" s="571"/>
      <c r="N153" s="157"/>
      <c r="O153" s="569"/>
    </row>
    <row r="154" spans="1:15" s="188" customFormat="1" x14ac:dyDescent="0.2">
      <c r="B154" s="50"/>
      <c r="C154" s="578" t="s">
        <v>2053</v>
      </c>
      <c r="G154" s="569"/>
      <c r="H154" s="569"/>
      <c r="I154" s="239"/>
      <c r="J154" s="569"/>
      <c r="L154" s="579">
        <f>SUM(L151:L153)</f>
        <v>0</v>
      </c>
      <c r="M154" s="571"/>
      <c r="N154" s="157" t="str">
        <f>IF(L154=1,"=100%","DOES NOT EQUAL 100%!!!")</f>
        <v>DOES NOT EQUAL 100%!!!</v>
      </c>
      <c r="O154" s="569"/>
    </row>
    <row r="155" spans="1:15" s="188" customFormat="1" x14ac:dyDescent="0.2">
      <c r="B155" s="50"/>
      <c r="C155" s="4"/>
      <c r="G155" s="569"/>
      <c r="H155" s="569"/>
      <c r="I155" s="239"/>
      <c r="J155" s="569"/>
      <c r="L155"/>
      <c r="M155" s="571"/>
      <c r="N155"/>
      <c r="O155" s="569"/>
    </row>
    <row r="156" spans="1:15" s="188" customFormat="1" x14ac:dyDescent="0.2">
      <c r="B156" s="50"/>
      <c r="C156" s="581" t="s">
        <v>2054</v>
      </c>
      <c r="G156" s="569"/>
      <c r="H156" s="569"/>
      <c r="I156" s="239"/>
      <c r="J156" s="569"/>
      <c r="L156"/>
      <c r="M156" s="571"/>
      <c r="N156"/>
      <c r="O156" s="569"/>
    </row>
    <row r="157" spans="1:15" s="188" customFormat="1" x14ac:dyDescent="0.2">
      <c r="B157" s="50"/>
      <c r="C157" s="4" t="s">
        <v>2055</v>
      </c>
      <c r="G157" s="569"/>
      <c r="H157" s="569"/>
      <c r="I157" s="239"/>
      <c r="J157" s="569"/>
      <c r="L157" s="617"/>
      <c r="M157" s="571"/>
      <c r="N157"/>
      <c r="O157" s="569"/>
    </row>
    <row r="158" spans="1:15" s="188" customFormat="1" x14ac:dyDescent="0.2">
      <c r="B158" s="50"/>
      <c r="C158" s="4" t="s">
        <v>2056</v>
      </c>
      <c r="G158" s="569"/>
      <c r="H158" s="569"/>
      <c r="I158" s="239"/>
      <c r="J158" s="569"/>
      <c r="L158" s="617"/>
      <c r="M158" s="571"/>
      <c r="N158"/>
      <c r="O158" s="569"/>
    </row>
    <row r="159" spans="1:15" s="188" customFormat="1" x14ac:dyDescent="0.2">
      <c r="B159" s="50"/>
      <c r="C159" s="4" t="s">
        <v>2057</v>
      </c>
      <c r="G159" s="569"/>
      <c r="H159" s="569"/>
      <c r="I159" s="239"/>
      <c r="J159" s="569"/>
      <c r="L159" s="617"/>
      <c r="M159" s="571"/>
      <c r="N159"/>
      <c r="O159" s="569"/>
    </row>
    <row r="160" spans="1:15" s="188" customFormat="1" x14ac:dyDescent="0.2">
      <c r="B160" s="50"/>
      <c r="C160" s="4" t="s">
        <v>2058</v>
      </c>
      <c r="G160" s="569"/>
      <c r="H160" s="569"/>
      <c r="I160" s="239"/>
      <c r="J160" s="569"/>
      <c r="L160" s="617"/>
      <c r="M160" s="571"/>
      <c r="N160"/>
      <c r="O160" s="569"/>
    </row>
    <row r="161" spans="2:18" s="188" customFormat="1" x14ac:dyDescent="0.2">
      <c r="B161" s="50"/>
      <c r="C161" s="4" t="s">
        <v>4928</v>
      </c>
      <c r="G161" s="569"/>
      <c r="H161" s="569"/>
      <c r="I161" s="239"/>
      <c r="J161" s="569"/>
      <c r="L161" s="617"/>
      <c r="M161" s="571"/>
      <c r="N161"/>
      <c r="O161" s="569"/>
    </row>
    <row r="162" spans="2:18" s="188" customFormat="1" x14ac:dyDescent="0.2">
      <c r="B162" s="50"/>
      <c r="C162" s="4" t="s">
        <v>2059</v>
      </c>
      <c r="G162" s="569"/>
      <c r="H162" s="569"/>
      <c r="I162" s="239"/>
      <c r="J162" s="569"/>
      <c r="L162" s="617"/>
      <c r="M162" s="571"/>
      <c r="N162"/>
      <c r="O162" s="569"/>
    </row>
    <row r="163" spans="2:18" s="188" customFormat="1" x14ac:dyDescent="0.2">
      <c r="B163" s="50"/>
      <c r="C163" s="4" t="s">
        <v>2060</v>
      </c>
      <c r="G163" s="569"/>
      <c r="H163" s="569"/>
      <c r="I163" s="239"/>
      <c r="J163" s="569"/>
      <c r="L163" s="617"/>
      <c r="M163" s="571"/>
      <c r="N163"/>
      <c r="O163" s="569"/>
    </row>
    <row r="164" spans="2:18" s="188" customFormat="1" x14ac:dyDescent="0.2">
      <c r="B164" s="50"/>
      <c r="C164" s="4" t="s">
        <v>2062</v>
      </c>
      <c r="G164" s="569"/>
      <c r="H164" s="569"/>
      <c r="I164" s="239"/>
      <c r="J164" s="569"/>
      <c r="L164" s="617"/>
      <c r="M164" s="571"/>
      <c r="N164"/>
      <c r="O164" s="569"/>
    </row>
    <row r="165" spans="2:18" s="188" customFormat="1" x14ac:dyDescent="0.2">
      <c r="B165" s="50"/>
      <c r="C165" s="578" t="s">
        <v>2061</v>
      </c>
      <c r="G165" s="569"/>
      <c r="H165" s="569"/>
      <c r="I165" s="239"/>
      <c r="J165" s="569"/>
      <c r="L165" s="579">
        <f>SUM(L157:L164)</f>
        <v>0</v>
      </c>
      <c r="M165" s="571"/>
      <c r="N165" s="157" t="str">
        <f>IF(L165=L151,"Equals Governmental Activities","DOES NOT EQUAL Governmental Activities!!!")</f>
        <v>Equals Governmental Activities</v>
      </c>
      <c r="O165" s="569"/>
    </row>
    <row r="166" spans="2:18" s="188" customFormat="1" x14ac:dyDescent="0.2">
      <c r="B166" s="50"/>
      <c r="C166" s="571"/>
      <c r="G166" s="569"/>
      <c r="H166" s="569"/>
      <c r="I166" s="239"/>
      <c r="J166" s="569"/>
      <c r="L166" s="580"/>
      <c r="N166" s="569"/>
      <c r="O166" s="569"/>
    </row>
    <row r="167" spans="2:18" s="188" customFormat="1" x14ac:dyDescent="0.2">
      <c r="B167" s="50"/>
      <c r="C167" s="571"/>
      <c r="G167" s="569"/>
      <c r="H167" s="569"/>
      <c r="I167" s="239"/>
      <c r="J167" s="569"/>
      <c r="L167" s="580"/>
      <c r="N167" s="569"/>
      <c r="O167" s="569"/>
    </row>
    <row r="168" spans="2:18" s="188" customFormat="1" ht="8.25" customHeight="1" x14ac:dyDescent="0.2">
      <c r="B168" s="50"/>
      <c r="G168" s="569"/>
      <c r="H168" s="569"/>
      <c r="I168" s="239"/>
      <c r="J168" s="569"/>
      <c r="L168" s="569"/>
      <c r="N168" s="569"/>
      <c r="O168" s="569"/>
    </row>
    <row r="169" spans="2:18" s="188" customFormat="1" x14ac:dyDescent="0.2">
      <c r="B169" s="50" t="s">
        <v>932</v>
      </c>
      <c r="C169" s="1039" t="s">
        <v>2063</v>
      </c>
      <c r="D169" s="1039"/>
      <c r="E169" s="1039"/>
      <c r="F169" s="1039"/>
      <c r="G169" s="1039"/>
      <c r="H169" s="1039"/>
      <c r="I169" s="1039"/>
      <c r="J169" s="1039"/>
      <c r="K169" s="571"/>
      <c r="L169" s="570" t="s">
        <v>64</v>
      </c>
      <c r="M169" s="571"/>
      <c r="N169" s="570" t="s">
        <v>65</v>
      </c>
      <c r="O169" s="569"/>
    </row>
    <row r="170" spans="2:18" s="188" customFormat="1" x14ac:dyDescent="0.2">
      <c r="B170" s="50"/>
      <c r="C170" s="571" t="s">
        <v>2051</v>
      </c>
      <c r="D170" s="571"/>
      <c r="E170" s="571"/>
      <c r="F170" s="571"/>
      <c r="G170" s="191"/>
      <c r="H170" s="191"/>
      <c r="I170" s="570"/>
      <c r="J170" s="191"/>
      <c r="K170" s="571"/>
      <c r="L170" s="11">
        <f>L147*L151</f>
        <v>0</v>
      </c>
      <c r="M170" s="11"/>
      <c r="N170" s="11"/>
      <c r="O170" s="569"/>
      <c r="Q170" s="571"/>
    </row>
    <row r="171" spans="2:18" s="188" customFormat="1" x14ac:dyDescent="0.2">
      <c r="B171" s="50"/>
      <c r="C171" s="571" t="s">
        <v>2055</v>
      </c>
      <c r="D171" s="571"/>
      <c r="E171" s="571"/>
      <c r="F171" s="571"/>
      <c r="G171" s="191"/>
      <c r="H171" s="191"/>
      <c r="I171" s="570"/>
      <c r="J171" s="191"/>
      <c r="K171" s="571"/>
      <c r="L171" s="11"/>
      <c r="M171" s="11"/>
      <c r="N171" s="11">
        <f>L157*$L$147</f>
        <v>0</v>
      </c>
      <c r="O171" s="569"/>
    </row>
    <row r="172" spans="2:18" s="188" customFormat="1" x14ac:dyDescent="0.2">
      <c r="B172" s="50"/>
      <c r="C172" s="571" t="s">
        <v>2056</v>
      </c>
      <c r="D172" s="571"/>
      <c r="E172" s="571"/>
      <c r="F172" s="571"/>
      <c r="G172" s="191"/>
      <c r="H172" s="191"/>
      <c r="I172" s="570"/>
      <c r="J172" s="191"/>
      <c r="K172" s="571"/>
      <c r="L172" s="11"/>
      <c r="M172" s="11"/>
      <c r="N172" s="11">
        <f t="shared" ref="N172:N178" si="2">L158*$L$147</f>
        <v>0</v>
      </c>
      <c r="O172" s="569"/>
    </row>
    <row r="173" spans="2:18" s="188" customFormat="1" x14ac:dyDescent="0.2">
      <c r="B173" s="50"/>
      <c r="C173" s="571" t="s">
        <v>2057</v>
      </c>
      <c r="D173" s="571"/>
      <c r="E173" s="571"/>
      <c r="F173" s="571"/>
      <c r="G173" s="191"/>
      <c r="H173" s="191"/>
      <c r="I173" s="570"/>
      <c r="J173" s="191"/>
      <c r="K173" s="571"/>
      <c r="L173" s="11"/>
      <c r="M173" s="11"/>
      <c r="N173" s="11">
        <f t="shared" si="2"/>
        <v>0</v>
      </c>
      <c r="O173" s="569"/>
      <c r="R173" s="611"/>
    </row>
    <row r="174" spans="2:18" s="188" customFormat="1" x14ac:dyDescent="0.2">
      <c r="B174" s="50"/>
      <c r="C174" s="571" t="s">
        <v>2058</v>
      </c>
      <c r="D174" s="571"/>
      <c r="E174" s="571"/>
      <c r="F174" s="571"/>
      <c r="G174" s="191"/>
      <c r="H174" s="191"/>
      <c r="I174" s="570"/>
      <c r="J174" s="191"/>
      <c r="K174" s="571"/>
      <c r="L174" s="11"/>
      <c r="M174" s="11"/>
      <c r="N174" s="11">
        <f t="shared" si="2"/>
        <v>0</v>
      </c>
      <c r="O174" s="569"/>
    </row>
    <row r="175" spans="2:18" s="188" customFormat="1" x14ac:dyDescent="0.2">
      <c r="B175" s="50"/>
      <c r="C175" s="571" t="s">
        <v>4928</v>
      </c>
      <c r="D175" s="571"/>
      <c r="E175" s="571"/>
      <c r="F175" s="571"/>
      <c r="G175" s="191"/>
      <c r="H175" s="191"/>
      <c r="I175" s="570"/>
      <c r="J175" s="191"/>
      <c r="K175" s="571"/>
      <c r="L175" s="11"/>
      <c r="M175" s="11"/>
      <c r="N175" s="11">
        <f t="shared" si="2"/>
        <v>0</v>
      </c>
      <c r="O175" s="569"/>
    </row>
    <row r="176" spans="2:18" s="188" customFormat="1" x14ac:dyDescent="0.2">
      <c r="B176" s="50"/>
      <c r="C176" s="571" t="s">
        <v>2059</v>
      </c>
      <c r="D176" s="571"/>
      <c r="E176" s="571"/>
      <c r="F176" s="571"/>
      <c r="G176" s="191"/>
      <c r="H176" s="191"/>
      <c r="I176" s="570"/>
      <c r="J176" s="191"/>
      <c r="K176" s="571"/>
      <c r="L176" s="11"/>
      <c r="M176" s="11"/>
      <c r="N176" s="11">
        <f t="shared" si="2"/>
        <v>0</v>
      </c>
      <c r="O176" s="569"/>
    </row>
    <row r="177" spans="1:16" s="188" customFormat="1" x14ac:dyDescent="0.2">
      <c r="B177" s="50"/>
      <c r="C177" s="571" t="s">
        <v>2060</v>
      </c>
      <c r="D177" s="571"/>
      <c r="E177" s="571"/>
      <c r="F177" s="571"/>
      <c r="G177" s="191"/>
      <c r="H177" s="191"/>
      <c r="I177" s="570"/>
      <c r="J177" s="191"/>
      <c r="K177" s="571"/>
      <c r="L177" s="11"/>
      <c r="M177" s="11"/>
      <c r="N177" s="11">
        <f t="shared" si="2"/>
        <v>0</v>
      </c>
      <c r="O177" s="569"/>
    </row>
    <row r="178" spans="1:16" s="188" customFormat="1" x14ac:dyDescent="0.2">
      <c r="B178" s="50"/>
      <c r="C178" s="571" t="s">
        <v>2062</v>
      </c>
      <c r="D178" s="571"/>
      <c r="E178" s="571"/>
      <c r="F178" s="571"/>
      <c r="G178" s="191"/>
      <c r="H178" s="191"/>
      <c r="I178" s="570"/>
      <c r="J178" s="191"/>
      <c r="K178" s="571"/>
      <c r="L178" s="11"/>
      <c r="M178" s="11"/>
      <c r="N178" s="11">
        <f t="shared" si="2"/>
        <v>0</v>
      </c>
      <c r="O178" s="569"/>
    </row>
    <row r="179" spans="1:16" s="188" customFormat="1" x14ac:dyDescent="0.2">
      <c r="B179" s="50"/>
      <c r="C179" s="577"/>
      <c r="D179" s="577"/>
      <c r="E179" s="577"/>
      <c r="F179" s="577"/>
      <c r="G179" s="577"/>
      <c r="H179" s="577"/>
      <c r="I179" s="577"/>
      <c r="J179" s="577"/>
      <c r="N179" s="569"/>
      <c r="O179" s="569"/>
    </row>
    <row r="180" spans="1:16" s="188" customFormat="1" x14ac:dyDescent="0.2">
      <c r="B180" s="50"/>
      <c r="C180" s="577"/>
      <c r="D180" s="577"/>
      <c r="E180" s="577"/>
      <c r="F180" s="577"/>
      <c r="G180" s="577"/>
      <c r="H180" s="577"/>
      <c r="I180" s="577"/>
      <c r="J180" s="577"/>
      <c r="N180" s="569"/>
      <c r="O180" s="569"/>
    </row>
    <row r="181" spans="1:16" s="188" customFormat="1" x14ac:dyDescent="0.2">
      <c r="B181" s="50"/>
      <c r="C181" s="577"/>
      <c r="D181" s="577"/>
      <c r="E181" s="577"/>
      <c r="F181" s="577"/>
      <c r="G181" s="577"/>
      <c r="H181" s="577"/>
      <c r="I181" s="577"/>
      <c r="J181" s="577"/>
      <c r="N181" s="569"/>
      <c r="O181" s="569"/>
    </row>
    <row r="182" spans="1:16" s="188" customFormat="1" x14ac:dyDescent="0.2">
      <c r="G182" s="569"/>
      <c r="H182" s="569"/>
      <c r="I182" s="239"/>
      <c r="J182" s="569"/>
      <c r="L182" s="569"/>
      <c r="N182" s="569"/>
      <c r="O182" s="569"/>
    </row>
    <row r="183" spans="1:16" ht="25.5" customHeight="1" x14ac:dyDescent="0.2">
      <c r="A183" s="4" t="s">
        <v>814</v>
      </c>
      <c r="B183" s="962" t="s">
        <v>119</v>
      </c>
      <c r="C183" s="963"/>
      <c r="D183" s="963"/>
      <c r="E183" s="963"/>
      <c r="F183" s="963"/>
      <c r="G183" s="963"/>
      <c r="H183" s="963"/>
      <c r="I183" s="963"/>
      <c r="J183" s="963"/>
      <c r="K183" s="963"/>
      <c r="L183" s="963"/>
      <c r="M183" s="963"/>
      <c r="N183" s="963"/>
      <c r="O183" s="964"/>
      <c r="P183" s="4"/>
    </row>
    <row r="184" spans="1:16" x14ac:dyDescent="0.2">
      <c r="J184"/>
      <c r="K184"/>
      <c r="L184" s="3" t="s">
        <v>327</v>
      </c>
      <c r="M184" s="3"/>
      <c r="N184" s="3" t="s">
        <v>65</v>
      </c>
    </row>
    <row r="185" spans="1:16" ht="12.75" customHeight="1" x14ac:dyDescent="0.2">
      <c r="D185" t="s">
        <v>849</v>
      </c>
      <c r="E185" t="s">
        <v>704</v>
      </c>
      <c r="K185"/>
      <c r="L185" s="11">
        <f t="shared" ref="L185:L193" si="3">Z214</f>
        <v>0</v>
      </c>
      <c r="N185" s="11">
        <f t="shared" ref="N185:N193" si="4">AA214</f>
        <v>0</v>
      </c>
    </row>
    <row r="186" spans="1:16" x14ac:dyDescent="0.2">
      <c r="E186" t="s">
        <v>879</v>
      </c>
      <c r="K186"/>
      <c r="L186" s="11">
        <f t="shared" si="3"/>
        <v>0</v>
      </c>
      <c r="N186" s="11">
        <f t="shared" si="4"/>
        <v>0</v>
      </c>
    </row>
    <row r="187" spans="1:16" x14ac:dyDescent="0.2">
      <c r="E187" t="s">
        <v>880</v>
      </c>
      <c r="K187"/>
      <c r="L187" s="11">
        <f t="shared" si="3"/>
        <v>0</v>
      </c>
      <c r="N187" s="11">
        <f t="shared" si="4"/>
        <v>0</v>
      </c>
    </row>
    <row r="188" spans="1:16" x14ac:dyDescent="0.2">
      <c r="E188" t="s">
        <v>474</v>
      </c>
      <c r="J188"/>
      <c r="K188"/>
      <c r="L188" s="11">
        <f t="shared" si="3"/>
        <v>0</v>
      </c>
      <c r="N188" s="11">
        <f t="shared" si="4"/>
        <v>0</v>
      </c>
    </row>
    <row r="189" spans="1:16" x14ac:dyDescent="0.2">
      <c r="E189" t="s">
        <v>463</v>
      </c>
      <c r="J189"/>
      <c r="K189"/>
      <c r="L189" s="11">
        <f t="shared" si="3"/>
        <v>0</v>
      </c>
      <c r="N189" s="11">
        <f t="shared" si="4"/>
        <v>0</v>
      </c>
    </row>
    <row r="190" spans="1:16" x14ac:dyDescent="0.2">
      <c r="E190" t="s">
        <v>372</v>
      </c>
      <c r="J190"/>
      <c r="K190"/>
      <c r="L190" s="11">
        <f t="shared" si="3"/>
        <v>0</v>
      </c>
      <c r="N190" s="11">
        <f t="shared" si="4"/>
        <v>0</v>
      </c>
    </row>
    <row r="191" spans="1:16" x14ac:dyDescent="0.2">
      <c r="E191" t="s">
        <v>910</v>
      </c>
      <c r="J191"/>
      <c r="K191"/>
      <c r="L191" s="11">
        <f t="shared" si="3"/>
        <v>0</v>
      </c>
      <c r="N191" s="11">
        <f t="shared" si="4"/>
        <v>0</v>
      </c>
    </row>
    <row r="192" spans="1:16" x14ac:dyDescent="0.2">
      <c r="E192" s="415" t="s">
        <v>201</v>
      </c>
      <c r="J192"/>
      <c r="K192"/>
      <c r="L192" s="11">
        <f t="shared" si="3"/>
        <v>0</v>
      </c>
      <c r="N192" s="11">
        <f t="shared" si="4"/>
        <v>0</v>
      </c>
    </row>
    <row r="193" spans="1:25" x14ac:dyDescent="0.2">
      <c r="E193" t="s">
        <v>908</v>
      </c>
      <c r="J193"/>
      <c r="K193"/>
      <c r="L193" s="11">
        <f t="shared" si="3"/>
        <v>0</v>
      </c>
      <c r="N193" s="11">
        <f t="shared" si="4"/>
        <v>0</v>
      </c>
    </row>
    <row r="194" spans="1:25" x14ac:dyDescent="0.2">
      <c r="E194" t="s">
        <v>909</v>
      </c>
      <c r="J194"/>
      <c r="K194"/>
      <c r="L194" s="11">
        <f>Z224</f>
        <v>0</v>
      </c>
      <c r="N194" s="11">
        <f>AA224</f>
        <v>0</v>
      </c>
    </row>
    <row r="195" spans="1:25" x14ac:dyDescent="0.2">
      <c r="E195" t="s">
        <v>340</v>
      </c>
      <c r="J195"/>
      <c r="K195"/>
      <c r="L195" s="11">
        <f>Z225</f>
        <v>0</v>
      </c>
      <c r="N195" s="11">
        <f>AA225</f>
        <v>0</v>
      </c>
    </row>
    <row r="196" spans="1:25" x14ac:dyDescent="0.2">
      <c r="E196" s="571" t="s">
        <v>2051</v>
      </c>
      <c r="J196"/>
      <c r="K196"/>
      <c r="L196" s="11">
        <f>Z223</f>
        <v>0</v>
      </c>
      <c r="N196" s="11">
        <f>AA223</f>
        <v>0</v>
      </c>
    </row>
    <row r="197" spans="1:25" x14ac:dyDescent="0.2">
      <c r="F197" t="s">
        <v>341</v>
      </c>
      <c r="J197"/>
      <c r="K197"/>
      <c r="L197" s="11">
        <f>Z226</f>
        <v>0</v>
      </c>
      <c r="N197" s="11">
        <f>AA226</f>
        <v>0</v>
      </c>
    </row>
    <row r="198" spans="1:25" x14ac:dyDescent="0.2">
      <c r="F198" s="415" t="s">
        <v>831</v>
      </c>
      <c r="J198"/>
      <c r="K198"/>
      <c r="L198" s="11">
        <f>Z229</f>
        <v>0</v>
      </c>
      <c r="N198" s="11">
        <f>AA229</f>
        <v>0</v>
      </c>
    </row>
    <row r="199" spans="1:25" x14ac:dyDescent="0.2">
      <c r="F199" s="415" t="s">
        <v>830</v>
      </c>
      <c r="L199" s="11">
        <f>Z230</f>
        <v>0</v>
      </c>
      <c r="N199" s="11">
        <f>AA230</f>
        <v>0</v>
      </c>
    </row>
    <row r="200" spans="1:25" x14ac:dyDescent="0.2">
      <c r="F200" t="s">
        <v>707</v>
      </c>
      <c r="J200"/>
      <c r="K200"/>
      <c r="L200" s="11">
        <f>Z227</f>
        <v>0</v>
      </c>
      <c r="N200" s="11">
        <f>AA227</f>
        <v>0</v>
      </c>
    </row>
    <row r="201" spans="1:25" x14ac:dyDescent="0.2">
      <c r="F201" t="s">
        <v>391</v>
      </c>
      <c r="J201"/>
      <c r="K201"/>
      <c r="L201" s="11">
        <f>Z228</f>
        <v>0</v>
      </c>
      <c r="N201" s="11">
        <f>AA228</f>
        <v>0</v>
      </c>
    </row>
    <row r="202" spans="1:25" x14ac:dyDescent="0.2">
      <c r="F202" t="s">
        <v>263</v>
      </c>
      <c r="J202"/>
      <c r="K202"/>
      <c r="L202" s="11">
        <f>Z231</f>
        <v>0</v>
      </c>
      <c r="N202" s="11">
        <f>AA231</f>
        <v>0</v>
      </c>
    </row>
    <row r="203" spans="1:25" x14ac:dyDescent="0.2">
      <c r="F203" t="s">
        <v>1106</v>
      </c>
      <c r="J203"/>
      <c r="K203"/>
      <c r="L203" s="11">
        <f>Z232</f>
        <v>0</v>
      </c>
      <c r="N203" s="11">
        <f>AA232</f>
        <v>0</v>
      </c>
    </row>
    <row r="204" spans="1:25" ht="13.5" thickBot="1" x14ac:dyDescent="0.25">
      <c r="L204" s="80">
        <f>SUM(L185:L203)</f>
        <v>0</v>
      </c>
      <c r="M204" s="32"/>
      <c r="N204" s="80">
        <f>SUM(N185:N203)</f>
        <v>0</v>
      </c>
    </row>
    <row r="205" spans="1:25" ht="13.5" thickTop="1" x14ac:dyDescent="0.2">
      <c r="L205" s="5"/>
      <c r="N205" s="5"/>
    </row>
    <row r="207" spans="1:25" x14ac:dyDescent="0.2">
      <c r="A207" s="1030" t="s">
        <v>446</v>
      </c>
      <c r="B207" s="1030"/>
      <c r="C207" s="1030"/>
      <c r="D207" s="1030"/>
      <c r="E207" s="1030"/>
      <c r="F207" s="1030"/>
      <c r="G207" s="1030"/>
      <c r="H207" s="1030"/>
      <c r="I207" s="1030"/>
      <c r="J207" s="1030"/>
      <c r="K207" s="1030"/>
      <c r="L207" s="1030"/>
      <c r="M207" s="1030"/>
      <c r="N207" s="1030"/>
      <c r="O207" s="1030"/>
      <c r="P207" s="108"/>
      <c r="Q207" s="108"/>
      <c r="R207" s="108"/>
      <c r="S207" s="108"/>
      <c r="T207" s="108"/>
      <c r="U207" s="108"/>
      <c r="V207" s="108"/>
      <c r="W207" s="108"/>
      <c r="X207" s="108"/>
      <c r="Y207" s="108"/>
    </row>
    <row r="208" spans="1:25" x14ac:dyDescent="0.2">
      <c r="A208" s="1030"/>
      <c r="B208" s="1030"/>
      <c r="C208" s="1030"/>
      <c r="D208" s="1030"/>
      <c r="E208" s="1030"/>
      <c r="F208" s="1030"/>
      <c r="G208" s="1030"/>
      <c r="H208" s="1030"/>
      <c r="I208" s="1030"/>
      <c r="J208" s="1030"/>
      <c r="K208" s="1030"/>
      <c r="L208" s="1030"/>
      <c r="M208" s="1030"/>
      <c r="N208" s="1030"/>
      <c r="O208" s="1030"/>
      <c r="P208" s="108"/>
      <c r="Q208" s="108"/>
      <c r="R208" s="108"/>
      <c r="S208" s="108"/>
      <c r="T208" s="108"/>
      <c r="U208" s="108"/>
      <c r="V208" s="108"/>
      <c r="W208" s="108"/>
      <c r="X208" s="108"/>
      <c r="Y208" s="108"/>
    </row>
    <row r="209" spans="1:31" ht="18" x14ac:dyDescent="0.25">
      <c r="A209" s="106"/>
      <c r="B209" s="106"/>
      <c r="C209" s="106"/>
      <c r="D209" s="106"/>
      <c r="E209" s="106"/>
      <c r="F209" s="106"/>
      <c r="G209" s="106"/>
      <c r="H209" s="106"/>
      <c r="I209" s="106"/>
      <c r="J209" s="106"/>
      <c r="K209" s="106"/>
      <c r="L209" s="106"/>
      <c r="M209" s="106"/>
      <c r="N209" s="106"/>
      <c r="O209" s="106"/>
      <c r="P209" s="108"/>
      <c r="Q209" s="108"/>
      <c r="R209" s="108"/>
      <c r="S209" s="108"/>
      <c r="T209" s="108"/>
      <c r="U209" s="108"/>
      <c r="V209" s="108"/>
      <c r="W209" s="108"/>
      <c r="X209" s="108"/>
      <c r="Y209" s="108"/>
    </row>
    <row r="210" spans="1:31" x14ac:dyDescent="0.2">
      <c r="F210" s="975" t="s">
        <v>708</v>
      </c>
      <c r="G210" s="976"/>
      <c r="H210" s="975" t="s">
        <v>709</v>
      </c>
      <c r="I210" s="979"/>
      <c r="J210" s="976"/>
      <c r="K210" s="105"/>
      <c r="L210" s="975" t="s">
        <v>245</v>
      </c>
      <c r="M210" s="979"/>
      <c r="N210" s="976"/>
      <c r="O210" s="975" t="s">
        <v>246</v>
      </c>
      <c r="P210" s="979"/>
      <c r="Q210" s="976"/>
      <c r="R210" s="975" t="s">
        <v>247</v>
      </c>
      <c r="S210" s="979"/>
      <c r="T210" s="976"/>
      <c r="U210" s="975" t="s">
        <v>413</v>
      </c>
      <c r="V210" s="979"/>
      <c r="W210" s="1025" t="s">
        <v>414</v>
      </c>
      <c r="X210" s="976"/>
      <c r="Y210" s="308"/>
      <c r="Z210" s="975" t="s">
        <v>102</v>
      </c>
      <c r="AA210" s="976"/>
    </row>
    <row r="211" spans="1:31" x14ac:dyDescent="0.2">
      <c r="F211" s="1043" t="s">
        <v>579</v>
      </c>
      <c r="G211" s="1045"/>
      <c r="H211" s="1043" t="s">
        <v>578</v>
      </c>
      <c r="I211" s="1044"/>
      <c r="J211" s="1045"/>
      <c r="K211" s="105"/>
      <c r="L211" s="198"/>
      <c r="M211" s="55"/>
      <c r="N211" s="199"/>
      <c r="O211" s="198"/>
      <c r="P211" s="55"/>
      <c r="Q211" s="199"/>
      <c r="R211" s="198"/>
      <c r="S211" s="55"/>
      <c r="T211" s="199"/>
      <c r="U211" s="55"/>
      <c r="V211" s="55"/>
      <c r="W211" s="198"/>
      <c r="X211" s="199"/>
      <c r="Y211" s="574" t="s">
        <v>13</v>
      </c>
      <c r="Z211" s="198"/>
      <c r="AA211" s="199"/>
    </row>
    <row r="212" spans="1:31" x14ac:dyDescent="0.2">
      <c r="F212" s="71" t="s">
        <v>64</v>
      </c>
      <c r="G212" s="72" t="s">
        <v>65</v>
      </c>
      <c r="H212" s="71" t="s">
        <v>64</v>
      </c>
      <c r="I212" s="3"/>
      <c r="J212" s="110" t="s">
        <v>65</v>
      </c>
      <c r="K212" s="109"/>
      <c r="L212" s="71" t="s">
        <v>64</v>
      </c>
      <c r="M212" s="3"/>
      <c r="N212" s="72" t="s">
        <v>65</v>
      </c>
      <c r="O212" s="71" t="s">
        <v>64</v>
      </c>
      <c r="P212" s="8"/>
      <c r="Q212" s="72" t="s">
        <v>65</v>
      </c>
      <c r="R212" s="71" t="s">
        <v>64</v>
      </c>
      <c r="S212" s="8"/>
      <c r="T212" s="72" t="s">
        <v>65</v>
      </c>
      <c r="U212" s="3" t="s">
        <v>64</v>
      </c>
      <c r="V212" s="3" t="s">
        <v>65</v>
      </c>
      <c r="W212" s="71"/>
      <c r="X212" s="72"/>
      <c r="Y212" s="575" t="s">
        <v>14</v>
      </c>
      <c r="Z212" s="71" t="s">
        <v>64</v>
      </c>
      <c r="AA212" s="72" t="s">
        <v>65</v>
      </c>
    </row>
    <row r="213" spans="1:31" ht="4.5" customHeight="1" x14ac:dyDescent="0.2">
      <c r="Y213" s="309"/>
      <c r="Z213" s="111"/>
      <c r="AA213" s="47"/>
    </row>
    <row r="214" spans="1:31" x14ac:dyDescent="0.2">
      <c r="A214" t="s">
        <v>704</v>
      </c>
      <c r="F214" s="47">
        <f t="shared" ref="F214:F221" si="5">J27+J40</f>
        <v>0</v>
      </c>
      <c r="G214" s="47"/>
      <c r="H214" s="47"/>
      <c r="I214" s="56"/>
      <c r="J214" s="1">
        <f t="shared" ref="J214:J221" si="6">L27+L40</f>
        <v>0</v>
      </c>
      <c r="L214" s="47">
        <f t="shared" ref="L214:L222" si="7">G69+N69-J69</f>
        <v>0</v>
      </c>
      <c r="M214" s="56"/>
      <c r="N214" s="47"/>
      <c r="O214" s="47"/>
      <c r="P214" s="47"/>
      <c r="Q214" s="47"/>
      <c r="R214" s="96">
        <v>0</v>
      </c>
      <c r="S214" s="96"/>
      <c r="T214" s="96"/>
      <c r="U214" s="47">
        <f t="shared" ref="U214:U222" si="8">(G130+L130+J130+O130)-(H130+N130)</f>
        <v>0</v>
      </c>
      <c r="V214" s="47"/>
      <c r="W214" s="47"/>
      <c r="X214" s="47">
        <f t="shared" ref="X214:X221" si="9">N171</f>
        <v>0</v>
      </c>
      <c r="Y214" s="310">
        <f>(F214+H214+L214+R214+O214+U214+W214)-(G214+J214+N214+Q214+T214+V214+X214)</f>
        <v>0</v>
      </c>
      <c r="Z214" s="112">
        <f>IF(Y214&lt;0,0,Y214)</f>
        <v>0</v>
      </c>
      <c r="AA214" s="57">
        <f>IF(Y214&gt;0,0,Y214*-1)</f>
        <v>0</v>
      </c>
      <c r="AB214" s="47"/>
      <c r="AC214" s="47"/>
      <c r="AD214" s="47"/>
      <c r="AE214" s="47"/>
    </row>
    <row r="215" spans="1:31" x14ac:dyDescent="0.2">
      <c r="A215" t="s">
        <v>879</v>
      </c>
      <c r="F215" s="47">
        <f t="shared" si="5"/>
        <v>0</v>
      </c>
      <c r="G215" s="47"/>
      <c r="H215" s="47"/>
      <c r="I215" s="56"/>
      <c r="J215" s="1">
        <f t="shared" si="6"/>
        <v>0</v>
      </c>
      <c r="L215" s="47">
        <f t="shared" si="7"/>
        <v>0</v>
      </c>
      <c r="M215" s="56"/>
      <c r="N215" s="47"/>
      <c r="O215" s="47"/>
      <c r="P215" s="47"/>
      <c r="Q215" s="47"/>
      <c r="R215" s="96">
        <v>0</v>
      </c>
      <c r="S215" s="96"/>
      <c r="T215" s="96"/>
      <c r="U215" s="47">
        <f t="shared" si="8"/>
        <v>0</v>
      </c>
      <c r="V215" s="47"/>
      <c r="W215" s="47"/>
      <c r="X215" s="47">
        <f t="shared" si="9"/>
        <v>0</v>
      </c>
      <c r="Y215" s="310">
        <f t="shared" ref="Y215:Y230" si="10">(F215+H215+L215+R215+O215+U215+W215)-(G215+J215+N215+Q215+T215+V215+X215)</f>
        <v>0</v>
      </c>
      <c r="Z215" s="112">
        <f t="shared" ref="Z215:Z224" si="11">IF(Y215&lt;0,0,Y215)</f>
        <v>0</v>
      </c>
      <c r="AA215" s="57">
        <f t="shared" ref="AA215:AA224" si="12">IF(Y215&gt;0,0,Y215*-1)</f>
        <v>0</v>
      </c>
    </row>
    <row r="216" spans="1:31" x14ac:dyDescent="0.2">
      <c r="A216" t="s">
        <v>880</v>
      </c>
      <c r="F216" s="47">
        <f t="shared" si="5"/>
        <v>0</v>
      </c>
      <c r="G216" s="47"/>
      <c r="H216" s="47"/>
      <c r="I216" s="56"/>
      <c r="J216" s="1">
        <f t="shared" si="6"/>
        <v>0</v>
      </c>
      <c r="L216" s="47">
        <f t="shared" si="7"/>
        <v>0</v>
      </c>
      <c r="M216" s="56"/>
      <c r="N216" s="47"/>
      <c r="O216" s="47"/>
      <c r="P216" s="47"/>
      <c r="Q216" s="47"/>
      <c r="R216" s="96">
        <v>0</v>
      </c>
      <c r="S216" s="96"/>
      <c r="T216" s="96"/>
      <c r="U216" s="47">
        <f t="shared" si="8"/>
        <v>0</v>
      </c>
      <c r="V216" s="47"/>
      <c r="W216" s="47"/>
      <c r="X216" s="47">
        <f t="shared" si="9"/>
        <v>0</v>
      </c>
      <c r="Y216" s="310">
        <f t="shared" si="10"/>
        <v>0</v>
      </c>
      <c r="Z216" s="112">
        <f t="shared" si="11"/>
        <v>0</v>
      </c>
      <c r="AA216" s="57">
        <f t="shared" si="12"/>
        <v>0</v>
      </c>
    </row>
    <row r="217" spans="1:31" x14ac:dyDescent="0.2">
      <c r="A217" t="s">
        <v>474</v>
      </c>
      <c r="F217" s="47">
        <f t="shared" si="5"/>
        <v>0</v>
      </c>
      <c r="G217" s="47"/>
      <c r="H217" s="47"/>
      <c r="I217" s="56"/>
      <c r="J217" s="1">
        <f t="shared" si="6"/>
        <v>0</v>
      </c>
      <c r="L217" s="47">
        <f t="shared" si="7"/>
        <v>0</v>
      </c>
      <c r="M217" s="56"/>
      <c r="N217" s="47"/>
      <c r="O217" s="47"/>
      <c r="P217" s="47"/>
      <c r="Q217" s="47"/>
      <c r="R217" s="96">
        <v>0</v>
      </c>
      <c r="S217" s="96"/>
      <c r="T217" s="96"/>
      <c r="U217" s="47">
        <f t="shared" si="8"/>
        <v>0</v>
      </c>
      <c r="V217" s="47"/>
      <c r="W217" s="47"/>
      <c r="X217" s="47">
        <f t="shared" si="9"/>
        <v>0</v>
      </c>
      <c r="Y217" s="310">
        <f t="shared" si="10"/>
        <v>0</v>
      </c>
      <c r="Z217" s="112">
        <f t="shared" si="11"/>
        <v>0</v>
      </c>
      <c r="AA217" s="57">
        <f t="shared" si="12"/>
        <v>0</v>
      </c>
    </row>
    <row r="218" spans="1:31" x14ac:dyDescent="0.2">
      <c r="A218" t="s">
        <v>463</v>
      </c>
      <c r="F218" s="47">
        <f t="shared" si="5"/>
        <v>0</v>
      </c>
      <c r="G218" s="47"/>
      <c r="H218" s="47"/>
      <c r="I218" s="56"/>
      <c r="J218" s="1">
        <f t="shared" si="6"/>
        <v>0</v>
      </c>
      <c r="L218" s="47">
        <f t="shared" si="7"/>
        <v>0</v>
      </c>
      <c r="M218" s="56"/>
      <c r="N218" s="47"/>
      <c r="O218" s="47"/>
      <c r="P218" s="47"/>
      <c r="Q218" s="47"/>
      <c r="R218" s="96">
        <v>0</v>
      </c>
      <c r="S218" s="96"/>
      <c r="T218" s="96"/>
      <c r="U218" s="47">
        <f t="shared" si="8"/>
        <v>0</v>
      </c>
      <c r="V218" s="47"/>
      <c r="W218" s="47"/>
      <c r="X218" s="47">
        <f t="shared" si="9"/>
        <v>0</v>
      </c>
      <c r="Y218" s="310">
        <f t="shared" si="10"/>
        <v>0</v>
      </c>
      <c r="Z218" s="112">
        <f t="shared" si="11"/>
        <v>0</v>
      </c>
      <c r="AA218" s="57">
        <f t="shared" si="12"/>
        <v>0</v>
      </c>
    </row>
    <row r="219" spans="1:31" x14ac:dyDescent="0.2">
      <c r="A219" t="s">
        <v>372</v>
      </c>
      <c r="F219" s="47">
        <f t="shared" si="5"/>
        <v>0</v>
      </c>
      <c r="G219" s="47"/>
      <c r="H219" s="47"/>
      <c r="I219" s="56"/>
      <c r="J219" s="1">
        <f t="shared" si="6"/>
        <v>0</v>
      </c>
      <c r="L219" s="47">
        <f t="shared" si="7"/>
        <v>0</v>
      </c>
      <c r="M219" s="56"/>
      <c r="N219" s="47"/>
      <c r="O219" s="47"/>
      <c r="P219" s="47"/>
      <c r="Q219" s="47"/>
      <c r="R219" s="96">
        <v>0</v>
      </c>
      <c r="S219" s="96"/>
      <c r="T219" s="96"/>
      <c r="U219" s="47">
        <f t="shared" si="8"/>
        <v>0</v>
      </c>
      <c r="V219" s="47"/>
      <c r="W219" s="47"/>
      <c r="X219" s="47">
        <f t="shared" si="9"/>
        <v>0</v>
      </c>
      <c r="Y219" s="310">
        <f t="shared" si="10"/>
        <v>0</v>
      </c>
      <c r="Z219" s="112">
        <f t="shared" si="11"/>
        <v>0</v>
      </c>
      <c r="AA219" s="57">
        <f t="shared" si="12"/>
        <v>0</v>
      </c>
    </row>
    <row r="220" spans="1:31" x14ac:dyDescent="0.2">
      <c r="A220" t="s">
        <v>910</v>
      </c>
      <c r="F220" s="47">
        <f t="shared" si="5"/>
        <v>0</v>
      </c>
      <c r="G220" s="47"/>
      <c r="H220" s="47"/>
      <c r="I220" s="56"/>
      <c r="J220" s="1">
        <f t="shared" si="6"/>
        <v>0</v>
      </c>
      <c r="L220" s="47">
        <f t="shared" si="7"/>
        <v>0</v>
      </c>
      <c r="M220" s="56"/>
      <c r="N220" s="47"/>
      <c r="O220" s="47"/>
      <c r="P220" s="47"/>
      <c r="Q220" s="47"/>
      <c r="R220" s="96">
        <v>0</v>
      </c>
      <c r="S220" s="96"/>
      <c r="T220" s="96"/>
      <c r="U220" s="47">
        <f t="shared" si="8"/>
        <v>0</v>
      </c>
      <c r="V220" s="47"/>
      <c r="W220" s="47"/>
      <c r="X220" s="47">
        <f t="shared" si="9"/>
        <v>0</v>
      </c>
      <c r="Y220" s="310">
        <f t="shared" si="10"/>
        <v>0</v>
      </c>
      <c r="Z220" s="112">
        <f t="shared" si="11"/>
        <v>0</v>
      </c>
      <c r="AA220" s="57">
        <f t="shared" si="12"/>
        <v>0</v>
      </c>
    </row>
    <row r="221" spans="1:31" x14ac:dyDescent="0.2">
      <c r="A221" s="415" t="s">
        <v>201</v>
      </c>
      <c r="F221" s="47">
        <f t="shared" si="5"/>
        <v>0</v>
      </c>
      <c r="G221" s="47"/>
      <c r="H221" s="47"/>
      <c r="I221" s="56"/>
      <c r="J221" s="1">
        <f t="shared" si="6"/>
        <v>0</v>
      </c>
      <c r="L221" s="47">
        <f t="shared" si="7"/>
        <v>0</v>
      </c>
      <c r="M221" s="56"/>
      <c r="N221" s="47"/>
      <c r="O221" s="47"/>
      <c r="P221" s="47"/>
      <c r="Q221" s="47"/>
      <c r="R221" s="96">
        <f>N108</f>
        <v>0</v>
      </c>
      <c r="S221" s="96"/>
      <c r="T221" s="96"/>
      <c r="U221" s="47">
        <f t="shared" si="8"/>
        <v>0</v>
      </c>
      <c r="V221" s="47"/>
      <c r="W221" s="47"/>
      <c r="X221" s="47">
        <f t="shared" si="9"/>
        <v>0</v>
      </c>
      <c r="Y221" s="310">
        <f t="shared" si="10"/>
        <v>0</v>
      </c>
      <c r="Z221" s="112">
        <f t="shared" si="11"/>
        <v>0</v>
      </c>
      <c r="AA221" s="57">
        <f t="shared" si="12"/>
        <v>0</v>
      </c>
    </row>
    <row r="222" spans="1:31" x14ac:dyDescent="0.2">
      <c r="A222" t="s">
        <v>908</v>
      </c>
      <c r="F222" s="47"/>
      <c r="G222" s="47"/>
      <c r="H222" s="47"/>
      <c r="I222" s="56"/>
      <c r="L222" s="47">
        <f t="shared" si="7"/>
        <v>0</v>
      </c>
      <c r="M222" s="56"/>
      <c r="N222" s="47"/>
      <c r="O222" s="47"/>
      <c r="P222" s="47"/>
      <c r="Q222" s="47"/>
      <c r="R222" s="96"/>
      <c r="S222" s="96"/>
      <c r="T222" s="96"/>
      <c r="U222" s="47">
        <f t="shared" si="8"/>
        <v>0</v>
      </c>
      <c r="V222" s="47"/>
      <c r="W222" s="47"/>
      <c r="X222" s="47"/>
      <c r="Y222" s="310">
        <f t="shared" si="10"/>
        <v>0</v>
      </c>
      <c r="Z222" s="112">
        <f t="shared" si="11"/>
        <v>0</v>
      </c>
      <c r="AA222" s="57">
        <f t="shared" si="12"/>
        <v>0</v>
      </c>
    </row>
    <row r="223" spans="1:31" x14ac:dyDescent="0.2">
      <c r="A223" s="571" t="s">
        <v>2051</v>
      </c>
      <c r="F223" s="47"/>
      <c r="G223" s="47"/>
      <c r="H223" s="47"/>
      <c r="I223" s="56"/>
      <c r="L223" s="47"/>
      <c r="M223" s="56"/>
      <c r="N223" s="47"/>
      <c r="O223" s="47"/>
      <c r="P223" s="47"/>
      <c r="Q223" s="47"/>
      <c r="R223" s="96"/>
      <c r="S223" s="96"/>
      <c r="T223" s="96"/>
      <c r="U223" s="47"/>
      <c r="V223" s="47"/>
      <c r="W223" s="47">
        <f>L170</f>
        <v>0</v>
      </c>
      <c r="X223" s="47"/>
      <c r="Y223" s="310">
        <f t="shared" si="10"/>
        <v>0</v>
      </c>
      <c r="Z223" s="112">
        <f>IF(Y223&lt;0,0,Y223)</f>
        <v>0</v>
      </c>
      <c r="AA223" s="57">
        <f>IF(Y223&gt;0,0,Y223*-1)</f>
        <v>0</v>
      </c>
    </row>
    <row r="224" spans="1:31" x14ac:dyDescent="0.2">
      <c r="A224" t="s">
        <v>909</v>
      </c>
      <c r="F224" s="47">
        <f>J36+J49</f>
        <v>0</v>
      </c>
      <c r="G224" s="47"/>
      <c r="H224" s="47"/>
      <c r="I224" s="56"/>
      <c r="L224" s="47">
        <f>G78+N78-J78</f>
        <v>0</v>
      </c>
      <c r="M224" s="56"/>
      <c r="N224" s="47"/>
      <c r="O224" s="47"/>
      <c r="P224" s="47"/>
      <c r="Q224" s="47"/>
      <c r="R224" s="96"/>
      <c r="S224" s="96"/>
      <c r="T224" s="96"/>
      <c r="U224" s="47">
        <f>(G139+L139+J139+O139)-(H139+N139)</f>
        <v>0</v>
      </c>
      <c r="V224" s="47"/>
      <c r="W224" s="47"/>
      <c r="X224" s="47"/>
      <c r="Y224" s="310">
        <f t="shared" si="10"/>
        <v>0</v>
      </c>
      <c r="Z224" s="112">
        <f t="shared" si="11"/>
        <v>0</v>
      </c>
      <c r="AA224" s="57">
        <f t="shared" si="12"/>
        <v>0</v>
      </c>
    </row>
    <row r="225" spans="1:27" x14ac:dyDescent="0.2">
      <c r="A225" t="s">
        <v>340</v>
      </c>
      <c r="F225" s="47"/>
      <c r="G225" s="47">
        <f>J35+J48</f>
        <v>0</v>
      </c>
      <c r="H225" s="47">
        <f>L35+L48</f>
        <v>0</v>
      </c>
      <c r="I225" s="56"/>
      <c r="L225" s="47"/>
      <c r="M225" s="56"/>
      <c r="N225" s="47"/>
      <c r="O225" s="47"/>
      <c r="P225" s="47"/>
      <c r="Q225" s="47"/>
      <c r="R225" s="96"/>
      <c r="S225" s="96"/>
      <c r="T225" s="96"/>
      <c r="U225" s="47"/>
      <c r="V225" s="47"/>
      <c r="W225" s="47"/>
      <c r="X225" s="47"/>
      <c r="Y225" s="310">
        <f t="shared" si="10"/>
        <v>0</v>
      </c>
      <c r="Z225" s="312">
        <f t="shared" ref="Z225:Z231" si="13">IF(Y225&lt;0,0,Y225)</f>
        <v>0</v>
      </c>
      <c r="AA225" s="96">
        <f t="shared" ref="AA225:AA231" si="14">IF(Y225&gt;0,0,Y225*-1)</f>
        <v>0</v>
      </c>
    </row>
    <row r="226" spans="1:27" x14ac:dyDescent="0.2">
      <c r="A226" t="s">
        <v>341</v>
      </c>
      <c r="F226" s="47"/>
      <c r="G226" s="47"/>
      <c r="H226" s="47"/>
      <c r="I226" s="56"/>
      <c r="L226" s="47"/>
      <c r="M226" s="56"/>
      <c r="N226" s="47">
        <f>N56+N60-N58</f>
        <v>0</v>
      </c>
      <c r="O226" s="47"/>
      <c r="P226" s="47"/>
      <c r="Q226" s="47"/>
      <c r="R226" s="96"/>
      <c r="S226" s="96"/>
      <c r="T226" s="96"/>
      <c r="U226" s="47"/>
      <c r="V226" s="47"/>
      <c r="W226" s="47"/>
      <c r="X226" s="47"/>
      <c r="Y226" s="310">
        <f t="shared" si="10"/>
        <v>0</v>
      </c>
      <c r="Z226" s="312">
        <f t="shared" si="13"/>
        <v>0</v>
      </c>
      <c r="AA226" s="96">
        <f t="shared" si="14"/>
        <v>0</v>
      </c>
    </row>
    <row r="227" spans="1:27" x14ac:dyDescent="0.2">
      <c r="A227" t="s">
        <v>707</v>
      </c>
      <c r="F227" s="47"/>
      <c r="G227" s="47"/>
      <c r="H227" s="47"/>
      <c r="I227" s="56"/>
      <c r="L227" s="47"/>
      <c r="M227" s="56"/>
      <c r="N227" s="47"/>
      <c r="O227" s="47">
        <f>IF(N87&lt;0,-N87,0)</f>
        <v>0</v>
      </c>
      <c r="P227" s="47"/>
      <c r="Q227" s="47">
        <f>IF(N87&gt;0,N87,0)</f>
        <v>0</v>
      </c>
      <c r="R227" s="96"/>
      <c r="S227" s="96"/>
      <c r="T227" s="96"/>
      <c r="U227" s="47"/>
      <c r="V227" s="47"/>
      <c r="W227" s="47"/>
      <c r="X227" s="47"/>
      <c r="Y227" s="310">
        <f t="shared" si="10"/>
        <v>0</v>
      </c>
      <c r="Z227" s="312">
        <f t="shared" si="13"/>
        <v>0</v>
      </c>
      <c r="AA227" s="96">
        <f t="shared" si="14"/>
        <v>0</v>
      </c>
    </row>
    <row r="228" spans="1:27" x14ac:dyDescent="0.2">
      <c r="A228" t="s">
        <v>391</v>
      </c>
      <c r="F228" s="47"/>
      <c r="G228" s="47"/>
      <c r="H228" s="47"/>
      <c r="I228" s="56"/>
      <c r="L228" s="47"/>
      <c r="M228" s="56"/>
      <c r="N228" s="47"/>
      <c r="O228" s="47"/>
      <c r="P228" s="47"/>
      <c r="Q228" s="47"/>
      <c r="R228" s="96">
        <f>N93</f>
        <v>0</v>
      </c>
      <c r="S228" s="96"/>
      <c r="T228" s="96">
        <v>0</v>
      </c>
      <c r="U228" s="47"/>
      <c r="V228" s="47"/>
      <c r="W228" s="47"/>
      <c r="X228" s="47"/>
      <c r="Y228" s="310">
        <f t="shared" si="10"/>
        <v>0</v>
      </c>
      <c r="Z228" s="312">
        <f t="shared" si="13"/>
        <v>0</v>
      </c>
      <c r="AA228" s="96">
        <f>IF(Y228&gt;0,0,Y228*-1)</f>
        <v>0</v>
      </c>
    </row>
    <row r="229" spans="1:27" x14ac:dyDescent="0.2">
      <c r="A229" s="415" t="s">
        <v>831</v>
      </c>
      <c r="F229" s="47"/>
      <c r="G229" s="47"/>
      <c r="H229" s="47"/>
      <c r="I229" s="56"/>
      <c r="L229" s="47"/>
      <c r="M229" s="56"/>
      <c r="N229" s="47"/>
      <c r="O229" s="47"/>
      <c r="P229" s="47"/>
      <c r="Q229" s="47"/>
      <c r="R229" s="96"/>
      <c r="S229" s="96"/>
      <c r="T229" s="96"/>
      <c r="U229" s="47"/>
      <c r="V229" s="47">
        <f>N116+N120-N118</f>
        <v>0</v>
      </c>
      <c r="W229" s="47"/>
      <c r="X229" s="47"/>
      <c r="Y229" s="310">
        <f t="shared" si="10"/>
        <v>0</v>
      </c>
      <c r="Z229" s="312">
        <f t="shared" si="13"/>
        <v>0</v>
      </c>
      <c r="AA229" s="96">
        <f t="shared" si="14"/>
        <v>0</v>
      </c>
    </row>
    <row r="230" spans="1:27" x14ac:dyDescent="0.2">
      <c r="A230" s="415" t="s">
        <v>830</v>
      </c>
      <c r="F230" s="47"/>
      <c r="G230" s="47"/>
      <c r="H230" s="47"/>
      <c r="I230" s="56"/>
      <c r="L230" s="47"/>
      <c r="M230" s="56"/>
      <c r="N230" s="47"/>
      <c r="O230" s="47"/>
      <c r="P230" s="47"/>
      <c r="Q230" s="47"/>
      <c r="R230" s="96"/>
      <c r="S230" s="96"/>
      <c r="T230" s="96"/>
      <c r="U230" s="47"/>
      <c r="V230" s="47">
        <f>O116+O120-O118</f>
        <v>0</v>
      </c>
      <c r="W230" s="47"/>
      <c r="X230" s="47"/>
      <c r="Y230" s="310">
        <f t="shared" si="10"/>
        <v>0</v>
      </c>
      <c r="Z230" s="312">
        <f t="shared" si="13"/>
        <v>0</v>
      </c>
      <c r="AA230" s="96">
        <f t="shared" si="14"/>
        <v>0</v>
      </c>
    </row>
    <row r="231" spans="1:27" x14ac:dyDescent="0.2">
      <c r="A231" t="s">
        <v>263</v>
      </c>
      <c r="F231" s="47"/>
      <c r="G231" s="47"/>
      <c r="H231" s="47"/>
      <c r="I231" s="56"/>
      <c r="L231" s="47"/>
      <c r="M231" s="56"/>
      <c r="N231" s="47"/>
      <c r="O231" s="47"/>
      <c r="P231" s="47"/>
      <c r="Q231" s="47">
        <f>-N87</f>
        <v>0</v>
      </c>
      <c r="R231" s="96"/>
      <c r="S231" s="96"/>
      <c r="U231" s="47"/>
      <c r="V231" s="47"/>
      <c r="W231" s="47"/>
      <c r="X231" s="47"/>
      <c r="Y231" s="310">
        <f>(F231+H231+L231+R231+O231+U231+W231)-(G231+J231+N231+Q231+T231+V231+X231)</f>
        <v>0</v>
      </c>
      <c r="Z231" s="312">
        <f t="shared" si="13"/>
        <v>0</v>
      </c>
      <c r="AA231" s="96">
        <f t="shared" si="14"/>
        <v>0</v>
      </c>
    </row>
    <row r="232" spans="1:27" x14ac:dyDescent="0.2">
      <c r="A232" s="571" t="s">
        <v>1106</v>
      </c>
      <c r="F232" s="47"/>
      <c r="G232" s="47"/>
      <c r="H232" s="47"/>
      <c r="I232" s="56"/>
      <c r="L232" s="47"/>
      <c r="M232" s="56"/>
      <c r="N232" s="47"/>
      <c r="O232" s="47"/>
      <c r="P232" s="47"/>
      <c r="Q232" s="47"/>
      <c r="R232" s="96"/>
      <c r="S232" s="96"/>
      <c r="T232" s="96">
        <f>N93</f>
        <v>0</v>
      </c>
      <c r="U232" s="47"/>
      <c r="V232" s="47"/>
      <c r="W232" s="47"/>
      <c r="X232" s="47"/>
      <c r="Y232" s="310">
        <f>(F232+H232+L232+R232+O232+U232+W232)-(G232+J232+N232+Q232+T232+V232+X232)</f>
        <v>0</v>
      </c>
      <c r="Z232" s="312">
        <f>IF(Y232&lt;0,0,Y232)</f>
        <v>0</v>
      </c>
      <c r="AA232" s="96">
        <f>IF(Y232&gt;0,0,Y232*-1)</f>
        <v>0</v>
      </c>
    </row>
    <row r="233" spans="1:27" ht="13.5" thickBot="1" x14ac:dyDescent="0.25">
      <c r="F233" s="107">
        <f>SUM(F214:F231)</f>
        <v>0</v>
      </c>
      <c r="G233" s="107">
        <f>SUM(G214:G231)</f>
        <v>0</v>
      </c>
      <c r="H233" s="107">
        <f>SUM(H214:H231)</f>
        <v>0</v>
      </c>
      <c r="I233" s="107">
        <f>SUM(I214:I229)</f>
        <v>0</v>
      </c>
      <c r="J233" s="32">
        <f>SUM(J214:J231)</f>
        <v>0</v>
      </c>
      <c r="K233" s="107"/>
      <c r="L233" s="32">
        <f>SUM(L214:L231)</f>
        <v>0</v>
      </c>
      <c r="M233" s="107">
        <f>SUM(M214:M231)</f>
        <v>0</v>
      </c>
      <c r="N233" s="32">
        <f>SUM(N214:N231)</f>
        <v>0</v>
      </c>
      <c r="O233" s="32">
        <f>SUM(O208:O231)</f>
        <v>0</v>
      </c>
      <c r="P233" s="32"/>
      <c r="Q233" s="32">
        <f t="shared" ref="Q233:Y233" si="15">SUM(Q214:Q231)</f>
        <v>0</v>
      </c>
      <c r="R233" s="32">
        <f>SUM(R208:R231)</f>
        <v>0</v>
      </c>
      <c r="S233" s="32"/>
      <c r="T233" s="32">
        <f>SUM(T214:T232)</f>
        <v>0</v>
      </c>
      <c r="U233" s="32">
        <f t="shared" si="15"/>
        <v>0</v>
      </c>
      <c r="V233" s="32">
        <f t="shared" si="15"/>
        <v>0</v>
      </c>
      <c r="W233" s="32"/>
      <c r="X233" s="32"/>
      <c r="Y233" s="311">
        <f t="shared" si="15"/>
        <v>0</v>
      </c>
      <c r="Z233" s="113">
        <f>SUM(Z214:Z232)</f>
        <v>0</v>
      </c>
      <c r="AA233" s="32">
        <f>SUM(AA214:AA232)</f>
        <v>0</v>
      </c>
    </row>
    <row r="234" spans="1:27" ht="13.5" thickTop="1" x14ac:dyDescent="0.2"/>
  </sheetData>
  <mergeCells count="62">
    <mergeCell ref="L142:L144"/>
    <mergeCell ref="R210:T210"/>
    <mergeCell ref="B183:O183"/>
    <mergeCell ref="B111:O111"/>
    <mergeCell ref="G142:G144"/>
    <mergeCell ref="H142:H144"/>
    <mergeCell ref="J142:J144"/>
    <mergeCell ref="C116:J116"/>
    <mergeCell ref="L210:N210"/>
    <mergeCell ref="O210:Q210"/>
    <mergeCell ref="P120:P121"/>
    <mergeCell ref="L128:O128"/>
    <mergeCell ref="N120:N121"/>
    <mergeCell ref="O120:O121"/>
    <mergeCell ref="L120:L121"/>
    <mergeCell ref="C147:J147"/>
    <mergeCell ref="C96:N97"/>
    <mergeCell ref="O60:O61"/>
    <mergeCell ref="B90:O90"/>
    <mergeCell ref="H211:J211"/>
    <mergeCell ref="F211:G211"/>
    <mergeCell ref="F210:G210"/>
    <mergeCell ref="C120:J121"/>
    <mergeCell ref="C118:J118"/>
    <mergeCell ref="H210:J210"/>
    <mergeCell ref="G128:J128"/>
    <mergeCell ref="B145:O145"/>
    <mergeCell ref="C169:J169"/>
    <mergeCell ref="N142:N144"/>
    <mergeCell ref="O142:O144"/>
    <mergeCell ref="C125:L126"/>
    <mergeCell ref="C100:L100"/>
    <mergeCell ref="O75:O78"/>
    <mergeCell ref="C93:L94"/>
    <mergeCell ref="N93:N94"/>
    <mergeCell ref="L75:L78"/>
    <mergeCell ref="F87:L87"/>
    <mergeCell ref="B81:O81"/>
    <mergeCell ref="A2:P2"/>
    <mergeCell ref="B4:P4"/>
    <mergeCell ref="B22:O22"/>
    <mergeCell ref="C9:O10"/>
    <mergeCell ref="C12:O13"/>
    <mergeCell ref="C6:O7"/>
    <mergeCell ref="C15:O16"/>
    <mergeCell ref="C21:O21"/>
    <mergeCell ref="W210:X210"/>
    <mergeCell ref="Z210:AA210"/>
    <mergeCell ref="U210:V210"/>
    <mergeCell ref="C66:L67"/>
    <mergeCell ref="C18:O19"/>
    <mergeCell ref="C84:L85"/>
    <mergeCell ref="N84:N85"/>
    <mergeCell ref="J24:L24"/>
    <mergeCell ref="J37:L37"/>
    <mergeCell ref="B51:O51"/>
    <mergeCell ref="A207:O208"/>
    <mergeCell ref="N60:N61"/>
    <mergeCell ref="C60:J62"/>
    <mergeCell ref="H75:H78"/>
    <mergeCell ref="O107:P109"/>
    <mergeCell ref="E98:K98"/>
  </mergeCells>
  <phoneticPr fontId="15" type="noConversion"/>
  <printOptions horizontalCentered="1"/>
  <pageMargins left="0.51" right="0.33" top="0.66" bottom="0.5" header="0.5" footer="0.5"/>
  <pageSetup scale="87" fitToHeight="0" orientation="portrait" r:id="rId1"/>
  <headerFooter alignWithMargins="0">
    <oddHeader>&amp;R&amp;"Arial,Bold"&amp;12Entry J</oddHeader>
    <oddFooter>&amp;L&amp;8&amp;D - City model&amp;R&amp;P</oddFooter>
  </headerFooter>
  <rowBreaks count="3" manualBreakCount="3">
    <brk id="49" max="15" man="1"/>
    <brk id="88" max="15" man="1"/>
    <brk id="109" max="15" man="1"/>
  </rowBreaks>
  <ignoredErrors>
    <ignoredError sqref="B93 B12 B6 B9 B100" numberStoredAsText="1"/>
  </ignoredError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M230"/>
  <sheetViews>
    <sheetView topLeftCell="A89" workbookViewId="0">
      <selection activeCell="C96" sqref="C96"/>
    </sheetView>
  </sheetViews>
  <sheetFormatPr defaultRowHeight="12.75" x14ac:dyDescent="0.2"/>
  <cols>
    <col min="1" max="1" width="3.42578125" style="4" customWidth="1"/>
    <col min="2" max="2" width="2.28515625" customWidth="1"/>
    <col min="3" max="3" width="36.7109375" customWidth="1"/>
    <col min="4" max="4" width="13.7109375" bestFit="1"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55" customFormat="1" ht="15" x14ac:dyDescent="0.25">
      <c r="A1" s="186"/>
      <c r="C1" s="1075"/>
      <c r="D1" s="1075"/>
      <c r="E1" s="1024"/>
      <c r="F1" s="1024"/>
      <c r="G1" s="1024"/>
      <c r="H1" s="1024"/>
      <c r="I1" s="1024"/>
    </row>
    <row r="2" spans="1:10" s="155" customFormat="1" ht="15" customHeight="1" x14ac:dyDescent="0.25">
      <c r="A2" s="186"/>
      <c r="B2" s="1077" t="s">
        <v>557</v>
      </c>
      <c r="C2" s="1078"/>
      <c r="D2" s="1078"/>
      <c r="E2" s="1078"/>
      <c r="F2" s="1078"/>
      <c r="G2" s="1078"/>
      <c r="H2" s="1078"/>
      <c r="I2" s="1079"/>
    </row>
    <row r="3" spans="1:10" s="155" customFormat="1" ht="24" customHeight="1" x14ac:dyDescent="0.25">
      <c r="A3" s="186"/>
      <c r="B3" s="1080"/>
      <c r="C3" s="1081"/>
      <c r="D3" s="1081"/>
      <c r="E3" s="1081"/>
      <c r="F3" s="1081"/>
      <c r="G3" s="1081"/>
      <c r="H3" s="1081"/>
      <c r="I3" s="1082"/>
    </row>
    <row r="4" spans="1:10" s="155" customFormat="1" ht="6" customHeight="1" x14ac:dyDescent="0.25">
      <c r="A4" s="186"/>
      <c r="B4" s="410"/>
      <c r="C4" s="410"/>
      <c r="D4" s="410"/>
      <c r="E4" s="410"/>
      <c r="F4" s="410"/>
      <c r="G4" s="410"/>
      <c r="H4" s="410"/>
      <c r="I4" s="410"/>
    </row>
    <row r="5" spans="1:10" ht="12.75" customHeight="1" x14ac:dyDescent="0.2">
      <c r="C5" s="156"/>
      <c r="D5" s="156"/>
      <c r="E5" s="157"/>
      <c r="F5" s="157"/>
      <c r="G5" s="157"/>
      <c r="H5" s="157"/>
      <c r="I5" s="157"/>
    </row>
    <row r="6" spans="1:10" ht="12.75" customHeight="1" x14ac:dyDescent="0.2">
      <c r="C6" s="156"/>
      <c r="D6" s="156"/>
      <c r="E6" s="157"/>
      <c r="F6" s="157"/>
      <c r="G6" s="157"/>
      <c r="H6" s="157"/>
      <c r="I6" s="157"/>
    </row>
    <row r="7" spans="1:10" ht="12.75" customHeight="1" x14ac:dyDescent="0.2">
      <c r="C7" s="156"/>
      <c r="D7" s="156"/>
      <c r="E7" s="157"/>
      <c r="F7" s="157"/>
      <c r="G7" s="157"/>
      <c r="H7" s="157"/>
      <c r="I7" s="157"/>
    </row>
    <row r="8" spans="1:10" ht="12.75" customHeight="1" x14ac:dyDescent="0.2">
      <c r="C8" s="156"/>
      <c r="D8" s="156"/>
      <c r="E8" s="157"/>
      <c r="F8" s="157"/>
      <c r="G8" s="157"/>
      <c r="H8" s="157"/>
      <c r="I8" s="157"/>
    </row>
    <row r="9" spans="1:10" ht="12.75" customHeight="1" x14ac:dyDescent="0.2">
      <c r="C9" s="156"/>
      <c r="D9" s="156"/>
      <c r="E9" s="157"/>
      <c r="F9" s="157"/>
      <c r="G9" s="157"/>
      <c r="H9" s="157"/>
      <c r="I9" s="157"/>
    </row>
    <row r="10" spans="1:10" ht="12.75" customHeight="1" x14ac:dyDescent="0.2">
      <c r="C10" s="156"/>
      <c r="D10" s="156"/>
      <c r="E10" s="157"/>
      <c r="F10" s="157"/>
      <c r="G10" s="157"/>
      <c r="H10" s="157"/>
      <c r="I10" s="157"/>
    </row>
    <row r="11" spans="1:10" ht="12.75" customHeight="1" x14ac:dyDescent="0.2">
      <c r="C11" s="156"/>
      <c r="D11" s="156"/>
      <c r="E11" s="157"/>
      <c r="F11" s="157"/>
      <c r="G11" s="157"/>
      <c r="H11" s="157"/>
      <c r="I11" s="157"/>
    </row>
    <row r="12" spans="1:10" ht="12.75" customHeight="1" x14ac:dyDescent="0.2">
      <c r="C12" s="156"/>
      <c r="D12" s="156"/>
      <c r="E12" s="157"/>
      <c r="F12" s="157"/>
      <c r="G12" s="157"/>
      <c r="H12" s="157"/>
      <c r="I12" s="157"/>
    </row>
    <row r="13" spans="1:10" ht="9" customHeight="1" x14ac:dyDescent="0.2">
      <c r="C13" s="156"/>
      <c r="D13" s="156"/>
      <c r="E13" s="157"/>
      <c r="F13" s="157"/>
      <c r="G13" s="157"/>
      <c r="H13" s="157"/>
      <c r="I13" s="157"/>
    </row>
    <row r="14" spans="1:10" ht="12.6" customHeight="1" x14ac:dyDescent="0.2">
      <c r="C14" s="156"/>
      <c r="D14" s="156"/>
      <c r="E14" s="157"/>
      <c r="F14" s="157"/>
      <c r="G14" s="157"/>
      <c r="H14" s="157"/>
      <c r="I14" s="157"/>
    </row>
    <row r="15" spans="1:10" ht="12" customHeight="1" x14ac:dyDescent="0.2">
      <c r="B15" s="50" t="s">
        <v>930</v>
      </c>
      <c r="C15" s="1083" t="s">
        <v>785</v>
      </c>
      <c r="D15" s="1083"/>
      <c r="E15" s="1083"/>
      <c r="F15" s="1083"/>
      <c r="G15" s="1083"/>
      <c r="H15" s="1083"/>
      <c r="I15" s="1083"/>
      <c r="J15" s="156"/>
    </row>
    <row r="16" spans="1:10" ht="26.25" customHeight="1" x14ac:dyDescent="0.2">
      <c r="C16" s="1083"/>
      <c r="D16" s="1083"/>
      <c r="E16" s="1083"/>
      <c r="F16" s="1083"/>
      <c r="G16" s="1083"/>
      <c r="H16" s="1083"/>
      <c r="I16" s="1083"/>
      <c r="J16" s="156"/>
    </row>
    <row r="17" spans="2:9" ht="4.5" customHeight="1" x14ac:dyDescent="0.2"/>
    <row r="18" spans="2:9" ht="12.75" customHeight="1" x14ac:dyDescent="0.2">
      <c r="B18" s="50" t="s">
        <v>931</v>
      </c>
      <c r="C18" s="156"/>
      <c r="D18" s="156"/>
      <c r="E18" s="156"/>
      <c r="F18" s="156"/>
      <c r="G18" s="156"/>
      <c r="H18" s="156"/>
      <c r="I18" s="156"/>
    </row>
    <row r="19" spans="2:9" ht="12.75" customHeight="1" x14ac:dyDescent="0.2">
      <c r="C19" s="156"/>
      <c r="D19" s="156"/>
      <c r="E19" s="156"/>
      <c r="F19" s="156"/>
      <c r="G19" s="156"/>
      <c r="H19" s="156"/>
      <c r="I19" s="156"/>
    </row>
    <row r="20" spans="2:9" ht="12.75" customHeight="1" x14ac:dyDescent="0.2">
      <c r="C20" s="156"/>
      <c r="D20" s="156"/>
      <c r="E20" s="156"/>
      <c r="F20" s="156"/>
      <c r="G20" s="156"/>
      <c r="H20" s="156"/>
      <c r="I20" s="156"/>
    </row>
    <row r="21" spans="2:9" ht="12.75" customHeight="1" x14ac:dyDescent="0.2">
      <c r="C21" s="156"/>
      <c r="D21" s="156"/>
      <c r="E21" s="156"/>
      <c r="F21" s="156"/>
      <c r="G21" s="156"/>
      <c r="H21" s="156"/>
      <c r="I21" s="156"/>
    </row>
    <row r="22" spans="2:9" ht="12.75" customHeight="1" x14ac:dyDescent="0.2">
      <c r="C22" s="156"/>
      <c r="D22" s="156"/>
      <c r="E22" s="156"/>
      <c r="F22" s="156"/>
      <c r="G22" s="156"/>
      <c r="H22" s="156"/>
      <c r="I22" s="156"/>
    </row>
    <row r="23" spans="2:9" ht="4.5" customHeight="1" x14ac:dyDescent="0.2"/>
    <row r="24" spans="2:9" ht="12" customHeight="1" x14ac:dyDescent="0.2">
      <c r="B24" s="50" t="s">
        <v>932</v>
      </c>
      <c r="C24" s="892" t="s">
        <v>1082</v>
      </c>
      <c r="D24" s="881"/>
      <c r="E24" s="881"/>
      <c r="F24" s="881"/>
      <c r="G24" s="881"/>
      <c r="H24" s="881"/>
      <c r="I24" s="881"/>
    </row>
    <row r="25" spans="2:9" ht="12.75" hidden="1" customHeight="1" x14ac:dyDescent="0.2">
      <c r="C25" s="881"/>
      <c r="D25" s="881"/>
      <c r="E25" s="881"/>
      <c r="F25" s="881"/>
      <c r="G25" s="881"/>
      <c r="H25" s="881"/>
      <c r="I25" s="881"/>
    </row>
    <row r="26" spans="2:9" ht="4.5" customHeight="1" x14ac:dyDescent="0.2"/>
    <row r="27" spans="2:9" ht="12.75" hidden="1" customHeight="1" x14ac:dyDescent="0.2">
      <c r="B27" s="50"/>
      <c r="C27" s="881"/>
      <c r="D27" s="881"/>
      <c r="E27" s="881"/>
      <c r="F27" s="881"/>
      <c r="G27" s="881"/>
      <c r="H27" s="881"/>
      <c r="I27" s="881"/>
    </row>
    <row r="28" spans="2:9" ht="12.75" customHeight="1" x14ac:dyDescent="0.2">
      <c r="B28" s="50" t="s">
        <v>862</v>
      </c>
      <c r="C28" s="892" t="s">
        <v>1083</v>
      </c>
      <c r="D28" s="883"/>
      <c r="E28" s="883"/>
      <c r="F28" s="883"/>
      <c r="G28" s="883"/>
      <c r="H28" s="883"/>
      <c r="I28" s="883"/>
    </row>
    <row r="29" spans="2:9" ht="12.75" customHeight="1" x14ac:dyDescent="0.2">
      <c r="B29" s="50"/>
      <c r="C29" s="883"/>
      <c r="D29" s="883"/>
      <c r="E29" s="883"/>
      <c r="F29" s="883"/>
      <c r="G29" s="883"/>
      <c r="H29" s="883"/>
      <c r="I29" s="883"/>
    </row>
    <row r="30" spans="2:9" ht="4.5" customHeight="1" x14ac:dyDescent="0.2">
      <c r="B30" s="50"/>
    </row>
    <row r="31" spans="2:9" ht="12.75" customHeight="1" x14ac:dyDescent="0.2">
      <c r="B31" s="50" t="s">
        <v>863</v>
      </c>
      <c r="C31" s="1083" t="s">
        <v>260</v>
      </c>
      <c r="D31" s="1083"/>
      <c r="E31" s="1083"/>
      <c r="F31" s="1083"/>
      <c r="G31" s="1083"/>
      <c r="H31" s="1083"/>
      <c r="I31" s="1083"/>
    </row>
    <row r="32" spans="2:9" ht="26.25" customHeight="1" x14ac:dyDescent="0.2">
      <c r="B32" s="50"/>
      <c r="C32" s="1083"/>
      <c r="D32" s="1083"/>
      <c r="E32" s="1083"/>
      <c r="F32" s="1083"/>
      <c r="G32" s="1083"/>
      <c r="H32" s="1083"/>
      <c r="I32" s="1083"/>
    </row>
    <row r="33" spans="1:13" ht="17.25" customHeight="1" thickBot="1" x14ac:dyDescent="0.25"/>
    <row r="34" spans="1:13" ht="33.75" customHeight="1" thickTop="1" thickBot="1" x14ac:dyDescent="0.3">
      <c r="C34" s="1066" t="s">
        <v>266</v>
      </c>
      <c r="D34" s="1067"/>
      <c r="E34" s="1067"/>
      <c r="F34" s="1067"/>
      <c r="G34" s="1067"/>
      <c r="H34" s="1067"/>
      <c r="I34" s="1068"/>
    </row>
    <row r="35" spans="1:13" ht="24" customHeight="1" thickTop="1" x14ac:dyDescent="0.2"/>
    <row r="36" spans="1:13" ht="17.25" customHeight="1" x14ac:dyDescent="0.2">
      <c r="A36" s="4" t="s">
        <v>860</v>
      </c>
      <c r="B36" s="1060" t="s">
        <v>601</v>
      </c>
      <c r="C36" s="1061"/>
      <c r="D36" s="1061"/>
      <c r="E36" s="1061"/>
      <c r="F36" s="1061"/>
      <c r="G36" s="1061"/>
      <c r="H36" s="1061"/>
      <c r="I36" s="1062"/>
    </row>
    <row r="37" spans="1:13" ht="22.5" customHeight="1" x14ac:dyDescent="0.2">
      <c r="B37" s="1063"/>
      <c r="C37" s="1064"/>
      <c r="D37" s="1064"/>
      <c r="E37" s="1064"/>
      <c r="F37" s="1064"/>
      <c r="G37" s="1064"/>
      <c r="H37" s="1064"/>
      <c r="I37" s="1065"/>
    </row>
    <row r="38" spans="1:13" ht="24" customHeight="1" x14ac:dyDescent="0.2">
      <c r="C38" s="4"/>
      <c r="D38" s="4"/>
      <c r="E38" s="10"/>
      <c r="F38" s="10"/>
      <c r="G38" s="10"/>
      <c r="H38" s="10"/>
      <c r="I38" s="158"/>
    </row>
    <row r="39" spans="1:13" x14ac:dyDescent="0.2">
      <c r="C39" s="1076" t="s">
        <v>969</v>
      </c>
      <c r="D39" s="1076"/>
      <c r="E39" s="1076"/>
      <c r="F39" s="1076"/>
      <c r="G39" s="1076"/>
      <c r="H39" s="49"/>
      <c r="I39" s="49"/>
      <c r="J39" s="49"/>
      <c r="K39" s="49"/>
      <c r="L39" s="49"/>
      <c r="M39" s="49"/>
    </row>
    <row r="40" spans="1:13" x14ac:dyDescent="0.2">
      <c r="C40" s="4"/>
      <c r="D40" s="4"/>
      <c r="E40" s="109" t="s">
        <v>970</v>
      </c>
      <c r="F40" s="152"/>
      <c r="G40" s="159" t="s">
        <v>971</v>
      </c>
      <c r="H40" s="160"/>
    </row>
    <row r="41" spans="1:13" x14ac:dyDescent="0.2">
      <c r="C41" s="118" t="s">
        <v>972</v>
      </c>
      <c r="D41" s="118"/>
      <c r="E41" s="1"/>
      <c r="F41" s="10"/>
      <c r="G41" s="158"/>
      <c r="H41" s="158"/>
      <c r="I41" s="571"/>
    </row>
    <row r="42" spans="1:13" x14ac:dyDescent="0.2">
      <c r="C42" s="161" t="s">
        <v>973</v>
      </c>
      <c r="D42" s="161"/>
      <c r="E42" s="1"/>
      <c r="F42" s="10"/>
      <c r="G42" s="158"/>
      <c r="H42" s="158"/>
    </row>
    <row r="43" spans="1:13" x14ac:dyDescent="0.2">
      <c r="C43" s="162" t="s">
        <v>704</v>
      </c>
      <c r="D43" s="162"/>
      <c r="E43" s="454"/>
      <c r="F43" s="10"/>
      <c r="G43" s="527">
        <f t="shared" ref="G43:G50" si="0">IF(E$52=0,0,ROUND(E43/E$62,4))</f>
        <v>0</v>
      </c>
      <c r="H43" s="158"/>
      <c r="I43" s="801"/>
    </row>
    <row r="44" spans="1:13" x14ac:dyDescent="0.2">
      <c r="C44" s="162" t="s">
        <v>703</v>
      </c>
      <c r="D44" s="162"/>
      <c r="E44" s="763"/>
      <c r="F44" s="10"/>
      <c r="G44" s="527">
        <f t="shared" si="0"/>
        <v>0</v>
      </c>
      <c r="H44" s="158"/>
      <c r="I44" s="801"/>
    </row>
    <row r="45" spans="1:13" x14ac:dyDescent="0.2">
      <c r="C45" s="162" t="s">
        <v>880</v>
      </c>
      <c r="D45" s="162"/>
      <c r="E45" s="441"/>
      <c r="F45" s="10"/>
      <c r="G45" s="527">
        <f t="shared" si="0"/>
        <v>0</v>
      </c>
      <c r="H45" s="158"/>
      <c r="I45" s="801"/>
    </row>
    <row r="46" spans="1:13" x14ac:dyDescent="0.2">
      <c r="C46" s="162" t="s">
        <v>474</v>
      </c>
      <c r="D46" s="162"/>
      <c r="E46" s="441"/>
      <c r="F46" s="10"/>
      <c r="G46" s="527">
        <f t="shared" si="0"/>
        <v>0</v>
      </c>
      <c r="H46" s="158"/>
      <c r="I46" s="801"/>
    </row>
    <row r="47" spans="1:13" x14ac:dyDescent="0.2">
      <c r="C47" s="162" t="s">
        <v>463</v>
      </c>
      <c r="D47" s="162"/>
      <c r="E47" s="441"/>
      <c r="F47" s="10"/>
      <c r="G47" s="527">
        <f t="shared" si="0"/>
        <v>0</v>
      </c>
      <c r="H47" s="158"/>
      <c r="I47" s="801"/>
    </row>
    <row r="48" spans="1:13" x14ac:dyDescent="0.2">
      <c r="C48" s="162" t="s">
        <v>974</v>
      </c>
      <c r="D48" s="162"/>
      <c r="E48" s="441"/>
      <c r="F48" s="10"/>
      <c r="G48" s="527">
        <f t="shared" si="0"/>
        <v>0</v>
      </c>
      <c r="H48" s="158"/>
      <c r="I48" s="801"/>
    </row>
    <row r="49" spans="3:9" x14ac:dyDescent="0.2">
      <c r="C49" s="162" t="s">
        <v>910</v>
      </c>
      <c r="D49" s="162"/>
      <c r="E49" s="441"/>
      <c r="F49" s="10"/>
      <c r="G49" s="527">
        <f t="shared" si="0"/>
        <v>0</v>
      </c>
      <c r="H49" s="158"/>
      <c r="I49" s="801"/>
    </row>
    <row r="50" spans="3:9" x14ac:dyDescent="0.2">
      <c r="C50" s="470" t="s">
        <v>201</v>
      </c>
      <c r="D50" s="162"/>
      <c r="E50" s="441"/>
      <c r="F50" s="10"/>
      <c r="G50" s="527">
        <f t="shared" si="0"/>
        <v>0</v>
      </c>
      <c r="H50" s="158"/>
      <c r="I50" s="801"/>
    </row>
    <row r="51" spans="3:9" x14ac:dyDescent="0.2">
      <c r="C51" s="162"/>
      <c r="D51" s="162"/>
      <c r="E51" s="1"/>
      <c r="F51" s="10"/>
      <c r="G51" s="158"/>
      <c r="H51" s="158"/>
    </row>
    <row r="52" spans="3:9" ht="15" x14ac:dyDescent="0.2">
      <c r="C52" s="163" t="s">
        <v>975</v>
      </c>
      <c r="D52" s="163"/>
      <c r="E52" s="176">
        <f>+SUM(E43:E51)</f>
        <v>0</v>
      </c>
      <c r="F52" s="10"/>
      <c r="G52" s="528">
        <f>ROUND(SUM(G43:G51),4)</f>
        <v>0</v>
      </c>
      <c r="H52" s="177" t="s">
        <v>758</v>
      </c>
    </row>
    <row r="53" spans="3:9" x14ac:dyDescent="0.2">
      <c r="E53" s="1"/>
      <c r="F53" s="10"/>
      <c r="G53" s="164" t="s">
        <v>185</v>
      </c>
      <c r="H53" s="164"/>
    </row>
    <row r="54" spans="3:9" x14ac:dyDescent="0.2">
      <c r="C54" s="161" t="s">
        <v>976</v>
      </c>
      <c r="D54" s="161"/>
      <c r="E54" s="1"/>
      <c r="F54" s="10"/>
      <c r="G54" s="164" t="s">
        <v>185</v>
      </c>
      <c r="H54" s="164"/>
    </row>
    <row r="55" spans="3:9" x14ac:dyDescent="0.2">
      <c r="C55" s="162" t="s">
        <v>977</v>
      </c>
      <c r="D55" s="162"/>
      <c r="E55" s="762"/>
      <c r="F55" s="10"/>
      <c r="G55" s="527">
        <f>IF(E$52=0,0,ROUND(E55/E$62,4))</f>
        <v>0</v>
      </c>
      <c r="H55" s="158"/>
    </row>
    <row r="56" spans="3:9" x14ac:dyDescent="0.2">
      <c r="C56" s="162" t="s">
        <v>978</v>
      </c>
      <c r="D56" s="162"/>
      <c r="E56" s="455"/>
      <c r="F56" s="165"/>
      <c r="G56" s="527">
        <f>IF(E$52=0,0,ROUND(E56/E$62,4))</f>
        <v>0</v>
      </c>
      <c r="H56" s="158"/>
    </row>
    <row r="57" spans="3:9" x14ac:dyDescent="0.2">
      <c r="C57" s="470" t="s">
        <v>916</v>
      </c>
      <c r="D57" s="162"/>
      <c r="E57" s="455"/>
      <c r="F57" s="165"/>
      <c r="G57" s="527">
        <f>IF(E$52=0,0,ROUND(E57/E$62,4))</f>
        <v>0</v>
      </c>
      <c r="H57" s="158"/>
    </row>
    <row r="58" spans="3:9" x14ac:dyDescent="0.2">
      <c r="C58" s="470" t="s">
        <v>917</v>
      </c>
      <c r="D58" s="162"/>
      <c r="E58" s="455"/>
      <c r="F58" s="165"/>
      <c r="G58" s="527">
        <f>IF(E$52=0,0,ROUND(E58/E$62,4))</f>
        <v>0</v>
      </c>
      <c r="H58" s="158"/>
    </row>
    <row r="59" spans="3:9" x14ac:dyDescent="0.2">
      <c r="C59" s="161"/>
      <c r="D59" s="161"/>
      <c r="E59" s="1"/>
      <c r="F59" s="10"/>
      <c r="G59" s="158"/>
      <c r="H59" s="158"/>
    </row>
    <row r="60" spans="3:9" x14ac:dyDescent="0.2">
      <c r="C60" s="163" t="s">
        <v>979</v>
      </c>
      <c r="D60" s="163"/>
      <c r="E60" s="176">
        <f>+SUM(E55:E59)</f>
        <v>0</v>
      </c>
      <c r="F60" s="10"/>
      <c r="G60" s="528">
        <f>ROUND(SUM(G55:G59),4)</f>
        <v>0</v>
      </c>
      <c r="H60" s="166"/>
    </row>
    <row r="61" spans="3:9" x14ac:dyDescent="0.2">
      <c r="C61" s="162"/>
      <c r="D61" s="162"/>
      <c r="E61" s="1"/>
      <c r="F61" s="10"/>
      <c r="G61" s="158"/>
      <c r="H61" s="158"/>
    </row>
    <row r="62" spans="3:9" ht="13.5" thickBot="1" x14ac:dyDescent="0.25">
      <c r="C62" s="167" t="s">
        <v>980</v>
      </c>
      <c r="E62" s="178">
        <f>+E52+E60</f>
        <v>0</v>
      </c>
      <c r="F62" s="10"/>
      <c r="G62" s="490">
        <f>G52+G60</f>
        <v>0</v>
      </c>
      <c r="H62" s="166"/>
    </row>
    <row r="63" spans="3:9" ht="13.5" thickTop="1" x14ac:dyDescent="0.2">
      <c r="C63" s="167"/>
      <c r="D63" s="167"/>
      <c r="E63" s="10"/>
      <c r="F63" s="10"/>
      <c r="G63" s="166"/>
      <c r="H63" s="166"/>
    </row>
    <row r="64" spans="3:9" x14ac:dyDescent="0.2">
      <c r="C64" s="118" t="s">
        <v>981</v>
      </c>
      <c r="D64" s="118"/>
      <c r="E64" s="449"/>
      <c r="F64" s="10"/>
      <c r="G64" s="166"/>
      <c r="H64" s="166"/>
    </row>
    <row r="65" spans="1:9" x14ac:dyDescent="0.2">
      <c r="C65" s="167"/>
      <c r="D65" s="167"/>
      <c r="E65" s="10"/>
      <c r="F65" s="10"/>
      <c r="G65" s="166"/>
      <c r="H65" s="166"/>
    </row>
    <row r="66" spans="1:9" ht="13.5" thickBot="1" x14ac:dyDescent="0.25">
      <c r="C66" s="167" t="s">
        <v>982</v>
      </c>
      <c r="D66" s="791"/>
      <c r="E66" s="178">
        <f>E62+E64</f>
        <v>0</v>
      </c>
      <c r="F66" s="10"/>
      <c r="G66" s="760"/>
      <c r="H66" s="166"/>
    </row>
    <row r="67" spans="1:9" ht="13.5" thickTop="1" x14ac:dyDescent="0.2">
      <c r="C67" s="167"/>
      <c r="D67" s="167"/>
      <c r="E67" s="1"/>
      <c r="F67" s="1"/>
      <c r="G67" s="158"/>
      <c r="H67" s="158"/>
    </row>
    <row r="68" spans="1:9" ht="15.75" customHeight="1" x14ac:dyDescent="0.2">
      <c r="C68" s="167"/>
      <c r="D68" s="167"/>
      <c r="E68" s="1"/>
      <c r="F68" s="1"/>
      <c r="G68" s="1055" t="s">
        <v>775</v>
      </c>
      <c r="H68" s="1055"/>
      <c r="I68" s="1055"/>
    </row>
    <row r="69" spans="1:9" ht="32.25" customHeight="1" x14ac:dyDescent="0.2">
      <c r="C69" s="883" t="s">
        <v>701</v>
      </c>
      <c r="D69" s="1059"/>
      <c r="E69" s="179" t="str">
        <f>IF(G52&gt;=50%,"Governmental","Business Type")</f>
        <v>Business Type</v>
      </c>
      <c r="F69" s="220" t="s">
        <v>758</v>
      </c>
      <c r="G69" s="1055"/>
      <c r="H69" s="1055"/>
      <c r="I69" s="1055"/>
    </row>
    <row r="70" spans="1:9" ht="30" customHeight="1" x14ac:dyDescent="0.2">
      <c r="C70" s="46"/>
      <c r="D70" s="46"/>
      <c r="E70" s="169"/>
      <c r="F70" s="168"/>
      <c r="G70" s="158"/>
      <c r="H70" s="158"/>
    </row>
    <row r="71" spans="1:9" x14ac:dyDescent="0.2">
      <c r="E71" s="1"/>
      <c r="F71" s="1"/>
      <c r="G71" s="170"/>
      <c r="H71" s="170"/>
      <c r="I71" s="158"/>
    </row>
    <row r="72" spans="1:9" ht="17.25" customHeight="1" x14ac:dyDescent="0.2">
      <c r="A72" s="4" t="s">
        <v>861</v>
      </c>
      <c r="B72" s="1069" t="s">
        <v>1084</v>
      </c>
      <c r="C72" s="1070"/>
      <c r="D72" s="1070"/>
      <c r="E72" s="1070"/>
      <c r="F72" s="1070"/>
      <c r="G72" s="1070"/>
      <c r="H72" s="1070"/>
      <c r="I72" s="1071"/>
    </row>
    <row r="73" spans="1:9" ht="36" customHeight="1" x14ac:dyDescent="0.2">
      <c r="B73" s="1072"/>
      <c r="C73" s="1073"/>
      <c r="D73" s="1073"/>
      <c r="E73" s="1073"/>
      <c r="F73" s="1073"/>
      <c r="G73" s="1073"/>
      <c r="H73" s="1073"/>
      <c r="I73" s="1074"/>
    </row>
    <row r="74" spans="1:9" ht="3.75" customHeight="1" x14ac:dyDescent="0.2">
      <c r="E74" s="1"/>
      <c r="F74" s="1"/>
      <c r="G74" s="170"/>
      <c r="H74" s="170"/>
      <c r="I74" s="158"/>
    </row>
    <row r="75" spans="1:9" x14ac:dyDescent="0.2">
      <c r="B75" s="67" t="s">
        <v>930</v>
      </c>
      <c r="C75" s="4" t="s">
        <v>991</v>
      </c>
      <c r="E75" s="483" t="s">
        <v>64</v>
      </c>
      <c r="F75" s="105"/>
      <c r="G75" s="484" t="s">
        <v>65</v>
      </c>
      <c r="H75" s="170"/>
      <c r="I75" s="158"/>
    </row>
    <row r="76" spans="1:9" ht="4.5" customHeight="1" x14ac:dyDescent="0.2">
      <c r="E76" s="3"/>
      <c r="F76" s="55"/>
      <c r="G76" s="3"/>
      <c r="H76" s="170"/>
      <c r="I76" s="158"/>
    </row>
    <row r="77" spans="1:9" x14ac:dyDescent="0.2">
      <c r="C77" t="s">
        <v>591</v>
      </c>
      <c r="E77" s="456"/>
      <c r="F77" s="55"/>
      <c r="G77" s="175"/>
      <c r="H77" s="170"/>
      <c r="I77" s="158"/>
    </row>
    <row r="78" spans="1:9" x14ac:dyDescent="0.2">
      <c r="C78" t="s">
        <v>833</v>
      </c>
      <c r="E78" s="456"/>
      <c r="F78" s="55"/>
      <c r="G78" s="175"/>
      <c r="H78" s="170"/>
      <c r="I78" s="158"/>
    </row>
    <row r="79" spans="1:9" x14ac:dyDescent="0.2">
      <c r="C79" t="s">
        <v>733</v>
      </c>
      <c r="E79" s="456"/>
      <c r="F79" s="55"/>
      <c r="G79" s="175"/>
      <c r="H79" s="170"/>
      <c r="I79" s="158"/>
    </row>
    <row r="80" spans="1:9" x14ac:dyDescent="0.2">
      <c r="C80" t="s">
        <v>194</v>
      </c>
      <c r="E80" s="456"/>
      <c r="F80" s="55"/>
      <c r="H80" s="170"/>
      <c r="I80" s="158"/>
    </row>
    <row r="81" spans="3:11" x14ac:dyDescent="0.2">
      <c r="C81" t="s">
        <v>736</v>
      </c>
      <c r="E81" s="456"/>
      <c r="F81" s="55"/>
      <c r="H81" s="170"/>
      <c r="I81" s="158"/>
    </row>
    <row r="82" spans="3:11" x14ac:dyDescent="0.2">
      <c r="C82" t="s">
        <v>737</v>
      </c>
      <c r="E82" s="456"/>
      <c r="F82" s="55"/>
      <c r="G82" s="175"/>
      <c r="H82" s="170"/>
      <c r="I82" s="158"/>
    </row>
    <row r="83" spans="3:11" x14ac:dyDescent="0.2">
      <c r="C83" t="s">
        <v>2047</v>
      </c>
      <c r="E83" s="456"/>
      <c r="F83" s="55"/>
      <c r="G83" s="175"/>
      <c r="H83" s="170"/>
      <c r="I83" s="158"/>
    </row>
    <row r="84" spans="3:11" x14ac:dyDescent="0.2">
      <c r="C84" t="s">
        <v>469</v>
      </c>
      <c r="E84" s="456"/>
      <c r="F84" s="55"/>
      <c r="G84" s="175"/>
      <c r="H84" s="170"/>
      <c r="I84" s="158"/>
    </row>
    <row r="85" spans="3:11" x14ac:dyDescent="0.2">
      <c r="C85" t="s">
        <v>470</v>
      </c>
      <c r="E85" s="456"/>
      <c r="F85" s="55"/>
      <c r="G85" s="175"/>
      <c r="H85" s="170"/>
      <c r="I85" s="158"/>
    </row>
    <row r="86" spans="3:11" x14ac:dyDescent="0.2">
      <c r="C86" t="s">
        <v>467</v>
      </c>
      <c r="E86" s="456"/>
      <c r="F86" s="55"/>
      <c r="G86" s="175"/>
      <c r="H86" s="170"/>
      <c r="I86" s="158"/>
    </row>
    <row r="87" spans="3:11" x14ac:dyDescent="0.2">
      <c r="C87" t="s">
        <v>592</v>
      </c>
      <c r="E87" s="456"/>
      <c r="F87" s="55"/>
      <c r="G87" s="175"/>
      <c r="H87" s="170"/>
      <c r="I87" s="6" t="s">
        <v>1086</v>
      </c>
    </row>
    <row r="88" spans="3:11" ht="38.25" x14ac:dyDescent="0.2">
      <c r="C88" s="572" t="s">
        <v>3851</v>
      </c>
      <c r="E88" s="456"/>
      <c r="F88" s="55"/>
      <c r="G88" s="175"/>
      <c r="H88" s="170"/>
      <c r="I88" s="6"/>
    </row>
    <row r="89" spans="3:11" ht="25.5" x14ac:dyDescent="0.2">
      <c r="C89" s="614" t="s">
        <v>3852</v>
      </c>
      <c r="E89" s="456"/>
      <c r="F89" s="55"/>
      <c r="G89" s="175"/>
      <c r="H89" s="170"/>
      <c r="I89" s="6"/>
    </row>
    <row r="90" spans="3:11" ht="38.25" x14ac:dyDescent="0.2">
      <c r="C90" s="614" t="s">
        <v>3853</v>
      </c>
      <c r="E90" s="456"/>
      <c r="F90" s="55"/>
      <c r="G90" s="175"/>
      <c r="H90" s="170"/>
      <c r="I90" s="6"/>
    </row>
    <row r="91" spans="3:11" ht="38.25" x14ac:dyDescent="0.2">
      <c r="C91" s="577" t="s">
        <v>3854</v>
      </c>
      <c r="E91" s="456"/>
      <c r="F91" s="55"/>
      <c r="G91" s="175"/>
      <c r="H91" s="170"/>
      <c r="I91" s="6"/>
      <c r="K91" s="5"/>
    </row>
    <row r="92" spans="3:11" ht="51" x14ac:dyDescent="0.2">
      <c r="C92" s="614" t="s">
        <v>3855</v>
      </c>
      <c r="E92" s="456"/>
      <c r="F92" s="55"/>
      <c r="G92" s="175"/>
      <c r="H92" s="170"/>
      <c r="I92" s="6"/>
    </row>
    <row r="93" spans="3:11" ht="38.25" x14ac:dyDescent="0.2">
      <c r="C93" s="572" t="s">
        <v>3867</v>
      </c>
      <c r="E93" s="456"/>
      <c r="F93" s="55"/>
      <c r="G93" s="175"/>
      <c r="H93" s="170"/>
      <c r="I93" s="6"/>
    </row>
    <row r="94" spans="3:11" ht="25.5" x14ac:dyDescent="0.2">
      <c r="C94" s="614" t="s">
        <v>3856</v>
      </c>
      <c r="E94" s="456"/>
      <c r="F94" s="55"/>
      <c r="G94" s="175"/>
      <c r="H94" s="170"/>
      <c r="I94" s="6"/>
    </row>
    <row r="95" spans="3:11" ht="38.25" x14ac:dyDescent="0.2">
      <c r="C95" s="577" t="s">
        <v>3857</v>
      </c>
      <c r="E95" s="456"/>
      <c r="F95" s="55"/>
      <c r="G95" s="175"/>
      <c r="H95" s="170"/>
      <c r="I95" s="6"/>
    </row>
    <row r="96" spans="3:11" x14ac:dyDescent="0.2">
      <c r="C96" t="s">
        <v>593</v>
      </c>
      <c r="E96" s="174"/>
      <c r="F96" s="55"/>
      <c r="G96" s="456"/>
      <c r="H96" s="170"/>
      <c r="I96" s="158"/>
    </row>
    <row r="97" spans="3:9" x14ac:dyDescent="0.2">
      <c r="C97" t="s">
        <v>594</v>
      </c>
      <c r="E97" s="174"/>
      <c r="F97" s="55"/>
      <c r="G97" s="456"/>
      <c r="H97" s="170"/>
      <c r="I97" s="158"/>
    </row>
    <row r="98" spans="3:9" x14ac:dyDescent="0.2">
      <c r="C98" t="s">
        <v>595</v>
      </c>
      <c r="E98" s="174"/>
      <c r="F98" s="55"/>
      <c r="G98" s="456"/>
      <c r="H98" s="170"/>
      <c r="I98" s="158"/>
    </row>
    <row r="99" spans="3:9" x14ac:dyDescent="0.2">
      <c r="C99" t="s">
        <v>596</v>
      </c>
      <c r="E99" s="55"/>
      <c r="F99" s="55"/>
      <c r="G99" s="456"/>
      <c r="H99" s="170"/>
      <c r="I99" s="158"/>
    </row>
    <row r="100" spans="3:9" x14ac:dyDescent="0.2">
      <c r="C100" s="161" t="s">
        <v>738</v>
      </c>
      <c r="E100" s="55"/>
      <c r="F100" s="55"/>
      <c r="G100" s="456"/>
      <c r="H100" s="170"/>
      <c r="I100" s="158"/>
    </row>
    <row r="101" spans="3:9" x14ac:dyDescent="0.2">
      <c r="C101" s="161" t="s">
        <v>193</v>
      </c>
      <c r="E101" s="55"/>
      <c r="F101" s="55"/>
      <c r="G101" s="456"/>
      <c r="H101" s="170"/>
      <c r="I101" s="158"/>
    </row>
    <row r="102" spans="3:9" x14ac:dyDescent="0.2">
      <c r="C102" t="s">
        <v>645</v>
      </c>
      <c r="E102" s="55"/>
      <c r="F102" s="55"/>
      <c r="G102" s="456"/>
      <c r="H102" s="170"/>
      <c r="I102" s="158"/>
    </row>
    <row r="103" spans="3:9" x14ac:dyDescent="0.2">
      <c r="C103" t="s">
        <v>646</v>
      </c>
      <c r="E103" s="55"/>
      <c r="F103" s="55"/>
      <c r="G103" s="456"/>
      <c r="H103" s="170"/>
      <c r="I103" s="158"/>
    </row>
    <row r="104" spans="3:9" x14ac:dyDescent="0.2">
      <c r="C104" s="161" t="s">
        <v>2537</v>
      </c>
      <c r="E104" s="55"/>
      <c r="F104" s="55"/>
      <c r="G104" s="456"/>
      <c r="H104" s="170"/>
      <c r="I104" s="790"/>
    </row>
    <row r="105" spans="3:9" x14ac:dyDescent="0.2">
      <c r="C105" t="s">
        <v>3922</v>
      </c>
      <c r="E105" s="55"/>
      <c r="F105" s="55"/>
      <c r="G105" s="456"/>
      <c r="H105" s="170"/>
      <c r="I105" s="158"/>
    </row>
    <row r="106" spans="3:9" x14ac:dyDescent="0.2">
      <c r="C106" t="s">
        <v>647</v>
      </c>
      <c r="E106" s="55"/>
      <c r="F106" s="55"/>
      <c r="G106" s="456"/>
      <c r="H106" s="170"/>
      <c r="I106" s="158"/>
    </row>
    <row r="107" spans="3:9" ht="25.5" x14ac:dyDescent="0.2">
      <c r="C107" s="485" t="s">
        <v>3858</v>
      </c>
      <c r="E107" s="55"/>
      <c r="F107" s="55"/>
      <c r="G107" s="456"/>
      <c r="H107" s="170"/>
      <c r="I107" s="158"/>
    </row>
    <row r="108" spans="3:9" ht="38.25" x14ac:dyDescent="0.2">
      <c r="C108" s="485" t="s">
        <v>3859</v>
      </c>
      <c r="E108" s="55"/>
      <c r="F108" s="55"/>
      <c r="G108" s="456"/>
      <c r="H108" s="170"/>
      <c r="I108" s="158"/>
    </row>
    <row r="109" spans="3:9" ht="28.15" customHeight="1" x14ac:dyDescent="0.2">
      <c r="C109" s="609" t="s">
        <v>3860</v>
      </c>
      <c r="E109" s="55"/>
      <c r="F109" s="55"/>
      <c r="G109" s="456"/>
      <c r="H109" s="170"/>
      <c r="I109" s="790"/>
    </row>
    <row r="110" spans="3:9" ht="51" x14ac:dyDescent="0.2">
      <c r="C110" s="485" t="s">
        <v>3861</v>
      </c>
      <c r="E110" s="55"/>
      <c r="F110" s="55"/>
      <c r="G110" s="456"/>
      <c r="H110" s="170"/>
      <c r="I110" s="158"/>
    </row>
    <row r="111" spans="3:9" ht="25.5" x14ac:dyDescent="0.2">
      <c r="C111" s="485" t="s">
        <v>3862</v>
      </c>
      <c r="E111" s="55"/>
      <c r="F111" s="55"/>
      <c r="G111" s="456"/>
      <c r="H111" s="170"/>
      <c r="I111" s="158"/>
    </row>
    <row r="112" spans="3:9" ht="38.25" x14ac:dyDescent="0.2">
      <c r="C112" s="609" t="s">
        <v>3863</v>
      </c>
      <c r="E112" s="55"/>
      <c r="F112" s="55"/>
      <c r="G112" s="456"/>
      <c r="H112" s="170"/>
      <c r="I112" s="158"/>
    </row>
    <row r="113" spans="2:11" x14ac:dyDescent="0.2">
      <c r="C113" s="188" t="s">
        <v>1085</v>
      </c>
      <c r="E113" s="95"/>
      <c r="F113" s="95"/>
      <c r="G113" s="441"/>
      <c r="H113" s="170"/>
      <c r="I113" s="217" t="s">
        <v>500</v>
      </c>
    </row>
    <row r="114" spans="2:11" ht="7.5" customHeight="1" x14ac:dyDescent="0.2">
      <c r="E114" s="95"/>
      <c r="F114" s="95"/>
      <c r="G114" s="95"/>
      <c r="H114" s="170"/>
      <c r="I114" s="158"/>
    </row>
    <row r="115" spans="2:11" ht="12.75" customHeight="1" x14ac:dyDescent="0.2">
      <c r="B115" s="67" t="s">
        <v>931</v>
      </c>
      <c r="C115" s="4" t="s">
        <v>992</v>
      </c>
      <c r="E115" s="95"/>
      <c r="F115" s="95"/>
      <c r="G115" s="95"/>
      <c r="H115" s="170"/>
      <c r="I115" s="158"/>
    </row>
    <row r="116" spans="2:11" x14ac:dyDescent="0.2">
      <c r="C116" s="161" t="s">
        <v>1000</v>
      </c>
      <c r="D116" s="161"/>
      <c r="F116" s="1"/>
      <c r="G116" s="441"/>
      <c r="H116" s="1"/>
      <c r="I116" s="181"/>
    </row>
    <row r="117" spans="2:11" ht="12.75" customHeight="1" x14ac:dyDescent="0.2">
      <c r="C117" s="161" t="s">
        <v>993</v>
      </c>
      <c r="D117" s="161"/>
      <c r="E117" s="437"/>
      <c r="F117" s="1"/>
      <c r="H117" s="1"/>
      <c r="I117" s="181" t="s">
        <v>632</v>
      </c>
    </row>
    <row r="118" spans="2:11" x14ac:dyDescent="0.2">
      <c r="C118" s="161" t="s">
        <v>799</v>
      </c>
      <c r="D118" s="161"/>
      <c r="E118" s="437"/>
      <c r="F118" s="1"/>
      <c r="H118" s="1"/>
      <c r="I118" s="181" t="s">
        <v>1087</v>
      </c>
    </row>
    <row r="119" spans="2:11" x14ac:dyDescent="0.2">
      <c r="C119" s="161" t="s">
        <v>798</v>
      </c>
      <c r="D119" s="161"/>
      <c r="F119" s="1"/>
      <c r="G119" s="441"/>
      <c r="H119" s="1"/>
      <c r="I119" s="181"/>
    </row>
    <row r="120" spans="2:11" x14ac:dyDescent="0.2">
      <c r="C120" s="161" t="s">
        <v>58</v>
      </c>
      <c r="D120" s="161"/>
      <c r="F120" s="1"/>
      <c r="G120" s="441"/>
      <c r="H120" s="1"/>
      <c r="I120" s="182" t="s">
        <v>97</v>
      </c>
    </row>
    <row r="121" spans="2:11" ht="22.5" x14ac:dyDescent="0.2">
      <c r="C121" s="161" t="s">
        <v>983</v>
      </c>
      <c r="D121" s="161"/>
      <c r="E121" s="437"/>
      <c r="F121" s="1"/>
      <c r="H121" s="1"/>
      <c r="I121" s="180" t="s">
        <v>587</v>
      </c>
    </row>
    <row r="122" spans="2:11" ht="7.5" customHeight="1" x14ac:dyDescent="0.2">
      <c r="B122" s="50"/>
      <c r="C122" s="161"/>
      <c r="D122" s="161"/>
      <c r="F122" s="1"/>
      <c r="G122" s="1"/>
      <c r="H122" s="1"/>
      <c r="I122" s="1"/>
    </row>
    <row r="123" spans="2:11" ht="24.75" customHeight="1" x14ac:dyDescent="0.2">
      <c r="B123" s="67" t="s">
        <v>932</v>
      </c>
      <c r="C123" s="1056" t="s">
        <v>1088</v>
      </c>
      <c r="D123" s="1058"/>
      <c r="F123" s="1"/>
      <c r="H123" s="1"/>
      <c r="I123" s="181" t="s">
        <v>1089</v>
      </c>
    </row>
    <row r="124" spans="2:11" ht="21.75" customHeight="1" x14ac:dyDescent="0.2">
      <c r="B124" s="67"/>
      <c r="C124" s="1057"/>
      <c r="D124" s="1058"/>
      <c r="F124" s="1"/>
      <c r="H124" s="1"/>
      <c r="I124" s="181"/>
    </row>
    <row r="125" spans="2:11" x14ac:dyDescent="0.2">
      <c r="B125" s="50"/>
      <c r="C125" s="214" t="s">
        <v>352</v>
      </c>
      <c r="D125" s="215">
        <f>G116-E117-E118+G119+G120-E121</f>
        <v>0</v>
      </c>
      <c r="F125" s="1"/>
      <c r="G125" s="1"/>
      <c r="H125" s="1"/>
      <c r="I125" s="1"/>
    </row>
    <row r="126" spans="2:11" ht="36" customHeight="1" thickBot="1" x14ac:dyDescent="0.25">
      <c r="C126" s="162" t="s">
        <v>353</v>
      </c>
      <c r="D126" s="234">
        <f>D123-D125</f>
        <v>0</v>
      </c>
      <c r="E126" s="8"/>
      <c r="F126" s="216"/>
      <c r="G126" s="195">
        <f>D126</f>
        <v>0</v>
      </c>
      <c r="H126" s="1"/>
      <c r="I126" s="221" t="s">
        <v>534</v>
      </c>
    </row>
    <row r="127" spans="2:11" ht="18.75" customHeight="1" thickTop="1" thickBot="1" x14ac:dyDescent="0.25">
      <c r="C127" s="162"/>
      <c r="D127" s="761"/>
      <c r="E127" s="218">
        <f>SUM(E77:E126)</f>
        <v>0</v>
      </c>
      <c r="F127" s="1"/>
      <c r="G127" s="94">
        <f>SUM(G96:G126)</f>
        <v>0</v>
      </c>
      <c r="H127" s="1"/>
      <c r="I127" s="222" t="s">
        <v>535</v>
      </c>
      <c r="K127" s="521">
        <f>G127-E127</f>
        <v>0</v>
      </c>
    </row>
    <row r="128" spans="2:11" ht="13.5" thickTop="1" x14ac:dyDescent="0.2">
      <c r="C128" s="162"/>
      <c r="D128" s="162"/>
      <c r="F128" s="1"/>
      <c r="G128" s="1"/>
      <c r="H128" s="1"/>
      <c r="I128" s="1"/>
    </row>
    <row r="129" spans="1:12" ht="15" customHeight="1" x14ac:dyDescent="0.2">
      <c r="A129" s="4" t="s">
        <v>459</v>
      </c>
      <c r="B129" s="1069" t="s">
        <v>1090</v>
      </c>
      <c r="C129" s="1070"/>
      <c r="D129" s="1070"/>
      <c r="E129" s="1070"/>
      <c r="F129" s="1070"/>
      <c r="G129" s="1070"/>
      <c r="H129" s="1070"/>
      <c r="I129" s="1071"/>
    </row>
    <row r="130" spans="1:12" ht="25.5" customHeight="1" x14ac:dyDescent="0.2">
      <c r="B130" s="1072"/>
      <c r="C130" s="1073"/>
      <c r="D130" s="1073"/>
      <c r="E130" s="1073"/>
      <c r="F130" s="1073"/>
      <c r="G130" s="1073"/>
      <c r="H130" s="1073"/>
      <c r="I130" s="1074"/>
    </row>
    <row r="131" spans="1:12" x14ac:dyDescent="0.2">
      <c r="E131" s="1"/>
      <c r="F131" s="1"/>
      <c r="G131" s="170"/>
      <c r="H131" s="170"/>
      <c r="I131" s="158"/>
    </row>
    <row r="132" spans="1:12" ht="12.75" customHeight="1" x14ac:dyDescent="0.2">
      <c r="B132" s="50" t="s">
        <v>930</v>
      </c>
      <c r="C132" s="1023" t="s">
        <v>1020</v>
      </c>
      <c r="D132" s="1023"/>
      <c r="E132" s="1023"/>
      <c r="F132" s="1"/>
      <c r="G132" s="1054"/>
      <c r="H132" s="170"/>
      <c r="I132" s="158"/>
    </row>
    <row r="133" spans="1:12" ht="47.25" customHeight="1" x14ac:dyDescent="0.2">
      <c r="C133" s="1023"/>
      <c r="D133" s="1023"/>
      <c r="E133" s="1023"/>
      <c r="F133" s="1"/>
      <c r="G133" s="1054"/>
      <c r="H133" s="170"/>
      <c r="I133" s="158"/>
    </row>
    <row r="134" spans="1:12" x14ac:dyDescent="0.2">
      <c r="E134" s="1"/>
      <c r="F134" s="1"/>
      <c r="G134" s="170"/>
      <c r="H134" s="170"/>
      <c r="I134" s="185" t="s">
        <v>648</v>
      </c>
    </row>
    <row r="135" spans="1:12" x14ac:dyDescent="0.2">
      <c r="B135" s="50" t="s">
        <v>931</v>
      </c>
      <c r="C135" s="1023" t="s">
        <v>774</v>
      </c>
      <c r="D135" s="1023"/>
      <c r="E135" s="1023"/>
      <c r="F135" s="1"/>
      <c r="G135" s="1054"/>
      <c r="H135" s="170"/>
      <c r="I135" s="158"/>
    </row>
    <row r="136" spans="1:12" ht="44.25" customHeight="1" x14ac:dyDescent="0.2">
      <c r="C136" s="1023"/>
      <c r="D136" s="1023"/>
      <c r="E136" s="1023"/>
      <c r="F136" s="1"/>
      <c r="G136" s="1054"/>
      <c r="H136" s="170"/>
      <c r="I136" s="158"/>
    </row>
    <row r="137" spans="1:12" x14ac:dyDescent="0.2">
      <c r="E137" s="1"/>
      <c r="F137" s="1"/>
      <c r="G137" s="170"/>
      <c r="H137" s="170"/>
      <c r="I137" s="158"/>
    </row>
    <row r="138" spans="1:12" ht="13.5" customHeight="1" x14ac:dyDescent="0.2">
      <c r="A138" s="4" t="s">
        <v>465</v>
      </c>
      <c r="B138" s="1060" t="s">
        <v>634</v>
      </c>
      <c r="C138" s="1061"/>
      <c r="D138" s="1061"/>
      <c r="E138" s="1061"/>
      <c r="F138" s="1061"/>
      <c r="G138" s="1061"/>
      <c r="H138" s="1061"/>
      <c r="I138" s="1062"/>
      <c r="J138" s="1"/>
      <c r="K138" s="1"/>
      <c r="L138" s="1"/>
    </row>
    <row r="139" spans="1:12" ht="12" customHeight="1" x14ac:dyDescent="0.2">
      <c r="B139" s="1063"/>
      <c r="C139" s="1064"/>
      <c r="D139" s="1064"/>
      <c r="E139" s="1064"/>
      <c r="F139" s="1064"/>
      <c r="G139" s="1064"/>
      <c r="H139" s="1064"/>
      <c r="I139" s="1065"/>
      <c r="J139" s="1"/>
      <c r="K139" s="1"/>
      <c r="L139" s="1"/>
    </row>
    <row r="140" spans="1:12" ht="5.25" customHeight="1" x14ac:dyDescent="0.2">
      <c r="C140" s="172"/>
      <c r="D140" s="172"/>
      <c r="E140" s="157"/>
      <c r="F140" s="157"/>
      <c r="G140" s="157"/>
      <c r="H140" s="157"/>
      <c r="I140" s="157"/>
      <c r="J140" s="1"/>
      <c r="K140" s="1"/>
      <c r="L140" s="1"/>
    </row>
    <row r="141" spans="1:12" ht="37.5" customHeight="1" x14ac:dyDescent="0.2">
      <c r="C141" s="187" t="s">
        <v>192</v>
      </c>
      <c r="D141" s="187"/>
      <c r="E141" s="173" t="s">
        <v>588</v>
      </c>
      <c r="F141" s="171"/>
      <c r="G141" s="173" t="s">
        <v>589</v>
      </c>
      <c r="H141" s="171"/>
      <c r="I141" s="157"/>
      <c r="J141" s="1"/>
      <c r="K141" s="1"/>
      <c r="L141" s="1"/>
    </row>
    <row r="142" spans="1:12" x14ac:dyDescent="0.2">
      <c r="E142" s="1"/>
      <c r="F142" s="10"/>
      <c r="G142" s="1"/>
      <c r="H142" s="1"/>
      <c r="I142" s="1"/>
      <c r="J142" s="1"/>
      <c r="K142" s="1"/>
      <c r="L142" s="1"/>
    </row>
    <row r="143" spans="1:12" x14ac:dyDescent="0.2">
      <c r="C143" t="str">
        <f>+$C43</f>
        <v>General government</v>
      </c>
      <c r="E143" s="344">
        <f>D$126*G43</f>
        <v>0</v>
      </c>
      <c r="F143" s="1"/>
      <c r="G143" s="1"/>
      <c r="H143" s="1"/>
      <c r="I143" s="1"/>
      <c r="J143" s="1"/>
      <c r="K143" s="1"/>
      <c r="L143" s="1"/>
    </row>
    <row r="144" spans="1:12" x14ac:dyDescent="0.2">
      <c r="C144" t="str">
        <f>+C44</f>
        <v>Public safety</v>
      </c>
      <c r="E144" s="344">
        <f>D$126*G44</f>
        <v>0</v>
      </c>
      <c r="F144" s="1"/>
      <c r="G144" s="1"/>
      <c r="H144" s="1"/>
      <c r="I144" s="1"/>
      <c r="J144" s="1"/>
      <c r="K144" s="1"/>
      <c r="L144" s="1"/>
    </row>
    <row r="145" spans="1:12" x14ac:dyDescent="0.2">
      <c r="C145" t="str">
        <f>+C45</f>
        <v>Transportation</v>
      </c>
      <c r="E145" s="344"/>
      <c r="F145" s="1"/>
      <c r="G145" s="1"/>
      <c r="H145" s="1"/>
      <c r="I145" s="1"/>
      <c r="J145" s="1"/>
      <c r="K145" s="1"/>
      <c r="L145" s="1"/>
    </row>
    <row r="146" spans="1:12" x14ac:dyDescent="0.2">
      <c r="C146" t="s">
        <v>474</v>
      </c>
      <c r="E146" s="344">
        <f>D$126*G46</f>
        <v>0</v>
      </c>
      <c r="F146" s="1"/>
      <c r="G146" s="1"/>
      <c r="H146" s="1"/>
      <c r="I146" s="1"/>
      <c r="J146" s="1"/>
      <c r="K146" s="1"/>
      <c r="L146" s="1"/>
    </row>
    <row r="147" spans="1:12" x14ac:dyDescent="0.2">
      <c r="C147" t="s">
        <v>463</v>
      </c>
      <c r="E147" s="344">
        <f>D$126*G47</f>
        <v>0</v>
      </c>
      <c r="F147" s="1"/>
      <c r="G147" s="1"/>
      <c r="H147" s="1"/>
      <c r="I147" s="1"/>
      <c r="J147" s="1"/>
      <c r="K147" s="1"/>
      <c r="L147" s="1"/>
    </row>
    <row r="148" spans="1:12" x14ac:dyDescent="0.2">
      <c r="C148" t="s">
        <v>974</v>
      </c>
      <c r="E148" s="344">
        <f>D$126*G48</f>
        <v>0</v>
      </c>
      <c r="F148" s="1"/>
      <c r="G148" s="1"/>
      <c r="H148" s="1"/>
      <c r="I148" s="6"/>
      <c r="J148" s="1"/>
      <c r="K148" s="1"/>
      <c r="L148" s="1"/>
    </row>
    <row r="149" spans="1:12" x14ac:dyDescent="0.2">
      <c r="C149" t="s">
        <v>910</v>
      </c>
      <c r="E149" s="344">
        <f>D$126*G49</f>
        <v>0</v>
      </c>
      <c r="F149" s="1"/>
      <c r="G149" s="1"/>
      <c r="H149" s="1"/>
      <c r="I149" s="219"/>
      <c r="J149" s="1"/>
      <c r="K149" s="1"/>
      <c r="L149" s="1"/>
    </row>
    <row r="150" spans="1:12" ht="12.75" customHeight="1" x14ac:dyDescent="0.2">
      <c r="C150" s="415" t="s">
        <v>201</v>
      </c>
      <c r="E150" s="344">
        <f>D$126*G50</f>
        <v>0</v>
      </c>
      <c r="F150" s="1"/>
      <c r="G150" s="1"/>
      <c r="H150" s="1"/>
      <c r="J150" s="1"/>
      <c r="K150" s="1"/>
      <c r="L150" s="1"/>
    </row>
    <row r="151" spans="1:12" ht="12.75" customHeight="1" x14ac:dyDescent="0.2">
      <c r="E151" s="1"/>
      <c r="F151" s="1"/>
      <c r="G151" s="1"/>
      <c r="H151" s="1"/>
      <c r="I151" s="1000" t="s">
        <v>2075</v>
      </c>
      <c r="J151" s="1"/>
      <c r="K151" s="1"/>
      <c r="L151" s="1"/>
    </row>
    <row r="152" spans="1:12" ht="12" customHeight="1" x14ac:dyDescent="0.2">
      <c r="C152" t="str">
        <f>+C55</f>
        <v>Water and sewer</v>
      </c>
      <c r="E152" s="1"/>
      <c r="F152" s="1"/>
      <c r="G152" s="344">
        <f>ROUND(D$126*G55,0)</f>
        <v>0</v>
      </c>
      <c r="H152" s="1"/>
      <c r="I152" s="881"/>
      <c r="J152" s="1"/>
      <c r="K152" s="1"/>
      <c r="L152" s="1"/>
    </row>
    <row r="153" spans="1:12" x14ac:dyDescent="0.2">
      <c r="C153" t="str">
        <f>+C56</f>
        <v>Electric</v>
      </c>
      <c r="E153" s="1"/>
      <c r="F153" s="1"/>
      <c r="G153" s="344">
        <f>ROUND(D$126*G56,0)</f>
        <v>0</v>
      </c>
      <c r="H153" s="1"/>
      <c r="I153" s="881"/>
      <c r="J153" s="1"/>
      <c r="K153" s="1"/>
      <c r="L153" s="1"/>
    </row>
    <row r="154" spans="1:12" x14ac:dyDescent="0.2">
      <c r="C154" s="415" t="s">
        <v>918</v>
      </c>
      <c r="E154" s="1"/>
      <c r="F154" s="1"/>
      <c r="G154" s="344">
        <f>D$126*G57</f>
        <v>0</v>
      </c>
      <c r="H154" s="1"/>
      <c r="I154" s="881"/>
      <c r="J154" s="1"/>
      <c r="K154" s="1"/>
      <c r="L154" s="1"/>
    </row>
    <row r="155" spans="1:12" x14ac:dyDescent="0.2">
      <c r="C155" s="415" t="s">
        <v>919</v>
      </c>
      <c r="E155" s="1"/>
      <c r="F155" s="1"/>
      <c r="G155" s="344">
        <f>D$126*G58</f>
        <v>0</v>
      </c>
      <c r="H155" s="1"/>
      <c r="I155" s="955"/>
      <c r="J155" s="1"/>
      <c r="K155" s="1"/>
      <c r="L155" s="1"/>
    </row>
    <row r="156" spans="1:12" ht="13.5" thickBot="1" x14ac:dyDescent="0.25">
      <c r="C156" s="161" t="s">
        <v>590</v>
      </c>
      <c r="D156" s="161"/>
      <c r="E156" s="94">
        <f>ROUND(SUM(E143:E155),0)</f>
        <v>0</v>
      </c>
      <c r="F156" s="1"/>
      <c r="G156" s="94">
        <f>SUM(G152:G155)</f>
        <v>0</v>
      </c>
      <c r="H156" s="223" t="s">
        <v>929</v>
      </c>
      <c r="I156" s="94">
        <f>SUM(E156:G156)</f>
        <v>0</v>
      </c>
      <c r="J156" s="1"/>
      <c r="K156" s="1"/>
      <c r="L156" s="1"/>
    </row>
    <row r="157" spans="1:12" ht="13.5" thickTop="1" x14ac:dyDescent="0.2">
      <c r="E157" s="1"/>
      <c r="F157" s="1"/>
      <c r="G157" s="1"/>
      <c r="H157" s="1"/>
      <c r="I157" s="158"/>
    </row>
    <row r="158" spans="1:12" ht="25.5" customHeight="1" x14ac:dyDescent="0.2">
      <c r="A158" s="4" t="s">
        <v>481</v>
      </c>
      <c r="B158" s="959" t="s">
        <v>583</v>
      </c>
      <c r="C158" s="960"/>
      <c r="D158" s="960"/>
      <c r="E158" s="960"/>
      <c r="F158" s="960"/>
      <c r="G158" s="960"/>
      <c r="H158" s="960"/>
      <c r="I158" s="961"/>
    </row>
    <row r="159" spans="1:12" ht="12.75" customHeight="1" x14ac:dyDescent="0.2">
      <c r="E159" s="1"/>
      <c r="F159" s="1"/>
      <c r="G159" s="1"/>
      <c r="H159" s="1"/>
      <c r="I159" s="158"/>
    </row>
    <row r="160" spans="1:12" x14ac:dyDescent="0.2">
      <c r="E160" s="3" t="s">
        <v>64</v>
      </c>
      <c r="F160" s="55"/>
      <c r="G160" s="3" t="s">
        <v>65</v>
      </c>
      <c r="H160" s="55"/>
    </row>
    <row r="161" spans="1:9" x14ac:dyDescent="0.2">
      <c r="E161" s="202"/>
      <c r="F161" s="55"/>
      <c r="G161" s="206"/>
      <c r="H161" s="55"/>
      <c r="I161" s="183"/>
    </row>
    <row r="162" spans="1:9" x14ac:dyDescent="0.2">
      <c r="A162" s="188" t="s">
        <v>98</v>
      </c>
      <c r="C162" t="s">
        <v>591</v>
      </c>
      <c r="E162" s="83">
        <f t="shared" ref="E162:E180" si="1">E77</f>
        <v>0</v>
      </c>
      <c r="G162" s="79"/>
    </row>
    <row r="163" spans="1:9" x14ac:dyDescent="0.2">
      <c r="C163" t="s">
        <v>833</v>
      </c>
      <c r="E163" s="83">
        <f t="shared" si="1"/>
        <v>0</v>
      </c>
      <c r="G163" s="79"/>
    </row>
    <row r="164" spans="1:9" x14ac:dyDescent="0.2">
      <c r="C164" t="s">
        <v>733</v>
      </c>
      <c r="E164" s="83">
        <f t="shared" si="1"/>
        <v>0</v>
      </c>
      <c r="G164" s="79"/>
    </row>
    <row r="165" spans="1:9" x14ac:dyDescent="0.2">
      <c r="C165" t="s">
        <v>194</v>
      </c>
      <c r="E165" s="83">
        <f t="shared" si="1"/>
        <v>0</v>
      </c>
      <c r="G165" s="79"/>
    </row>
    <row r="166" spans="1:9" x14ac:dyDescent="0.2">
      <c r="C166" t="s">
        <v>736</v>
      </c>
      <c r="E166" s="83">
        <f t="shared" si="1"/>
        <v>0</v>
      </c>
      <c r="G166" s="79"/>
    </row>
    <row r="167" spans="1:9" x14ac:dyDescent="0.2">
      <c r="C167" t="s">
        <v>737</v>
      </c>
      <c r="E167" s="83">
        <f t="shared" si="1"/>
        <v>0</v>
      </c>
      <c r="G167" s="79"/>
    </row>
    <row r="168" spans="1:9" x14ac:dyDescent="0.2">
      <c r="C168" t="s">
        <v>2047</v>
      </c>
      <c r="E168" s="83">
        <f t="shared" si="1"/>
        <v>0</v>
      </c>
      <c r="G168" s="79"/>
    </row>
    <row r="169" spans="1:9" x14ac:dyDescent="0.2">
      <c r="C169" t="s">
        <v>469</v>
      </c>
      <c r="E169" s="83">
        <f t="shared" si="1"/>
        <v>0</v>
      </c>
      <c r="G169" s="79"/>
    </row>
    <row r="170" spans="1:9" x14ac:dyDescent="0.2">
      <c r="C170" t="s">
        <v>470</v>
      </c>
      <c r="E170" s="83">
        <f t="shared" si="1"/>
        <v>0</v>
      </c>
      <c r="G170" s="79"/>
    </row>
    <row r="171" spans="1:9" x14ac:dyDescent="0.2">
      <c r="C171" t="s">
        <v>467</v>
      </c>
      <c r="E171" s="83">
        <f t="shared" si="1"/>
        <v>0</v>
      </c>
      <c r="G171" s="79"/>
    </row>
    <row r="172" spans="1:9" x14ac:dyDescent="0.2">
      <c r="C172" t="s">
        <v>592</v>
      </c>
      <c r="E172" s="83">
        <f t="shared" si="1"/>
        <v>0</v>
      </c>
      <c r="G172" s="79"/>
      <c r="I172" s="6" t="s">
        <v>585</v>
      </c>
    </row>
    <row r="173" spans="1:9" ht="38.25" x14ac:dyDescent="0.2">
      <c r="C173" s="46" t="str">
        <f>C88</f>
        <v>LGERS - Deferred outflows of resources contributions made to pension plan subsequent to measurement date</v>
      </c>
      <c r="E173" s="83">
        <f t="shared" si="1"/>
        <v>0</v>
      </c>
      <c r="G173" s="79"/>
      <c r="I173" s="6"/>
    </row>
    <row r="174" spans="1:9" ht="25.5" x14ac:dyDescent="0.2">
      <c r="C174" s="577" t="s">
        <v>3852</v>
      </c>
      <c r="E174" s="83">
        <f t="shared" si="1"/>
        <v>0</v>
      </c>
      <c r="G174" s="79"/>
      <c r="I174" s="6"/>
    </row>
    <row r="175" spans="1:9" ht="38.25" x14ac:dyDescent="0.2">
      <c r="C175" s="577" t="s">
        <v>3853</v>
      </c>
      <c r="E175" s="83">
        <f t="shared" si="1"/>
        <v>0</v>
      </c>
      <c r="G175" s="79"/>
      <c r="I175" s="6"/>
    </row>
    <row r="176" spans="1:9" ht="31.15" customHeight="1" x14ac:dyDescent="0.2">
      <c r="C176" s="577" t="s">
        <v>3854</v>
      </c>
      <c r="E176" s="83">
        <f t="shared" si="1"/>
        <v>0</v>
      </c>
      <c r="G176" s="79"/>
      <c r="I176" s="6"/>
    </row>
    <row r="177" spans="3:9" ht="51" x14ac:dyDescent="0.2">
      <c r="C177" s="577" t="s">
        <v>3855</v>
      </c>
      <c r="E177" s="83">
        <f t="shared" si="1"/>
        <v>0</v>
      </c>
      <c r="G177" s="79"/>
      <c r="I177" s="6"/>
    </row>
    <row r="178" spans="3:9" ht="38.25" x14ac:dyDescent="0.2">
      <c r="C178" s="46" t="s">
        <v>3866</v>
      </c>
      <c r="E178" s="83">
        <f t="shared" si="1"/>
        <v>0</v>
      </c>
      <c r="G178" s="79"/>
      <c r="I178" s="6"/>
    </row>
    <row r="179" spans="3:9" ht="25.5" x14ac:dyDescent="0.2">
      <c r="C179" s="577" t="s">
        <v>3856</v>
      </c>
      <c r="E179" s="83">
        <f t="shared" si="1"/>
        <v>0</v>
      </c>
      <c r="G179" s="79"/>
      <c r="I179" s="6"/>
    </row>
    <row r="180" spans="3:9" ht="38.25" x14ac:dyDescent="0.2">
      <c r="C180" s="577" t="s">
        <v>3857</v>
      </c>
      <c r="E180" s="83">
        <f t="shared" si="1"/>
        <v>0</v>
      </c>
      <c r="G180" s="79"/>
      <c r="I180" s="6"/>
    </row>
    <row r="181" spans="3:9" x14ac:dyDescent="0.2">
      <c r="C181" t="s">
        <v>593</v>
      </c>
      <c r="E181" s="79"/>
      <c r="G181" s="83">
        <f t="shared" ref="G181:G197" si="2">G96</f>
        <v>0</v>
      </c>
    </row>
    <row r="182" spans="3:9" x14ac:dyDescent="0.2">
      <c r="C182" t="s">
        <v>594</v>
      </c>
      <c r="E182" s="79"/>
      <c r="G182" s="83">
        <f t="shared" si="2"/>
        <v>0</v>
      </c>
    </row>
    <row r="183" spans="3:9" x14ac:dyDescent="0.2">
      <c r="C183" t="s">
        <v>595</v>
      </c>
      <c r="E183" s="79"/>
      <c r="G183" s="83">
        <f t="shared" si="2"/>
        <v>0</v>
      </c>
    </row>
    <row r="184" spans="3:9" x14ac:dyDescent="0.2">
      <c r="C184" t="s">
        <v>596</v>
      </c>
      <c r="E184" s="79"/>
      <c r="G184" s="83">
        <f t="shared" si="2"/>
        <v>0</v>
      </c>
    </row>
    <row r="185" spans="3:9" x14ac:dyDescent="0.2">
      <c r="C185" s="161" t="s">
        <v>738</v>
      </c>
      <c r="E185" s="79"/>
      <c r="G185" s="83">
        <f t="shared" si="2"/>
        <v>0</v>
      </c>
    </row>
    <row r="186" spans="3:9" x14ac:dyDescent="0.2">
      <c r="C186" s="161" t="s">
        <v>193</v>
      </c>
      <c r="E186" s="79"/>
      <c r="G186" s="83">
        <f t="shared" si="2"/>
        <v>0</v>
      </c>
    </row>
    <row r="187" spans="3:9" x14ac:dyDescent="0.2">
      <c r="C187" t="s">
        <v>580</v>
      </c>
      <c r="E187" s="79"/>
      <c r="G187" s="83">
        <f t="shared" si="2"/>
        <v>0</v>
      </c>
    </row>
    <row r="188" spans="3:9" x14ac:dyDescent="0.2">
      <c r="C188" t="s">
        <v>646</v>
      </c>
      <c r="E188" s="79"/>
      <c r="G188" s="83">
        <f t="shared" si="2"/>
        <v>0</v>
      </c>
    </row>
    <row r="189" spans="3:9" x14ac:dyDescent="0.2">
      <c r="C189" s="161" t="s">
        <v>2537</v>
      </c>
      <c r="E189" s="79"/>
      <c r="G189" s="83">
        <f t="shared" si="2"/>
        <v>0</v>
      </c>
    </row>
    <row r="190" spans="3:9" x14ac:dyDescent="0.2">
      <c r="C190" t="s">
        <v>15</v>
      </c>
      <c r="E190" s="79"/>
      <c r="G190" s="83">
        <f t="shared" si="2"/>
        <v>0</v>
      </c>
    </row>
    <row r="191" spans="3:9" x14ac:dyDescent="0.2">
      <c r="C191" t="s">
        <v>850</v>
      </c>
      <c r="E191" s="79"/>
      <c r="G191" s="83">
        <f t="shared" si="2"/>
        <v>0</v>
      </c>
    </row>
    <row r="192" spans="3:9" ht="25.5" x14ac:dyDescent="0.2">
      <c r="C192" s="485" t="s">
        <v>2076</v>
      </c>
      <c r="E192" s="79"/>
      <c r="G192" s="83">
        <f t="shared" si="2"/>
        <v>0</v>
      </c>
    </row>
    <row r="193" spans="3:9" ht="38.25" x14ac:dyDescent="0.2">
      <c r="C193" s="485" t="s">
        <v>2077</v>
      </c>
      <c r="E193" s="79"/>
      <c r="G193" s="83">
        <f t="shared" si="2"/>
        <v>0</v>
      </c>
    </row>
    <row r="194" spans="3:9" ht="29.45" customHeight="1" x14ac:dyDescent="0.2">
      <c r="C194" s="609" t="s">
        <v>2078</v>
      </c>
      <c r="E194" s="79"/>
      <c r="G194" s="83">
        <f t="shared" si="2"/>
        <v>0</v>
      </c>
    </row>
    <row r="195" spans="3:9" ht="51" x14ac:dyDescent="0.2">
      <c r="C195" s="485" t="s">
        <v>2079</v>
      </c>
      <c r="E195" s="79"/>
      <c r="G195" s="83">
        <f t="shared" si="2"/>
        <v>0</v>
      </c>
    </row>
    <row r="196" spans="3:9" ht="25.5" x14ac:dyDescent="0.2">
      <c r="C196" s="485" t="s">
        <v>3862</v>
      </c>
      <c r="E196" s="79"/>
      <c r="G196" s="83">
        <f t="shared" si="2"/>
        <v>0</v>
      </c>
    </row>
    <row r="197" spans="3:9" ht="38.25" x14ac:dyDescent="0.2">
      <c r="C197" s="609" t="s">
        <v>3863</v>
      </c>
      <c r="E197" s="79"/>
      <c r="G197" s="83">
        <f t="shared" si="2"/>
        <v>0</v>
      </c>
    </row>
    <row r="198" spans="3:9" x14ac:dyDescent="0.2">
      <c r="C198" t="s">
        <v>852</v>
      </c>
      <c r="E198" s="11"/>
      <c r="G198" s="11">
        <f>G113+G135</f>
        <v>0</v>
      </c>
    </row>
    <row r="199" spans="3:9" ht="6" customHeight="1" x14ac:dyDescent="0.2">
      <c r="E199" s="79"/>
      <c r="G199" s="79"/>
    </row>
    <row r="200" spans="3:9" x14ac:dyDescent="0.2">
      <c r="C200" t="s">
        <v>582</v>
      </c>
      <c r="E200" s="79"/>
      <c r="G200" s="11">
        <f>G116</f>
        <v>0</v>
      </c>
    </row>
    <row r="201" spans="3:9" x14ac:dyDescent="0.2">
      <c r="C201" t="s">
        <v>597</v>
      </c>
      <c r="E201" s="79"/>
      <c r="G201" s="11">
        <f>G120</f>
        <v>0</v>
      </c>
    </row>
    <row r="202" spans="3:9" x14ac:dyDescent="0.2">
      <c r="C202" t="s">
        <v>598</v>
      </c>
      <c r="E202" s="11">
        <f>E121</f>
        <v>0</v>
      </c>
      <c r="G202" s="79"/>
      <c r="I202" s="6" t="s">
        <v>432</v>
      </c>
    </row>
    <row r="203" spans="3:9" x14ac:dyDescent="0.2">
      <c r="C203" t="s">
        <v>853</v>
      </c>
      <c r="E203" s="11">
        <f>E117</f>
        <v>0</v>
      </c>
      <c r="G203" s="79"/>
    </row>
    <row r="204" spans="3:9" x14ac:dyDescent="0.2">
      <c r="C204" t="s">
        <v>430</v>
      </c>
      <c r="E204" s="11"/>
      <c r="G204" s="11">
        <f>G119</f>
        <v>0</v>
      </c>
    </row>
    <row r="205" spans="3:9" x14ac:dyDescent="0.2">
      <c r="C205" t="s">
        <v>431</v>
      </c>
      <c r="E205" s="11">
        <f>E118</f>
        <v>0</v>
      </c>
      <c r="G205" s="79"/>
    </row>
    <row r="206" spans="3:9" ht="6" customHeight="1" x14ac:dyDescent="0.2">
      <c r="E206" s="79"/>
      <c r="G206" s="79"/>
    </row>
    <row r="207" spans="3:9" x14ac:dyDescent="0.2">
      <c r="C207" s="161" t="s">
        <v>599</v>
      </c>
      <c r="D207" s="161"/>
      <c r="E207" s="11"/>
      <c r="G207" s="11">
        <f t="shared" ref="G207:G214" si="3">E143</f>
        <v>0</v>
      </c>
    </row>
    <row r="208" spans="3:9" x14ac:dyDescent="0.2">
      <c r="C208" s="161" t="s">
        <v>685</v>
      </c>
      <c r="D208" s="161"/>
      <c r="E208" s="11"/>
      <c r="G208" s="11">
        <f t="shared" si="3"/>
        <v>0</v>
      </c>
    </row>
    <row r="209" spans="3:9" x14ac:dyDescent="0.2">
      <c r="C209" s="161" t="s">
        <v>686</v>
      </c>
      <c r="D209" s="161"/>
      <c r="E209" s="11"/>
      <c r="G209" s="11">
        <f t="shared" si="3"/>
        <v>0</v>
      </c>
    </row>
    <row r="210" spans="3:9" x14ac:dyDescent="0.2">
      <c r="C210" t="s">
        <v>584</v>
      </c>
      <c r="E210" s="11"/>
      <c r="G210" s="11">
        <f t="shared" si="3"/>
        <v>0</v>
      </c>
    </row>
    <row r="211" spans="3:9" x14ac:dyDescent="0.2">
      <c r="C211" s="161" t="s">
        <v>688</v>
      </c>
      <c r="D211" s="161"/>
      <c r="E211" s="11"/>
      <c r="G211" s="11">
        <f t="shared" si="3"/>
        <v>0</v>
      </c>
      <c r="I211" s="6" t="s">
        <v>433</v>
      </c>
    </row>
    <row r="212" spans="3:9" x14ac:dyDescent="0.2">
      <c r="C212" s="161" t="s">
        <v>54</v>
      </c>
      <c r="D212" s="161"/>
      <c r="E212" s="11"/>
      <c r="G212" s="11">
        <f t="shared" si="3"/>
        <v>0</v>
      </c>
    </row>
    <row r="213" spans="3:9" x14ac:dyDescent="0.2">
      <c r="C213" s="161" t="s">
        <v>208</v>
      </c>
      <c r="D213" s="161"/>
      <c r="E213" s="11"/>
      <c r="G213" s="11">
        <f t="shared" si="3"/>
        <v>0</v>
      </c>
    </row>
    <row r="214" spans="3:9" x14ac:dyDescent="0.2">
      <c r="C214" s="471" t="s">
        <v>209</v>
      </c>
      <c r="D214" s="161"/>
      <c r="E214" s="11"/>
      <c r="G214" s="11">
        <f t="shared" si="3"/>
        <v>0</v>
      </c>
    </row>
    <row r="215" spans="3:9" x14ac:dyDescent="0.2">
      <c r="C215" s="161" t="s">
        <v>631</v>
      </c>
      <c r="D215" s="161"/>
      <c r="E215" s="11"/>
      <c r="G215" s="11">
        <f>G156+(G135)</f>
        <v>0</v>
      </c>
      <c r="I215" s="4"/>
    </row>
    <row r="216" spans="3:9" ht="6.75" customHeight="1" x14ac:dyDescent="0.2">
      <c r="C216" s="161"/>
      <c r="D216" s="161"/>
      <c r="E216" s="10"/>
      <c r="F216" s="1"/>
      <c r="G216" s="10"/>
    </row>
    <row r="217" spans="3:9" ht="13.5" thickBot="1" x14ac:dyDescent="0.25">
      <c r="C217" s="161"/>
      <c r="D217" s="161"/>
      <c r="E217" s="389">
        <f>SUM(E162:E215)</f>
        <v>0</v>
      </c>
      <c r="F217" s="1"/>
      <c r="G217" s="94">
        <f>SUM(G162:G215)</f>
        <v>0</v>
      </c>
    </row>
    <row r="218" spans="3:9" ht="18.75" customHeight="1" thickTop="1" x14ac:dyDescent="0.2">
      <c r="C218" s="161"/>
      <c r="D218" s="161"/>
      <c r="E218" s="10"/>
      <c r="F218" s="1"/>
      <c r="G218" s="10"/>
    </row>
    <row r="219" spans="3:9" x14ac:dyDescent="0.2">
      <c r="C219" s="987" t="s">
        <v>55</v>
      </c>
      <c r="D219" s="987"/>
      <c r="E219" t="s">
        <v>185</v>
      </c>
    </row>
    <row r="221" spans="3:9" x14ac:dyDescent="0.2">
      <c r="C221" t="s">
        <v>536</v>
      </c>
      <c r="E221" s="11">
        <f>G156+G132</f>
        <v>0</v>
      </c>
      <c r="G221" s="11"/>
    </row>
    <row r="222" spans="3:9" ht="12.75" customHeight="1" x14ac:dyDescent="0.2">
      <c r="C222" s="161" t="s">
        <v>56</v>
      </c>
      <c r="D222" s="161"/>
      <c r="E222" s="11"/>
      <c r="G222" s="11">
        <f>G152</f>
        <v>0</v>
      </c>
    </row>
    <row r="223" spans="3:9" ht="12.75" customHeight="1" x14ac:dyDescent="0.2">
      <c r="C223" s="161" t="s">
        <v>57</v>
      </c>
      <c r="D223" s="161"/>
      <c r="E223" s="11"/>
      <c r="G223" s="11">
        <f>G153</f>
        <v>0</v>
      </c>
      <c r="I223" s="1053" t="s">
        <v>702</v>
      </c>
    </row>
    <row r="224" spans="3:9" x14ac:dyDescent="0.2">
      <c r="C224" s="471" t="s">
        <v>672</v>
      </c>
      <c r="D224" s="161"/>
      <c r="E224" s="11"/>
      <c r="G224" s="11">
        <f>G154</f>
        <v>0</v>
      </c>
      <c r="I224" s="1053"/>
    </row>
    <row r="225" spans="3:9" x14ac:dyDescent="0.2">
      <c r="C225" s="471" t="s">
        <v>673</v>
      </c>
      <c r="D225" s="161"/>
      <c r="E225" s="11"/>
      <c r="G225" s="11">
        <f>G155</f>
        <v>0</v>
      </c>
    </row>
    <row r="226" spans="3:9" x14ac:dyDescent="0.2">
      <c r="C226" s="161" t="s">
        <v>915</v>
      </c>
      <c r="D226" s="161"/>
      <c r="E226" s="11"/>
      <c r="G226" s="11">
        <f>G132</f>
        <v>0</v>
      </c>
    </row>
    <row r="227" spans="3:9" ht="13.5" thickBot="1" x14ac:dyDescent="0.25">
      <c r="E227" s="80">
        <f>SUM(E221:E223)</f>
        <v>0</v>
      </c>
      <c r="G227" s="80">
        <f>SUM(G221:G226)</f>
        <v>0</v>
      </c>
    </row>
    <row r="228" spans="3:9" ht="13.5" thickTop="1" x14ac:dyDescent="0.2">
      <c r="I228" s="46"/>
    </row>
    <row r="229" spans="3:9" ht="12.75" customHeight="1" x14ac:dyDescent="0.2">
      <c r="C229" s="883" t="s">
        <v>1021</v>
      </c>
      <c r="D229" s="883"/>
      <c r="E229" s="883"/>
      <c r="F229" s="883"/>
      <c r="G229" s="883"/>
      <c r="H229" s="883"/>
      <c r="I229" s="883"/>
    </row>
    <row r="230" spans="3:9" x14ac:dyDescent="0.2">
      <c r="C230" s="883"/>
      <c r="D230" s="883"/>
      <c r="E230" s="883"/>
      <c r="F230" s="883"/>
      <c r="G230" s="883"/>
      <c r="H230" s="883"/>
      <c r="I230" s="883"/>
    </row>
  </sheetData>
  <sheetProtection algorithmName="SHA-512" hashValue="TjudN6jx6MVUB24pX+dRQl7Z4At1yBbTSPRRgeP9x0jabFFgPxKu2j9SboedIjbXkZNrowgi/sCXHMqshHU7qA==" saltValue="HRYMozs0RTJZltYQY/+cJw==" spinCount="100000" sheet="1" objects="1" scenarios="1"/>
  <mergeCells count="26">
    <mergeCell ref="C34:I34"/>
    <mergeCell ref="B72:I73"/>
    <mergeCell ref="B129:I130"/>
    <mergeCell ref="C1:I1"/>
    <mergeCell ref="C39:G39"/>
    <mergeCell ref="B2:I3"/>
    <mergeCell ref="C15:I16"/>
    <mergeCell ref="C24:I25"/>
    <mergeCell ref="C27:I27"/>
    <mergeCell ref="C31:I32"/>
    <mergeCell ref="I223:I224"/>
    <mergeCell ref="C28:I29"/>
    <mergeCell ref="I151:I155"/>
    <mergeCell ref="C229:I230"/>
    <mergeCell ref="C135:E136"/>
    <mergeCell ref="G135:G136"/>
    <mergeCell ref="G68:I69"/>
    <mergeCell ref="C123:C124"/>
    <mergeCell ref="D123:D124"/>
    <mergeCell ref="C219:D219"/>
    <mergeCell ref="C69:D69"/>
    <mergeCell ref="B36:I37"/>
    <mergeCell ref="B158:I158"/>
    <mergeCell ref="B138:I139"/>
    <mergeCell ref="C132:E133"/>
    <mergeCell ref="G132:G133"/>
  </mergeCells>
  <phoneticPr fontId="15" type="noConversion"/>
  <printOptions horizontalCentered="1"/>
  <pageMargins left="0.39" right="0.4" top="0.66" bottom="0.5" header="0.5" footer="0.5"/>
  <pageSetup scale="65" orientation="portrait" r:id="rId1"/>
  <headerFooter alignWithMargins="0">
    <oddHeader>&amp;REntry K.1</oddHeader>
    <oddFooter>&amp;L&amp;8&amp;D - City model&amp;R&amp;P</oddFooter>
  </headerFooter>
  <rowBreaks count="3" manualBreakCount="3">
    <brk id="71" max="8" man="1"/>
    <brk id="128" max="8" man="1"/>
    <brk id="156" max="8" man="1"/>
  </rowBreaks>
  <ignoredErrors>
    <ignoredError sqref="B132 B135 B123 B75 B115 B15 B18 B24 B28 B31" numberStoredAsText="1"/>
  </ignoredError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M223"/>
  <sheetViews>
    <sheetView topLeftCell="A170" workbookViewId="0">
      <selection activeCell="C183" sqref="C183"/>
    </sheetView>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55" customFormat="1" ht="15" x14ac:dyDescent="0.25">
      <c r="A1" s="186"/>
      <c r="C1" s="1085"/>
      <c r="D1" s="1085"/>
      <c r="E1" s="1086"/>
      <c r="F1" s="1086"/>
      <c r="G1" s="1086"/>
      <c r="H1" s="1086"/>
      <c r="I1" s="1086"/>
    </row>
    <row r="2" spans="1:10" s="155" customFormat="1" ht="15" customHeight="1" x14ac:dyDescent="0.25">
      <c r="A2" s="186"/>
      <c r="B2" s="1077" t="s">
        <v>558</v>
      </c>
      <c r="C2" s="1078"/>
      <c r="D2" s="1078"/>
      <c r="E2" s="1078"/>
      <c r="F2" s="1078"/>
      <c r="G2" s="1078"/>
      <c r="H2" s="1078"/>
      <c r="I2" s="1079"/>
    </row>
    <row r="3" spans="1:10" s="155" customFormat="1" ht="24" customHeight="1" x14ac:dyDescent="0.25">
      <c r="A3" s="186"/>
      <c r="B3" s="1080"/>
      <c r="C3" s="1081"/>
      <c r="D3" s="1081"/>
      <c r="E3" s="1081"/>
      <c r="F3" s="1081"/>
      <c r="G3" s="1081"/>
      <c r="H3" s="1081"/>
      <c r="I3" s="1082"/>
    </row>
    <row r="4" spans="1:10" ht="6" customHeight="1" x14ac:dyDescent="0.2">
      <c r="B4" s="1083"/>
      <c r="C4" s="1083"/>
      <c r="D4" s="1083"/>
      <c r="E4" s="1083"/>
      <c r="F4" s="1083"/>
      <c r="G4" s="1083"/>
      <c r="H4" s="1083"/>
      <c r="I4" s="1083"/>
    </row>
    <row r="5" spans="1:10" ht="12.75" customHeight="1" x14ac:dyDescent="0.2">
      <c r="C5" s="156"/>
      <c r="D5" s="156"/>
      <c r="E5" s="157"/>
      <c r="F5" s="157"/>
      <c r="G5" s="157"/>
      <c r="H5" s="157"/>
      <c r="I5" s="157"/>
    </row>
    <row r="6" spans="1:10" ht="12.75" customHeight="1" x14ac:dyDescent="0.2">
      <c r="C6" s="156"/>
      <c r="D6" s="156"/>
      <c r="E6" s="157"/>
      <c r="F6" s="157"/>
      <c r="G6" s="157"/>
      <c r="H6" s="157"/>
      <c r="I6" s="157"/>
    </row>
    <row r="7" spans="1:10" ht="12.75" customHeight="1" x14ac:dyDescent="0.2">
      <c r="C7" s="156"/>
      <c r="D7" s="156"/>
      <c r="E7" s="157"/>
      <c r="F7" s="157"/>
      <c r="G7" s="157"/>
      <c r="H7" s="157"/>
      <c r="I7" s="157"/>
    </row>
    <row r="8" spans="1:10" ht="12.75" customHeight="1" x14ac:dyDescent="0.2">
      <c r="C8" s="156"/>
      <c r="D8" s="156"/>
      <c r="E8" s="157"/>
      <c r="F8" s="157"/>
      <c r="G8" s="157"/>
      <c r="H8" s="157"/>
      <c r="I8" s="157"/>
    </row>
    <row r="9" spans="1:10" ht="12.75" customHeight="1" x14ac:dyDescent="0.2">
      <c r="C9" s="156"/>
      <c r="D9" s="156"/>
      <c r="E9" s="157"/>
      <c r="F9" s="157"/>
      <c r="G9" s="157"/>
      <c r="H9" s="157"/>
      <c r="I9" s="157"/>
    </row>
    <row r="10" spans="1:10" ht="12.75" customHeight="1" x14ac:dyDescent="0.2">
      <c r="C10" s="156"/>
      <c r="D10" s="156"/>
      <c r="E10" s="157"/>
      <c r="F10" s="157"/>
      <c r="G10" s="157"/>
      <c r="H10" s="157"/>
      <c r="I10" s="157"/>
    </row>
    <row r="11" spans="1:10" ht="12.75" customHeight="1" x14ac:dyDescent="0.2">
      <c r="C11" s="156"/>
      <c r="D11" s="156"/>
      <c r="E11" s="157"/>
      <c r="F11" s="157"/>
      <c r="G11" s="157"/>
      <c r="H11" s="157"/>
      <c r="I11" s="157"/>
    </row>
    <row r="12" spans="1:10" ht="12.75" customHeight="1" x14ac:dyDescent="0.2">
      <c r="C12" s="156"/>
      <c r="D12" s="156"/>
      <c r="E12" s="157"/>
      <c r="F12" s="157"/>
      <c r="G12" s="157"/>
      <c r="H12" s="157"/>
      <c r="I12" s="157"/>
    </row>
    <row r="13" spans="1:10" ht="12.75" customHeight="1" x14ac:dyDescent="0.2">
      <c r="C13" s="156"/>
      <c r="D13" s="156"/>
      <c r="E13" s="157"/>
      <c r="F13" s="157"/>
      <c r="G13" s="157"/>
      <c r="H13" s="157"/>
      <c r="I13" s="157"/>
    </row>
    <row r="14" spans="1:10" ht="12" customHeight="1" x14ac:dyDescent="0.2">
      <c r="B14" s="50" t="s">
        <v>930</v>
      </c>
      <c r="C14" s="1083" t="s">
        <v>785</v>
      </c>
      <c r="D14" s="1083"/>
      <c r="E14" s="1083"/>
      <c r="F14" s="1083"/>
      <c r="G14" s="1083"/>
      <c r="H14" s="1083"/>
      <c r="I14" s="1083"/>
      <c r="J14" s="156"/>
    </row>
    <row r="15" spans="1:10" ht="26.25" customHeight="1" x14ac:dyDescent="0.2">
      <c r="C15" s="1083"/>
      <c r="D15" s="1083"/>
      <c r="E15" s="1083"/>
      <c r="F15" s="1083"/>
      <c r="G15" s="1083"/>
      <c r="H15" s="1083"/>
      <c r="I15" s="1083"/>
      <c r="J15" s="156"/>
    </row>
    <row r="16" spans="1:10" ht="4.5" customHeight="1" x14ac:dyDescent="0.2"/>
    <row r="17" spans="1:9" ht="12.75" customHeight="1" x14ac:dyDescent="0.2">
      <c r="B17" s="50" t="s">
        <v>931</v>
      </c>
      <c r="C17" s="1083" t="s">
        <v>1091</v>
      </c>
      <c r="D17" s="1083"/>
      <c r="E17" s="1083"/>
      <c r="F17" s="1083"/>
      <c r="G17" s="1083"/>
      <c r="H17" s="1083"/>
      <c r="I17" s="1083"/>
    </row>
    <row r="18" spans="1:9" ht="51.75" customHeight="1" x14ac:dyDescent="0.2">
      <c r="C18" s="1083"/>
      <c r="D18" s="1083"/>
      <c r="E18" s="1083"/>
      <c r="F18" s="1083"/>
      <c r="G18" s="1083"/>
      <c r="H18" s="1083"/>
      <c r="I18" s="1083"/>
    </row>
    <row r="19" spans="1:9" ht="4.5" customHeight="1" x14ac:dyDescent="0.2"/>
    <row r="20" spans="1:9" ht="12" customHeight="1" x14ac:dyDescent="0.2">
      <c r="B20" s="50" t="s">
        <v>932</v>
      </c>
      <c r="C20" s="892" t="s">
        <v>1082</v>
      </c>
      <c r="D20" s="881"/>
      <c r="E20" s="881"/>
      <c r="F20" s="881"/>
      <c r="G20" s="881"/>
      <c r="H20" s="881"/>
      <c r="I20" s="881"/>
    </row>
    <row r="21" spans="1:9" ht="12.75" hidden="1" customHeight="1" x14ac:dyDescent="0.2">
      <c r="C21" s="881"/>
      <c r="D21" s="881"/>
      <c r="E21" s="881"/>
      <c r="F21" s="881"/>
      <c r="G21" s="881"/>
      <c r="H21" s="881"/>
      <c r="I21" s="881"/>
    </row>
    <row r="22" spans="1:9" ht="4.5" customHeight="1" x14ac:dyDescent="0.2"/>
    <row r="23" spans="1:9" ht="12.75" hidden="1" customHeight="1" x14ac:dyDescent="0.2">
      <c r="B23" s="50"/>
      <c r="C23" s="881"/>
      <c r="D23" s="881"/>
      <c r="E23" s="881"/>
      <c r="F23" s="881"/>
      <c r="G23" s="881"/>
      <c r="H23" s="881"/>
      <c r="I23" s="881"/>
    </row>
    <row r="24" spans="1:9" ht="12.75" customHeight="1" x14ac:dyDescent="0.2">
      <c r="B24" s="50" t="s">
        <v>862</v>
      </c>
      <c r="C24" s="892" t="s">
        <v>1092</v>
      </c>
      <c r="D24" s="883"/>
      <c r="E24" s="883"/>
      <c r="F24" s="883"/>
      <c r="G24" s="883"/>
      <c r="H24" s="883"/>
      <c r="I24" s="883"/>
    </row>
    <row r="25" spans="1:9" ht="12.75" customHeight="1" x14ac:dyDescent="0.2">
      <c r="B25" s="50"/>
      <c r="C25" s="883"/>
      <c r="D25" s="883"/>
      <c r="E25" s="883"/>
      <c r="F25" s="883"/>
      <c r="G25" s="883"/>
      <c r="H25" s="883"/>
      <c r="I25" s="883"/>
    </row>
    <row r="26" spans="1:9" ht="4.5" customHeight="1" x14ac:dyDescent="0.2">
      <c r="B26" s="50"/>
    </row>
    <row r="27" spans="1:9" ht="12.75" customHeight="1" x14ac:dyDescent="0.2">
      <c r="B27" s="50" t="s">
        <v>863</v>
      </c>
      <c r="C27" s="1083" t="s">
        <v>401</v>
      </c>
      <c r="D27" s="1083"/>
      <c r="E27" s="1083"/>
      <c r="F27" s="1083"/>
      <c r="G27" s="1083"/>
      <c r="H27" s="1083"/>
      <c r="I27" s="1083"/>
    </row>
    <row r="28" spans="1:9" ht="26.25" customHeight="1" x14ac:dyDescent="0.2">
      <c r="B28" s="50"/>
      <c r="C28" s="1083"/>
      <c r="D28" s="1083"/>
      <c r="E28" s="1083"/>
      <c r="F28" s="1083"/>
      <c r="G28" s="1083"/>
      <c r="H28" s="1083"/>
      <c r="I28" s="1083"/>
    </row>
    <row r="29" spans="1:9" ht="15.75" customHeight="1" thickBot="1" x14ac:dyDescent="0.25"/>
    <row r="30" spans="1:9" ht="31.5" customHeight="1" thickTop="1" thickBot="1" x14ac:dyDescent="0.3">
      <c r="C30" s="1066" t="s">
        <v>266</v>
      </c>
      <c r="D30" s="1067"/>
      <c r="E30" s="1067"/>
      <c r="F30" s="1067"/>
      <c r="G30" s="1067"/>
      <c r="H30" s="1067"/>
      <c r="I30" s="1068"/>
    </row>
    <row r="31" spans="1:9" ht="19.5" customHeight="1" thickTop="1" x14ac:dyDescent="0.2"/>
    <row r="32" spans="1:9" ht="17.25" customHeight="1" x14ac:dyDescent="0.2">
      <c r="A32" s="4" t="s">
        <v>860</v>
      </c>
      <c r="B32" s="1060" t="s">
        <v>601</v>
      </c>
      <c r="C32" s="1061"/>
      <c r="D32" s="1061"/>
      <c r="E32" s="1061"/>
      <c r="F32" s="1061"/>
      <c r="G32" s="1061"/>
      <c r="H32" s="1061"/>
      <c r="I32" s="1062"/>
    </row>
    <row r="33" spans="2:13" ht="22.5" customHeight="1" x14ac:dyDescent="0.2">
      <c r="B33" s="1063"/>
      <c r="C33" s="1064"/>
      <c r="D33" s="1064"/>
      <c r="E33" s="1064"/>
      <c r="F33" s="1064"/>
      <c r="G33" s="1064"/>
      <c r="H33" s="1064"/>
      <c r="I33" s="1065"/>
    </row>
    <row r="34" spans="2:13" ht="24" customHeight="1" x14ac:dyDescent="0.2">
      <c r="C34" s="4"/>
      <c r="D34" s="4"/>
      <c r="E34" s="10"/>
      <c r="F34" s="10"/>
      <c r="G34" s="10"/>
      <c r="H34" s="10"/>
      <c r="I34" s="158"/>
    </row>
    <row r="35" spans="2:13" x14ac:dyDescent="0.2">
      <c r="C35" s="1076" t="s">
        <v>969</v>
      </c>
      <c r="D35" s="1076"/>
      <c r="E35" s="1076"/>
      <c r="F35" s="1076"/>
      <c r="G35" s="1076"/>
      <c r="H35" s="49"/>
      <c r="I35" s="49"/>
      <c r="J35" s="49"/>
      <c r="K35" s="49"/>
      <c r="L35" s="49"/>
      <c r="M35" s="49"/>
    </row>
    <row r="36" spans="2:13" x14ac:dyDescent="0.2">
      <c r="C36" s="4"/>
      <c r="D36" s="4"/>
      <c r="E36" s="109" t="s">
        <v>970</v>
      </c>
      <c r="F36" s="152"/>
      <c r="G36" s="159" t="s">
        <v>971</v>
      </c>
      <c r="H36" s="160"/>
    </row>
    <row r="37" spans="2:13" x14ac:dyDescent="0.2">
      <c r="C37" s="118" t="s">
        <v>972</v>
      </c>
      <c r="D37" s="118"/>
      <c r="E37" s="1"/>
      <c r="F37" s="10"/>
      <c r="G37" s="158"/>
      <c r="H37" s="158"/>
    </row>
    <row r="38" spans="2:13" x14ac:dyDescent="0.2">
      <c r="C38" s="161" t="s">
        <v>973</v>
      </c>
      <c r="D38" s="161"/>
      <c r="E38" s="1"/>
      <c r="F38" s="10"/>
      <c r="G38" s="158"/>
      <c r="H38" s="158"/>
    </row>
    <row r="39" spans="2:13" x14ac:dyDescent="0.2">
      <c r="C39" s="162" t="s">
        <v>704</v>
      </c>
      <c r="D39" s="162"/>
      <c r="E39" s="454">
        <v>0</v>
      </c>
      <c r="F39" s="10"/>
      <c r="G39" s="528">
        <f t="shared" ref="G39:G46" si="0">IF(E$56=0,0,ROUND(E39/E$58,4))</f>
        <v>0</v>
      </c>
      <c r="H39" s="158"/>
    </row>
    <row r="40" spans="2:13" x14ac:dyDescent="0.2">
      <c r="C40" s="162" t="s">
        <v>703</v>
      </c>
      <c r="D40" s="162"/>
      <c r="E40" s="441">
        <v>0</v>
      </c>
      <c r="F40" s="10"/>
      <c r="G40" s="528">
        <f t="shared" si="0"/>
        <v>0</v>
      </c>
      <c r="H40" s="158"/>
    </row>
    <row r="41" spans="2:13" x14ac:dyDescent="0.2">
      <c r="C41" s="162" t="s">
        <v>880</v>
      </c>
      <c r="D41" s="162"/>
      <c r="E41" s="441">
        <v>0</v>
      </c>
      <c r="F41" s="10"/>
      <c r="G41" s="528">
        <f t="shared" si="0"/>
        <v>0</v>
      </c>
      <c r="H41" s="158"/>
    </row>
    <row r="42" spans="2:13" x14ac:dyDescent="0.2">
      <c r="C42" s="162" t="s">
        <v>474</v>
      </c>
      <c r="D42" s="162"/>
      <c r="E42" s="441">
        <v>0</v>
      </c>
      <c r="F42" s="10"/>
      <c r="G42" s="528">
        <f t="shared" si="0"/>
        <v>0</v>
      </c>
      <c r="H42" s="158"/>
    </row>
    <row r="43" spans="2:13" x14ac:dyDescent="0.2">
      <c r="C43" s="162" t="s">
        <v>463</v>
      </c>
      <c r="D43" s="162"/>
      <c r="E43" s="441">
        <v>0</v>
      </c>
      <c r="F43" s="10"/>
      <c r="G43" s="528">
        <f t="shared" si="0"/>
        <v>0</v>
      </c>
      <c r="H43" s="158"/>
    </row>
    <row r="44" spans="2:13" x14ac:dyDescent="0.2">
      <c r="C44" s="162" t="s">
        <v>974</v>
      </c>
      <c r="D44" s="162"/>
      <c r="E44" s="441">
        <v>0</v>
      </c>
      <c r="F44" s="10"/>
      <c r="G44" s="528">
        <f t="shared" si="0"/>
        <v>0</v>
      </c>
      <c r="H44" s="158"/>
    </row>
    <row r="45" spans="2:13" x14ac:dyDescent="0.2">
      <c r="C45" s="162" t="s">
        <v>910</v>
      </c>
      <c r="D45" s="162"/>
      <c r="E45" s="441">
        <v>0</v>
      </c>
      <c r="F45" s="10"/>
      <c r="G45" s="528">
        <f t="shared" si="0"/>
        <v>0</v>
      </c>
      <c r="H45" s="158"/>
    </row>
    <row r="46" spans="2:13" x14ac:dyDescent="0.2">
      <c r="C46" s="470" t="s">
        <v>201</v>
      </c>
      <c r="D46" s="162"/>
      <c r="E46" s="441">
        <v>0</v>
      </c>
      <c r="F46" s="10"/>
      <c r="G46" s="528">
        <f t="shared" si="0"/>
        <v>0</v>
      </c>
      <c r="H46" s="158"/>
    </row>
    <row r="47" spans="2:13" x14ac:dyDescent="0.2">
      <c r="C47" s="162"/>
      <c r="D47" s="162"/>
      <c r="E47" s="1"/>
      <c r="F47" s="10"/>
      <c r="G47" s="158"/>
      <c r="H47" s="158"/>
    </row>
    <row r="48" spans="2:13" ht="15" x14ac:dyDescent="0.2">
      <c r="C48" s="163" t="s">
        <v>975</v>
      </c>
      <c r="D48" s="163"/>
      <c r="E48" s="176">
        <f>+SUM(E39:E47)</f>
        <v>0</v>
      </c>
      <c r="F48" s="10"/>
      <c r="G48" s="528">
        <f>IF(E$56=0,0,ROUND(E48/E$58,4))</f>
        <v>0</v>
      </c>
      <c r="H48" s="177" t="s">
        <v>758</v>
      </c>
    </row>
    <row r="49" spans="3:9" x14ac:dyDescent="0.2">
      <c r="E49" s="1"/>
      <c r="F49" s="10"/>
      <c r="G49" s="164" t="s">
        <v>185</v>
      </c>
      <c r="H49" s="164"/>
    </row>
    <row r="50" spans="3:9" x14ac:dyDescent="0.2">
      <c r="C50" s="161" t="s">
        <v>976</v>
      </c>
      <c r="D50" s="161"/>
      <c r="E50" s="1"/>
      <c r="F50" s="10"/>
      <c r="G50" s="164" t="s">
        <v>185</v>
      </c>
      <c r="H50" s="164"/>
    </row>
    <row r="51" spans="3:9" x14ac:dyDescent="0.2">
      <c r="C51" s="162" t="s">
        <v>977</v>
      </c>
      <c r="D51" s="162"/>
      <c r="E51" s="454">
        <v>0</v>
      </c>
      <c r="F51" s="10"/>
      <c r="G51" s="528">
        <f>IF(E$56=0,0,ROUND(E51/E$58,4))</f>
        <v>0</v>
      </c>
      <c r="H51" s="158"/>
    </row>
    <row r="52" spans="3:9" x14ac:dyDescent="0.2">
      <c r="C52" s="162" t="s">
        <v>978</v>
      </c>
      <c r="D52" s="162"/>
      <c r="E52" s="455">
        <v>0</v>
      </c>
      <c r="F52" s="165"/>
      <c r="G52" s="528">
        <f>IF(E$56=0,0,ROUND(E52/E$58,4))</f>
        <v>0</v>
      </c>
      <c r="H52" s="158"/>
    </row>
    <row r="53" spans="3:9" x14ac:dyDescent="0.2">
      <c r="C53" s="470" t="s">
        <v>916</v>
      </c>
      <c r="D53" s="162"/>
      <c r="E53" s="455">
        <v>0</v>
      </c>
      <c r="F53" s="165"/>
      <c r="G53" s="528">
        <f>IF(E$56=0,0,ROUND(E53/E$58,4))</f>
        <v>0</v>
      </c>
      <c r="H53" s="158"/>
    </row>
    <row r="54" spans="3:9" x14ac:dyDescent="0.2">
      <c r="C54" s="470" t="s">
        <v>917</v>
      </c>
      <c r="D54" s="162"/>
      <c r="E54" s="455">
        <v>0</v>
      </c>
      <c r="F54" s="165"/>
      <c r="G54" s="528">
        <f>IF(E$56=0,0,ROUND(E54/E$58,4))</f>
        <v>0</v>
      </c>
      <c r="H54" s="158"/>
    </row>
    <row r="55" spans="3:9" x14ac:dyDescent="0.2">
      <c r="C55" s="161"/>
      <c r="D55" s="161"/>
      <c r="E55" s="1"/>
      <c r="F55" s="10"/>
      <c r="G55" s="158"/>
      <c r="H55" s="158"/>
    </row>
    <row r="56" spans="3:9" x14ac:dyDescent="0.2">
      <c r="C56" s="163" t="s">
        <v>979</v>
      </c>
      <c r="D56" s="163"/>
      <c r="E56" s="176">
        <f>+SUM(E51:E55)</f>
        <v>0</v>
      </c>
      <c r="F56" s="10"/>
      <c r="G56" s="528">
        <f>IF(E$56=0,0,ROUND(E56/E$58,4))</f>
        <v>0</v>
      </c>
      <c r="H56" s="166"/>
    </row>
    <row r="57" spans="3:9" x14ac:dyDescent="0.2">
      <c r="C57" s="162"/>
      <c r="D57" s="162"/>
      <c r="E57" s="1"/>
      <c r="F57" s="10"/>
      <c r="G57" s="158"/>
      <c r="H57" s="158"/>
    </row>
    <row r="58" spans="3:9" ht="13.5" thickBot="1" x14ac:dyDescent="0.25">
      <c r="C58" s="167" t="s">
        <v>980</v>
      </c>
      <c r="D58" s="167"/>
      <c r="E58" s="178">
        <f>+E48+E56</f>
        <v>0</v>
      </c>
      <c r="F58" s="10"/>
      <c r="G58" s="529">
        <f>G48+G56</f>
        <v>0</v>
      </c>
      <c r="H58" s="166"/>
    </row>
    <row r="59" spans="3:9" ht="13.5" thickTop="1" x14ac:dyDescent="0.2">
      <c r="C59" s="167"/>
      <c r="D59" s="167"/>
      <c r="E59" s="10"/>
      <c r="F59" s="10"/>
      <c r="G59" s="166"/>
      <c r="H59" s="166"/>
    </row>
    <row r="60" spans="3:9" x14ac:dyDescent="0.2">
      <c r="C60" s="118" t="s">
        <v>981</v>
      </c>
      <c r="D60" s="118"/>
      <c r="E60" s="449">
        <v>0</v>
      </c>
      <c r="F60" s="10"/>
      <c r="G60" s="166"/>
      <c r="H60" s="166"/>
    </row>
    <row r="61" spans="3:9" x14ac:dyDescent="0.2">
      <c r="C61" s="167"/>
      <c r="D61" s="167"/>
      <c r="E61" s="10"/>
      <c r="F61" s="10"/>
      <c r="G61" s="166"/>
      <c r="H61" s="166"/>
    </row>
    <row r="62" spans="3:9" ht="13.5" thickBot="1" x14ac:dyDescent="0.25">
      <c r="C62" s="167" t="s">
        <v>982</v>
      </c>
      <c r="D62" s="167"/>
      <c r="E62" s="178">
        <f>E58+E60</f>
        <v>0</v>
      </c>
      <c r="F62" s="10"/>
      <c r="G62" s="166"/>
      <c r="H62" s="166"/>
    </row>
    <row r="63" spans="3:9" ht="13.5" thickTop="1" x14ac:dyDescent="0.2">
      <c r="C63" s="167"/>
      <c r="D63" s="167"/>
      <c r="E63" s="1"/>
      <c r="F63" s="1"/>
      <c r="G63" s="158"/>
      <c r="H63" s="158"/>
    </row>
    <row r="64" spans="3:9" ht="15.75" customHeight="1" x14ac:dyDescent="0.2">
      <c r="C64" s="167"/>
      <c r="D64" s="167"/>
      <c r="E64" s="1"/>
      <c r="F64" s="1"/>
      <c r="G64" s="1055" t="s">
        <v>775</v>
      </c>
      <c r="H64" s="1055"/>
      <c r="I64" s="1055"/>
    </row>
    <row r="65" spans="1:9" ht="32.25" customHeight="1" x14ac:dyDescent="0.2">
      <c r="C65" s="883" t="s">
        <v>701</v>
      </c>
      <c r="D65" s="1059"/>
      <c r="E65" s="179" t="str">
        <f>IF(G48&gt;=50%,"Governmental","Business Type")</f>
        <v>Business Type</v>
      </c>
      <c r="F65" s="220" t="s">
        <v>758</v>
      </c>
      <c r="G65" s="1055"/>
      <c r="H65" s="1055"/>
      <c r="I65" s="1055"/>
    </row>
    <row r="66" spans="1:9" ht="44.25" customHeight="1" x14ac:dyDescent="0.2">
      <c r="C66" s="46"/>
      <c r="D66" s="46"/>
      <c r="E66" s="169"/>
      <c r="F66" s="168"/>
      <c r="G66" s="158"/>
      <c r="H66" s="158"/>
    </row>
    <row r="67" spans="1:9" x14ac:dyDescent="0.2">
      <c r="E67" s="1"/>
      <c r="F67" s="1"/>
      <c r="G67" s="170"/>
      <c r="H67" s="170"/>
      <c r="I67" s="158"/>
    </row>
    <row r="68" spans="1:9" ht="17.25" customHeight="1" x14ac:dyDescent="0.2">
      <c r="A68" s="4" t="s">
        <v>861</v>
      </c>
      <c r="B68" s="1069" t="s">
        <v>1084</v>
      </c>
      <c r="C68" s="1070"/>
      <c r="D68" s="1070"/>
      <c r="E68" s="1070"/>
      <c r="F68" s="1070"/>
      <c r="G68" s="1070"/>
      <c r="H68" s="1070"/>
      <c r="I68" s="1071"/>
    </row>
    <row r="69" spans="1:9" ht="36" customHeight="1" x14ac:dyDescent="0.2">
      <c r="B69" s="1072"/>
      <c r="C69" s="1073"/>
      <c r="D69" s="1073"/>
      <c r="E69" s="1073"/>
      <c r="F69" s="1073"/>
      <c r="G69" s="1073"/>
      <c r="H69" s="1073"/>
      <c r="I69" s="1074"/>
    </row>
    <row r="70" spans="1:9" ht="3.75" customHeight="1" x14ac:dyDescent="0.2">
      <c r="E70" s="1"/>
      <c r="F70" s="1"/>
      <c r="G70" s="170"/>
      <c r="H70" s="170"/>
      <c r="I70" s="158"/>
    </row>
    <row r="71" spans="1:9" x14ac:dyDescent="0.2">
      <c r="B71" s="67" t="s">
        <v>930</v>
      </c>
      <c r="C71" s="4" t="s">
        <v>991</v>
      </c>
      <c r="E71" s="146" t="s">
        <v>64</v>
      </c>
      <c r="F71" s="152"/>
      <c r="G71" s="489" t="s">
        <v>65</v>
      </c>
      <c r="H71" s="170"/>
      <c r="I71" s="158"/>
    </row>
    <row r="72" spans="1:9" x14ac:dyDescent="0.2">
      <c r="C72" t="s">
        <v>591</v>
      </c>
      <c r="E72" s="457">
        <v>0</v>
      </c>
      <c r="F72" s="55"/>
      <c r="G72" s="175"/>
      <c r="H72" s="170"/>
      <c r="I72" s="158"/>
    </row>
    <row r="73" spans="1:9" x14ac:dyDescent="0.2">
      <c r="C73" t="s">
        <v>833</v>
      </c>
      <c r="E73" s="457">
        <v>0</v>
      </c>
      <c r="F73" s="55"/>
      <c r="G73" s="175"/>
      <c r="H73" s="170"/>
      <c r="I73" s="158"/>
    </row>
    <row r="74" spans="1:9" x14ac:dyDescent="0.2">
      <c r="C74" t="s">
        <v>733</v>
      </c>
      <c r="E74" s="457">
        <v>0</v>
      </c>
      <c r="F74" s="55"/>
      <c r="G74" s="175"/>
      <c r="H74" s="170"/>
      <c r="I74" s="158"/>
    </row>
    <row r="75" spans="1:9" x14ac:dyDescent="0.2">
      <c r="C75" t="s">
        <v>194</v>
      </c>
      <c r="E75" s="457">
        <v>0</v>
      </c>
      <c r="F75" s="55"/>
      <c r="G75" s="175"/>
      <c r="H75" s="170"/>
      <c r="I75" s="158"/>
    </row>
    <row r="76" spans="1:9" x14ac:dyDescent="0.2">
      <c r="C76" t="s">
        <v>736</v>
      </c>
      <c r="E76" s="457">
        <v>0</v>
      </c>
      <c r="F76" s="55"/>
      <c r="G76" s="175"/>
      <c r="H76" s="170"/>
      <c r="I76" s="158"/>
    </row>
    <row r="77" spans="1:9" x14ac:dyDescent="0.2">
      <c r="C77" t="s">
        <v>737</v>
      </c>
      <c r="E77" s="457">
        <v>0</v>
      </c>
      <c r="F77" s="55"/>
      <c r="G77" s="175"/>
      <c r="H77" s="170"/>
      <c r="I77" s="158"/>
    </row>
    <row r="78" spans="1:9" x14ac:dyDescent="0.2">
      <c r="C78" t="s">
        <v>469</v>
      </c>
      <c r="E78" s="457">
        <v>0</v>
      </c>
      <c r="F78" s="55"/>
      <c r="G78" s="175"/>
      <c r="H78" s="170"/>
      <c r="I78" s="158"/>
    </row>
    <row r="79" spans="1:9" x14ac:dyDescent="0.2">
      <c r="C79" t="s">
        <v>470</v>
      </c>
      <c r="E79" s="457">
        <v>0</v>
      </c>
      <c r="F79" s="55"/>
      <c r="G79" s="175"/>
      <c r="H79" s="170"/>
      <c r="I79" s="158"/>
    </row>
    <row r="80" spans="1:9" x14ac:dyDescent="0.2">
      <c r="C80" t="s">
        <v>467</v>
      </c>
      <c r="E80" s="457">
        <v>0</v>
      </c>
      <c r="F80" s="55"/>
      <c r="G80" s="175"/>
      <c r="H80" s="170"/>
      <c r="I80" s="158"/>
    </row>
    <row r="81" spans="3:9" x14ac:dyDescent="0.2">
      <c r="C81" t="s">
        <v>592</v>
      </c>
      <c r="E81" s="457">
        <v>0</v>
      </c>
      <c r="F81" s="55"/>
      <c r="G81" s="175"/>
      <c r="H81" s="170"/>
      <c r="I81" s="6" t="s">
        <v>1086</v>
      </c>
    </row>
    <row r="82" spans="3:9" ht="25.5" x14ac:dyDescent="0.2">
      <c r="C82" s="572" t="s">
        <v>3924</v>
      </c>
      <c r="E82" s="457">
        <v>0</v>
      </c>
      <c r="F82" s="55"/>
      <c r="G82" s="175"/>
      <c r="H82" s="170"/>
      <c r="I82" s="6"/>
    </row>
    <row r="83" spans="3:9" ht="25.5" x14ac:dyDescent="0.2">
      <c r="C83" s="614" t="s">
        <v>3852</v>
      </c>
      <c r="E83" s="457">
        <v>0</v>
      </c>
      <c r="F83" s="55"/>
      <c r="G83" s="175"/>
      <c r="H83" s="170"/>
      <c r="I83" s="6"/>
    </row>
    <row r="84" spans="3:9" ht="38.25" x14ac:dyDescent="0.2">
      <c r="C84" s="614" t="s">
        <v>3853</v>
      </c>
      <c r="E84" s="457">
        <v>0</v>
      </c>
      <c r="F84" s="55"/>
      <c r="G84" s="175"/>
      <c r="H84" s="170"/>
      <c r="I84" s="6"/>
    </row>
    <row r="85" spans="3:9" ht="38.25" x14ac:dyDescent="0.2">
      <c r="C85" s="577" t="s">
        <v>3854</v>
      </c>
      <c r="E85" s="457">
        <v>0</v>
      </c>
      <c r="F85" s="55"/>
      <c r="G85" s="175"/>
      <c r="H85" s="170"/>
      <c r="I85" s="6"/>
    </row>
    <row r="86" spans="3:9" ht="51" x14ac:dyDescent="0.2">
      <c r="C86" s="614" t="s">
        <v>3855</v>
      </c>
      <c r="E86" s="457">
        <v>0</v>
      </c>
      <c r="F86" s="55"/>
      <c r="G86" s="175"/>
      <c r="H86" s="170"/>
      <c r="I86" s="6"/>
    </row>
    <row r="87" spans="3:9" ht="38.25" x14ac:dyDescent="0.2">
      <c r="C87" s="572" t="s">
        <v>3867</v>
      </c>
      <c r="E87" s="457">
        <v>0</v>
      </c>
      <c r="F87" s="55"/>
      <c r="G87" s="175"/>
      <c r="H87" s="170"/>
      <c r="I87" s="6"/>
    </row>
    <row r="88" spans="3:9" ht="25.5" x14ac:dyDescent="0.2">
      <c r="C88" s="614" t="s">
        <v>3856</v>
      </c>
      <c r="E88" s="457">
        <v>0</v>
      </c>
      <c r="F88" s="55"/>
      <c r="G88" s="175"/>
      <c r="H88" s="170"/>
      <c r="I88" s="6"/>
    </row>
    <row r="89" spans="3:9" ht="38.25" x14ac:dyDescent="0.2">
      <c r="C89" s="577" t="s">
        <v>3857</v>
      </c>
      <c r="E89" s="457">
        <v>0</v>
      </c>
      <c r="F89" s="55"/>
      <c r="G89" s="175"/>
      <c r="H89" s="170"/>
      <c r="I89" s="6"/>
    </row>
    <row r="90" spans="3:9" x14ac:dyDescent="0.2">
      <c r="C90" t="s">
        <v>593</v>
      </c>
      <c r="E90" s="174"/>
      <c r="F90" s="55"/>
      <c r="G90" s="457">
        <v>0</v>
      </c>
      <c r="H90" s="170"/>
      <c r="I90" s="158"/>
    </row>
    <row r="91" spans="3:9" x14ac:dyDescent="0.2">
      <c r="C91" t="s">
        <v>594</v>
      </c>
      <c r="E91" s="174"/>
      <c r="F91" s="55"/>
      <c r="G91" s="457">
        <v>0</v>
      </c>
      <c r="H91" s="170"/>
      <c r="I91" s="158"/>
    </row>
    <row r="92" spans="3:9" x14ac:dyDescent="0.2">
      <c r="C92" t="s">
        <v>595</v>
      </c>
      <c r="E92" s="174"/>
      <c r="F92" s="55"/>
      <c r="G92" s="457">
        <v>0</v>
      </c>
      <c r="H92" s="170"/>
      <c r="I92" s="158"/>
    </row>
    <row r="93" spans="3:9" x14ac:dyDescent="0.2">
      <c r="C93" t="s">
        <v>596</v>
      </c>
      <c r="E93" s="55"/>
      <c r="F93" s="55"/>
      <c r="G93" s="457">
        <v>0</v>
      </c>
      <c r="H93" s="170"/>
      <c r="I93" s="158"/>
    </row>
    <row r="94" spans="3:9" x14ac:dyDescent="0.2">
      <c r="C94" s="161" t="s">
        <v>738</v>
      </c>
      <c r="E94" s="55"/>
      <c r="F94" s="55"/>
      <c r="G94" s="457">
        <v>0</v>
      </c>
      <c r="H94" s="170"/>
      <c r="I94" s="158"/>
    </row>
    <row r="95" spans="3:9" x14ac:dyDescent="0.2">
      <c r="C95" s="161" t="s">
        <v>193</v>
      </c>
      <c r="E95" s="55"/>
      <c r="F95" s="55"/>
      <c r="G95" s="457">
        <v>0</v>
      </c>
      <c r="H95" s="170"/>
      <c r="I95" s="158"/>
    </row>
    <row r="96" spans="3:9" x14ac:dyDescent="0.2">
      <c r="C96" t="s">
        <v>645</v>
      </c>
      <c r="E96" s="55"/>
      <c r="F96" s="55"/>
      <c r="G96" s="457">
        <v>0</v>
      </c>
      <c r="H96" s="170"/>
      <c r="I96" s="158"/>
    </row>
    <row r="97" spans="2:9" x14ac:dyDescent="0.2">
      <c r="C97" t="s">
        <v>646</v>
      </c>
      <c r="E97" s="55"/>
      <c r="F97" s="55"/>
      <c r="G97" s="457">
        <v>0</v>
      </c>
      <c r="H97" s="170"/>
      <c r="I97" s="158"/>
    </row>
    <row r="98" spans="2:9" x14ac:dyDescent="0.2">
      <c r="C98" t="s">
        <v>3927</v>
      </c>
      <c r="E98" s="55"/>
      <c r="F98" s="55"/>
      <c r="G98" s="457">
        <v>0</v>
      </c>
      <c r="H98" s="170"/>
      <c r="I98" s="158"/>
    </row>
    <row r="99" spans="2:9" x14ac:dyDescent="0.2">
      <c r="C99" t="s">
        <v>3922</v>
      </c>
      <c r="E99" s="55"/>
      <c r="F99" s="55"/>
      <c r="G99" s="457">
        <v>0</v>
      </c>
      <c r="H99" s="170"/>
      <c r="I99" s="158"/>
    </row>
    <row r="100" spans="2:9" x14ac:dyDescent="0.2">
      <c r="C100" t="s">
        <v>647</v>
      </c>
      <c r="E100" s="55"/>
      <c r="F100" s="55"/>
      <c r="G100" s="457">
        <v>0</v>
      </c>
      <c r="H100" s="170"/>
      <c r="I100" s="158"/>
    </row>
    <row r="101" spans="2:9" ht="25.5" x14ac:dyDescent="0.2">
      <c r="C101" s="612" t="s">
        <v>3858</v>
      </c>
      <c r="E101" s="55"/>
      <c r="F101" s="55"/>
      <c r="G101" s="457">
        <v>0</v>
      </c>
      <c r="H101" s="170"/>
      <c r="I101" s="158"/>
    </row>
    <row r="102" spans="2:9" ht="38.25" x14ac:dyDescent="0.2">
      <c r="C102" s="612" t="s">
        <v>3859</v>
      </c>
      <c r="E102" s="55"/>
      <c r="F102" s="55"/>
      <c r="G102" s="457">
        <v>0</v>
      </c>
      <c r="H102" s="170"/>
      <c r="I102" s="158"/>
    </row>
    <row r="103" spans="2:9" ht="38.25" x14ac:dyDescent="0.2">
      <c r="C103" s="613" t="s">
        <v>3860</v>
      </c>
      <c r="E103" s="55"/>
      <c r="F103" s="55"/>
      <c r="G103" s="457">
        <v>0</v>
      </c>
      <c r="H103" s="170"/>
      <c r="I103" s="158"/>
    </row>
    <row r="104" spans="2:9" ht="51" x14ac:dyDescent="0.2">
      <c r="C104" s="612" t="s">
        <v>3861</v>
      </c>
      <c r="E104" s="55"/>
      <c r="F104" s="55"/>
      <c r="G104" s="457">
        <v>0</v>
      </c>
      <c r="H104" s="170"/>
      <c r="I104" s="158"/>
    </row>
    <row r="105" spans="2:9" ht="25.5" x14ac:dyDescent="0.2">
      <c r="C105" s="485" t="s">
        <v>3862</v>
      </c>
      <c r="E105" s="55"/>
      <c r="F105" s="55"/>
      <c r="G105" s="457">
        <v>0</v>
      </c>
      <c r="H105" s="170"/>
      <c r="I105" s="158"/>
    </row>
    <row r="106" spans="2:9" ht="38.25" x14ac:dyDescent="0.2">
      <c r="C106" s="609" t="s">
        <v>3863</v>
      </c>
      <c r="E106" s="55"/>
      <c r="F106" s="55"/>
      <c r="G106" s="457">
        <v>0</v>
      </c>
      <c r="H106" s="170"/>
      <c r="I106" s="158"/>
    </row>
    <row r="107" spans="2:9" x14ac:dyDescent="0.2">
      <c r="C107" s="188" t="s">
        <v>1085</v>
      </c>
      <c r="E107" s="95"/>
      <c r="F107" s="95"/>
      <c r="G107" s="441">
        <v>0</v>
      </c>
      <c r="H107" s="170"/>
      <c r="I107" s="217" t="s">
        <v>500</v>
      </c>
    </row>
    <row r="108" spans="2:9" ht="7.5" customHeight="1" x14ac:dyDescent="0.2">
      <c r="E108" s="95"/>
      <c r="F108" s="95"/>
      <c r="G108" s="95"/>
      <c r="H108" s="170"/>
      <c r="I108" s="158"/>
    </row>
    <row r="109" spans="2:9" ht="12.75" customHeight="1" x14ac:dyDescent="0.2">
      <c r="B109" s="67" t="s">
        <v>931</v>
      </c>
      <c r="C109" s="4" t="s">
        <v>992</v>
      </c>
      <c r="E109" s="95"/>
      <c r="F109" s="95"/>
      <c r="G109" s="95"/>
      <c r="H109" s="170"/>
      <c r="I109" s="158"/>
    </row>
    <row r="110" spans="2:9" x14ac:dyDescent="0.2">
      <c r="C110" s="161" t="s">
        <v>1000</v>
      </c>
      <c r="D110" s="161"/>
      <c r="F110" s="1"/>
      <c r="G110" s="441">
        <v>0</v>
      </c>
      <c r="H110" s="1"/>
      <c r="I110" s="181"/>
    </row>
    <row r="111" spans="2:9" ht="12.75" customHeight="1" x14ac:dyDescent="0.2">
      <c r="C111" s="161" t="s">
        <v>993</v>
      </c>
      <c r="D111" s="161"/>
      <c r="E111" s="441">
        <v>0</v>
      </c>
      <c r="F111" s="1"/>
      <c r="H111" s="1"/>
      <c r="I111" s="181" t="s">
        <v>632</v>
      </c>
    </row>
    <row r="112" spans="2:9" x14ac:dyDescent="0.2">
      <c r="C112" s="161" t="s">
        <v>799</v>
      </c>
      <c r="D112" s="161"/>
      <c r="E112" s="441">
        <v>0</v>
      </c>
      <c r="F112" s="1"/>
      <c r="H112" s="1"/>
      <c r="I112" s="181" t="s">
        <v>1087</v>
      </c>
    </row>
    <row r="113" spans="1:9" x14ac:dyDescent="0.2">
      <c r="C113" s="161" t="s">
        <v>798</v>
      </c>
      <c r="D113" s="161"/>
      <c r="F113" s="1"/>
      <c r="G113" s="441">
        <v>0</v>
      </c>
      <c r="H113" s="1"/>
      <c r="I113" s="181"/>
    </row>
    <row r="114" spans="1:9" x14ac:dyDescent="0.2">
      <c r="C114" s="161" t="s">
        <v>58</v>
      </c>
      <c r="D114" s="161"/>
      <c r="F114" s="1"/>
      <c r="G114" s="441">
        <v>0</v>
      </c>
      <c r="H114" s="1"/>
      <c r="I114" s="182" t="s">
        <v>97</v>
      </c>
    </row>
    <row r="115" spans="1:9" ht="22.5" x14ac:dyDescent="0.2">
      <c r="C115" s="161" t="s">
        <v>983</v>
      </c>
      <c r="D115" s="161"/>
      <c r="E115" s="441">
        <v>0</v>
      </c>
      <c r="F115" s="1"/>
      <c r="H115" s="1"/>
      <c r="I115" s="180" t="s">
        <v>587</v>
      </c>
    </row>
    <row r="116" spans="1:9" x14ac:dyDescent="0.2">
      <c r="B116" s="50"/>
      <c r="C116" s="161"/>
      <c r="D116" s="161"/>
      <c r="F116" s="1"/>
      <c r="G116" s="1"/>
      <c r="H116" s="1"/>
      <c r="I116" s="1"/>
    </row>
    <row r="117" spans="1:9" ht="24.75" customHeight="1" x14ac:dyDescent="0.2">
      <c r="B117" s="67" t="s">
        <v>932</v>
      </c>
      <c r="C117" s="1056" t="s">
        <v>1088</v>
      </c>
      <c r="D117" s="1084">
        <v>0</v>
      </c>
      <c r="F117" s="1"/>
      <c r="H117" s="1"/>
      <c r="I117" s="181" t="s">
        <v>1089</v>
      </c>
    </row>
    <row r="118" spans="1:9" ht="21.75" customHeight="1" x14ac:dyDescent="0.2">
      <c r="B118" s="67"/>
      <c r="C118" s="1057"/>
      <c r="D118" s="1084"/>
      <c r="F118" s="1"/>
      <c r="H118" s="1"/>
      <c r="I118" s="181"/>
    </row>
    <row r="119" spans="1:9" x14ac:dyDescent="0.2">
      <c r="B119" s="50"/>
      <c r="C119" s="214" t="s">
        <v>352</v>
      </c>
      <c r="D119" s="215">
        <f>G110-E111-E112+G113+G114-E115</f>
        <v>0</v>
      </c>
      <c r="F119" s="1"/>
      <c r="G119" s="1"/>
      <c r="H119" s="1"/>
      <c r="I119" s="1"/>
    </row>
    <row r="120" spans="1:9" ht="36" customHeight="1" thickBot="1" x14ac:dyDescent="0.25">
      <c r="C120" s="162" t="s">
        <v>353</v>
      </c>
      <c r="D120" s="397">
        <f>D117-D119</f>
        <v>0</v>
      </c>
      <c r="E120" s="8"/>
      <c r="F120" s="216"/>
      <c r="G120" s="195">
        <f>D120</f>
        <v>0</v>
      </c>
      <c r="H120" s="1"/>
      <c r="I120" s="221" t="s">
        <v>534</v>
      </c>
    </row>
    <row r="121" spans="1:9" ht="18.75" customHeight="1" thickTop="1" thickBot="1" x14ac:dyDescent="0.25">
      <c r="C121" s="162"/>
      <c r="D121" s="162"/>
      <c r="E121" s="218">
        <f>SUM(E72:E120)</f>
        <v>0</v>
      </c>
      <c r="F121" s="1"/>
      <c r="G121" s="94">
        <f>SUM(G90:G120)</f>
        <v>0</v>
      </c>
      <c r="H121" s="1"/>
      <c r="I121" s="222" t="s">
        <v>535</v>
      </c>
    </row>
    <row r="122" spans="1:9" ht="18.75" customHeight="1" thickTop="1" x14ac:dyDescent="0.2">
      <c r="C122" s="162"/>
      <c r="D122" s="162"/>
      <c r="F122" s="1"/>
      <c r="G122" s="1"/>
      <c r="H122" s="1"/>
      <c r="I122" s="1"/>
    </row>
    <row r="123" spans="1:9" ht="15" customHeight="1" x14ac:dyDescent="0.2">
      <c r="A123" s="4" t="s">
        <v>459</v>
      </c>
      <c r="B123" s="1069" t="s">
        <v>1093</v>
      </c>
      <c r="C123" s="1070"/>
      <c r="D123" s="1070"/>
      <c r="E123" s="1070"/>
      <c r="F123" s="1070"/>
      <c r="G123" s="1070"/>
      <c r="H123" s="1070"/>
      <c r="I123" s="1071"/>
    </row>
    <row r="124" spans="1:9" ht="25.5" customHeight="1" x14ac:dyDescent="0.2">
      <c r="B124" s="1072"/>
      <c r="C124" s="1073"/>
      <c r="D124" s="1073"/>
      <c r="E124" s="1073"/>
      <c r="F124" s="1073"/>
      <c r="G124" s="1073"/>
      <c r="H124" s="1073"/>
      <c r="I124" s="1074"/>
    </row>
    <row r="125" spans="1:9" x14ac:dyDescent="0.2">
      <c r="E125" s="1"/>
      <c r="F125" s="1"/>
      <c r="G125" s="170"/>
      <c r="H125" s="170"/>
      <c r="I125" s="158"/>
    </row>
    <row r="126" spans="1:9" ht="12.75" customHeight="1" x14ac:dyDescent="0.2">
      <c r="B126" s="50" t="s">
        <v>930</v>
      </c>
      <c r="C126" s="883" t="s">
        <v>1020</v>
      </c>
      <c r="D126" s="883"/>
      <c r="E126" s="883"/>
      <c r="F126" s="1"/>
      <c r="G126" s="1054"/>
      <c r="H126" s="170"/>
      <c r="I126" s="158"/>
    </row>
    <row r="127" spans="1:9" ht="46.5" customHeight="1" x14ac:dyDescent="0.2">
      <c r="C127" s="883"/>
      <c r="D127" s="883"/>
      <c r="E127" s="883"/>
      <c r="F127" s="1"/>
      <c r="G127" s="1054"/>
      <c r="H127" s="170"/>
      <c r="I127" s="158"/>
    </row>
    <row r="128" spans="1:9" x14ac:dyDescent="0.2">
      <c r="E128" s="1"/>
      <c r="F128" s="1"/>
      <c r="G128" s="170"/>
      <c r="H128" s="170"/>
      <c r="I128" s="185" t="s">
        <v>648</v>
      </c>
    </row>
    <row r="129" spans="1:12" x14ac:dyDescent="0.2">
      <c r="B129" s="50" t="s">
        <v>931</v>
      </c>
      <c r="C129" s="883" t="s">
        <v>774</v>
      </c>
      <c r="D129" s="883"/>
      <c r="E129" s="883"/>
      <c r="F129" s="1"/>
      <c r="G129" s="1054"/>
      <c r="H129" s="170"/>
      <c r="I129" s="158"/>
    </row>
    <row r="130" spans="1:12" ht="45" customHeight="1" x14ac:dyDescent="0.2">
      <c r="C130" s="883"/>
      <c r="D130" s="883"/>
      <c r="E130" s="883"/>
      <c r="F130" s="1"/>
      <c r="G130" s="1054"/>
      <c r="H130" s="170"/>
      <c r="I130" s="158"/>
    </row>
    <row r="131" spans="1:12" x14ac:dyDescent="0.2">
      <c r="E131" s="1"/>
      <c r="F131" s="1"/>
      <c r="G131" s="170"/>
      <c r="H131" s="170"/>
      <c r="I131" s="158"/>
    </row>
    <row r="132" spans="1:12" ht="13.5" customHeight="1" x14ac:dyDescent="0.2">
      <c r="A132" s="4" t="s">
        <v>465</v>
      </c>
      <c r="B132" s="1060" t="s">
        <v>634</v>
      </c>
      <c r="C132" s="1061"/>
      <c r="D132" s="1061"/>
      <c r="E132" s="1061"/>
      <c r="F132" s="1061"/>
      <c r="G132" s="1061"/>
      <c r="H132" s="1061"/>
      <c r="I132" s="1062"/>
      <c r="J132" s="1"/>
      <c r="K132" s="1"/>
      <c r="L132" s="1"/>
    </row>
    <row r="133" spans="1:12" ht="12" customHeight="1" x14ac:dyDescent="0.2">
      <c r="B133" s="1063"/>
      <c r="C133" s="1064"/>
      <c r="D133" s="1064"/>
      <c r="E133" s="1064"/>
      <c r="F133" s="1064"/>
      <c r="G133" s="1064"/>
      <c r="H133" s="1064"/>
      <c r="I133" s="1065"/>
      <c r="J133" s="1"/>
      <c r="K133" s="1"/>
      <c r="L133" s="1"/>
    </row>
    <row r="134" spans="1:12" ht="5.25" customHeight="1" x14ac:dyDescent="0.2">
      <c r="C134" s="172"/>
      <c r="D134" s="172"/>
      <c r="E134" s="157"/>
      <c r="F134" s="157"/>
      <c r="G134" s="157"/>
      <c r="H134" s="157"/>
      <c r="I134" s="157"/>
      <c r="J134" s="1"/>
      <c r="K134" s="1"/>
      <c r="L134" s="1"/>
    </row>
    <row r="135" spans="1:12" ht="37.5" customHeight="1" x14ac:dyDescent="0.2">
      <c r="C135" s="187" t="s">
        <v>192</v>
      </c>
      <c r="D135" s="187"/>
      <c r="E135" s="173" t="s">
        <v>588</v>
      </c>
      <c r="F135" s="171"/>
      <c r="G135" s="173" t="s">
        <v>589</v>
      </c>
      <c r="H135" s="171"/>
      <c r="I135" s="157"/>
      <c r="J135" s="1"/>
      <c r="K135" s="1"/>
      <c r="L135" s="1"/>
    </row>
    <row r="136" spans="1:12" x14ac:dyDescent="0.2">
      <c r="E136" s="1"/>
      <c r="F136" s="10"/>
      <c r="G136" s="1"/>
      <c r="H136" s="1"/>
      <c r="I136" s="1"/>
      <c r="J136" s="1"/>
      <c r="K136" s="1"/>
      <c r="L136" s="1"/>
    </row>
    <row r="137" spans="1:12" x14ac:dyDescent="0.2">
      <c r="C137" t="str">
        <f>+$C39</f>
        <v>General government</v>
      </c>
      <c r="E137" s="344">
        <f t="shared" ref="E137:E144" si="1">D$120*G39</f>
        <v>0</v>
      </c>
      <c r="F137" s="1"/>
      <c r="G137" s="1"/>
      <c r="H137" s="1"/>
      <c r="I137" s="1"/>
      <c r="J137" s="1"/>
      <c r="K137" s="1"/>
      <c r="L137" s="1"/>
    </row>
    <row r="138" spans="1:12" x14ac:dyDescent="0.2">
      <c r="C138" t="str">
        <f>+C40</f>
        <v>Public safety</v>
      </c>
      <c r="E138" s="344">
        <f t="shared" si="1"/>
        <v>0</v>
      </c>
      <c r="F138" s="1"/>
      <c r="G138" s="1"/>
      <c r="H138" s="1"/>
      <c r="I138" s="1"/>
      <c r="J138" s="1"/>
      <c r="K138" s="1"/>
      <c r="L138" s="1"/>
    </row>
    <row r="139" spans="1:12" x14ac:dyDescent="0.2">
      <c r="C139" t="str">
        <f>+C41</f>
        <v>Transportation</v>
      </c>
      <c r="E139" s="344">
        <f t="shared" si="1"/>
        <v>0</v>
      </c>
      <c r="F139" s="1"/>
      <c r="G139" s="1"/>
      <c r="H139" s="1"/>
      <c r="I139" s="1"/>
      <c r="J139" s="1"/>
      <c r="K139" s="1"/>
      <c r="L139" s="1"/>
    </row>
    <row r="140" spans="1:12" x14ac:dyDescent="0.2">
      <c r="C140" t="s">
        <v>474</v>
      </c>
      <c r="E140" s="344">
        <f t="shared" si="1"/>
        <v>0</v>
      </c>
      <c r="F140" s="1"/>
      <c r="G140" s="1"/>
      <c r="H140" s="1"/>
      <c r="I140" s="1"/>
      <c r="J140" s="1"/>
      <c r="K140" s="1"/>
      <c r="L140" s="1"/>
    </row>
    <row r="141" spans="1:12" x14ac:dyDescent="0.2">
      <c r="C141" t="s">
        <v>463</v>
      </c>
      <c r="E141" s="344">
        <f t="shared" si="1"/>
        <v>0</v>
      </c>
      <c r="F141" s="1"/>
      <c r="G141" s="1"/>
      <c r="H141" s="1"/>
      <c r="I141" s="1"/>
      <c r="J141" s="1"/>
      <c r="K141" s="1"/>
      <c r="L141" s="1"/>
    </row>
    <row r="142" spans="1:12" x14ac:dyDescent="0.2">
      <c r="C142" t="s">
        <v>974</v>
      </c>
      <c r="E142" s="344">
        <f t="shared" si="1"/>
        <v>0</v>
      </c>
      <c r="F142" s="1"/>
      <c r="G142" s="1"/>
      <c r="H142" s="1"/>
      <c r="I142" s="6"/>
      <c r="J142" s="1"/>
      <c r="K142" s="1"/>
      <c r="L142" s="1"/>
    </row>
    <row r="143" spans="1:12" x14ac:dyDescent="0.2">
      <c r="C143" t="s">
        <v>910</v>
      </c>
      <c r="E143" s="344">
        <f t="shared" si="1"/>
        <v>0</v>
      </c>
      <c r="F143" s="1"/>
      <c r="G143" s="1"/>
      <c r="H143" s="1"/>
      <c r="I143" s="219"/>
      <c r="J143" s="1"/>
      <c r="K143" s="1"/>
      <c r="L143" s="1"/>
    </row>
    <row r="144" spans="1:12" ht="12.75" customHeight="1" x14ac:dyDescent="0.2">
      <c r="C144" s="415" t="s">
        <v>201</v>
      </c>
      <c r="E144" s="344">
        <f t="shared" si="1"/>
        <v>0</v>
      </c>
      <c r="F144" s="1"/>
      <c r="G144" s="1"/>
      <c r="H144" s="1"/>
      <c r="J144" s="1"/>
      <c r="K144" s="1"/>
      <c r="L144" s="1"/>
    </row>
    <row r="145" spans="1:12" x14ac:dyDescent="0.2">
      <c r="E145" s="1"/>
      <c r="F145" s="1"/>
      <c r="G145" s="1"/>
      <c r="H145" s="1"/>
      <c r="I145" s="1000" t="s">
        <v>773</v>
      </c>
      <c r="J145" s="1"/>
      <c r="K145" s="1"/>
      <c r="L145" s="1"/>
    </row>
    <row r="146" spans="1:12" ht="12" customHeight="1" x14ac:dyDescent="0.2">
      <c r="C146" t="str">
        <f>+C51</f>
        <v>Water and sewer</v>
      </c>
      <c r="E146" s="1"/>
      <c r="F146" s="1"/>
      <c r="G146" s="344">
        <f>D$120*G51</f>
        <v>0</v>
      </c>
      <c r="H146" s="1"/>
      <c r="I146" s="1000"/>
      <c r="J146" s="1"/>
      <c r="K146" s="1"/>
      <c r="L146" s="1"/>
    </row>
    <row r="147" spans="1:12" x14ac:dyDescent="0.2">
      <c r="C147" t="str">
        <f>+C52</f>
        <v>Electric</v>
      </c>
      <c r="E147" s="1"/>
      <c r="F147" s="1"/>
      <c r="G147" s="344">
        <f>D$120*G52</f>
        <v>0</v>
      </c>
      <c r="H147" s="1"/>
      <c r="I147" s="1000"/>
      <c r="J147" s="1"/>
      <c r="K147" s="1"/>
      <c r="L147" s="1"/>
    </row>
    <row r="148" spans="1:12" x14ac:dyDescent="0.2">
      <c r="C148" s="415" t="s">
        <v>918</v>
      </c>
      <c r="E148" s="1"/>
      <c r="F148" s="1"/>
      <c r="G148" s="344">
        <f>D$120*G53</f>
        <v>0</v>
      </c>
      <c r="H148" s="1"/>
      <c r="I148" s="1000"/>
      <c r="J148" s="1"/>
      <c r="K148" s="1"/>
      <c r="L148" s="1"/>
    </row>
    <row r="149" spans="1:12" x14ac:dyDescent="0.2">
      <c r="C149" s="415" t="s">
        <v>919</v>
      </c>
      <c r="E149" s="1"/>
      <c r="F149" s="1"/>
      <c r="G149" s="344">
        <f>D$120*G54</f>
        <v>0</v>
      </c>
      <c r="H149" s="1"/>
      <c r="I149" s="1000"/>
      <c r="J149" s="1"/>
      <c r="K149" s="1"/>
      <c r="L149" s="1"/>
    </row>
    <row r="150" spans="1:12" ht="13.5" thickBot="1" x14ac:dyDescent="0.25">
      <c r="C150" s="161" t="s">
        <v>590</v>
      </c>
      <c r="D150" s="161"/>
      <c r="E150" s="94">
        <f>SUM(E137:E149)</f>
        <v>0</v>
      </c>
      <c r="F150" s="1"/>
      <c r="G150" s="94">
        <f>SUM(G146:G149)</f>
        <v>0</v>
      </c>
      <c r="H150" s="223" t="s">
        <v>929</v>
      </c>
      <c r="I150" s="94">
        <f>SUM(E150:G150)</f>
        <v>0</v>
      </c>
      <c r="J150" s="1"/>
      <c r="K150" s="1"/>
      <c r="L150" s="1"/>
    </row>
    <row r="151" spans="1:12" ht="13.5" thickTop="1" x14ac:dyDescent="0.2">
      <c r="E151" s="1"/>
      <c r="F151" s="1"/>
      <c r="G151" s="1"/>
      <c r="H151" s="1"/>
      <c r="I151" s="158"/>
    </row>
    <row r="152" spans="1:12" ht="25.5" customHeight="1" x14ac:dyDescent="0.2">
      <c r="A152" s="4" t="s">
        <v>481</v>
      </c>
      <c r="B152" s="959" t="s">
        <v>583</v>
      </c>
      <c r="C152" s="960"/>
      <c r="D152" s="960"/>
      <c r="E152" s="960"/>
      <c r="F152" s="960"/>
      <c r="G152" s="960"/>
      <c r="H152" s="960"/>
      <c r="I152" s="961"/>
    </row>
    <row r="153" spans="1:12" ht="12.75" customHeight="1" x14ac:dyDescent="0.2">
      <c r="E153" s="1"/>
      <c r="F153" s="1"/>
      <c r="G153" s="1"/>
      <c r="H153" s="1"/>
      <c r="I153" s="158"/>
    </row>
    <row r="154" spans="1:12" x14ac:dyDescent="0.2">
      <c r="E154" s="3" t="s">
        <v>64</v>
      </c>
      <c r="F154" s="55"/>
      <c r="G154" s="3" t="s">
        <v>65</v>
      </c>
      <c r="H154" s="55"/>
    </row>
    <row r="155" spans="1:12" x14ac:dyDescent="0.2">
      <c r="E155" s="202"/>
      <c r="F155" s="55"/>
      <c r="G155" s="206"/>
      <c r="H155" s="55"/>
      <c r="I155" s="183"/>
    </row>
    <row r="156" spans="1:12" x14ac:dyDescent="0.2">
      <c r="A156" s="188" t="s">
        <v>98</v>
      </c>
      <c r="C156" t="s">
        <v>591</v>
      </c>
      <c r="E156" s="84">
        <f t="shared" ref="E156:E171" si="2">E72</f>
        <v>0</v>
      </c>
      <c r="G156" s="79"/>
    </row>
    <row r="157" spans="1:12" x14ac:dyDescent="0.2">
      <c r="C157" t="s">
        <v>833</v>
      </c>
      <c r="E157" s="84">
        <f t="shared" si="2"/>
        <v>0</v>
      </c>
      <c r="G157" s="79"/>
    </row>
    <row r="158" spans="1:12" x14ac:dyDescent="0.2">
      <c r="C158" t="s">
        <v>733</v>
      </c>
      <c r="E158" s="84">
        <f t="shared" si="2"/>
        <v>0</v>
      </c>
      <c r="G158" s="79"/>
    </row>
    <row r="159" spans="1:12" x14ac:dyDescent="0.2">
      <c r="C159" t="s">
        <v>194</v>
      </c>
      <c r="E159" s="84">
        <f t="shared" si="2"/>
        <v>0</v>
      </c>
      <c r="G159" s="79"/>
    </row>
    <row r="160" spans="1:12" x14ac:dyDescent="0.2">
      <c r="C160" t="s">
        <v>736</v>
      </c>
      <c r="E160" s="84">
        <f t="shared" si="2"/>
        <v>0</v>
      </c>
      <c r="G160" s="79"/>
    </row>
    <row r="161" spans="3:9" x14ac:dyDescent="0.2">
      <c r="C161" t="s">
        <v>737</v>
      </c>
      <c r="E161" s="84">
        <f t="shared" si="2"/>
        <v>0</v>
      </c>
      <c r="G161" s="79"/>
    </row>
    <row r="162" spans="3:9" x14ac:dyDescent="0.2">
      <c r="C162" t="s">
        <v>469</v>
      </c>
      <c r="E162" s="84">
        <f t="shared" si="2"/>
        <v>0</v>
      </c>
      <c r="G162" s="79"/>
    </row>
    <row r="163" spans="3:9" x14ac:dyDescent="0.2">
      <c r="C163" t="s">
        <v>470</v>
      </c>
      <c r="E163" s="84">
        <f t="shared" si="2"/>
        <v>0</v>
      </c>
      <c r="G163" s="79"/>
    </row>
    <row r="164" spans="3:9" x14ac:dyDescent="0.2">
      <c r="C164" t="s">
        <v>467</v>
      </c>
      <c r="E164" s="84">
        <f t="shared" si="2"/>
        <v>0</v>
      </c>
      <c r="G164" s="79"/>
    </row>
    <row r="165" spans="3:9" x14ac:dyDescent="0.2">
      <c r="C165" t="s">
        <v>592</v>
      </c>
      <c r="E165" s="84">
        <f t="shared" si="2"/>
        <v>0</v>
      </c>
      <c r="G165" s="79"/>
      <c r="I165" s="6" t="s">
        <v>585</v>
      </c>
    </row>
    <row r="166" spans="3:9" ht="25.5" x14ac:dyDescent="0.2">
      <c r="C166" s="572" t="s">
        <v>3924</v>
      </c>
      <c r="E166" s="84">
        <f t="shared" si="2"/>
        <v>0</v>
      </c>
      <c r="G166" s="79"/>
      <c r="I166" s="6"/>
    </row>
    <row r="167" spans="3:9" ht="25.5" x14ac:dyDescent="0.2">
      <c r="C167" s="614" t="s">
        <v>3852</v>
      </c>
      <c r="E167" s="84">
        <f t="shared" si="2"/>
        <v>0</v>
      </c>
      <c r="G167" s="79"/>
      <c r="I167" s="6"/>
    </row>
    <row r="168" spans="3:9" ht="38.25" x14ac:dyDescent="0.2">
      <c r="C168" s="614" t="s">
        <v>3853</v>
      </c>
      <c r="E168" s="84">
        <f t="shared" si="2"/>
        <v>0</v>
      </c>
      <c r="G168" s="79"/>
      <c r="I168" s="6"/>
    </row>
    <row r="169" spans="3:9" ht="38.25" x14ac:dyDescent="0.2">
      <c r="C169" s="577" t="s">
        <v>3854</v>
      </c>
      <c r="E169" s="84">
        <f t="shared" si="2"/>
        <v>0</v>
      </c>
      <c r="G169" s="79"/>
      <c r="I169" s="6"/>
    </row>
    <row r="170" spans="3:9" ht="51" x14ac:dyDescent="0.2">
      <c r="C170" s="614" t="s">
        <v>3855</v>
      </c>
      <c r="E170" s="84">
        <f t="shared" si="2"/>
        <v>0</v>
      </c>
      <c r="G170" s="79"/>
      <c r="I170" s="6"/>
    </row>
    <row r="171" spans="3:9" ht="38.25" x14ac:dyDescent="0.2">
      <c r="C171" s="46" t="s">
        <v>3866</v>
      </c>
      <c r="E171" s="84">
        <f t="shared" si="2"/>
        <v>0</v>
      </c>
      <c r="G171" s="79"/>
      <c r="I171" s="6"/>
    </row>
    <row r="172" spans="3:9" ht="25.5" x14ac:dyDescent="0.2">
      <c r="C172" s="577" t="s">
        <v>3856</v>
      </c>
      <c r="E172" s="84">
        <f t="shared" ref="E172:E173" si="3">E88</f>
        <v>0</v>
      </c>
      <c r="G172" s="79"/>
      <c r="I172" s="6"/>
    </row>
    <row r="173" spans="3:9" ht="38.25" x14ac:dyDescent="0.2">
      <c r="C173" s="577" t="s">
        <v>3857</v>
      </c>
      <c r="E173" s="84">
        <f t="shared" si="3"/>
        <v>0</v>
      </c>
      <c r="G173" s="79"/>
      <c r="I173" s="6"/>
    </row>
    <row r="174" spans="3:9" x14ac:dyDescent="0.2">
      <c r="C174" t="s">
        <v>593</v>
      </c>
      <c r="E174" s="79"/>
      <c r="G174" s="84">
        <f t="shared" ref="G174:G190" si="4">G90</f>
        <v>0</v>
      </c>
    </row>
    <row r="175" spans="3:9" x14ac:dyDescent="0.2">
      <c r="C175" t="s">
        <v>594</v>
      </c>
      <c r="E175" s="79"/>
      <c r="G175" s="84">
        <f t="shared" si="4"/>
        <v>0</v>
      </c>
    </row>
    <row r="176" spans="3:9" x14ac:dyDescent="0.2">
      <c r="C176" t="s">
        <v>595</v>
      </c>
      <c r="E176" s="79"/>
      <c r="G176" s="84">
        <f t="shared" si="4"/>
        <v>0</v>
      </c>
    </row>
    <row r="177" spans="3:7" x14ac:dyDescent="0.2">
      <c r="C177" t="s">
        <v>596</v>
      </c>
      <c r="E177" s="79"/>
      <c r="G177" s="84">
        <f t="shared" si="4"/>
        <v>0</v>
      </c>
    </row>
    <row r="178" spans="3:7" x14ac:dyDescent="0.2">
      <c r="C178" s="161" t="s">
        <v>738</v>
      </c>
      <c r="E178" s="79"/>
      <c r="G178" s="84">
        <f t="shared" si="4"/>
        <v>0</v>
      </c>
    </row>
    <row r="179" spans="3:7" x14ac:dyDescent="0.2">
      <c r="C179" s="161" t="s">
        <v>193</v>
      </c>
      <c r="E179" s="79"/>
      <c r="G179" s="84">
        <f t="shared" si="4"/>
        <v>0</v>
      </c>
    </row>
    <row r="180" spans="3:7" x14ac:dyDescent="0.2">
      <c r="C180" t="s">
        <v>580</v>
      </c>
      <c r="E180" s="79"/>
      <c r="G180" s="84">
        <f t="shared" si="4"/>
        <v>0</v>
      </c>
    </row>
    <row r="181" spans="3:7" x14ac:dyDescent="0.2">
      <c r="C181" t="s">
        <v>646</v>
      </c>
      <c r="E181" s="79"/>
      <c r="G181" s="84">
        <f t="shared" si="4"/>
        <v>0</v>
      </c>
    </row>
    <row r="182" spans="3:7" x14ac:dyDescent="0.2">
      <c r="C182" t="s">
        <v>3925</v>
      </c>
      <c r="E182" s="79"/>
      <c r="G182" s="84">
        <f t="shared" si="4"/>
        <v>0</v>
      </c>
    </row>
    <row r="183" spans="3:7" x14ac:dyDescent="0.2">
      <c r="C183" s="161" t="s">
        <v>3928</v>
      </c>
      <c r="E183" s="79"/>
      <c r="G183" s="84">
        <f t="shared" si="4"/>
        <v>0</v>
      </c>
    </row>
    <row r="184" spans="3:7" x14ac:dyDescent="0.2">
      <c r="C184" t="s">
        <v>850</v>
      </c>
      <c r="E184" s="79"/>
      <c r="G184" s="84">
        <f t="shared" si="4"/>
        <v>0</v>
      </c>
    </row>
    <row r="185" spans="3:7" ht="25.5" x14ac:dyDescent="0.2">
      <c r="C185" s="612" t="s">
        <v>3858</v>
      </c>
      <c r="E185" s="79"/>
      <c r="G185" s="84">
        <f t="shared" si="4"/>
        <v>0</v>
      </c>
    </row>
    <row r="186" spans="3:7" ht="38.25" x14ac:dyDescent="0.2">
      <c r="C186" s="612" t="s">
        <v>3859</v>
      </c>
      <c r="E186" s="79"/>
      <c r="G186" s="84">
        <f t="shared" si="4"/>
        <v>0</v>
      </c>
    </row>
    <row r="187" spans="3:7" ht="38.25" x14ac:dyDescent="0.2">
      <c r="C187" s="613" t="s">
        <v>3860</v>
      </c>
      <c r="E187" s="79"/>
      <c r="G187" s="84">
        <f t="shared" si="4"/>
        <v>0</v>
      </c>
    </row>
    <row r="188" spans="3:7" ht="51" x14ac:dyDescent="0.2">
      <c r="C188" s="612" t="s">
        <v>3861</v>
      </c>
      <c r="E188" s="79"/>
      <c r="G188" s="84">
        <f t="shared" si="4"/>
        <v>0</v>
      </c>
    </row>
    <row r="189" spans="3:7" ht="25.5" x14ac:dyDescent="0.2">
      <c r="C189" s="485" t="s">
        <v>3862</v>
      </c>
      <c r="E189" s="79"/>
      <c r="G189" s="84">
        <f t="shared" si="4"/>
        <v>0</v>
      </c>
    </row>
    <row r="190" spans="3:7" ht="38.25" x14ac:dyDescent="0.2">
      <c r="C190" s="609" t="s">
        <v>3863</v>
      </c>
      <c r="E190" s="79"/>
      <c r="G190" s="84">
        <f t="shared" si="4"/>
        <v>0</v>
      </c>
    </row>
    <row r="191" spans="3:7" x14ac:dyDescent="0.2">
      <c r="C191" t="s">
        <v>852</v>
      </c>
      <c r="E191" s="11"/>
      <c r="G191" s="11">
        <f>G107+G129</f>
        <v>0</v>
      </c>
    </row>
    <row r="192" spans="3:7" ht="6" customHeight="1" x14ac:dyDescent="0.2">
      <c r="E192" s="79"/>
      <c r="G192" s="79"/>
    </row>
    <row r="193" spans="3:9" x14ac:dyDescent="0.2">
      <c r="C193" t="s">
        <v>582</v>
      </c>
      <c r="E193" s="79"/>
      <c r="G193" s="11">
        <f>G110</f>
        <v>0</v>
      </c>
    </row>
    <row r="194" spans="3:9" x14ac:dyDescent="0.2">
      <c r="C194" t="s">
        <v>597</v>
      </c>
      <c r="E194" s="79"/>
      <c r="G194" s="11">
        <f>G114</f>
        <v>0</v>
      </c>
    </row>
    <row r="195" spans="3:9" x14ac:dyDescent="0.2">
      <c r="C195" t="s">
        <v>598</v>
      </c>
      <c r="E195" s="11">
        <f>E115</f>
        <v>0</v>
      </c>
      <c r="G195" s="79"/>
      <c r="I195" s="6" t="s">
        <v>432</v>
      </c>
    </row>
    <row r="196" spans="3:9" x14ac:dyDescent="0.2">
      <c r="C196" t="s">
        <v>853</v>
      </c>
      <c r="E196" s="11">
        <f>E111</f>
        <v>0</v>
      </c>
      <c r="G196" s="79"/>
    </row>
    <row r="197" spans="3:9" x14ac:dyDescent="0.2">
      <c r="C197" t="s">
        <v>430</v>
      </c>
      <c r="E197" s="11"/>
      <c r="G197" s="11">
        <f>G113</f>
        <v>0</v>
      </c>
    </row>
    <row r="198" spans="3:9" x14ac:dyDescent="0.2">
      <c r="C198" t="s">
        <v>431</v>
      </c>
      <c r="E198" s="11">
        <f>E112</f>
        <v>0</v>
      </c>
      <c r="G198" s="79"/>
    </row>
    <row r="199" spans="3:9" ht="6" customHeight="1" x14ac:dyDescent="0.2">
      <c r="E199" s="79"/>
      <c r="G199" s="79"/>
    </row>
    <row r="200" spans="3:9" x14ac:dyDescent="0.2">
      <c r="C200" s="161" t="s">
        <v>599</v>
      </c>
      <c r="D200" s="161"/>
      <c r="E200" s="11"/>
      <c r="G200" s="11">
        <f t="shared" ref="G200:G207" si="5">E137</f>
        <v>0</v>
      </c>
    </row>
    <row r="201" spans="3:9" x14ac:dyDescent="0.2">
      <c r="C201" s="161" t="s">
        <v>685</v>
      </c>
      <c r="D201" s="161"/>
      <c r="E201" s="11"/>
      <c r="G201" s="11">
        <f t="shared" si="5"/>
        <v>0</v>
      </c>
    </row>
    <row r="202" spans="3:9" x14ac:dyDescent="0.2">
      <c r="C202" s="161" t="s">
        <v>686</v>
      </c>
      <c r="D202" s="161"/>
      <c r="E202" s="11"/>
      <c r="G202" s="11">
        <f t="shared" si="5"/>
        <v>0</v>
      </c>
    </row>
    <row r="203" spans="3:9" x14ac:dyDescent="0.2">
      <c r="C203" t="s">
        <v>584</v>
      </c>
      <c r="E203" s="11"/>
      <c r="G203" s="11">
        <f t="shared" si="5"/>
        <v>0</v>
      </c>
    </row>
    <row r="204" spans="3:9" x14ac:dyDescent="0.2">
      <c r="C204" s="161" t="s">
        <v>688</v>
      </c>
      <c r="D204" s="161"/>
      <c r="E204" s="11"/>
      <c r="G204" s="11">
        <f t="shared" si="5"/>
        <v>0</v>
      </c>
      <c r="I204" s="6" t="s">
        <v>433</v>
      </c>
    </row>
    <row r="205" spans="3:9" x14ac:dyDescent="0.2">
      <c r="C205" s="161" t="s">
        <v>54</v>
      </c>
      <c r="D205" s="161"/>
      <c r="E205" s="11"/>
      <c r="G205" s="11">
        <f t="shared" si="5"/>
        <v>0</v>
      </c>
    </row>
    <row r="206" spans="3:9" x14ac:dyDescent="0.2">
      <c r="C206" s="161" t="s">
        <v>910</v>
      </c>
      <c r="D206" s="161"/>
      <c r="E206" s="11"/>
      <c r="G206" s="11">
        <f t="shared" si="5"/>
        <v>0</v>
      </c>
    </row>
    <row r="207" spans="3:9" x14ac:dyDescent="0.2">
      <c r="C207" s="471" t="s">
        <v>201</v>
      </c>
      <c r="D207" s="161"/>
      <c r="E207" s="11"/>
      <c r="G207" s="11">
        <f t="shared" si="5"/>
        <v>0</v>
      </c>
    </row>
    <row r="208" spans="3:9" x14ac:dyDescent="0.2">
      <c r="C208" s="161" t="s">
        <v>631</v>
      </c>
      <c r="D208" s="161"/>
      <c r="E208" s="11"/>
      <c r="G208" s="11">
        <f>G150+G126</f>
        <v>0</v>
      </c>
    </row>
    <row r="209" spans="3:9" ht="6.75" customHeight="1" x14ac:dyDescent="0.2">
      <c r="C209" s="161"/>
      <c r="D209" s="161"/>
      <c r="E209" s="10"/>
      <c r="F209" s="1"/>
      <c r="G209" s="10"/>
    </row>
    <row r="210" spans="3:9" ht="13.5" thickBot="1" x14ac:dyDescent="0.25">
      <c r="C210" s="161"/>
      <c r="D210" s="161"/>
      <c r="E210" s="389" t="s">
        <v>185</v>
      </c>
      <c r="F210" s="1"/>
      <c r="G210" s="94">
        <f>SUM(G156:G208)</f>
        <v>0</v>
      </c>
    </row>
    <row r="211" spans="3:9" ht="18.75" customHeight="1" thickTop="1" x14ac:dyDescent="0.2">
      <c r="C211" s="161"/>
      <c r="D211" s="161"/>
      <c r="E211" s="10"/>
      <c r="F211" s="1"/>
      <c r="G211" s="10"/>
    </row>
    <row r="212" spans="3:9" x14ac:dyDescent="0.2">
      <c r="C212" s="987" t="s">
        <v>55</v>
      </c>
      <c r="D212" s="987"/>
      <c r="E212" t="s">
        <v>185</v>
      </c>
    </row>
    <row r="214" spans="3:9" x14ac:dyDescent="0.2">
      <c r="C214" t="s">
        <v>536</v>
      </c>
      <c r="E214" s="11">
        <f>G150+G126</f>
        <v>0</v>
      </c>
      <c r="G214" s="79"/>
    </row>
    <row r="215" spans="3:9" ht="12.75" customHeight="1" x14ac:dyDescent="0.2">
      <c r="C215" s="161" t="s">
        <v>56</v>
      </c>
      <c r="D215" s="161"/>
      <c r="E215" s="79"/>
      <c r="G215" s="11">
        <f>G146</f>
        <v>0</v>
      </c>
    </row>
    <row r="216" spans="3:9" ht="12.75" customHeight="1" x14ac:dyDescent="0.2">
      <c r="C216" s="161" t="s">
        <v>57</v>
      </c>
      <c r="D216" s="161"/>
      <c r="E216" s="79"/>
      <c r="G216" s="11">
        <f>G147</f>
        <v>0</v>
      </c>
      <c r="I216" s="1053" t="s">
        <v>702</v>
      </c>
    </row>
    <row r="217" spans="3:9" x14ac:dyDescent="0.2">
      <c r="C217" s="471" t="s">
        <v>672</v>
      </c>
      <c r="D217" s="161"/>
      <c r="E217" s="79"/>
      <c r="G217" s="11">
        <f>G148</f>
        <v>0</v>
      </c>
      <c r="I217" s="1053"/>
    </row>
    <row r="218" spans="3:9" x14ac:dyDescent="0.2">
      <c r="C218" s="471" t="s">
        <v>673</v>
      </c>
      <c r="D218" s="161"/>
      <c r="E218" s="79"/>
      <c r="G218" s="11">
        <f>G149</f>
        <v>0</v>
      </c>
      <c r="I218" s="488"/>
    </row>
    <row r="219" spans="3:9" x14ac:dyDescent="0.2">
      <c r="C219" s="161" t="s">
        <v>915</v>
      </c>
      <c r="D219" s="161"/>
      <c r="E219" s="79"/>
      <c r="G219" s="189">
        <f>G126</f>
        <v>0</v>
      </c>
    </row>
    <row r="220" spans="3:9" ht="13.5" thickBot="1" x14ac:dyDescent="0.25">
      <c r="E220" s="80">
        <f>SUM(E214:E216)</f>
        <v>0</v>
      </c>
      <c r="G220" s="88">
        <f>SUM(G215:G219)</f>
        <v>0</v>
      </c>
    </row>
    <row r="221" spans="3:9" ht="13.5" thickTop="1" x14ac:dyDescent="0.2"/>
    <row r="222" spans="3:9" x14ac:dyDescent="0.2">
      <c r="C222" s="883" t="s">
        <v>1021</v>
      </c>
      <c r="D222" s="883"/>
      <c r="E222" s="883"/>
      <c r="F222" s="883"/>
      <c r="G222" s="883"/>
      <c r="H222" s="883"/>
      <c r="I222" s="883"/>
    </row>
    <row r="223" spans="3:9" x14ac:dyDescent="0.2">
      <c r="C223" s="883"/>
      <c r="D223" s="883"/>
      <c r="E223" s="883"/>
      <c r="F223" s="883"/>
      <c r="G223" s="883"/>
      <c r="H223" s="883"/>
      <c r="I223" s="883"/>
    </row>
  </sheetData>
  <sheetProtection algorithmName="SHA-512" hashValue="BizMyCx/U8MznZsrec7UfJP0q6h3b8/LdwrzFZh90/pWl5m0IPoKWGqCd661D33VszOm/8GgtbU7b5ftbCpQmg==" saltValue="RoCu1kcb2lA2+zFWXt8jYA==" spinCount="100000" sheet="1" objects="1" scenarios="1"/>
  <mergeCells count="28">
    <mergeCell ref="C1:I1"/>
    <mergeCell ref="C35:G35"/>
    <mergeCell ref="B2:I3"/>
    <mergeCell ref="B4:I4"/>
    <mergeCell ref="C14:I15"/>
    <mergeCell ref="C20:I21"/>
    <mergeCell ref="C23:I23"/>
    <mergeCell ref="C27:I28"/>
    <mergeCell ref="C17:I18"/>
    <mergeCell ref="B32:I33"/>
    <mergeCell ref="C30:I30"/>
    <mergeCell ref="C24:I25"/>
    <mergeCell ref="I145:I149"/>
    <mergeCell ref="I216:I217"/>
    <mergeCell ref="C222:I223"/>
    <mergeCell ref="C212:D212"/>
    <mergeCell ref="C65:D65"/>
    <mergeCell ref="B152:I152"/>
    <mergeCell ref="B132:I133"/>
    <mergeCell ref="C126:E127"/>
    <mergeCell ref="G126:G127"/>
    <mergeCell ref="B68:I69"/>
    <mergeCell ref="B123:I124"/>
    <mergeCell ref="C129:E130"/>
    <mergeCell ref="G129:G130"/>
    <mergeCell ref="G64:I65"/>
    <mergeCell ref="C117:C118"/>
    <mergeCell ref="D117:D118"/>
  </mergeCells>
  <phoneticPr fontId="15" type="noConversion"/>
  <printOptions horizontalCentered="1"/>
  <pageMargins left="0.39" right="0.4" top="0.66" bottom="0.5" header="0.5" footer="0.5"/>
  <pageSetup scale="70" orientation="portrait" r:id="rId1"/>
  <headerFooter alignWithMargins="0">
    <oddHeader>&amp;REntry K.2</oddHeader>
    <oddFooter>&amp;L&amp;8&amp;D - City model&amp;R&amp;P</oddFooter>
  </headerFooter>
  <rowBreaks count="2" manualBreakCount="2">
    <brk id="67" max="8" man="1"/>
    <brk id="150" max="8"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M223"/>
  <sheetViews>
    <sheetView topLeftCell="A111" workbookViewId="0">
      <selection activeCell="C129" sqref="C129:E130"/>
    </sheetView>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55" customFormat="1" ht="15" x14ac:dyDescent="0.25">
      <c r="A1" s="186"/>
      <c r="C1" s="1085"/>
      <c r="D1" s="1085"/>
      <c r="E1" s="1086"/>
      <c r="F1" s="1086"/>
      <c r="G1" s="1086"/>
      <c r="H1" s="1086"/>
      <c r="I1" s="1086"/>
    </row>
    <row r="2" spans="1:10" s="155" customFormat="1" ht="15" customHeight="1" x14ac:dyDescent="0.25">
      <c r="A2" s="186"/>
      <c r="B2" s="1077" t="s">
        <v>559</v>
      </c>
      <c r="C2" s="1078"/>
      <c r="D2" s="1078"/>
      <c r="E2" s="1078"/>
      <c r="F2" s="1078"/>
      <c r="G2" s="1078"/>
      <c r="H2" s="1078"/>
      <c r="I2" s="1079"/>
    </row>
    <row r="3" spans="1:10" s="155" customFormat="1" ht="24" customHeight="1" x14ac:dyDescent="0.25">
      <c r="A3" s="186"/>
      <c r="B3" s="1080"/>
      <c r="C3" s="1081"/>
      <c r="D3" s="1081"/>
      <c r="E3" s="1081"/>
      <c r="F3" s="1081"/>
      <c r="G3" s="1081"/>
      <c r="H3" s="1081"/>
      <c r="I3" s="1082"/>
    </row>
    <row r="4" spans="1:10" ht="4.5" customHeight="1" x14ac:dyDescent="0.2">
      <c r="B4" s="1083"/>
      <c r="C4" s="1083"/>
      <c r="D4" s="1083"/>
      <c r="E4" s="1083"/>
      <c r="F4" s="1083"/>
      <c r="G4" s="1083"/>
      <c r="H4" s="1083"/>
      <c r="I4" s="1083"/>
    </row>
    <row r="5" spans="1:10" ht="12.75" customHeight="1" x14ac:dyDescent="0.2">
      <c r="C5" s="156"/>
      <c r="D5" s="156"/>
      <c r="E5" s="157"/>
      <c r="F5" s="157"/>
      <c r="G5" s="157"/>
      <c r="H5" s="157"/>
      <c r="I5" s="157"/>
    </row>
    <row r="6" spans="1:10" ht="12.75" customHeight="1" x14ac:dyDescent="0.2">
      <c r="C6" s="156"/>
      <c r="D6" s="156"/>
      <c r="E6" s="157"/>
      <c r="F6" s="157"/>
      <c r="G6" s="157"/>
      <c r="H6" s="157"/>
      <c r="I6" s="157"/>
    </row>
    <row r="7" spans="1:10" ht="12.75" customHeight="1" x14ac:dyDescent="0.2">
      <c r="C7" s="156"/>
      <c r="D7" s="156"/>
      <c r="E7" s="157"/>
      <c r="F7" s="157"/>
      <c r="G7" s="157"/>
      <c r="H7" s="157"/>
      <c r="I7" s="157"/>
    </row>
    <row r="8" spans="1:10" ht="12.75" customHeight="1" x14ac:dyDescent="0.2">
      <c r="C8" s="156"/>
      <c r="D8" s="156"/>
      <c r="E8" s="157"/>
      <c r="F8" s="157"/>
      <c r="G8" s="157"/>
      <c r="H8" s="157"/>
      <c r="I8" s="157"/>
    </row>
    <row r="9" spans="1:10" ht="12.75" customHeight="1" x14ac:dyDescent="0.2">
      <c r="C9" s="156"/>
      <c r="D9" s="156"/>
      <c r="E9" s="157"/>
      <c r="F9" s="157"/>
      <c r="G9" s="157"/>
      <c r="H9" s="157"/>
      <c r="I9" s="157"/>
    </row>
    <row r="10" spans="1:10" ht="12.75" customHeight="1" x14ac:dyDescent="0.2">
      <c r="C10" s="156"/>
      <c r="D10" s="156"/>
      <c r="E10" s="157"/>
      <c r="F10" s="157"/>
      <c r="G10" s="157"/>
      <c r="H10" s="157"/>
      <c r="I10" s="157"/>
    </row>
    <row r="11" spans="1:10" ht="12.75" customHeight="1" x14ac:dyDescent="0.2">
      <c r="C11" s="156"/>
      <c r="D11" s="156"/>
      <c r="E11" s="157"/>
      <c r="F11" s="157"/>
      <c r="G11" s="157"/>
      <c r="H11" s="157"/>
      <c r="I11" s="157"/>
    </row>
    <row r="12" spans="1:10" ht="12.75" customHeight="1" x14ac:dyDescent="0.2">
      <c r="C12" s="156"/>
      <c r="D12" s="156"/>
      <c r="E12" s="157"/>
      <c r="F12" s="157"/>
      <c r="G12" s="157"/>
      <c r="H12" s="157"/>
      <c r="I12" s="157"/>
    </row>
    <row r="13" spans="1:10" ht="12.75" customHeight="1" x14ac:dyDescent="0.2">
      <c r="C13" s="156"/>
      <c r="D13" s="156"/>
      <c r="E13" s="157"/>
      <c r="F13" s="157"/>
      <c r="G13" s="157"/>
      <c r="H13" s="157"/>
      <c r="I13" s="157"/>
    </row>
    <row r="14" spans="1:10" ht="12" customHeight="1" x14ac:dyDescent="0.2">
      <c r="B14" s="50" t="s">
        <v>930</v>
      </c>
      <c r="C14" s="1083" t="s">
        <v>785</v>
      </c>
      <c r="D14" s="1083"/>
      <c r="E14" s="1083"/>
      <c r="F14" s="1083"/>
      <c r="G14" s="1083"/>
      <c r="H14" s="1083"/>
      <c r="I14" s="1083"/>
      <c r="J14" s="156"/>
    </row>
    <row r="15" spans="1:10" ht="26.25" customHeight="1" x14ac:dyDescent="0.2">
      <c r="C15" s="1083"/>
      <c r="D15" s="1083"/>
      <c r="E15" s="1083"/>
      <c r="F15" s="1083"/>
      <c r="G15" s="1083"/>
      <c r="H15" s="1083"/>
      <c r="I15" s="1083"/>
      <c r="J15" s="156"/>
    </row>
    <row r="16" spans="1:10" ht="4.5" customHeight="1" x14ac:dyDescent="0.2"/>
    <row r="17" spans="1:9" ht="12.75" customHeight="1" x14ac:dyDescent="0.2">
      <c r="B17" s="50" t="s">
        <v>931</v>
      </c>
      <c r="C17" s="1083" t="s">
        <v>1094</v>
      </c>
      <c r="D17" s="1083"/>
      <c r="E17" s="1083"/>
      <c r="F17" s="1083"/>
      <c r="G17" s="1083"/>
      <c r="H17" s="1083"/>
      <c r="I17" s="1083"/>
    </row>
    <row r="18" spans="1:9" ht="55.5" customHeight="1" x14ac:dyDescent="0.2">
      <c r="C18" s="1083"/>
      <c r="D18" s="1083"/>
      <c r="E18" s="1083"/>
      <c r="F18" s="1083"/>
      <c r="G18" s="1083"/>
      <c r="H18" s="1083"/>
      <c r="I18" s="1083"/>
    </row>
    <row r="19" spans="1:9" ht="4.5" customHeight="1" x14ac:dyDescent="0.2"/>
    <row r="20" spans="1:9" ht="12" customHeight="1" x14ac:dyDescent="0.2">
      <c r="B20" s="50" t="s">
        <v>932</v>
      </c>
      <c r="C20" s="892" t="s">
        <v>1082</v>
      </c>
      <c r="D20" s="881"/>
      <c r="E20" s="881"/>
      <c r="F20" s="881"/>
      <c r="G20" s="881"/>
      <c r="H20" s="881"/>
      <c r="I20" s="881"/>
    </row>
    <row r="21" spans="1:9" ht="12.75" hidden="1" customHeight="1" x14ac:dyDescent="0.2">
      <c r="C21" s="881"/>
      <c r="D21" s="881"/>
      <c r="E21" s="881"/>
      <c r="F21" s="881"/>
      <c r="G21" s="881"/>
      <c r="H21" s="881"/>
      <c r="I21" s="881"/>
    </row>
    <row r="22" spans="1:9" ht="4.5" customHeight="1" x14ac:dyDescent="0.2"/>
    <row r="23" spans="1:9" ht="12.75" hidden="1" customHeight="1" x14ac:dyDescent="0.2">
      <c r="B23" s="50"/>
      <c r="C23" s="881"/>
      <c r="D23" s="881"/>
      <c r="E23" s="881"/>
      <c r="F23" s="881"/>
      <c r="G23" s="881"/>
      <c r="H23" s="881"/>
      <c r="I23" s="881"/>
    </row>
    <row r="24" spans="1:9" ht="12.75" customHeight="1" x14ac:dyDescent="0.2">
      <c r="B24" s="50" t="s">
        <v>862</v>
      </c>
      <c r="C24" s="892" t="s">
        <v>1083</v>
      </c>
      <c r="D24" s="883"/>
      <c r="E24" s="883"/>
      <c r="F24" s="883"/>
      <c r="G24" s="883"/>
      <c r="H24" s="883"/>
      <c r="I24" s="883"/>
    </row>
    <row r="25" spans="1:9" ht="12.75" customHeight="1" x14ac:dyDescent="0.2">
      <c r="B25" s="50"/>
      <c r="C25" s="883"/>
      <c r="D25" s="883"/>
      <c r="E25" s="883"/>
      <c r="F25" s="883"/>
      <c r="G25" s="883"/>
      <c r="H25" s="883"/>
      <c r="I25" s="883"/>
    </row>
    <row r="26" spans="1:9" ht="4.5" customHeight="1" x14ac:dyDescent="0.2">
      <c r="B26" s="50"/>
    </row>
    <row r="27" spans="1:9" ht="12.75" customHeight="1" x14ac:dyDescent="0.2">
      <c r="B27" s="50" t="s">
        <v>863</v>
      </c>
      <c r="C27" s="1083" t="s">
        <v>678</v>
      </c>
      <c r="D27" s="1083"/>
      <c r="E27" s="1083"/>
      <c r="F27" s="1083"/>
      <c r="G27" s="1083"/>
      <c r="H27" s="1083"/>
      <c r="I27" s="1083"/>
    </row>
    <row r="28" spans="1:9" ht="26.25" customHeight="1" x14ac:dyDescent="0.2">
      <c r="B28" s="50"/>
      <c r="C28" s="1083"/>
      <c r="D28" s="1083"/>
      <c r="E28" s="1083"/>
      <c r="F28" s="1083"/>
      <c r="G28" s="1083"/>
      <c r="H28" s="1083"/>
      <c r="I28" s="1083"/>
    </row>
    <row r="29" spans="1:9" ht="24" customHeight="1" thickBot="1" x14ac:dyDescent="0.25"/>
    <row r="30" spans="1:9" ht="30.75" customHeight="1" thickTop="1" thickBot="1" x14ac:dyDescent="0.25">
      <c r="C30" s="1088" t="s">
        <v>267</v>
      </c>
      <c r="D30" s="1089"/>
      <c r="E30" s="1089"/>
      <c r="F30" s="1089"/>
      <c r="G30" s="1089"/>
      <c r="H30" s="1089"/>
      <c r="I30" s="1090"/>
    </row>
    <row r="31" spans="1:9" ht="24" customHeight="1" thickTop="1" x14ac:dyDescent="0.2"/>
    <row r="32" spans="1:9" ht="17.25" customHeight="1" x14ac:dyDescent="0.2">
      <c r="A32" s="4" t="s">
        <v>860</v>
      </c>
      <c r="B32" s="1060" t="s">
        <v>601</v>
      </c>
      <c r="C32" s="1061"/>
      <c r="D32" s="1061"/>
      <c r="E32" s="1061"/>
      <c r="F32" s="1061"/>
      <c r="G32" s="1061"/>
      <c r="H32" s="1061"/>
      <c r="I32" s="1062"/>
    </row>
    <row r="33" spans="2:13" ht="22.5" customHeight="1" x14ac:dyDescent="0.2">
      <c r="B33" s="1063"/>
      <c r="C33" s="1064"/>
      <c r="D33" s="1064"/>
      <c r="E33" s="1064"/>
      <c r="F33" s="1064"/>
      <c r="G33" s="1064"/>
      <c r="H33" s="1064"/>
      <c r="I33" s="1065"/>
    </row>
    <row r="34" spans="2:13" ht="24" customHeight="1" x14ac:dyDescent="0.2">
      <c r="C34" s="4"/>
      <c r="D34" s="4"/>
      <c r="E34" s="10"/>
      <c r="F34" s="10"/>
      <c r="G34" s="10"/>
      <c r="H34" s="10"/>
      <c r="I34" s="158"/>
    </row>
    <row r="35" spans="2:13" x14ac:dyDescent="0.2">
      <c r="C35" s="1076" t="s">
        <v>969</v>
      </c>
      <c r="D35" s="1076"/>
      <c r="E35" s="1076"/>
      <c r="F35" s="1076"/>
      <c r="G35" s="1076"/>
      <c r="H35" s="49"/>
      <c r="I35" s="49"/>
      <c r="J35" s="49"/>
      <c r="K35" s="49"/>
      <c r="L35" s="49"/>
      <c r="M35" s="49"/>
    </row>
    <row r="36" spans="2:13" x14ac:dyDescent="0.2">
      <c r="C36" s="4"/>
      <c r="D36" s="4"/>
      <c r="E36" s="109" t="s">
        <v>970</v>
      </c>
      <c r="F36" s="152"/>
      <c r="G36" s="159" t="s">
        <v>971</v>
      </c>
      <c r="H36" s="160"/>
    </row>
    <row r="37" spans="2:13" x14ac:dyDescent="0.2">
      <c r="C37" s="118" t="s">
        <v>972</v>
      </c>
      <c r="D37" s="118"/>
      <c r="E37" s="1"/>
      <c r="F37" s="10"/>
      <c r="G37" s="158"/>
      <c r="H37" s="158"/>
    </row>
    <row r="38" spans="2:13" x14ac:dyDescent="0.2">
      <c r="C38" s="161" t="s">
        <v>973</v>
      </c>
      <c r="D38" s="161"/>
      <c r="E38" s="1"/>
      <c r="F38" s="10"/>
      <c r="G38" s="158"/>
      <c r="H38" s="158"/>
    </row>
    <row r="39" spans="2:13" x14ac:dyDescent="0.2">
      <c r="C39" s="162" t="s">
        <v>704</v>
      </c>
      <c r="D39" s="162"/>
      <c r="E39" s="89">
        <v>0</v>
      </c>
      <c r="F39" s="10"/>
      <c r="G39" s="528">
        <f t="shared" ref="G39:G46" si="0">IF(E$56=0,0,ROUND(E39/E$58,4))</f>
        <v>0</v>
      </c>
      <c r="H39" s="158"/>
    </row>
    <row r="40" spans="2:13" x14ac:dyDescent="0.2">
      <c r="C40" s="162" t="s">
        <v>703</v>
      </c>
      <c r="D40" s="162"/>
      <c r="E40" s="85">
        <v>0</v>
      </c>
      <c r="F40" s="10"/>
      <c r="G40" s="528">
        <f t="shared" si="0"/>
        <v>0</v>
      </c>
      <c r="H40" s="158"/>
    </row>
    <row r="41" spans="2:13" x14ac:dyDescent="0.2">
      <c r="C41" s="162" t="s">
        <v>880</v>
      </c>
      <c r="D41" s="162"/>
      <c r="E41" s="85">
        <v>0</v>
      </c>
      <c r="F41" s="10"/>
      <c r="G41" s="528">
        <f t="shared" si="0"/>
        <v>0</v>
      </c>
      <c r="H41" s="158"/>
    </row>
    <row r="42" spans="2:13" x14ac:dyDescent="0.2">
      <c r="C42" s="162" t="s">
        <v>474</v>
      </c>
      <c r="D42" s="162"/>
      <c r="E42" s="85">
        <v>0</v>
      </c>
      <c r="F42" s="10"/>
      <c r="G42" s="528">
        <f t="shared" si="0"/>
        <v>0</v>
      </c>
      <c r="H42" s="158"/>
    </row>
    <row r="43" spans="2:13" x14ac:dyDescent="0.2">
      <c r="C43" s="162" t="s">
        <v>463</v>
      </c>
      <c r="D43" s="162"/>
      <c r="E43" s="85">
        <v>0</v>
      </c>
      <c r="F43" s="10"/>
      <c r="G43" s="528">
        <f t="shared" si="0"/>
        <v>0</v>
      </c>
      <c r="H43" s="158"/>
    </row>
    <row r="44" spans="2:13" x14ac:dyDescent="0.2">
      <c r="C44" s="162" t="s">
        <v>974</v>
      </c>
      <c r="D44" s="162"/>
      <c r="E44" s="85">
        <v>0</v>
      </c>
      <c r="F44" s="10"/>
      <c r="G44" s="528">
        <f t="shared" si="0"/>
        <v>0</v>
      </c>
      <c r="H44" s="158"/>
    </row>
    <row r="45" spans="2:13" x14ac:dyDescent="0.2">
      <c r="C45" s="162" t="s">
        <v>910</v>
      </c>
      <c r="D45" s="162"/>
      <c r="E45" s="85">
        <v>0</v>
      </c>
      <c r="F45" s="10"/>
      <c r="G45" s="528">
        <f t="shared" si="0"/>
        <v>0</v>
      </c>
      <c r="H45" s="158"/>
    </row>
    <row r="46" spans="2:13" x14ac:dyDescent="0.2">
      <c r="C46" s="470" t="s">
        <v>201</v>
      </c>
      <c r="D46" s="162"/>
      <c r="E46" s="85">
        <v>0</v>
      </c>
      <c r="F46" s="10"/>
      <c r="G46" s="528">
        <f t="shared" si="0"/>
        <v>0</v>
      </c>
      <c r="H46" s="158"/>
    </row>
    <row r="47" spans="2:13" x14ac:dyDescent="0.2">
      <c r="C47" s="162"/>
      <c r="D47" s="162"/>
      <c r="E47" s="1"/>
      <c r="F47" s="10"/>
      <c r="G47" s="158"/>
      <c r="H47" s="158"/>
    </row>
    <row r="48" spans="2:13" ht="15" x14ac:dyDescent="0.2">
      <c r="C48" s="163" t="s">
        <v>975</v>
      </c>
      <c r="D48" s="163"/>
      <c r="E48" s="176">
        <f>+SUM(E39:E47)</f>
        <v>0</v>
      </c>
      <c r="F48" s="10"/>
      <c r="G48" s="528">
        <f>IF(E$56=0,0,ROUND(E48/E$58,4))</f>
        <v>0</v>
      </c>
      <c r="H48" s="177" t="s">
        <v>758</v>
      </c>
    </row>
    <row r="49" spans="3:9" x14ac:dyDescent="0.2">
      <c r="E49" s="1"/>
      <c r="F49" s="10"/>
      <c r="G49" s="164" t="s">
        <v>185</v>
      </c>
      <c r="H49" s="164"/>
    </row>
    <row r="50" spans="3:9" x14ac:dyDescent="0.2">
      <c r="C50" s="161" t="s">
        <v>976</v>
      </c>
      <c r="D50" s="161"/>
      <c r="E50" s="1"/>
      <c r="F50" s="10"/>
      <c r="G50" s="164" t="s">
        <v>185</v>
      </c>
      <c r="H50" s="164"/>
    </row>
    <row r="51" spans="3:9" x14ac:dyDescent="0.2">
      <c r="C51" s="162" t="s">
        <v>977</v>
      </c>
      <c r="D51" s="162"/>
      <c r="E51" s="454">
        <v>0</v>
      </c>
      <c r="F51" s="10"/>
      <c r="G51" s="528">
        <f>IF(E$56=0,0,ROUND(E51/E$58,4))</f>
        <v>0</v>
      </c>
      <c r="H51" s="158"/>
    </row>
    <row r="52" spans="3:9" x14ac:dyDescent="0.2">
      <c r="C52" s="162" t="s">
        <v>978</v>
      </c>
      <c r="D52" s="162"/>
      <c r="E52" s="455">
        <v>0</v>
      </c>
      <c r="F52" s="165"/>
      <c r="G52" s="528">
        <f>IF(E$56=0,0,ROUND(E52/E$58,4))</f>
        <v>0</v>
      </c>
      <c r="H52" s="158"/>
    </row>
    <row r="53" spans="3:9" x14ac:dyDescent="0.2">
      <c r="C53" s="470" t="s">
        <v>916</v>
      </c>
      <c r="D53" s="162"/>
      <c r="E53" s="455">
        <v>0</v>
      </c>
      <c r="F53" s="165"/>
      <c r="G53" s="528">
        <f>IF(E$56=0,0,ROUND(E53/E$58,4))</f>
        <v>0</v>
      </c>
      <c r="H53" s="158"/>
    </row>
    <row r="54" spans="3:9" x14ac:dyDescent="0.2">
      <c r="C54" s="470" t="s">
        <v>917</v>
      </c>
      <c r="D54" s="162"/>
      <c r="E54" s="455">
        <v>0</v>
      </c>
      <c r="F54" s="165"/>
      <c r="G54" s="528">
        <f>IF(E$56=0,0,ROUND(E54/E$58,4))</f>
        <v>0</v>
      </c>
      <c r="H54" s="158"/>
    </row>
    <row r="55" spans="3:9" x14ac:dyDescent="0.2">
      <c r="C55" s="161"/>
      <c r="D55" s="161"/>
      <c r="E55" s="1"/>
      <c r="F55" s="10"/>
      <c r="G55" s="158"/>
      <c r="H55" s="158"/>
    </row>
    <row r="56" spans="3:9" x14ac:dyDescent="0.2">
      <c r="C56" s="163" t="s">
        <v>979</v>
      </c>
      <c r="D56" s="163"/>
      <c r="E56" s="176">
        <f>+SUM(E51:E55)</f>
        <v>0</v>
      </c>
      <c r="F56" s="10"/>
      <c r="G56" s="528">
        <f>IF(E$56=0,0,ROUND(E56/E$58,4))</f>
        <v>0</v>
      </c>
      <c r="H56" s="166"/>
    </row>
    <row r="57" spans="3:9" x14ac:dyDescent="0.2">
      <c r="C57" s="162"/>
      <c r="D57" s="162"/>
      <c r="E57" s="1"/>
      <c r="F57" s="10"/>
      <c r="G57" s="158"/>
      <c r="H57" s="158"/>
    </row>
    <row r="58" spans="3:9" ht="13.5" thickBot="1" x14ac:dyDescent="0.25">
      <c r="C58" s="167" t="s">
        <v>980</v>
      </c>
      <c r="D58" s="167"/>
      <c r="E58" s="178">
        <f>+E48+E56</f>
        <v>0</v>
      </c>
      <c r="F58" s="10"/>
      <c r="G58" s="529">
        <f>G48+G56</f>
        <v>0</v>
      </c>
      <c r="H58" s="166"/>
    </row>
    <row r="59" spans="3:9" ht="13.5" thickTop="1" x14ac:dyDescent="0.2">
      <c r="C59" s="167"/>
      <c r="D59" s="167"/>
      <c r="E59" s="10"/>
      <c r="F59" s="10"/>
      <c r="G59" s="166"/>
      <c r="H59" s="166"/>
    </row>
    <row r="60" spans="3:9" x14ac:dyDescent="0.2">
      <c r="C60" s="118" t="s">
        <v>981</v>
      </c>
      <c r="D60" s="118"/>
      <c r="E60" s="449">
        <v>0</v>
      </c>
      <c r="F60" s="10"/>
      <c r="G60" s="166"/>
      <c r="H60" s="166"/>
    </row>
    <row r="61" spans="3:9" x14ac:dyDescent="0.2">
      <c r="C61" s="167"/>
      <c r="D61" s="167"/>
      <c r="E61" s="10"/>
      <c r="F61" s="10"/>
      <c r="G61" s="166"/>
      <c r="H61" s="166"/>
    </row>
    <row r="62" spans="3:9" ht="13.5" thickBot="1" x14ac:dyDescent="0.25">
      <c r="C62" s="167" t="s">
        <v>982</v>
      </c>
      <c r="D62" s="167"/>
      <c r="E62" s="178">
        <f>E58+E60</f>
        <v>0</v>
      </c>
      <c r="F62" s="10"/>
      <c r="G62" s="166"/>
      <c r="H62" s="166"/>
    </row>
    <row r="63" spans="3:9" ht="13.5" thickTop="1" x14ac:dyDescent="0.2">
      <c r="C63" s="167"/>
      <c r="D63" s="167"/>
      <c r="E63" s="1"/>
      <c r="F63" s="1"/>
      <c r="G63" s="158"/>
      <c r="H63" s="158"/>
    </row>
    <row r="64" spans="3:9" ht="15.75" customHeight="1" x14ac:dyDescent="0.2">
      <c r="C64" s="167"/>
      <c r="D64" s="167"/>
      <c r="E64" s="1"/>
      <c r="F64" s="1"/>
      <c r="G64" s="1055" t="s">
        <v>775</v>
      </c>
      <c r="H64" s="1055"/>
      <c r="I64" s="1055"/>
    </row>
    <row r="65" spans="1:9" ht="32.25" customHeight="1" x14ac:dyDescent="0.2">
      <c r="C65" s="883" t="s">
        <v>701</v>
      </c>
      <c r="D65" s="1059"/>
      <c r="E65" s="179" t="str">
        <f>IF(G48&gt;=50%,"Governmental","Business Type")</f>
        <v>Business Type</v>
      </c>
      <c r="F65" s="220" t="s">
        <v>758</v>
      </c>
      <c r="G65" s="1055"/>
      <c r="H65" s="1055"/>
      <c r="I65" s="1055"/>
    </row>
    <row r="66" spans="1:9" ht="44.25" customHeight="1" x14ac:dyDescent="0.2">
      <c r="C66" s="46"/>
      <c r="D66" s="46"/>
      <c r="E66" s="169"/>
      <c r="F66" s="168"/>
      <c r="G66" s="158"/>
      <c r="H66" s="158"/>
    </row>
    <row r="67" spans="1:9" x14ac:dyDescent="0.2">
      <c r="E67" s="1"/>
      <c r="F67" s="1"/>
      <c r="G67" s="170"/>
      <c r="H67" s="170"/>
      <c r="I67" s="158"/>
    </row>
    <row r="68" spans="1:9" ht="17.25" customHeight="1" x14ac:dyDescent="0.2">
      <c r="A68" s="4" t="s">
        <v>861</v>
      </c>
      <c r="B68" s="1069" t="s">
        <v>1084</v>
      </c>
      <c r="C68" s="1070"/>
      <c r="D68" s="1070"/>
      <c r="E68" s="1070"/>
      <c r="F68" s="1070"/>
      <c r="G68" s="1070"/>
      <c r="H68" s="1070"/>
      <c r="I68" s="1071"/>
    </row>
    <row r="69" spans="1:9" ht="36" customHeight="1" x14ac:dyDescent="0.2">
      <c r="B69" s="1072"/>
      <c r="C69" s="1073"/>
      <c r="D69" s="1073"/>
      <c r="E69" s="1073"/>
      <c r="F69" s="1073"/>
      <c r="G69" s="1073"/>
      <c r="H69" s="1073"/>
      <c r="I69" s="1074"/>
    </row>
    <row r="70" spans="1:9" ht="3.75" customHeight="1" x14ac:dyDescent="0.2">
      <c r="E70" s="1"/>
      <c r="F70" s="1"/>
      <c r="G70" s="170"/>
      <c r="H70" s="170"/>
      <c r="I70" s="158"/>
    </row>
    <row r="71" spans="1:9" x14ac:dyDescent="0.2">
      <c r="B71" s="67" t="s">
        <v>930</v>
      </c>
      <c r="C71" s="4" t="s">
        <v>991</v>
      </c>
      <c r="E71" s="3" t="s">
        <v>64</v>
      </c>
      <c r="F71" s="55"/>
      <c r="G71" s="3" t="s">
        <v>65</v>
      </c>
      <c r="H71" s="170"/>
      <c r="I71" s="158"/>
    </row>
    <row r="72" spans="1:9" x14ac:dyDescent="0.2">
      <c r="C72" t="s">
        <v>591</v>
      </c>
      <c r="E72" s="457">
        <v>0</v>
      </c>
      <c r="F72" s="55"/>
      <c r="G72" s="175"/>
      <c r="H72" s="170"/>
      <c r="I72" s="158"/>
    </row>
    <row r="73" spans="1:9" x14ac:dyDescent="0.2">
      <c r="C73" t="s">
        <v>833</v>
      </c>
      <c r="E73" s="457">
        <v>0</v>
      </c>
      <c r="F73" s="55"/>
      <c r="G73" s="175"/>
      <c r="H73" s="170"/>
      <c r="I73" s="158"/>
    </row>
    <row r="74" spans="1:9" x14ac:dyDescent="0.2">
      <c r="C74" t="s">
        <v>733</v>
      </c>
      <c r="E74" s="457">
        <v>0</v>
      </c>
      <c r="F74" s="55"/>
      <c r="G74" s="175"/>
      <c r="H74" s="170"/>
      <c r="I74" s="158"/>
    </row>
    <row r="75" spans="1:9" x14ac:dyDescent="0.2">
      <c r="C75" t="s">
        <v>194</v>
      </c>
      <c r="E75" s="457">
        <v>0</v>
      </c>
      <c r="F75" s="55"/>
      <c r="G75" s="175"/>
      <c r="H75" s="170"/>
      <c r="I75" s="158"/>
    </row>
    <row r="76" spans="1:9" x14ac:dyDescent="0.2">
      <c r="C76" t="s">
        <v>736</v>
      </c>
      <c r="E76" s="457">
        <v>0</v>
      </c>
      <c r="F76" s="55"/>
      <c r="G76" s="175"/>
      <c r="H76" s="170"/>
      <c r="I76" s="158"/>
    </row>
    <row r="77" spans="1:9" x14ac:dyDescent="0.2">
      <c r="C77" t="s">
        <v>737</v>
      </c>
      <c r="E77" s="457">
        <v>0</v>
      </c>
      <c r="F77" s="55"/>
      <c r="G77" s="175"/>
      <c r="H77" s="170"/>
      <c r="I77" s="158"/>
    </row>
    <row r="78" spans="1:9" x14ac:dyDescent="0.2">
      <c r="C78" t="s">
        <v>469</v>
      </c>
      <c r="E78" s="457">
        <v>0</v>
      </c>
      <c r="F78" s="55"/>
      <c r="G78" s="175"/>
      <c r="H78" s="170"/>
      <c r="I78" s="158"/>
    </row>
    <row r="79" spans="1:9" x14ac:dyDescent="0.2">
      <c r="C79" t="s">
        <v>470</v>
      </c>
      <c r="E79" s="457">
        <v>0</v>
      </c>
      <c r="F79" s="55"/>
      <c r="G79" s="175"/>
      <c r="H79" s="170"/>
      <c r="I79" s="158"/>
    </row>
    <row r="80" spans="1:9" x14ac:dyDescent="0.2">
      <c r="C80" t="s">
        <v>467</v>
      </c>
      <c r="E80" s="457">
        <v>0</v>
      </c>
      <c r="F80" s="55"/>
      <c r="G80" s="175"/>
      <c r="H80" s="170"/>
      <c r="I80" s="158"/>
    </row>
    <row r="81" spans="3:9" x14ac:dyDescent="0.2">
      <c r="C81" t="s">
        <v>592</v>
      </c>
      <c r="E81" s="457">
        <v>0</v>
      </c>
      <c r="F81" s="55"/>
      <c r="G81" s="175"/>
      <c r="H81" s="170"/>
      <c r="I81" s="6" t="s">
        <v>1086</v>
      </c>
    </row>
    <row r="82" spans="3:9" ht="25.5" x14ac:dyDescent="0.2">
      <c r="C82" s="572" t="s">
        <v>3924</v>
      </c>
      <c r="E82" s="457">
        <v>0</v>
      </c>
      <c r="F82" s="55"/>
      <c r="G82" s="175"/>
      <c r="H82" s="170"/>
      <c r="I82" s="6"/>
    </row>
    <row r="83" spans="3:9" ht="25.5" x14ac:dyDescent="0.2">
      <c r="C83" s="614" t="s">
        <v>3852</v>
      </c>
      <c r="E83" s="457">
        <v>0</v>
      </c>
      <c r="F83" s="55"/>
      <c r="G83" s="175"/>
      <c r="H83" s="170"/>
      <c r="I83" s="6"/>
    </row>
    <row r="84" spans="3:9" ht="38.25" x14ac:dyDescent="0.2">
      <c r="C84" s="614" t="s">
        <v>3853</v>
      </c>
      <c r="E84" s="457">
        <v>0</v>
      </c>
      <c r="F84" s="55"/>
      <c r="G84" s="175"/>
      <c r="H84" s="170"/>
      <c r="I84" s="6"/>
    </row>
    <row r="85" spans="3:9" ht="38.25" x14ac:dyDescent="0.2">
      <c r="C85" s="577" t="s">
        <v>3854</v>
      </c>
      <c r="E85" s="457">
        <v>0</v>
      </c>
      <c r="F85" s="55"/>
      <c r="G85" s="175"/>
      <c r="H85" s="170"/>
      <c r="I85" s="6"/>
    </row>
    <row r="86" spans="3:9" ht="51" x14ac:dyDescent="0.2">
      <c r="C86" s="614" t="s">
        <v>3855</v>
      </c>
      <c r="E86" s="457">
        <v>0</v>
      </c>
      <c r="F86" s="55"/>
      <c r="G86" s="175"/>
      <c r="H86" s="170"/>
      <c r="I86" s="6"/>
    </row>
    <row r="87" spans="3:9" ht="38.25" x14ac:dyDescent="0.2">
      <c r="C87" s="572" t="s">
        <v>3867</v>
      </c>
      <c r="E87" s="457">
        <v>0</v>
      </c>
      <c r="F87" s="55"/>
      <c r="G87" s="175"/>
      <c r="H87" s="170"/>
      <c r="I87" s="6"/>
    </row>
    <row r="88" spans="3:9" ht="25.5" x14ac:dyDescent="0.2">
      <c r="C88" s="614" t="s">
        <v>3856</v>
      </c>
      <c r="E88" s="457">
        <v>0</v>
      </c>
      <c r="F88" s="55"/>
      <c r="G88" s="175"/>
      <c r="H88" s="170"/>
      <c r="I88" s="6"/>
    </row>
    <row r="89" spans="3:9" ht="38.25" x14ac:dyDescent="0.2">
      <c r="C89" s="577" t="s">
        <v>3857</v>
      </c>
      <c r="E89" s="457">
        <v>0</v>
      </c>
      <c r="F89" s="55"/>
      <c r="G89" s="175"/>
      <c r="H89" s="170"/>
      <c r="I89" s="6"/>
    </row>
    <row r="90" spans="3:9" x14ac:dyDescent="0.2">
      <c r="C90" t="s">
        <v>593</v>
      </c>
      <c r="E90" s="174"/>
      <c r="F90" s="55"/>
      <c r="G90" s="457">
        <v>0</v>
      </c>
      <c r="H90" s="170"/>
      <c r="I90" s="158"/>
    </row>
    <row r="91" spans="3:9" x14ac:dyDescent="0.2">
      <c r="C91" t="s">
        <v>594</v>
      </c>
      <c r="E91" s="174"/>
      <c r="F91" s="55"/>
      <c r="G91" s="457">
        <v>0</v>
      </c>
      <c r="H91" s="170"/>
      <c r="I91" s="158"/>
    </row>
    <row r="92" spans="3:9" x14ac:dyDescent="0.2">
      <c r="C92" t="s">
        <v>595</v>
      </c>
      <c r="E92" s="174"/>
      <c r="F92" s="55"/>
      <c r="G92" s="457">
        <v>0</v>
      </c>
      <c r="H92" s="170"/>
      <c r="I92" s="158"/>
    </row>
    <row r="93" spans="3:9" x14ac:dyDescent="0.2">
      <c r="C93" t="s">
        <v>596</v>
      </c>
      <c r="E93" s="55"/>
      <c r="F93" s="55"/>
      <c r="G93" s="457">
        <v>0</v>
      </c>
      <c r="H93" s="170"/>
      <c r="I93" s="158"/>
    </row>
    <row r="94" spans="3:9" x14ac:dyDescent="0.2">
      <c r="C94" s="161" t="s">
        <v>738</v>
      </c>
      <c r="E94" s="55"/>
      <c r="F94" s="55"/>
      <c r="G94" s="457">
        <v>0</v>
      </c>
      <c r="H94" s="170"/>
      <c r="I94" s="158"/>
    </row>
    <row r="95" spans="3:9" x14ac:dyDescent="0.2">
      <c r="C95" s="161" t="s">
        <v>193</v>
      </c>
      <c r="E95" s="55"/>
      <c r="F95" s="55"/>
      <c r="G95" s="457">
        <v>0</v>
      </c>
      <c r="H95" s="170"/>
      <c r="I95" s="158"/>
    </row>
    <row r="96" spans="3:9" x14ac:dyDescent="0.2">
      <c r="C96" t="s">
        <v>645</v>
      </c>
      <c r="E96" s="55"/>
      <c r="F96" s="55"/>
      <c r="G96" s="457">
        <v>0</v>
      </c>
      <c r="H96" s="170"/>
      <c r="I96" s="158"/>
    </row>
    <row r="97" spans="2:9" x14ac:dyDescent="0.2">
      <c r="C97" t="s">
        <v>646</v>
      </c>
      <c r="E97" s="55"/>
      <c r="F97" s="55"/>
      <c r="G97" s="457">
        <v>0</v>
      </c>
      <c r="H97" s="170"/>
      <c r="I97" s="158"/>
    </row>
    <row r="98" spans="2:9" x14ac:dyDescent="0.2">
      <c r="C98" t="s">
        <v>3926</v>
      </c>
      <c r="E98" s="55"/>
      <c r="F98" s="55"/>
      <c r="G98" s="457">
        <v>0</v>
      </c>
      <c r="H98" s="170"/>
      <c r="I98" s="158"/>
    </row>
    <row r="99" spans="2:9" x14ac:dyDescent="0.2">
      <c r="C99" t="s">
        <v>3922</v>
      </c>
      <c r="E99" s="55"/>
      <c r="F99" s="55"/>
      <c r="G99" s="457">
        <v>0</v>
      </c>
      <c r="H99" s="170"/>
      <c r="I99" s="158"/>
    </row>
    <row r="100" spans="2:9" x14ac:dyDescent="0.2">
      <c r="C100" t="s">
        <v>647</v>
      </c>
      <c r="E100" s="55"/>
      <c r="F100" s="55"/>
      <c r="G100" s="457">
        <v>0</v>
      </c>
      <c r="H100" s="170"/>
      <c r="I100" s="158"/>
    </row>
    <row r="101" spans="2:9" ht="25.5" x14ac:dyDescent="0.2">
      <c r="C101" s="612" t="s">
        <v>3858</v>
      </c>
      <c r="E101" s="55"/>
      <c r="F101" s="55"/>
      <c r="G101" s="457">
        <v>0</v>
      </c>
      <c r="H101" s="170"/>
      <c r="I101" s="158"/>
    </row>
    <row r="102" spans="2:9" ht="38.25" x14ac:dyDescent="0.2">
      <c r="C102" s="612" t="s">
        <v>3859</v>
      </c>
      <c r="E102" s="55"/>
      <c r="F102" s="55"/>
      <c r="G102" s="457">
        <v>0</v>
      </c>
      <c r="H102" s="170"/>
      <c r="I102" s="158"/>
    </row>
    <row r="103" spans="2:9" ht="38.25" x14ac:dyDescent="0.2">
      <c r="C103" s="613" t="s">
        <v>3860</v>
      </c>
      <c r="E103" s="55"/>
      <c r="F103" s="55"/>
      <c r="G103" s="457">
        <v>0</v>
      </c>
      <c r="H103" s="170"/>
      <c r="I103" s="158"/>
    </row>
    <row r="104" spans="2:9" ht="51" x14ac:dyDescent="0.2">
      <c r="C104" s="612" t="s">
        <v>3861</v>
      </c>
      <c r="E104" s="55"/>
      <c r="F104" s="55"/>
      <c r="G104" s="457">
        <v>0</v>
      </c>
      <c r="H104" s="170"/>
      <c r="I104" s="158"/>
    </row>
    <row r="105" spans="2:9" ht="25.5" x14ac:dyDescent="0.2">
      <c r="C105" s="485" t="s">
        <v>3862</v>
      </c>
      <c r="E105" s="55"/>
      <c r="F105" s="55"/>
      <c r="G105" s="457">
        <v>0</v>
      </c>
      <c r="H105" s="170"/>
      <c r="I105" s="158"/>
    </row>
    <row r="106" spans="2:9" ht="38.25" x14ac:dyDescent="0.2">
      <c r="C106" s="609" t="s">
        <v>3863</v>
      </c>
      <c r="E106" s="55"/>
      <c r="F106" s="55"/>
      <c r="G106" s="457">
        <v>0</v>
      </c>
      <c r="H106" s="170"/>
      <c r="I106" s="158"/>
    </row>
    <row r="107" spans="2:9" x14ac:dyDescent="0.2">
      <c r="C107" s="188" t="s">
        <v>1085</v>
      </c>
      <c r="E107" s="95"/>
      <c r="F107" s="95"/>
      <c r="G107" s="441">
        <v>0</v>
      </c>
      <c r="H107" s="170"/>
      <c r="I107" s="217" t="s">
        <v>500</v>
      </c>
    </row>
    <row r="108" spans="2:9" ht="7.5" customHeight="1" x14ac:dyDescent="0.2">
      <c r="E108" s="95"/>
      <c r="F108" s="95"/>
      <c r="G108" s="95"/>
      <c r="H108" s="170"/>
      <c r="I108" s="158"/>
    </row>
    <row r="109" spans="2:9" ht="12.75" customHeight="1" x14ac:dyDescent="0.2">
      <c r="B109" s="67" t="s">
        <v>931</v>
      </c>
      <c r="C109" s="4" t="s">
        <v>992</v>
      </c>
      <c r="E109" s="95"/>
      <c r="F109" s="95"/>
      <c r="G109" s="95"/>
      <c r="H109" s="170"/>
      <c r="I109" s="158"/>
    </row>
    <row r="110" spans="2:9" x14ac:dyDescent="0.2">
      <c r="C110" s="161" t="s">
        <v>1000</v>
      </c>
      <c r="D110" s="161"/>
      <c r="F110" s="1"/>
      <c r="G110" s="441">
        <v>0</v>
      </c>
      <c r="H110" s="1"/>
      <c r="I110" s="181"/>
    </row>
    <row r="111" spans="2:9" ht="12.75" customHeight="1" x14ac:dyDescent="0.2">
      <c r="C111" s="161" t="s">
        <v>993</v>
      </c>
      <c r="D111" s="161"/>
      <c r="E111" s="441">
        <v>0</v>
      </c>
      <c r="F111" s="1"/>
      <c r="H111" s="1"/>
      <c r="I111" s="181" t="s">
        <v>632</v>
      </c>
    </row>
    <row r="112" spans="2:9" x14ac:dyDescent="0.2">
      <c r="C112" s="161" t="s">
        <v>799</v>
      </c>
      <c r="D112" s="161"/>
      <c r="E112" s="441">
        <v>0</v>
      </c>
      <c r="F112" s="1"/>
      <c r="H112" s="1"/>
      <c r="I112" s="181" t="s">
        <v>1087</v>
      </c>
    </row>
    <row r="113" spans="1:9" x14ac:dyDescent="0.2">
      <c r="C113" s="161" t="s">
        <v>798</v>
      </c>
      <c r="D113" s="161"/>
      <c r="F113" s="1"/>
      <c r="G113" s="441">
        <v>0</v>
      </c>
      <c r="H113" s="1"/>
      <c r="I113" s="181"/>
    </row>
    <row r="114" spans="1:9" x14ac:dyDescent="0.2">
      <c r="C114" s="161" t="s">
        <v>58</v>
      </c>
      <c r="D114" s="161"/>
      <c r="F114" s="1"/>
      <c r="G114" s="441">
        <v>0</v>
      </c>
      <c r="H114" s="1"/>
      <c r="I114" s="182" t="s">
        <v>97</v>
      </c>
    </row>
    <row r="115" spans="1:9" ht="22.5" x14ac:dyDescent="0.2">
      <c r="C115" s="161" t="s">
        <v>983</v>
      </c>
      <c r="D115" s="161"/>
      <c r="E115" s="441">
        <v>0</v>
      </c>
      <c r="F115" s="1"/>
      <c r="H115" s="1"/>
      <c r="I115" s="180" t="s">
        <v>587</v>
      </c>
    </row>
    <row r="116" spans="1:9" x14ac:dyDescent="0.2">
      <c r="B116" s="50"/>
      <c r="C116" s="161"/>
      <c r="D116" s="161"/>
      <c r="F116" s="1"/>
      <c r="G116" s="1"/>
      <c r="H116" s="1"/>
      <c r="I116" s="1"/>
    </row>
    <row r="117" spans="1:9" ht="22.5" customHeight="1" x14ac:dyDescent="0.2">
      <c r="B117" s="67" t="s">
        <v>932</v>
      </c>
      <c r="C117" s="1056" t="s">
        <v>1088</v>
      </c>
      <c r="D117" s="1084">
        <v>0</v>
      </c>
      <c r="F117" s="1"/>
      <c r="H117" s="1"/>
      <c r="I117" s="181" t="s">
        <v>1089</v>
      </c>
    </row>
    <row r="118" spans="1:9" ht="21.75" customHeight="1" x14ac:dyDescent="0.2">
      <c r="B118" s="67"/>
      <c r="C118" s="1057"/>
      <c r="D118" s="1084"/>
      <c r="F118" s="1"/>
      <c r="H118" s="1"/>
      <c r="I118" s="181"/>
    </row>
    <row r="119" spans="1:9" x14ac:dyDescent="0.2">
      <c r="B119" s="50"/>
      <c r="C119" s="214" t="s">
        <v>352</v>
      </c>
      <c r="D119" s="215">
        <f>G110-E111-E112+G113+G114-E115</f>
        <v>0</v>
      </c>
      <c r="F119" s="1"/>
      <c r="G119" s="1"/>
      <c r="H119" s="1"/>
      <c r="I119" s="1"/>
    </row>
    <row r="120" spans="1:9" ht="36" customHeight="1" thickBot="1" x14ac:dyDescent="0.25">
      <c r="C120" s="162" t="s">
        <v>353</v>
      </c>
      <c r="D120" s="397">
        <f>D117-D119</f>
        <v>0</v>
      </c>
      <c r="E120" s="8"/>
      <c r="F120" s="216"/>
      <c r="G120" s="195">
        <f>D120</f>
        <v>0</v>
      </c>
      <c r="H120" s="1"/>
      <c r="I120" s="221" t="s">
        <v>534</v>
      </c>
    </row>
    <row r="121" spans="1:9" ht="18.75" customHeight="1" thickTop="1" thickBot="1" x14ac:dyDescent="0.25">
      <c r="C121" s="162"/>
      <c r="D121" s="162"/>
      <c r="E121" s="218">
        <f>SUM(E72:E120)</f>
        <v>0</v>
      </c>
      <c r="F121" s="1"/>
      <c r="G121" s="94">
        <f>SUM(G90:G120)</f>
        <v>0</v>
      </c>
      <c r="H121" s="1"/>
      <c r="I121" s="222" t="s">
        <v>535</v>
      </c>
    </row>
    <row r="122" spans="1:9" ht="13.5" thickTop="1" x14ac:dyDescent="0.2">
      <c r="C122" s="162"/>
      <c r="D122" s="162"/>
      <c r="F122" s="1"/>
      <c r="G122" s="1"/>
      <c r="H122" s="1"/>
      <c r="I122" s="1"/>
    </row>
    <row r="123" spans="1:9" ht="15" customHeight="1" x14ac:dyDescent="0.2">
      <c r="A123" s="4" t="s">
        <v>459</v>
      </c>
      <c r="B123" s="1069" t="s">
        <v>1093</v>
      </c>
      <c r="C123" s="1070"/>
      <c r="D123" s="1070"/>
      <c r="E123" s="1070"/>
      <c r="F123" s="1070"/>
      <c r="G123" s="1070"/>
      <c r="H123" s="1070"/>
      <c r="I123" s="1071"/>
    </row>
    <row r="124" spans="1:9" ht="25.5" customHeight="1" x14ac:dyDescent="0.2">
      <c r="B124" s="1072"/>
      <c r="C124" s="1073"/>
      <c r="D124" s="1073"/>
      <c r="E124" s="1073"/>
      <c r="F124" s="1073"/>
      <c r="G124" s="1073"/>
      <c r="H124" s="1073"/>
      <c r="I124" s="1074"/>
    </row>
    <row r="125" spans="1:9" x14ac:dyDescent="0.2">
      <c r="E125" s="1"/>
      <c r="F125" s="1"/>
      <c r="G125" s="170"/>
      <c r="H125" s="170"/>
      <c r="I125" s="158"/>
    </row>
    <row r="126" spans="1:9" ht="12.75" customHeight="1" x14ac:dyDescent="0.2">
      <c r="B126" s="50" t="s">
        <v>930</v>
      </c>
      <c r="C126" s="883" t="s">
        <v>1020</v>
      </c>
      <c r="D126" s="883"/>
      <c r="E126" s="883"/>
      <c r="F126" s="1"/>
      <c r="G126" s="1054"/>
      <c r="H126" s="170"/>
      <c r="I126" s="158"/>
    </row>
    <row r="127" spans="1:9" ht="45.75" customHeight="1" x14ac:dyDescent="0.2">
      <c r="C127" s="883"/>
      <c r="D127" s="883"/>
      <c r="E127" s="883"/>
      <c r="F127" s="1"/>
      <c r="G127" s="1054"/>
      <c r="H127" s="170"/>
      <c r="I127" s="158"/>
    </row>
    <row r="128" spans="1:9" x14ac:dyDescent="0.2">
      <c r="E128" s="1"/>
      <c r="F128" s="1"/>
      <c r="G128" s="170"/>
      <c r="H128" s="170"/>
      <c r="I128" s="185" t="s">
        <v>648</v>
      </c>
    </row>
    <row r="129" spans="1:12" x14ac:dyDescent="0.2">
      <c r="B129" s="50" t="s">
        <v>931</v>
      </c>
      <c r="C129" s="883" t="s">
        <v>774</v>
      </c>
      <c r="D129" s="883"/>
      <c r="E129" s="883"/>
      <c r="F129" s="1"/>
      <c r="G129" s="1054"/>
      <c r="H129" s="170"/>
      <c r="I129" s="158"/>
    </row>
    <row r="130" spans="1:12" ht="47.25" customHeight="1" x14ac:dyDescent="0.2">
      <c r="C130" s="883"/>
      <c r="D130" s="883"/>
      <c r="E130" s="883"/>
      <c r="F130" s="1"/>
      <c r="G130" s="1054"/>
      <c r="H130" s="170"/>
      <c r="I130" s="158"/>
    </row>
    <row r="131" spans="1:12" x14ac:dyDescent="0.2">
      <c r="E131" s="1"/>
      <c r="F131" s="1"/>
      <c r="G131" s="170"/>
      <c r="H131" s="170"/>
      <c r="I131" s="158"/>
    </row>
    <row r="132" spans="1:12" ht="13.5" customHeight="1" x14ac:dyDescent="0.2">
      <c r="A132" s="4" t="s">
        <v>465</v>
      </c>
      <c r="B132" s="1060" t="s">
        <v>634</v>
      </c>
      <c r="C132" s="1061"/>
      <c r="D132" s="1061"/>
      <c r="E132" s="1061"/>
      <c r="F132" s="1061"/>
      <c r="G132" s="1061"/>
      <c r="H132" s="1061"/>
      <c r="I132" s="1062"/>
      <c r="J132" s="1"/>
      <c r="K132" s="1"/>
      <c r="L132" s="1"/>
    </row>
    <row r="133" spans="1:12" ht="12" customHeight="1" x14ac:dyDescent="0.2">
      <c r="B133" s="1063"/>
      <c r="C133" s="1064"/>
      <c r="D133" s="1064"/>
      <c r="E133" s="1064"/>
      <c r="F133" s="1064"/>
      <c r="G133" s="1064"/>
      <c r="H133" s="1064"/>
      <c r="I133" s="1065"/>
      <c r="J133" s="1"/>
      <c r="K133" s="1"/>
      <c r="L133" s="1"/>
    </row>
    <row r="134" spans="1:12" ht="5.25" customHeight="1" x14ac:dyDescent="0.2">
      <c r="C134" s="172"/>
      <c r="D134" s="172"/>
      <c r="E134" s="157"/>
      <c r="F134" s="157"/>
      <c r="G134" s="157"/>
      <c r="H134" s="157"/>
      <c r="I134" s="157"/>
      <c r="J134" s="1"/>
      <c r="K134" s="1"/>
      <c r="L134" s="1"/>
    </row>
    <row r="135" spans="1:12" ht="37.5" customHeight="1" x14ac:dyDescent="0.2">
      <c r="C135" s="187" t="s">
        <v>192</v>
      </c>
      <c r="D135" s="187"/>
      <c r="E135" s="173" t="s">
        <v>588</v>
      </c>
      <c r="F135" s="171"/>
      <c r="G135" s="173" t="s">
        <v>589</v>
      </c>
      <c r="H135" s="171"/>
      <c r="I135" s="157"/>
      <c r="J135" s="1"/>
      <c r="K135" s="1"/>
      <c r="L135" s="1"/>
    </row>
    <row r="136" spans="1:12" x14ac:dyDescent="0.2">
      <c r="E136" s="1"/>
      <c r="F136" s="10"/>
      <c r="G136" s="1"/>
      <c r="H136" s="1"/>
      <c r="I136" s="1"/>
      <c r="J136" s="1"/>
      <c r="K136" s="1"/>
      <c r="L136" s="1"/>
    </row>
    <row r="137" spans="1:12" x14ac:dyDescent="0.2">
      <c r="C137" t="str">
        <f>+$C39</f>
        <v>General government</v>
      </c>
      <c r="E137" s="344">
        <f t="shared" ref="E137:E144" si="1">D$120*G39</f>
        <v>0</v>
      </c>
      <c r="F137" s="1"/>
      <c r="G137" s="1"/>
      <c r="H137" s="1"/>
      <c r="I137" s="1"/>
      <c r="J137" s="1"/>
      <c r="K137" s="1"/>
      <c r="L137" s="1"/>
    </row>
    <row r="138" spans="1:12" x14ac:dyDescent="0.2">
      <c r="C138" t="str">
        <f>+C40</f>
        <v>Public safety</v>
      </c>
      <c r="E138" s="344">
        <f t="shared" si="1"/>
        <v>0</v>
      </c>
      <c r="F138" s="1"/>
      <c r="G138" s="1"/>
      <c r="H138" s="1"/>
      <c r="I138" s="1"/>
      <c r="J138" s="1"/>
      <c r="K138" s="1"/>
      <c r="L138" s="1"/>
    </row>
    <row r="139" spans="1:12" x14ac:dyDescent="0.2">
      <c r="C139" t="str">
        <f>+C41</f>
        <v>Transportation</v>
      </c>
      <c r="E139" s="344">
        <f t="shared" si="1"/>
        <v>0</v>
      </c>
      <c r="F139" s="1"/>
      <c r="G139" s="1"/>
      <c r="H139" s="1"/>
      <c r="I139" s="1"/>
      <c r="J139" s="1"/>
      <c r="K139" s="1"/>
      <c r="L139" s="1"/>
    </row>
    <row r="140" spans="1:12" x14ac:dyDescent="0.2">
      <c r="C140" t="s">
        <v>474</v>
      </c>
      <c r="E140" s="344">
        <f t="shared" si="1"/>
        <v>0</v>
      </c>
      <c r="F140" s="1"/>
      <c r="G140" s="1"/>
      <c r="H140" s="1"/>
      <c r="I140" s="1"/>
      <c r="J140" s="1"/>
      <c r="K140" s="1"/>
      <c r="L140" s="1"/>
    </row>
    <row r="141" spans="1:12" x14ac:dyDescent="0.2">
      <c r="C141" t="s">
        <v>463</v>
      </c>
      <c r="E141" s="344">
        <f t="shared" si="1"/>
        <v>0</v>
      </c>
      <c r="F141" s="1"/>
      <c r="G141" s="1"/>
      <c r="H141" s="1"/>
      <c r="I141" s="1"/>
      <c r="J141" s="1"/>
      <c r="K141" s="1"/>
      <c r="L141" s="1"/>
    </row>
    <row r="142" spans="1:12" x14ac:dyDescent="0.2">
      <c r="C142" t="s">
        <v>974</v>
      </c>
      <c r="E142" s="344">
        <f t="shared" si="1"/>
        <v>0</v>
      </c>
      <c r="F142" s="1"/>
      <c r="G142" s="1"/>
      <c r="H142" s="1"/>
      <c r="I142" s="6"/>
      <c r="J142" s="1"/>
      <c r="K142" s="1"/>
      <c r="L142" s="1"/>
    </row>
    <row r="143" spans="1:12" x14ac:dyDescent="0.2">
      <c r="C143" t="s">
        <v>910</v>
      </c>
      <c r="E143" s="344">
        <f t="shared" si="1"/>
        <v>0</v>
      </c>
      <c r="F143" s="1"/>
      <c r="G143" s="1"/>
      <c r="H143" s="1"/>
      <c r="I143" s="219"/>
      <c r="J143" s="1"/>
      <c r="K143" s="1"/>
      <c r="L143" s="1"/>
    </row>
    <row r="144" spans="1:12" ht="12.75" customHeight="1" x14ac:dyDescent="0.2">
      <c r="C144" s="415" t="s">
        <v>201</v>
      </c>
      <c r="E144" s="344">
        <f t="shared" si="1"/>
        <v>0</v>
      </c>
      <c r="F144" s="1"/>
      <c r="G144" s="1"/>
      <c r="H144" s="1"/>
      <c r="J144" s="1"/>
      <c r="K144" s="1"/>
      <c r="L144" s="1"/>
    </row>
    <row r="145" spans="1:12" x14ac:dyDescent="0.2">
      <c r="E145" s="1"/>
      <c r="F145" s="1"/>
      <c r="G145" s="1"/>
      <c r="H145" s="1"/>
      <c r="I145" s="1000" t="s">
        <v>773</v>
      </c>
      <c r="J145" s="1"/>
      <c r="K145" s="1"/>
      <c r="L145" s="1"/>
    </row>
    <row r="146" spans="1:12" ht="12" customHeight="1" x14ac:dyDescent="0.2">
      <c r="C146" t="str">
        <f>+C51</f>
        <v>Water and sewer</v>
      </c>
      <c r="E146" s="1"/>
      <c r="F146" s="1"/>
      <c r="G146" s="344">
        <f>D$120*G51</f>
        <v>0</v>
      </c>
      <c r="H146" s="1"/>
      <c r="I146" s="1000"/>
      <c r="J146" s="1"/>
      <c r="K146" s="1"/>
      <c r="L146" s="1"/>
    </row>
    <row r="147" spans="1:12" x14ac:dyDescent="0.2">
      <c r="C147" t="str">
        <f>+C52</f>
        <v>Electric</v>
      </c>
      <c r="E147" s="1"/>
      <c r="F147" s="1"/>
      <c r="G147" s="344">
        <f>D$120*G52</f>
        <v>0</v>
      </c>
      <c r="H147" s="1"/>
      <c r="I147" s="1000"/>
      <c r="J147" s="1"/>
      <c r="K147" s="1"/>
      <c r="L147" s="1"/>
    </row>
    <row r="148" spans="1:12" x14ac:dyDescent="0.2">
      <c r="C148" s="415" t="s">
        <v>918</v>
      </c>
      <c r="E148" s="1"/>
      <c r="F148" s="1"/>
      <c r="G148" s="344">
        <f>D$120*G53</f>
        <v>0</v>
      </c>
      <c r="H148" s="1"/>
      <c r="I148" s="1000"/>
      <c r="J148" s="1"/>
      <c r="K148" s="1"/>
      <c r="L148" s="1"/>
    </row>
    <row r="149" spans="1:12" x14ac:dyDescent="0.2">
      <c r="C149" s="415" t="s">
        <v>919</v>
      </c>
      <c r="E149" s="1"/>
      <c r="F149" s="1"/>
      <c r="G149" s="344">
        <f>D$120*G54</f>
        <v>0</v>
      </c>
      <c r="H149" s="1"/>
      <c r="I149" s="1087"/>
      <c r="J149" s="1"/>
      <c r="K149" s="1"/>
      <c r="L149" s="1"/>
    </row>
    <row r="150" spans="1:12" ht="13.5" thickBot="1" x14ac:dyDescent="0.25">
      <c r="C150" s="161" t="s">
        <v>590</v>
      </c>
      <c r="D150" s="161"/>
      <c r="E150" s="94">
        <f>SUM(E137:E149)</f>
        <v>0</v>
      </c>
      <c r="F150" s="1"/>
      <c r="G150" s="94">
        <f>SUM(G146:G149)</f>
        <v>0</v>
      </c>
      <c r="H150" s="223" t="s">
        <v>929</v>
      </c>
      <c r="I150" s="94">
        <f>SUM(E150:G150)</f>
        <v>0</v>
      </c>
      <c r="J150" s="1"/>
      <c r="K150" s="1"/>
      <c r="L150" s="1"/>
    </row>
    <row r="151" spans="1:12" ht="13.5" thickTop="1" x14ac:dyDescent="0.2">
      <c r="E151" s="1"/>
      <c r="F151" s="1"/>
      <c r="G151" s="1"/>
      <c r="H151" s="1"/>
      <c r="I151" s="158"/>
    </row>
    <row r="152" spans="1:12" ht="25.5" customHeight="1" x14ac:dyDescent="0.2">
      <c r="A152" s="4" t="s">
        <v>481</v>
      </c>
      <c r="B152" s="959" t="s">
        <v>583</v>
      </c>
      <c r="C152" s="960"/>
      <c r="D152" s="960"/>
      <c r="E152" s="960"/>
      <c r="F152" s="960"/>
      <c r="G152" s="960"/>
      <c r="H152" s="960"/>
      <c r="I152" s="961"/>
    </row>
    <row r="153" spans="1:12" ht="12.75" customHeight="1" x14ac:dyDescent="0.2">
      <c r="E153" s="1"/>
      <c r="F153" s="1"/>
      <c r="G153" s="1"/>
      <c r="H153" s="1"/>
      <c r="I153" s="158"/>
    </row>
    <row r="154" spans="1:12" x14ac:dyDescent="0.2">
      <c r="E154" s="3" t="s">
        <v>64</v>
      </c>
      <c r="F154" s="55"/>
      <c r="G154" s="3" t="s">
        <v>65</v>
      </c>
      <c r="H154" s="55"/>
    </row>
    <row r="155" spans="1:12" x14ac:dyDescent="0.2">
      <c r="E155" s="202"/>
      <c r="F155" s="55"/>
      <c r="G155" s="206"/>
      <c r="H155" s="55"/>
      <c r="I155" s="183"/>
    </row>
    <row r="156" spans="1:12" x14ac:dyDescent="0.2">
      <c r="A156" s="188" t="s">
        <v>98</v>
      </c>
      <c r="C156" t="s">
        <v>591</v>
      </c>
      <c r="E156" s="84">
        <f t="shared" ref="E156:E171" si="2">E72</f>
        <v>0</v>
      </c>
      <c r="G156" s="79"/>
    </row>
    <row r="157" spans="1:12" x14ac:dyDescent="0.2">
      <c r="C157" t="s">
        <v>833</v>
      </c>
      <c r="E157" s="84">
        <f t="shared" si="2"/>
        <v>0</v>
      </c>
      <c r="G157" s="79"/>
    </row>
    <row r="158" spans="1:12" x14ac:dyDescent="0.2">
      <c r="C158" t="s">
        <v>733</v>
      </c>
      <c r="E158" s="84">
        <f t="shared" si="2"/>
        <v>0</v>
      </c>
      <c r="G158" s="79"/>
    </row>
    <row r="159" spans="1:12" x14ac:dyDescent="0.2">
      <c r="C159" t="s">
        <v>194</v>
      </c>
      <c r="E159" s="84">
        <f t="shared" si="2"/>
        <v>0</v>
      </c>
      <c r="G159" s="79"/>
    </row>
    <row r="160" spans="1:12" x14ac:dyDescent="0.2">
      <c r="C160" t="s">
        <v>736</v>
      </c>
      <c r="E160" s="84">
        <f t="shared" si="2"/>
        <v>0</v>
      </c>
      <c r="G160" s="79"/>
    </row>
    <row r="161" spans="3:9" x14ac:dyDescent="0.2">
      <c r="C161" t="s">
        <v>737</v>
      </c>
      <c r="E161" s="84">
        <f t="shared" si="2"/>
        <v>0</v>
      </c>
      <c r="G161" s="79"/>
    </row>
    <row r="162" spans="3:9" x14ac:dyDescent="0.2">
      <c r="C162" t="s">
        <v>469</v>
      </c>
      <c r="E162" s="84">
        <f t="shared" si="2"/>
        <v>0</v>
      </c>
      <c r="G162" s="79"/>
    </row>
    <row r="163" spans="3:9" x14ac:dyDescent="0.2">
      <c r="C163" t="s">
        <v>470</v>
      </c>
      <c r="E163" s="84">
        <f t="shared" si="2"/>
        <v>0</v>
      </c>
      <c r="G163" s="79"/>
    </row>
    <row r="164" spans="3:9" x14ac:dyDescent="0.2">
      <c r="C164" t="s">
        <v>467</v>
      </c>
      <c r="E164" s="84">
        <f t="shared" si="2"/>
        <v>0</v>
      </c>
      <c r="G164" s="79"/>
    </row>
    <row r="165" spans="3:9" x14ac:dyDescent="0.2">
      <c r="C165" t="s">
        <v>592</v>
      </c>
      <c r="E165" s="84">
        <f t="shared" si="2"/>
        <v>0</v>
      </c>
      <c r="G165" s="79"/>
      <c r="I165" s="6" t="s">
        <v>585</v>
      </c>
    </row>
    <row r="166" spans="3:9" ht="25.5" x14ac:dyDescent="0.2">
      <c r="C166" s="572" t="s">
        <v>3924</v>
      </c>
      <c r="E166" s="84">
        <f t="shared" si="2"/>
        <v>0</v>
      </c>
      <c r="G166" s="79"/>
      <c r="I166" s="6"/>
    </row>
    <row r="167" spans="3:9" ht="25.5" x14ac:dyDescent="0.2">
      <c r="C167" s="614" t="s">
        <v>3852</v>
      </c>
      <c r="E167" s="84">
        <f t="shared" si="2"/>
        <v>0</v>
      </c>
      <c r="G167" s="79"/>
      <c r="I167" s="6"/>
    </row>
    <row r="168" spans="3:9" ht="38.25" x14ac:dyDescent="0.2">
      <c r="C168" s="614" t="s">
        <v>3853</v>
      </c>
      <c r="E168" s="84">
        <f t="shared" si="2"/>
        <v>0</v>
      </c>
      <c r="G168" s="79"/>
      <c r="I168" s="6"/>
    </row>
    <row r="169" spans="3:9" ht="38.25" x14ac:dyDescent="0.2">
      <c r="C169" s="577" t="s">
        <v>3854</v>
      </c>
      <c r="E169" s="84">
        <f t="shared" si="2"/>
        <v>0</v>
      </c>
      <c r="G169" s="79"/>
      <c r="I169" s="6"/>
    </row>
    <row r="170" spans="3:9" ht="51" x14ac:dyDescent="0.2">
      <c r="C170" s="614" t="s">
        <v>3855</v>
      </c>
      <c r="E170" s="84">
        <f t="shared" si="2"/>
        <v>0</v>
      </c>
      <c r="G170" s="79"/>
      <c r="I170" s="6"/>
    </row>
    <row r="171" spans="3:9" ht="38.25" x14ac:dyDescent="0.2">
      <c r="C171" s="46" t="s">
        <v>3866</v>
      </c>
      <c r="E171" s="84">
        <f t="shared" si="2"/>
        <v>0</v>
      </c>
      <c r="G171" s="79"/>
      <c r="I171" s="6"/>
    </row>
    <row r="172" spans="3:9" ht="25.5" x14ac:dyDescent="0.2">
      <c r="C172" s="577" t="s">
        <v>3856</v>
      </c>
      <c r="E172" s="84">
        <f t="shared" ref="E172:E173" si="3">E88</f>
        <v>0</v>
      </c>
      <c r="G172" s="79"/>
      <c r="I172" s="6"/>
    </row>
    <row r="173" spans="3:9" ht="38.25" x14ac:dyDescent="0.2">
      <c r="C173" s="577" t="s">
        <v>3857</v>
      </c>
      <c r="E173" s="84">
        <f t="shared" si="3"/>
        <v>0</v>
      </c>
      <c r="G173" s="79"/>
      <c r="I173" s="6"/>
    </row>
    <row r="174" spans="3:9" x14ac:dyDescent="0.2">
      <c r="C174" t="s">
        <v>593</v>
      </c>
      <c r="E174" s="79"/>
      <c r="G174" s="84">
        <f t="shared" ref="G174:G190" si="4">G90</f>
        <v>0</v>
      </c>
    </row>
    <row r="175" spans="3:9" x14ac:dyDescent="0.2">
      <c r="C175" t="s">
        <v>594</v>
      </c>
      <c r="E175" s="79"/>
      <c r="G175" s="84">
        <f t="shared" si="4"/>
        <v>0</v>
      </c>
    </row>
    <row r="176" spans="3:9" x14ac:dyDescent="0.2">
      <c r="C176" t="s">
        <v>595</v>
      </c>
      <c r="E176" s="79"/>
      <c r="G176" s="84">
        <f t="shared" si="4"/>
        <v>0</v>
      </c>
    </row>
    <row r="177" spans="3:7" x14ac:dyDescent="0.2">
      <c r="C177" t="s">
        <v>596</v>
      </c>
      <c r="E177" s="79"/>
      <c r="G177" s="84">
        <f t="shared" si="4"/>
        <v>0</v>
      </c>
    </row>
    <row r="178" spans="3:7" x14ac:dyDescent="0.2">
      <c r="C178" s="161" t="s">
        <v>738</v>
      </c>
      <c r="E178" s="79"/>
      <c r="G178" s="84">
        <f t="shared" si="4"/>
        <v>0</v>
      </c>
    </row>
    <row r="179" spans="3:7" x14ac:dyDescent="0.2">
      <c r="C179" s="161" t="s">
        <v>193</v>
      </c>
      <c r="E179" s="79"/>
      <c r="G179" s="84">
        <f t="shared" si="4"/>
        <v>0</v>
      </c>
    </row>
    <row r="180" spans="3:7" x14ac:dyDescent="0.2">
      <c r="C180" t="s">
        <v>580</v>
      </c>
      <c r="E180" s="79"/>
      <c r="G180" s="84">
        <f t="shared" si="4"/>
        <v>0</v>
      </c>
    </row>
    <row r="181" spans="3:7" x14ac:dyDescent="0.2">
      <c r="C181" t="s">
        <v>646</v>
      </c>
      <c r="E181" s="79"/>
      <c r="G181" s="84">
        <f t="shared" si="4"/>
        <v>0</v>
      </c>
    </row>
    <row r="182" spans="3:7" x14ac:dyDescent="0.2">
      <c r="C182" t="s">
        <v>3927</v>
      </c>
      <c r="E182" s="79"/>
      <c r="G182" s="84">
        <f t="shared" si="4"/>
        <v>0</v>
      </c>
    </row>
    <row r="183" spans="3:7" x14ac:dyDescent="0.2">
      <c r="C183" s="161" t="s">
        <v>3928</v>
      </c>
      <c r="E183" s="79"/>
      <c r="G183" s="84">
        <f t="shared" si="4"/>
        <v>0</v>
      </c>
    </row>
    <row r="184" spans="3:7" x14ac:dyDescent="0.2">
      <c r="C184" t="s">
        <v>850</v>
      </c>
      <c r="E184" s="79"/>
      <c r="G184" s="84">
        <f t="shared" si="4"/>
        <v>0</v>
      </c>
    </row>
    <row r="185" spans="3:7" ht="25.5" x14ac:dyDescent="0.2">
      <c r="C185" s="612" t="s">
        <v>3858</v>
      </c>
      <c r="E185" s="79"/>
      <c r="G185" s="84">
        <f t="shared" si="4"/>
        <v>0</v>
      </c>
    </row>
    <row r="186" spans="3:7" ht="38.25" x14ac:dyDescent="0.2">
      <c r="C186" s="612" t="s">
        <v>3859</v>
      </c>
      <c r="E186" s="79"/>
      <c r="G186" s="84">
        <f t="shared" si="4"/>
        <v>0</v>
      </c>
    </row>
    <row r="187" spans="3:7" ht="38.25" x14ac:dyDescent="0.2">
      <c r="C187" s="613" t="s">
        <v>3860</v>
      </c>
      <c r="E187" s="79"/>
      <c r="G187" s="84">
        <f t="shared" si="4"/>
        <v>0</v>
      </c>
    </row>
    <row r="188" spans="3:7" ht="51" x14ac:dyDescent="0.2">
      <c r="C188" s="612" t="s">
        <v>3861</v>
      </c>
      <c r="E188" s="79"/>
      <c r="G188" s="84">
        <f t="shared" si="4"/>
        <v>0</v>
      </c>
    </row>
    <row r="189" spans="3:7" ht="25.5" x14ac:dyDescent="0.2">
      <c r="C189" s="485" t="s">
        <v>3862</v>
      </c>
      <c r="E189" s="79"/>
      <c r="G189" s="84">
        <f t="shared" si="4"/>
        <v>0</v>
      </c>
    </row>
    <row r="190" spans="3:7" ht="38.25" x14ac:dyDescent="0.2">
      <c r="C190" s="609" t="s">
        <v>3863</v>
      </c>
      <c r="E190" s="79"/>
      <c r="G190" s="84">
        <f t="shared" si="4"/>
        <v>0</v>
      </c>
    </row>
    <row r="191" spans="3:7" x14ac:dyDescent="0.2">
      <c r="C191" t="s">
        <v>852</v>
      </c>
      <c r="E191" s="11"/>
      <c r="G191" s="11">
        <f>G107+G129</f>
        <v>0</v>
      </c>
    </row>
    <row r="192" spans="3:7" ht="6" customHeight="1" x14ac:dyDescent="0.2">
      <c r="E192" s="79"/>
      <c r="G192" s="79"/>
    </row>
    <row r="193" spans="3:9" x14ac:dyDescent="0.2">
      <c r="C193" t="s">
        <v>582</v>
      </c>
      <c r="E193" s="79"/>
      <c r="G193" s="11">
        <f>G110</f>
        <v>0</v>
      </c>
    </row>
    <row r="194" spans="3:9" x14ac:dyDescent="0.2">
      <c r="C194" t="s">
        <v>597</v>
      </c>
      <c r="E194" s="79"/>
      <c r="G194" s="11">
        <f>G114</f>
        <v>0</v>
      </c>
    </row>
    <row r="195" spans="3:9" x14ac:dyDescent="0.2">
      <c r="C195" t="s">
        <v>598</v>
      </c>
      <c r="E195" s="11">
        <f>E115</f>
        <v>0</v>
      </c>
      <c r="G195" s="79"/>
      <c r="I195" s="6" t="s">
        <v>432</v>
      </c>
    </row>
    <row r="196" spans="3:9" x14ac:dyDescent="0.2">
      <c r="C196" t="s">
        <v>853</v>
      </c>
      <c r="E196" s="11">
        <f>E111</f>
        <v>0</v>
      </c>
      <c r="G196" s="79"/>
    </row>
    <row r="197" spans="3:9" x14ac:dyDescent="0.2">
      <c r="C197" t="s">
        <v>430</v>
      </c>
      <c r="E197" s="11"/>
      <c r="G197" s="11">
        <f>G113</f>
        <v>0</v>
      </c>
    </row>
    <row r="198" spans="3:9" x14ac:dyDescent="0.2">
      <c r="C198" t="s">
        <v>431</v>
      </c>
      <c r="E198" s="11">
        <f>E112</f>
        <v>0</v>
      </c>
      <c r="G198" s="79"/>
    </row>
    <row r="199" spans="3:9" ht="6" customHeight="1" x14ac:dyDescent="0.2">
      <c r="E199" s="79"/>
      <c r="G199" s="79"/>
    </row>
    <row r="200" spans="3:9" x14ac:dyDescent="0.2">
      <c r="C200" s="161" t="s">
        <v>599</v>
      </c>
      <c r="D200" s="161"/>
      <c r="E200" s="11"/>
      <c r="G200" s="11">
        <f t="shared" ref="G200:G207" si="5">E137</f>
        <v>0</v>
      </c>
    </row>
    <row r="201" spans="3:9" x14ac:dyDescent="0.2">
      <c r="C201" s="161" t="s">
        <v>685</v>
      </c>
      <c r="D201" s="161"/>
      <c r="E201" s="11"/>
      <c r="G201" s="11">
        <f t="shared" si="5"/>
        <v>0</v>
      </c>
    </row>
    <row r="202" spans="3:9" x14ac:dyDescent="0.2">
      <c r="C202" s="161" t="s">
        <v>686</v>
      </c>
      <c r="D202" s="161"/>
      <c r="E202" s="11"/>
      <c r="G202" s="11">
        <f t="shared" si="5"/>
        <v>0</v>
      </c>
    </row>
    <row r="203" spans="3:9" x14ac:dyDescent="0.2">
      <c r="C203" t="s">
        <v>584</v>
      </c>
      <c r="E203" s="11"/>
      <c r="G203" s="11">
        <f t="shared" si="5"/>
        <v>0</v>
      </c>
    </row>
    <row r="204" spans="3:9" x14ac:dyDescent="0.2">
      <c r="C204" s="161" t="s">
        <v>688</v>
      </c>
      <c r="D204" s="161"/>
      <c r="E204" s="11"/>
      <c r="G204" s="11">
        <f t="shared" si="5"/>
        <v>0</v>
      </c>
      <c r="I204" s="6" t="s">
        <v>433</v>
      </c>
    </row>
    <row r="205" spans="3:9" x14ac:dyDescent="0.2">
      <c r="C205" s="161" t="s">
        <v>54</v>
      </c>
      <c r="D205" s="161"/>
      <c r="E205" s="11"/>
      <c r="G205" s="11">
        <f t="shared" si="5"/>
        <v>0</v>
      </c>
    </row>
    <row r="206" spans="3:9" x14ac:dyDescent="0.2">
      <c r="C206" s="161" t="s">
        <v>910</v>
      </c>
      <c r="D206" s="161"/>
      <c r="E206" s="11"/>
      <c r="G206" s="11">
        <f t="shared" si="5"/>
        <v>0</v>
      </c>
    </row>
    <row r="207" spans="3:9" x14ac:dyDescent="0.2">
      <c r="C207" s="471" t="s">
        <v>201</v>
      </c>
      <c r="D207" s="161"/>
      <c r="E207" s="11"/>
      <c r="G207" s="11">
        <f t="shared" si="5"/>
        <v>0</v>
      </c>
    </row>
    <row r="208" spans="3:9" x14ac:dyDescent="0.2">
      <c r="C208" s="161" t="s">
        <v>631</v>
      </c>
      <c r="D208" s="161"/>
      <c r="E208" s="11"/>
      <c r="G208" s="11">
        <f>G150+G126</f>
        <v>0</v>
      </c>
    </row>
    <row r="209" spans="3:9" ht="6.75" customHeight="1" x14ac:dyDescent="0.2">
      <c r="C209" s="161"/>
      <c r="D209" s="161"/>
      <c r="E209" s="10"/>
      <c r="F209" s="1"/>
      <c r="G209" s="10"/>
    </row>
    <row r="210" spans="3:9" ht="13.5" thickBot="1" x14ac:dyDescent="0.25">
      <c r="C210" s="161"/>
      <c r="D210" s="161"/>
      <c r="E210" s="389" t="s">
        <v>185</v>
      </c>
      <c r="F210" s="1"/>
      <c r="G210" s="94">
        <f>SUM(G156:G208)</f>
        <v>0</v>
      </c>
    </row>
    <row r="211" spans="3:9" ht="18.75" customHeight="1" thickTop="1" x14ac:dyDescent="0.2">
      <c r="C211" s="161"/>
      <c r="D211" s="161"/>
      <c r="E211" s="10"/>
      <c r="F211" s="1"/>
      <c r="G211" s="10"/>
    </row>
    <row r="212" spans="3:9" x14ac:dyDescent="0.2">
      <c r="C212" s="987" t="s">
        <v>55</v>
      </c>
      <c r="D212" s="987"/>
      <c r="E212" t="s">
        <v>185</v>
      </c>
    </row>
    <row r="214" spans="3:9" x14ac:dyDescent="0.2">
      <c r="C214" t="s">
        <v>536</v>
      </c>
      <c r="E214" s="11">
        <f>G150+G126</f>
        <v>0</v>
      </c>
      <c r="G214" s="79"/>
    </row>
    <row r="215" spans="3:9" ht="12.75" customHeight="1" x14ac:dyDescent="0.2">
      <c r="C215" s="161" t="s">
        <v>56</v>
      </c>
      <c r="D215" s="161"/>
      <c r="E215" s="79"/>
      <c r="G215" s="11">
        <f>G146</f>
        <v>0</v>
      </c>
    </row>
    <row r="216" spans="3:9" ht="22.5" x14ac:dyDescent="0.2">
      <c r="C216" s="161" t="s">
        <v>57</v>
      </c>
      <c r="D216" s="161"/>
      <c r="E216" s="79"/>
      <c r="G216" s="11">
        <f>G147</f>
        <v>0</v>
      </c>
      <c r="I216" s="376" t="s">
        <v>702</v>
      </c>
    </row>
    <row r="217" spans="3:9" x14ac:dyDescent="0.2">
      <c r="C217" s="471" t="s">
        <v>672</v>
      </c>
      <c r="D217" s="161"/>
      <c r="E217" s="79"/>
      <c r="G217" s="11">
        <f>G148</f>
        <v>0</v>
      </c>
      <c r="I217" s="488"/>
    </row>
    <row r="218" spans="3:9" x14ac:dyDescent="0.2">
      <c r="C218" s="471" t="s">
        <v>673</v>
      </c>
      <c r="D218" s="161"/>
      <c r="E218" s="79"/>
      <c r="G218" s="11">
        <f>G149</f>
        <v>0</v>
      </c>
      <c r="I218" s="488"/>
    </row>
    <row r="219" spans="3:9" x14ac:dyDescent="0.2">
      <c r="C219" s="161" t="s">
        <v>915</v>
      </c>
      <c r="D219" s="161"/>
      <c r="E219" s="79"/>
      <c r="G219" s="189">
        <f>G126</f>
        <v>0</v>
      </c>
    </row>
    <row r="220" spans="3:9" ht="13.5" thickBot="1" x14ac:dyDescent="0.25">
      <c r="E220" s="80">
        <f>SUM(E214:E216)</f>
        <v>0</v>
      </c>
      <c r="G220" s="88">
        <f>SUM(G215:G219)</f>
        <v>0</v>
      </c>
    </row>
    <row r="221" spans="3:9" ht="13.5" thickTop="1" x14ac:dyDescent="0.2"/>
    <row r="222" spans="3:9" x14ac:dyDescent="0.2">
      <c r="C222" s="892" t="s">
        <v>1021</v>
      </c>
      <c r="D222" s="883"/>
      <c r="E222" s="883"/>
      <c r="F222" s="883"/>
      <c r="G222" s="883"/>
      <c r="H222" s="883"/>
      <c r="I222" s="883"/>
    </row>
    <row r="223" spans="3:9" x14ac:dyDescent="0.2">
      <c r="C223" s="883"/>
      <c r="D223" s="883"/>
      <c r="E223" s="883"/>
      <c r="F223" s="883"/>
      <c r="G223" s="883"/>
      <c r="H223" s="883"/>
      <c r="I223" s="883"/>
    </row>
  </sheetData>
  <sheetProtection algorithmName="SHA-512" hashValue="rfGk7g8tNfNLaKvr1i1Ipzm/+pUBEJDzWW9THq8zbI7q6BkQYNBTKx2i5rCZx2klsbV31VLJdbAkprxn/dtXkw==" saltValue="1DXPHu9wBkS/rAhZOD9/nw==" spinCount="100000" sheet="1" objects="1" scenarios="1"/>
  <mergeCells count="27">
    <mergeCell ref="C30:I30"/>
    <mergeCell ref="C1:I1"/>
    <mergeCell ref="C35:G35"/>
    <mergeCell ref="B2:I3"/>
    <mergeCell ref="B4:I4"/>
    <mergeCell ref="C14:I15"/>
    <mergeCell ref="C20:I21"/>
    <mergeCell ref="C23:I23"/>
    <mergeCell ref="C27:I28"/>
    <mergeCell ref="C17:I18"/>
    <mergeCell ref="C24:I25"/>
    <mergeCell ref="B32:I33"/>
    <mergeCell ref="C222:I223"/>
    <mergeCell ref="B123:I124"/>
    <mergeCell ref="C129:E130"/>
    <mergeCell ref="G129:G130"/>
    <mergeCell ref="B68:I69"/>
    <mergeCell ref="C117:C118"/>
    <mergeCell ref="D117:D118"/>
    <mergeCell ref="C212:D212"/>
    <mergeCell ref="C65:D65"/>
    <mergeCell ref="B152:I152"/>
    <mergeCell ref="B132:I133"/>
    <mergeCell ref="C126:E127"/>
    <mergeCell ref="G126:G127"/>
    <mergeCell ref="I145:I149"/>
    <mergeCell ref="G64:I65"/>
  </mergeCells>
  <phoneticPr fontId="15" type="noConversion"/>
  <printOptions horizontalCentered="1"/>
  <pageMargins left="0.39" right="0.4" top="0.66" bottom="0.5" header="0.5" footer="0.5"/>
  <pageSetup scale="70" orientation="portrait" r:id="rId1"/>
  <headerFooter alignWithMargins="0">
    <oddHeader>&amp;REntry K.3</oddHeader>
    <oddFooter>&amp;L&amp;8&amp;D - City model&amp;R&amp;P</oddFooter>
  </headerFooter>
  <rowBreaks count="2" manualBreakCount="2">
    <brk id="67" max="8" man="1"/>
    <brk id="150" max="8"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S299"/>
  <sheetViews>
    <sheetView topLeftCell="A233" workbookViewId="0">
      <selection activeCell="E264" sqref="E264"/>
    </sheetView>
  </sheetViews>
  <sheetFormatPr defaultRowHeight="12.75" x14ac:dyDescent="0.2"/>
  <cols>
    <col min="1" max="1" width="4.42578125" customWidth="1"/>
    <col min="2" max="2" width="3.42578125" customWidth="1"/>
    <col min="3" max="3" width="10" customWidth="1"/>
    <col min="4" max="4" width="4.5703125" customWidth="1"/>
    <col min="6" max="6" width="11.28515625" customWidth="1"/>
    <col min="7" max="7" width="8.42578125" bestFit="1" customWidth="1"/>
    <col min="8" max="8" width="11.42578125" bestFit="1" customWidth="1"/>
    <col min="9" max="9" width="7.7109375" customWidth="1"/>
    <col min="10" max="10" width="15.7109375" customWidth="1"/>
    <col min="11" max="11" width="1.140625" customWidth="1"/>
    <col min="12" max="12" width="16.5703125" customWidth="1"/>
    <col min="13" max="13" width="0.7109375" customWidth="1"/>
    <col min="14" max="14" width="18" bestFit="1" customWidth="1"/>
    <col min="15" max="15" width="0.85546875" customWidth="1"/>
    <col min="16" max="16" width="1.140625" customWidth="1"/>
    <col min="17" max="17" width="10.42578125" bestFit="1" customWidth="1"/>
    <col min="18" max="18" width="11.28515625" customWidth="1"/>
  </cols>
  <sheetData>
    <row r="1" spans="1:16" ht="7.5" customHeight="1" x14ac:dyDescent="0.2"/>
    <row r="2" spans="1:16" ht="33.75" customHeight="1" x14ac:dyDescent="0.25">
      <c r="A2" s="956" t="s">
        <v>569</v>
      </c>
      <c r="B2" s="957"/>
      <c r="C2" s="957"/>
      <c r="D2" s="957"/>
      <c r="E2" s="957"/>
      <c r="F2" s="957"/>
      <c r="G2" s="957"/>
      <c r="H2" s="957"/>
      <c r="I2" s="957"/>
      <c r="J2" s="957"/>
      <c r="K2" s="957"/>
      <c r="L2" s="957"/>
      <c r="M2" s="957"/>
      <c r="N2" s="957"/>
      <c r="O2" s="958"/>
    </row>
    <row r="3" spans="1:16" ht="12" customHeight="1" x14ac:dyDescent="0.2">
      <c r="H3" s="53"/>
    </row>
    <row r="4" spans="1:16" ht="64.5" customHeight="1" x14ac:dyDescent="0.2">
      <c r="B4" s="883" t="s">
        <v>382</v>
      </c>
      <c r="C4" s="881"/>
      <c r="D4" s="881"/>
      <c r="E4" s="881"/>
      <c r="F4" s="881"/>
      <c r="G4" s="881"/>
      <c r="H4" s="881"/>
      <c r="I4" s="881"/>
      <c r="J4" s="881"/>
      <c r="K4" s="881"/>
      <c r="L4" s="881"/>
      <c r="M4" s="881"/>
      <c r="N4" s="881"/>
      <c r="O4" s="881"/>
      <c r="P4" s="881"/>
    </row>
    <row r="5" spans="1:16" ht="7.5" customHeight="1" x14ac:dyDescent="0.2">
      <c r="B5" s="46"/>
    </row>
    <row r="6" spans="1:16" ht="11.25" customHeight="1" x14ac:dyDescent="0.2">
      <c r="A6" s="4"/>
      <c r="B6" s="52" t="s">
        <v>930</v>
      </c>
      <c r="C6" s="883" t="s">
        <v>403</v>
      </c>
      <c r="D6" s="883"/>
      <c r="E6" s="883"/>
      <c r="F6" s="883"/>
      <c r="G6" s="883"/>
      <c r="H6" s="883"/>
      <c r="I6" s="883"/>
      <c r="J6" s="883"/>
      <c r="K6" s="883"/>
      <c r="L6" s="883"/>
      <c r="M6" s="883"/>
      <c r="N6" s="883"/>
    </row>
    <row r="7" spans="1:16" ht="52.5" customHeight="1" x14ac:dyDescent="0.2">
      <c r="A7" s="4"/>
      <c r="B7" s="52"/>
      <c r="C7" s="883"/>
      <c r="D7" s="883"/>
      <c r="E7" s="883"/>
      <c r="F7" s="883"/>
      <c r="G7" s="883"/>
      <c r="H7" s="883"/>
      <c r="I7" s="883"/>
      <c r="J7" s="883"/>
      <c r="K7" s="883"/>
      <c r="L7" s="883"/>
      <c r="M7" s="883"/>
      <c r="N7" s="883"/>
    </row>
    <row r="8" spans="1:16" ht="6" customHeight="1" x14ac:dyDescent="0.2">
      <c r="B8" s="52"/>
    </row>
    <row r="9" spans="1:16" ht="12.75" customHeight="1" x14ac:dyDescent="0.2">
      <c r="B9" s="52" t="s">
        <v>931</v>
      </c>
      <c r="C9" s="883" t="s">
        <v>265</v>
      </c>
      <c r="D9" s="883"/>
      <c r="E9" s="883"/>
      <c r="F9" s="883"/>
      <c r="G9" s="883"/>
      <c r="H9" s="883"/>
      <c r="I9" s="883"/>
      <c r="J9" s="883"/>
      <c r="K9" s="883"/>
      <c r="L9" s="883"/>
      <c r="M9" s="883"/>
      <c r="N9" s="883"/>
    </row>
    <row r="10" spans="1:16" ht="51" customHeight="1" x14ac:dyDescent="0.2">
      <c r="B10" s="52"/>
      <c r="C10" s="883"/>
      <c r="D10" s="883"/>
      <c r="E10" s="883"/>
      <c r="F10" s="883"/>
      <c r="G10" s="883"/>
      <c r="H10" s="883"/>
      <c r="I10" s="883"/>
      <c r="J10" s="883"/>
      <c r="K10" s="883"/>
      <c r="L10" s="883"/>
      <c r="M10" s="883"/>
      <c r="N10" s="883"/>
    </row>
    <row r="11" spans="1:16" ht="6" customHeight="1" x14ac:dyDescent="0.2">
      <c r="B11" s="52"/>
      <c r="C11" s="46"/>
    </row>
    <row r="12" spans="1:16" ht="13.5" customHeight="1" x14ac:dyDescent="0.2">
      <c r="B12" s="52" t="s">
        <v>932</v>
      </c>
      <c r="C12" s="892" t="s">
        <v>1095</v>
      </c>
      <c r="D12" s="892"/>
      <c r="E12" s="892"/>
      <c r="F12" s="892"/>
      <c r="G12" s="892"/>
      <c r="H12" s="892"/>
      <c r="I12" s="892"/>
      <c r="J12" s="892"/>
      <c r="K12" s="892"/>
      <c r="L12" s="892"/>
      <c r="M12" s="892"/>
      <c r="N12" s="892"/>
    </row>
    <row r="13" spans="1:16" ht="12.75" customHeight="1" x14ac:dyDescent="0.2">
      <c r="B13" s="52"/>
      <c r="C13" s="892"/>
      <c r="D13" s="892"/>
      <c r="E13" s="892"/>
      <c r="F13" s="892"/>
      <c r="G13" s="892"/>
      <c r="H13" s="892"/>
      <c r="I13" s="892"/>
      <c r="J13" s="892"/>
      <c r="K13" s="892"/>
      <c r="L13" s="892"/>
      <c r="M13" s="892"/>
      <c r="N13" s="892"/>
    </row>
    <row r="14" spans="1:16" ht="13.5" customHeight="1" x14ac:dyDescent="0.2">
      <c r="B14" s="52"/>
      <c r="C14" s="892"/>
      <c r="D14" s="892"/>
      <c r="E14" s="892"/>
      <c r="F14" s="892"/>
      <c r="G14" s="892"/>
      <c r="H14" s="892"/>
      <c r="I14" s="892"/>
      <c r="J14" s="892"/>
      <c r="K14" s="892"/>
      <c r="L14" s="892"/>
      <c r="M14" s="892"/>
      <c r="N14" s="892"/>
    </row>
    <row r="15" spans="1:16" ht="13.5" customHeight="1" x14ac:dyDescent="0.2">
      <c r="B15" s="52"/>
      <c r="C15" s="892"/>
      <c r="D15" s="892"/>
      <c r="E15" s="892"/>
      <c r="F15" s="892"/>
      <c r="G15" s="892"/>
      <c r="H15" s="892"/>
      <c r="I15" s="892"/>
      <c r="J15" s="892"/>
      <c r="K15" s="892"/>
      <c r="L15" s="892"/>
      <c r="M15" s="892"/>
      <c r="N15" s="892"/>
    </row>
    <row r="16" spans="1:16" ht="12.75" customHeight="1" x14ac:dyDescent="0.2">
      <c r="B16" s="52"/>
      <c r="C16" s="892"/>
      <c r="D16" s="892"/>
      <c r="E16" s="892"/>
      <c r="F16" s="892"/>
      <c r="G16" s="892"/>
      <c r="H16" s="892"/>
      <c r="I16" s="892"/>
      <c r="J16" s="892"/>
      <c r="K16" s="892"/>
      <c r="L16" s="892"/>
      <c r="M16" s="892"/>
      <c r="N16" s="892"/>
    </row>
    <row r="17" spans="2:14" ht="6" customHeight="1" x14ac:dyDescent="0.2">
      <c r="B17" s="52"/>
      <c r="C17" s="46"/>
    </row>
    <row r="18" spans="2:14" ht="12" customHeight="1" x14ac:dyDescent="0.2">
      <c r="B18" s="52" t="s">
        <v>862</v>
      </c>
      <c r="C18" s="883" t="s">
        <v>663</v>
      </c>
      <c r="D18" s="883"/>
      <c r="E18" s="883"/>
      <c r="F18" s="883"/>
      <c r="G18" s="883"/>
      <c r="H18" s="883"/>
      <c r="I18" s="883"/>
      <c r="J18" s="883"/>
      <c r="K18" s="883"/>
      <c r="L18" s="883"/>
      <c r="M18" s="883"/>
      <c r="N18" s="883"/>
    </row>
    <row r="19" spans="2:14" ht="102.75" customHeight="1" x14ac:dyDescent="0.2">
      <c r="B19" s="52"/>
      <c r="C19" s="883"/>
      <c r="D19" s="883"/>
      <c r="E19" s="883"/>
      <c r="F19" s="883"/>
      <c r="G19" s="883"/>
      <c r="H19" s="883"/>
      <c r="I19" s="883"/>
      <c r="J19" s="883"/>
      <c r="K19" s="883"/>
      <c r="L19" s="883"/>
      <c r="M19" s="883"/>
      <c r="N19" s="883"/>
    </row>
    <row r="20" spans="2:14" ht="6" customHeight="1" x14ac:dyDescent="0.2">
      <c r="B20" s="52"/>
      <c r="C20" s="46"/>
    </row>
    <row r="21" spans="2:14" ht="12.75" customHeight="1" x14ac:dyDescent="0.2">
      <c r="B21" s="52" t="s">
        <v>863</v>
      </c>
      <c r="C21" s="892" t="s">
        <v>1096</v>
      </c>
      <c r="D21" s="883"/>
      <c r="E21" s="883"/>
      <c r="F21" s="883"/>
      <c r="G21" s="883"/>
      <c r="H21" s="883"/>
      <c r="I21" s="883"/>
      <c r="J21" s="883"/>
      <c r="K21" s="883"/>
      <c r="L21" s="883"/>
      <c r="M21" s="883"/>
      <c r="N21" s="883"/>
    </row>
    <row r="22" spans="2:14" ht="12.75" customHeight="1" x14ac:dyDescent="0.2">
      <c r="B22" s="52"/>
      <c r="C22" s="883"/>
      <c r="D22" s="883"/>
      <c r="E22" s="883"/>
      <c r="F22" s="883"/>
      <c r="G22" s="883"/>
      <c r="H22" s="883"/>
      <c r="I22" s="883"/>
      <c r="J22" s="883"/>
      <c r="K22" s="883"/>
      <c r="L22" s="883"/>
      <c r="M22" s="883"/>
      <c r="N22" s="883"/>
    </row>
    <row r="23" spans="2:14" ht="12.75" customHeight="1" x14ac:dyDescent="0.2">
      <c r="B23" s="52"/>
      <c r="C23" s="883"/>
      <c r="D23" s="883"/>
      <c r="E23" s="883"/>
      <c r="F23" s="883"/>
      <c r="G23" s="883"/>
      <c r="H23" s="883"/>
      <c r="I23" s="883"/>
      <c r="J23" s="883"/>
      <c r="K23" s="883"/>
      <c r="L23" s="883"/>
      <c r="M23" s="883"/>
      <c r="N23" s="883"/>
    </row>
    <row r="24" spans="2:14" ht="12.75" customHeight="1" x14ac:dyDescent="0.2">
      <c r="B24" s="52"/>
      <c r="C24" s="883"/>
      <c r="D24" s="883"/>
      <c r="E24" s="883"/>
      <c r="F24" s="883"/>
      <c r="G24" s="883"/>
      <c r="H24" s="883"/>
      <c r="I24" s="883"/>
      <c r="J24" s="883"/>
      <c r="K24" s="883"/>
      <c r="L24" s="883"/>
      <c r="M24" s="883"/>
      <c r="N24" s="883"/>
    </row>
    <row r="25" spans="2:14" ht="12.75" customHeight="1" x14ac:dyDescent="0.2">
      <c r="B25" s="52"/>
      <c r="C25" s="883"/>
      <c r="D25" s="883"/>
      <c r="E25" s="883"/>
      <c r="F25" s="883"/>
      <c r="G25" s="883"/>
      <c r="H25" s="883"/>
      <c r="I25" s="883"/>
      <c r="J25" s="883"/>
      <c r="K25" s="883"/>
      <c r="L25" s="883"/>
      <c r="M25" s="883"/>
      <c r="N25" s="883"/>
    </row>
    <row r="26" spans="2:14" ht="12.75" customHeight="1" x14ac:dyDescent="0.2">
      <c r="B26" s="52"/>
      <c r="C26" s="883"/>
      <c r="D26" s="883"/>
      <c r="E26" s="883"/>
      <c r="F26" s="883"/>
      <c r="G26" s="883"/>
      <c r="H26" s="883"/>
      <c r="I26" s="883"/>
      <c r="J26" s="883"/>
      <c r="K26" s="883"/>
      <c r="L26" s="883"/>
      <c r="M26" s="883"/>
      <c r="N26" s="883"/>
    </row>
    <row r="27" spans="2:14" ht="6" customHeight="1" x14ac:dyDescent="0.2">
      <c r="B27" s="52"/>
      <c r="C27" s="46"/>
    </row>
    <row r="28" spans="2:14" ht="12.75" customHeight="1" x14ac:dyDescent="0.2">
      <c r="B28" s="52" t="s">
        <v>323</v>
      </c>
      <c r="C28" s="892" t="s">
        <v>1097</v>
      </c>
      <c r="D28" s="883"/>
      <c r="E28" s="883"/>
      <c r="F28" s="883"/>
      <c r="G28" s="883"/>
      <c r="H28" s="883"/>
      <c r="I28" s="883"/>
      <c r="J28" s="883"/>
      <c r="K28" s="883"/>
      <c r="L28" s="883"/>
      <c r="M28" s="883"/>
      <c r="N28" s="883"/>
    </row>
    <row r="29" spans="2:14" ht="24.75" customHeight="1" x14ac:dyDescent="0.2">
      <c r="B29" s="52"/>
      <c r="C29" s="883"/>
      <c r="D29" s="883"/>
      <c r="E29" s="883"/>
      <c r="F29" s="883"/>
      <c r="G29" s="883"/>
      <c r="H29" s="883"/>
      <c r="I29" s="883"/>
      <c r="J29" s="883"/>
      <c r="K29" s="883"/>
      <c r="L29" s="883"/>
      <c r="M29" s="883"/>
      <c r="N29" s="883"/>
    </row>
    <row r="30" spans="2:14" ht="6" customHeight="1" x14ac:dyDescent="0.2">
      <c r="B30" s="52"/>
      <c r="C30" s="46"/>
    </row>
    <row r="31" spans="2:14" ht="12.75" customHeight="1" x14ac:dyDescent="0.2">
      <c r="B31" s="52" t="s">
        <v>153</v>
      </c>
      <c r="C31" s="883" t="s">
        <v>53</v>
      </c>
      <c r="D31" s="883"/>
      <c r="E31" s="883"/>
      <c r="F31" s="883"/>
      <c r="G31" s="883"/>
      <c r="H31" s="883"/>
      <c r="I31" s="883"/>
      <c r="J31" s="883"/>
      <c r="K31" s="883"/>
      <c r="L31" s="883"/>
      <c r="M31" s="883"/>
      <c r="N31" s="883"/>
    </row>
    <row r="32" spans="2:14" ht="12.75" customHeight="1" x14ac:dyDescent="0.2">
      <c r="B32" s="52"/>
      <c r="C32" s="883"/>
      <c r="D32" s="883"/>
      <c r="E32" s="883"/>
      <c r="F32" s="883"/>
      <c r="G32" s="883"/>
      <c r="H32" s="883"/>
      <c r="I32" s="883"/>
      <c r="J32" s="883"/>
      <c r="K32" s="883"/>
      <c r="L32" s="883"/>
      <c r="M32" s="883"/>
      <c r="N32" s="883"/>
    </row>
    <row r="33" spans="1:14" ht="12.75" customHeight="1" x14ac:dyDescent="0.2">
      <c r="B33" s="52"/>
      <c r="C33" s="883"/>
      <c r="D33" s="883"/>
      <c r="E33" s="883"/>
      <c r="F33" s="883"/>
      <c r="G33" s="883"/>
      <c r="H33" s="883"/>
      <c r="I33" s="883"/>
      <c r="J33" s="883"/>
      <c r="K33" s="883"/>
      <c r="L33" s="883"/>
      <c r="M33" s="883"/>
      <c r="N33" s="883"/>
    </row>
    <row r="34" spans="1:14" ht="12.75" customHeight="1" x14ac:dyDescent="0.2">
      <c r="B34" s="52"/>
      <c r="C34" s="883"/>
      <c r="D34" s="883"/>
      <c r="E34" s="883"/>
      <c r="F34" s="883"/>
      <c r="G34" s="883"/>
      <c r="H34" s="883"/>
      <c r="I34" s="883"/>
      <c r="J34" s="883"/>
      <c r="K34" s="883"/>
      <c r="L34" s="883"/>
      <c r="M34" s="883"/>
      <c r="N34" s="883"/>
    </row>
    <row r="35" spans="1:14" ht="6" customHeight="1" x14ac:dyDescent="0.2">
      <c r="B35" s="52"/>
      <c r="C35" s="46"/>
      <c r="D35" s="46"/>
      <c r="E35" s="46"/>
      <c r="F35" s="46"/>
      <c r="G35" s="46"/>
      <c r="H35" s="46"/>
      <c r="I35" s="46"/>
      <c r="J35" s="46"/>
      <c r="K35" s="46"/>
      <c r="L35" s="46"/>
      <c r="M35" s="46"/>
      <c r="N35" s="46"/>
    </row>
    <row r="36" spans="1:14" ht="12.75" customHeight="1" x14ac:dyDescent="0.2">
      <c r="B36" s="52" t="s">
        <v>743</v>
      </c>
      <c r="C36" s="883" t="s">
        <v>519</v>
      </c>
      <c r="D36" s="883"/>
      <c r="E36" s="883"/>
      <c r="F36" s="883"/>
      <c r="G36" s="883"/>
      <c r="H36" s="883"/>
      <c r="I36" s="883"/>
      <c r="J36" s="883"/>
      <c r="K36" s="883"/>
      <c r="L36" s="883"/>
      <c r="M36" s="883"/>
      <c r="N36" s="883"/>
    </row>
    <row r="37" spans="1:14" ht="12.75" customHeight="1" x14ac:dyDescent="0.2">
      <c r="B37" s="52"/>
      <c r="C37" s="883"/>
      <c r="D37" s="883"/>
      <c r="E37" s="883"/>
      <c r="F37" s="883"/>
      <c r="G37" s="883"/>
      <c r="H37" s="883"/>
      <c r="I37" s="883"/>
      <c r="J37" s="883"/>
      <c r="K37" s="883"/>
      <c r="L37" s="883"/>
      <c r="M37" s="883"/>
      <c r="N37" s="883"/>
    </row>
    <row r="38" spans="1:14" ht="12.75" customHeight="1" x14ac:dyDescent="0.2">
      <c r="B38" s="52"/>
      <c r="C38" s="883"/>
      <c r="D38" s="883"/>
      <c r="E38" s="883"/>
      <c r="F38" s="883"/>
      <c r="G38" s="883"/>
      <c r="H38" s="883"/>
      <c r="I38" s="883"/>
      <c r="J38" s="883"/>
      <c r="K38" s="883"/>
      <c r="L38" s="883"/>
      <c r="M38" s="883"/>
      <c r="N38" s="883"/>
    </row>
    <row r="39" spans="1:14" ht="12.75" customHeight="1" x14ac:dyDescent="0.2">
      <c r="B39" s="52"/>
      <c r="C39" s="883"/>
      <c r="D39" s="883"/>
      <c r="E39" s="883"/>
      <c r="F39" s="883"/>
      <c r="G39" s="883"/>
      <c r="H39" s="883"/>
      <c r="I39" s="883"/>
      <c r="J39" s="883"/>
      <c r="K39" s="883"/>
      <c r="L39" s="883"/>
      <c r="M39" s="883"/>
      <c r="N39" s="883"/>
    </row>
    <row r="40" spans="1:14" ht="12.75" customHeight="1" x14ac:dyDescent="0.2">
      <c r="B40" s="52"/>
      <c r="C40" s="883"/>
      <c r="D40" s="883"/>
      <c r="E40" s="883"/>
      <c r="F40" s="883"/>
      <c r="G40" s="883"/>
      <c r="H40" s="883"/>
      <c r="I40" s="883"/>
      <c r="J40" s="883"/>
      <c r="K40" s="883"/>
      <c r="L40" s="883"/>
      <c r="M40" s="883"/>
      <c r="N40" s="883"/>
    </row>
    <row r="41" spans="1:14" ht="12.75" customHeight="1" x14ac:dyDescent="0.2">
      <c r="B41" s="52"/>
      <c r="C41" s="883"/>
      <c r="D41" s="883"/>
      <c r="E41" s="883"/>
      <c r="F41" s="883"/>
      <c r="G41" s="883"/>
      <c r="H41" s="883"/>
      <c r="I41" s="883"/>
      <c r="J41" s="883"/>
      <c r="K41" s="883"/>
      <c r="L41" s="883"/>
      <c r="M41" s="883"/>
      <c r="N41" s="883"/>
    </row>
    <row r="42" spans="1:14" ht="6" customHeight="1" x14ac:dyDescent="0.2">
      <c r="B42" s="52"/>
      <c r="C42" s="46"/>
      <c r="D42" s="46"/>
      <c r="E42" s="46"/>
      <c r="F42" s="46"/>
      <c r="G42" s="46"/>
      <c r="H42" s="46"/>
      <c r="I42" s="46"/>
      <c r="J42" s="46"/>
      <c r="K42" s="46"/>
      <c r="L42" s="46"/>
      <c r="M42" s="46"/>
      <c r="N42" s="46"/>
    </row>
    <row r="43" spans="1:14" ht="12.75" customHeight="1" x14ac:dyDescent="0.2">
      <c r="B43" s="52" t="s">
        <v>166</v>
      </c>
      <c r="C43" s="892" t="s">
        <v>1098</v>
      </c>
      <c r="D43" s="883"/>
      <c r="E43" s="883"/>
      <c r="F43" s="883"/>
      <c r="G43" s="883"/>
      <c r="H43" s="883"/>
      <c r="I43" s="883"/>
      <c r="J43" s="883"/>
      <c r="K43" s="883"/>
      <c r="L43" s="883"/>
      <c r="M43" s="883"/>
      <c r="N43" s="883"/>
    </row>
    <row r="44" spans="1:14" ht="12.75" customHeight="1" x14ac:dyDescent="0.2">
      <c r="B44" s="52"/>
      <c r="C44" s="883"/>
      <c r="D44" s="883"/>
      <c r="E44" s="883"/>
      <c r="F44" s="883"/>
      <c r="G44" s="883"/>
      <c r="H44" s="883"/>
      <c r="I44" s="883"/>
      <c r="J44" s="883"/>
      <c r="K44" s="883"/>
      <c r="L44" s="883"/>
      <c r="M44" s="883"/>
      <c r="N44" s="883"/>
    </row>
    <row r="45" spans="1:14" ht="12.75" customHeight="1" x14ac:dyDescent="0.2">
      <c r="B45" s="52"/>
      <c r="C45" s="883"/>
      <c r="D45" s="883"/>
      <c r="E45" s="883"/>
      <c r="F45" s="883"/>
      <c r="G45" s="883"/>
      <c r="H45" s="883"/>
      <c r="I45" s="883"/>
      <c r="J45" s="883"/>
      <c r="K45" s="883"/>
      <c r="L45" s="883"/>
      <c r="M45" s="883"/>
      <c r="N45" s="883"/>
    </row>
    <row r="46" spans="1:14" ht="12.75" customHeight="1" x14ac:dyDescent="0.2">
      <c r="B46" s="52"/>
      <c r="C46" s="46"/>
      <c r="D46" s="46"/>
      <c r="E46" s="46"/>
      <c r="F46" s="46"/>
      <c r="G46" s="46"/>
      <c r="H46" s="46"/>
      <c r="I46" s="46"/>
      <c r="J46" s="46"/>
      <c r="K46" s="46"/>
      <c r="L46" s="46"/>
      <c r="M46" s="46"/>
      <c r="N46" s="46"/>
    </row>
    <row r="47" spans="1:14" ht="24.75" customHeight="1" x14ac:dyDescent="0.2">
      <c r="B47" s="52"/>
      <c r="C47" s="46"/>
    </row>
    <row r="48" spans="1:14" ht="25.5" customHeight="1" x14ac:dyDescent="0.2">
      <c r="A48" s="4" t="s">
        <v>860</v>
      </c>
      <c r="B48" s="959" t="s">
        <v>261</v>
      </c>
      <c r="C48" s="960"/>
      <c r="D48" s="960"/>
      <c r="E48" s="960"/>
      <c r="F48" s="960"/>
      <c r="G48" s="960"/>
      <c r="H48" s="960"/>
      <c r="I48" s="960"/>
      <c r="J48" s="960"/>
      <c r="K48" s="960"/>
      <c r="L48" s="960"/>
      <c r="M48" s="960"/>
      <c r="N48" s="961"/>
    </row>
    <row r="51" spans="1:14" x14ac:dyDescent="0.2">
      <c r="B51" s="50" t="s">
        <v>930</v>
      </c>
      <c r="C51" s="883" t="s">
        <v>568</v>
      </c>
      <c r="D51" s="883"/>
      <c r="E51" s="883"/>
      <c r="F51" s="883"/>
      <c r="G51" s="883"/>
      <c r="H51" s="883"/>
      <c r="I51" s="883"/>
      <c r="J51" s="883"/>
      <c r="K51" s="883"/>
      <c r="L51" s="883"/>
      <c r="N51" s="985"/>
    </row>
    <row r="52" spans="1:14" ht="12" customHeight="1" x14ac:dyDescent="0.2">
      <c r="C52" s="883"/>
      <c r="D52" s="883"/>
      <c r="E52" s="883"/>
      <c r="F52" s="883"/>
      <c r="G52" s="883"/>
      <c r="H52" s="883"/>
      <c r="I52" s="883"/>
      <c r="J52" s="883"/>
      <c r="K52" s="883"/>
      <c r="L52" s="883"/>
      <c r="N52" s="985"/>
    </row>
    <row r="53" spans="1:14" x14ac:dyDescent="0.2">
      <c r="C53" s="6"/>
    </row>
    <row r="54" spans="1:14" ht="16.5" customHeight="1" x14ac:dyDescent="0.2">
      <c r="B54" s="50" t="s">
        <v>931</v>
      </c>
      <c r="C54" s="892" t="s">
        <v>1014</v>
      </c>
      <c r="D54" s="892"/>
      <c r="E54" s="892"/>
      <c r="F54" s="892"/>
      <c r="G54" s="892"/>
      <c r="H54" s="892"/>
      <c r="I54" s="892"/>
      <c r="J54" s="892"/>
      <c r="K54" s="892"/>
      <c r="L54" s="892"/>
      <c r="N54" s="985"/>
    </row>
    <row r="55" spans="1:14" x14ac:dyDescent="0.2">
      <c r="C55" s="892"/>
      <c r="D55" s="892"/>
      <c r="E55" s="892"/>
      <c r="F55" s="892"/>
      <c r="G55" s="892"/>
      <c r="H55" s="892"/>
      <c r="I55" s="892"/>
      <c r="J55" s="892"/>
      <c r="K55" s="892"/>
      <c r="L55" s="892"/>
      <c r="N55" s="985"/>
    </row>
    <row r="56" spans="1:14" x14ac:dyDescent="0.2">
      <c r="C56" s="224"/>
      <c r="D56" s="225"/>
      <c r="E56" s="225"/>
      <c r="F56" s="225"/>
      <c r="G56" s="225"/>
      <c r="H56" s="225"/>
      <c r="I56" s="225"/>
      <c r="J56" s="225"/>
      <c r="K56" s="225"/>
      <c r="L56" s="225"/>
      <c r="M56" s="225"/>
    </row>
    <row r="57" spans="1:14" x14ac:dyDescent="0.2">
      <c r="C57" s="6"/>
    </row>
    <row r="58" spans="1:14" x14ac:dyDescent="0.2">
      <c r="C58" s="6"/>
    </row>
    <row r="59" spans="1:14" ht="25.5" customHeight="1" x14ac:dyDescent="0.2">
      <c r="A59" s="4" t="s">
        <v>861</v>
      </c>
      <c r="B59" s="965" t="s">
        <v>262</v>
      </c>
      <c r="C59" s="967"/>
      <c r="D59" s="967"/>
      <c r="E59" s="967"/>
      <c r="F59" s="967"/>
      <c r="G59" s="967"/>
      <c r="H59" s="967"/>
      <c r="I59" s="967"/>
      <c r="J59" s="967"/>
      <c r="K59" s="967"/>
      <c r="L59" s="967"/>
      <c r="M59" s="967"/>
      <c r="N59" s="968"/>
    </row>
    <row r="60" spans="1:14" x14ac:dyDescent="0.2">
      <c r="H60" s="1"/>
    </row>
    <row r="61" spans="1:14" x14ac:dyDescent="0.2">
      <c r="H61" s="1"/>
    </row>
    <row r="62" spans="1:14" x14ac:dyDescent="0.2">
      <c r="B62" s="50" t="s">
        <v>930</v>
      </c>
      <c r="C62" s="891" t="s">
        <v>4925</v>
      </c>
      <c r="D62" s="883"/>
      <c r="E62" s="883"/>
      <c r="F62" s="883"/>
      <c r="G62" s="883"/>
      <c r="H62" s="883"/>
      <c r="I62" s="883"/>
      <c r="J62" s="883"/>
      <c r="K62" s="883"/>
      <c r="L62" s="883"/>
      <c r="N62" s="985"/>
    </row>
    <row r="63" spans="1:14" ht="26.25" customHeight="1" x14ac:dyDescent="0.2">
      <c r="C63" s="883"/>
      <c r="D63" s="883"/>
      <c r="E63" s="883"/>
      <c r="F63" s="883"/>
      <c r="G63" s="883"/>
      <c r="H63" s="883"/>
      <c r="I63" s="883"/>
      <c r="J63" s="883"/>
      <c r="K63" s="883"/>
      <c r="L63" s="883"/>
      <c r="N63" s="985"/>
    </row>
    <row r="64" spans="1:14" ht="8.25" customHeight="1" x14ac:dyDescent="0.2">
      <c r="N64" s="47"/>
    </row>
    <row r="65" spans="1:17" x14ac:dyDescent="0.2">
      <c r="B65" s="50" t="s">
        <v>931</v>
      </c>
      <c r="C65" s="883" t="s">
        <v>854</v>
      </c>
      <c r="D65" s="883"/>
      <c r="E65" s="883"/>
      <c r="F65" s="883"/>
      <c r="G65" s="883"/>
      <c r="H65" s="883"/>
      <c r="I65" s="883"/>
      <c r="J65" s="883"/>
      <c r="K65" s="883"/>
      <c r="L65" s="883"/>
      <c r="N65" s="985"/>
    </row>
    <row r="66" spans="1:17" ht="24.75" customHeight="1" x14ac:dyDescent="0.2">
      <c r="C66" s="883"/>
      <c r="D66" s="883"/>
      <c r="E66" s="883"/>
      <c r="F66" s="883"/>
      <c r="G66" s="883"/>
      <c r="H66" s="883"/>
      <c r="I66" s="883"/>
      <c r="J66" s="883"/>
      <c r="K66" s="883"/>
      <c r="L66" s="883"/>
      <c r="N66" s="985"/>
    </row>
    <row r="67" spans="1:17" ht="12.75" customHeight="1" x14ac:dyDescent="0.2">
      <c r="L67" s="47"/>
    </row>
    <row r="68" spans="1:17" ht="12.75" customHeight="1" x14ac:dyDescent="0.2">
      <c r="L68" s="47"/>
    </row>
    <row r="69" spans="1:17" ht="39" customHeight="1" x14ac:dyDescent="0.2">
      <c r="A69" s="4" t="s">
        <v>459</v>
      </c>
      <c r="B69" s="965" t="s">
        <v>86</v>
      </c>
      <c r="C69" s="967"/>
      <c r="D69" s="967"/>
      <c r="E69" s="967"/>
      <c r="F69" s="967"/>
      <c r="G69" s="967"/>
      <c r="H69" s="967"/>
      <c r="I69" s="967"/>
      <c r="J69" s="967"/>
      <c r="K69" s="967"/>
      <c r="L69" s="967"/>
      <c r="M69" s="967"/>
      <c r="N69" s="968"/>
    </row>
    <row r="70" spans="1:17" ht="13.5" customHeight="1" x14ac:dyDescent="0.2">
      <c r="L70" s="47"/>
    </row>
    <row r="71" spans="1:17" ht="12.75" customHeight="1" x14ac:dyDescent="0.2">
      <c r="B71" s="50" t="s">
        <v>930</v>
      </c>
      <c r="C71" s="892" t="s">
        <v>1099</v>
      </c>
      <c r="D71" s="883"/>
      <c r="E71" s="883"/>
      <c r="F71" s="883"/>
      <c r="G71" s="883"/>
      <c r="H71" s="883"/>
      <c r="I71" s="883"/>
      <c r="J71" s="883"/>
      <c r="K71" s="883"/>
      <c r="L71" s="883"/>
      <c r="N71" s="985"/>
    </row>
    <row r="72" spans="1:17" ht="12.75" customHeight="1" x14ac:dyDescent="0.2">
      <c r="B72" s="50"/>
      <c r="C72" s="883"/>
      <c r="D72" s="883"/>
      <c r="E72" s="883"/>
      <c r="F72" s="883"/>
      <c r="G72" s="883"/>
      <c r="H72" s="883"/>
      <c r="I72" s="883"/>
      <c r="J72" s="883"/>
      <c r="K72" s="883"/>
      <c r="L72" s="883"/>
      <c r="N72" s="985"/>
    </row>
    <row r="73" spans="1:17" ht="12.75" customHeight="1" x14ac:dyDescent="0.2">
      <c r="B73" s="50"/>
      <c r="C73" s="883"/>
      <c r="D73" s="883"/>
      <c r="E73" s="883"/>
      <c r="F73" s="883"/>
      <c r="G73" s="883"/>
      <c r="H73" s="883"/>
      <c r="I73" s="883"/>
      <c r="J73" s="883"/>
      <c r="K73" s="883"/>
      <c r="L73" s="883"/>
      <c r="N73" s="985"/>
    </row>
    <row r="74" spans="1:17" ht="7.5" customHeight="1" x14ac:dyDescent="0.2">
      <c r="N74" s="47"/>
    </row>
    <row r="75" spans="1:17" ht="12.75" customHeight="1" x14ac:dyDescent="0.2">
      <c r="B75" s="50" t="s">
        <v>931</v>
      </c>
      <c r="C75" s="883" t="s">
        <v>868</v>
      </c>
      <c r="D75" s="883"/>
      <c r="E75" s="883"/>
      <c r="F75" s="883"/>
      <c r="G75" s="883"/>
      <c r="H75" s="883"/>
      <c r="I75" s="883"/>
      <c r="J75" s="883"/>
      <c r="K75" s="883"/>
      <c r="L75" s="883"/>
      <c r="N75" s="985"/>
    </row>
    <row r="76" spans="1:17" ht="12.75" hidden="1" customHeight="1" x14ac:dyDescent="0.2">
      <c r="C76" s="883"/>
      <c r="D76" s="883"/>
      <c r="E76" s="883"/>
      <c r="F76" s="883"/>
      <c r="G76" s="883"/>
      <c r="H76" s="883"/>
      <c r="I76" s="883"/>
      <c r="J76" s="883"/>
      <c r="K76" s="883"/>
      <c r="L76" s="883"/>
      <c r="N76" s="985"/>
    </row>
    <row r="77" spans="1:17" x14ac:dyDescent="0.2">
      <c r="C77" s="883"/>
      <c r="D77" s="883"/>
      <c r="E77" s="883"/>
      <c r="F77" s="883"/>
      <c r="G77" s="883"/>
      <c r="H77" s="883"/>
      <c r="I77" s="883"/>
      <c r="J77" s="883"/>
      <c r="K77" s="883"/>
      <c r="L77" s="883"/>
      <c r="N77" s="985"/>
    </row>
    <row r="78" spans="1:17" ht="7.5" customHeight="1" x14ac:dyDescent="0.2">
      <c r="N78" s="47"/>
    </row>
    <row r="79" spans="1:17" ht="12.75" customHeight="1" x14ac:dyDescent="0.2">
      <c r="B79" s="50" t="s">
        <v>932</v>
      </c>
      <c r="C79" s="883" t="s">
        <v>252</v>
      </c>
      <c r="D79" s="883"/>
      <c r="E79" s="883"/>
      <c r="F79" s="883"/>
      <c r="G79" s="883"/>
      <c r="H79" s="883"/>
      <c r="I79" s="883"/>
      <c r="J79" s="883"/>
      <c r="K79" s="883"/>
      <c r="L79" s="883"/>
      <c r="N79" s="985"/>
      <c r="Q79" s="60"/>
    </row>
    <row r="80" spans="1:17" ht="12.75" customHeight="1" x14ac:dyDescent="0.2">
      <c r="B80" s="50"/>
      <c r="C80" s="883"/>
      <c r="D80" s="883"/>
      <c r="E80" s="883"/>
      <c r="F80" s="883"/>
      <c r="G80" s="883"/>
      <c r="H80" s="883"/>
      <c r="I80" s="883"/>
      <c r="J80" s="883"/>
      <c r="K80" s="883"/>
      <c r="L80" s="883"/>
      <c r="N80" s="985"/>
      <c r="Q80" s="60"/>
    </row>
    <row r="81" spans="1:14" ht="7.5" customHeight="1" x14ac:dyDescent="0.2">
      <c r="B81" s="50"/>
      <c r="N81" s="47"/>
    </row>
    <row r="82" spans="1:14" ht="10.5" customHeight="1" x14ac:dyDescent="0.2">
      <c r="B82" s="50" t="s">
        <v>862</v>
      </c>
      <c r="C82" s="883" t="s">
        <v>876</v>
      </c>
      <c r="D82" s="883"/>
      <c r="E82" s="883"/>
      <c r="F82" s="883"/>
      <c r="G82" s="883"/>
      <c r="H82" s="883"/>
      <c r="I82" s="883"/>
      <c r="J82" s="883"/>
      <c r="K82" s="883"/>
      <c r="L82" s="883"/>
      <c r="N82" s="985"/>
    </row>
    <row r="83" spans="1:14" ht="13.5" customHeight="1" x14ac:dyDescent="0.2">
      <c r="B83" s="50"/>
      <c r="C83" s="883"/>
      <c r="D83" s="883"/>
      <c r="E83" s="883"/>
      <c r="F83" s="883"/>
      <c r="G83" s="883"/>
      <c r="H83" s="883"/>
      <c r="I83" s="883"/>
      <c r="J83" s="883"/>
      <c r="K83" s="883"/>
      <c r="L83" s="883"/>
      <c r="N83" s="985"/>
    </row>
    <row r="84" spans="1:14" ht="29.25" customHeight="1" x14ac:dyDescent="0.2"/>
    <row r="85" spans="1:14" ht="25.5" customHeight="1" x14ac:dyDescent="0.2">
      <c r="A85" s="4" t="s">
        <v>465</v>
      </c>
      <c r="B85" s="962" t="s">
        <v>87</v>
      </c>
      <c r="C85" s="963"/>
      <c r="D85" s="963"/>
      <c r="E85" s="963"/>
      <c r="F85" s="963"/>
      <c r="G85" s="963"/>
      <c r="H85" s="963"/>
      <c r="I85" s="963"/>
      <c r="J85" s="963"/>
      <c r="K85" s="963"/>
      <c r="L85" s="963"/>
      <c r="M85" s="963"/>
      <c r="N85" s="964"/>
    </row>
    <row r="86" spans="1:14" ht="12.75" customHeight="1" x14ac:dyDescent="0.2"/>
    <row r="87" spans="1:14" ht="18.75" customHeight="1" x14ac:dyDescent="0.2">
      <c r="B87" s="50" t="s">
        <v>930</v>
      </c>
      <c r="C87" s="883" t="s">
        <v>899</v>
      </c>
      <c r="D87" s="883"/>
      <c r="E87" s="883"/>
      <c r="F87" s="883"/>
      <c r="G87" s="883"/>
      <c r="H87" s="883"/>
      <c r="I87" s="883"/>
      <c r="J87" s="883"/>
      <c r="K87" s="883"/>
      <c r="L87" s="883"/>
      <c r="N87" s="437"/>
    </row>
    <row r="88" spans="1:14" ht="7.5" customHeight="1" x14ac:dyDescent="0.2">
      <c r="C88" s="46"/>
      <c r="D88" s="46"/>
      <c r="E88" s="46"/>
      <c r="F88" s="46"/>
      <c r="G88" s="46"/>
      <c r="H88" s="46"/>
      <c r="I88" s="46"/>
      <c r="J88" s="46"/>
      <c r="K88" s="46"/>
      <c r="L88" s="46"/>
      <c r="N88" s="415"/>
    </row>
    <row r="89" spans="1:14" ht="17.25" customHeight="1" x14ac:dyDescent="0.2">
      <c r="B89" s="50" t="s">
        <v>931</v>
      </c>
      <c r="C89" s="881" t="s">
        <v>923</v>
      </c>
      <c r="D89" s="881"/>
      <c r="E89" s="881"/>
      <c r="F89" s="881"/>
      <c r="G89" s="881"/>
      <c r="H89" s="881"/>
      <c r="I89" s="881"/>
      <c r="J89" s="881"/>
      <c r="N89" s="437"/>
    </row>
    <row r="90" spans="1:14" ht="12.75" customHeight="1" x14ac:dyDescent="0.2"/>
    <row r="91" spans="1:14" ht="12.75" customHeight="1" x14ac:dyDescent="0.2">
      <c r="C91" s="2" t="s">
        <v>898</v>
      </c>
    </row>
    <row r="92" spans="1:14" ht="30" customHeight="1" x14ac:dyDescent="0.2"/>
    <row r="93" spans="1:14" ht="26.25" customHeight="1" x14ac:dyDescent="0.2"/>
    <row r="94" spans="1:14" ht="25.5" customHeight="1" x14ac:dyDescent="0.2">
      <c r="A94" s="4" t="s">
        <v>481</v>
      </c>
      <c r="B94" s="962" t="s">
        <v>116</v>
      </c>
      <c r="C94" s="963"/>
      <c r="D94" s="963"/>
      <c r="E94" s="963"/>
      <c r="F94" s="963"/>
      <c r="G94" s="963"/>
      <c r="H94" s="963"/>
      <c r="I94" s="963"/>
      <c r="J94" s="963"/>
      <c r="K94" s="963"/>
      <c r="L94" s="963"/>
      <c r="M94" s="963"/>
      <c r="N94" s="964"/>
    </row>
    <row r="95" spans="1:14" ht="12.75" customHeight="1" x14ac:dyDescent="0.2"/>
    <row r="96" spans="1:14" ht="12.75" customHeight="1" x14ac:dyDescent="0.2">
      <c r="B96" s="50" t="s">
        <v>930</v>
      </c>
      <c r="C96" s="883" t="s">
        <v>59</v>
      </c>
      <c r="D96" s="883"/>
      <c r="E96" s="883"/>
      <c r="F96" s="883"/>
      <c r="G96" s="883"/>
      <c r="H96" s="883"/>
      <c r="I96" s="883"/>
      <c r="J96" s="883"/>
    </row>
    <row r="97" spans="1:14" ht="63" customHeight="1" x14ac:dyDescent="0.2">
      <c r="C97" s="883"/>
      <c r="D97" s="883"/>
      <c r="E97" s="883"/>
      <c r="F97" s="883"/>
      <c r="G97" s="883"/>
      <c r="H97" s="883"/>
      <c r="I97" s="883"/>
      <c r="J97" s="883"/>
    </row>
    <row r="98" spans="1:14" ht="4.5" customHeight="1" x14ac:dyDescent="0.2">
      <c r="C98" s="46"/>
      <c r="D98" s="46"/>
      <c r="E98" s="46"/>
      <c r="F98" s="46"/>
      <c r="G98" s="46"/>
      <c r="H98" s="46"/>
      <c r="I98" s="46"/>
      <c r="J98" s="46"/>
    </row>
    <row r="99" spans="1:14" ht="12.75" customHeight="1" x14ac:dyDescent="0.2">
      <c r="I99" t="s">
        <v>704</v>
      </c>
      <c r="N99" s="437"/>
    </row>
    <row r="100" spans="1:14" ht="12.75" customHeight="1" x14ac:dyDescent="0.2">
      <c r="I100" t="s">
        <v>729</v>
      </c>
      <c r="N100" s="437"/>
    </row>
    <row r="101" spans="1:14" ht="12.75" customHeight="1" x14ac:dyDescent="0.2">
      <c r="N101" s="437"/>
    </row>
    <row r="102" spans="1:14" ht="12.75" customHeight="1" thickBot="1" x14ac:dyDescent="0.25">
      <c r="N102" s="80">
        <f>SUM(N99:N100)</f>
        <v>0</v>
      </c>
    </row>
    <row r="103" spans="1:14" ht="39.75" customHeight="1" thickTop="1" x14ac:dyDescent="0.2"/>
    <row r="104" spans="1:14" ht="25.5" customHeight="1" x14ac:dyDescent="0.2">
      <c r="A104" s="4" t="s">
        <v>813</v>
      </c>
      <c r="B104" s="962" t="s">
        <v>156</v>
      </c>
      <c r="C104" s="963"/>
      <c r="D104" s="963"/>
      <c r="E104" s="963"/>
      <c r="F104" s="963"/>
      <c r="G104" s="963"/>
      <c r="H104" s="963"/>
      <c r="I104" s="963"/>
      <c r="J104" s="963"/>
      <c r="K104" s="963"/>
      <c r="L104" s="963"/>
      <c r="M104" s="963"/>
      <c r="N104" s="964"/>
    </row>
    <row r="105" spans="1:14" ht="12.75" customHeight="1" x14ac:dyDescent="0.2"/>
    <row r="106" spans="1:14" ht="12.75" customHeight="1" x14ac:dyDescent="0.2">
      <c r="B106" s="50" t="s">
        <v>930</v>
      </c>
      <c r="C106" t="s">
        <v>19</v>
      </c>
      <c r="N106" s="437"/>
    </row>
    <row r="107" spans="1:14" ht="6" customHeight="1" x14ac:dyDescent="0.2">
      <c r="N107" s="47"/>
    </row>
    <row r="108" spans="1:14" ht="12.75" customHeight="1" x14ac:dyDescent="0.2">
      <c r="B108" s="50" t="s">
        <v>931</v>
      </c>
      <c r="C108" t="s">
        <v>784</v>
      </c>
      <c r="N108" s="437"/>
    </row>
    <row r="109" spans="1:14" ht="6" customHeight="1" x14ac:dyDescent="0.2">
      <c r="N109" s="47"/>
    </row>
    <row r="110" spans="1:14" ht="12.75" customHeight="1" x14ac:dyDescent="0.2">
      <c r="B110" s="50" t="s">
        <v>932</v>
      </c>
      <c r="C110" t="s">
        <v>11</v>
      </c>
      <c r="N110" s="437"/>
    </row>
    <row r="111" spans="1:14" ht="6" customHeight="1" x14ac:dyDescent="0.2">
      <c r="N111" s="47"/>
    </row>
    <row r="112" spans="1:14" ht="12.75" customHeight="1" x14ac:dyDescent="0.2">
      <c r="B112" s="50" t="s">
        <v>862</v>
      </c>
      <c r="C112" t="s">
        <v>12</v>
      </c>
      <c r="N112" s="437"/>
    </row>
    <row r="113" spans="1:14" ht="6" customHeight="1" x14ac:dyDescent="0.2">
      <c r="N113" s="47"/>
    </row>
    <row r="114" spans="1:14" ht="12.75" customHeight="1" x14ac:dyDescent="0.2">
      <c r="B114" s="50" t="s">
        <v>863</v>
      </c>
      <c r="C114" s="571" t="s">
        <v>4870</v>
      </c>
      <c r="N114" s="437"/>
    </row>
    <row r="115" spans="1:14" ht="5.25" customHeight="1" x14ac:dyDescent="0.2">
      <c r="N115" s="47"/>
    </row>
    <row r="116" spans="1:14" ht="12.75" customHeight="1" x14ac:dyDescent="0.2">
      <c r="B116" s="50" t="s">
        <v>323</v>
      </c>
      <c r="C116" t="s">
        <v>4897</v>
      </c>
      <c r="N116" s="437"/>
    </row>
    <row r="117" spans="1:14" ht="3.6" customHeight="1" x14ac:dyDescent="0.2">
      <c r="N117" s="47"/>
    </row>
    <row r="118" spans="1:14" ht="12.75" customHeight="1" x14ac:dyDescent="0.2">
      <c r="B118" s="50" t="s">
        <v>153</v>
      </c>
      <c r="C118" s="883" t="s">
        <v>39</v>
      </c>
      <c r="D118" s="883"/>
      <c r="E118" s="883"/>
      <c r="F118" s="883"/>
      <c r="G118" s="883"/>
      <c r="H118" s="883"/>
      <c r="I118" s="883"/>
      <c r="J118" s="883"/>
      <c r="K118" s="883"/>
      <c r="L118" s="883"/>
      <c r="N118" s="437"/>
    </row>
    <row r="119" spans="1:14" ht="12.75" customHeight="1" x14ac:dyDescent="0.2">
      <c r="C119" s="883"/>
      <c r="D119" s="883"/>
      <c r="E119" s="883"/>
      <c r="F119" s="883"/>
      <c r="G119" s="883"/>
      <c r="H119" s="883"/>
      <c r="I119" s="883"/>
      <c r="J119" s="883"/>
      <c r="K119" s="883"/>
      <c r="L119" s="883"/>
      <c r="N119" s="47"/>
    </row>
    <row r="120" spans="1:14" ht="6" customHeight="1" x14ac:dyDescent="0.2">
      <c r="N120" s="47"/>
    </row>
    <row r="121" spans="1:14" ht="12.75" customHeight="1" x14ac:dyDescent="0.2">
      <c r="B121" s="50" t="s">
        <v>743</v>
      </c>
      <c r="C121" s="415" t="s">
        <v>20</v>
      </c>
      <c r="N121" s="437"/>
    </row>
    <row r="122" spans="1:14" ht="6" customHeight="1" x14ac:dyDescent="0.2">
      <c r="N122" s="47"/>
    </row>
    <row r="123" spans="1:14" ht="12.75" customHeight="1" x14ac:dyDescent="0.2">
      <c r="B123" s="50" t="s">
        <v>166</v>
      </c>
      <c r="C123" s="415" t="s">
        <v>21</v>
      </c>
      <c r="N123" s="458"/>
    </row>
    <row r="124" spans="1:14" ht="12.75" customHeight="1" x14ac:dyDescent="0.2"/>
    <row r="125" spans="1:14" ht="31.5" customHeight="1" x14ac:dyDescent="0.2"/>
    <row r="126" spans="1:14" ht="25.5" customHeight="1" x14ac:dyDescent="0.2">
      <c r="A126" s="4" t="s">
        <v>814</v>
      </c>
      <c r="B126" s="962" t="s">
        <v>447</v>
      </c>
      <c r="C126" s="963"/>
      <c r="D126" s="963"/>
      <c r="E126" s="963"/>
      <c r="F126" s="963"/>
      <c r="G126" s="963"/>
      <c r="H126" s="963"/>
      <c r="I126" s="963"/>
      <c r="J126" s="963"/>
      <c r="K126" s="963"/>
      <c r="L126" s="963"/>
      <c r="M126" s="963"/>
      <c r="N126" s="964"/>
    </row>
    <row r="127" spans="1:14" ht="12.75" customHeight="1" x14ac:dyDescent="0.2"/>
    <row r="128" spans="1:14" ht="12.75" customHeight="1" x14ac:dyDescent="0.2">
      <c r="B128" s="50" t="s">
        <v>930</v>
      </c>
      <c r="C128" s="892" t="s">
        <v>269</v>
      </c>
      <c r="D128" s="892"/>
      <c r="E128" s="892"/>
      <c r="F128" s="892"/>
      <c r="G128" s="892"/>
      <c r="H128" s="892"/>
      <c r="I128" s="892"/>
      <c r="J128" s="892"/>
      <c r="M128" s="55"/>
    </row>
    <row r="129" spans="3:14" ht="12.75" customHeight="1" x14ac:dyDescent="0.2">
      <c r="C129" s="892"/>
      <c r="D129" s="892"/>
      <c r="E129" s="892"/>
      <c r="F129" s="892"/>
      <c r="G129" s="892"/>
      <c r="H129" s="892"/>
      <c r="I129" s="892"/>
      <c r="J129" s="892"/>
    </row>
    <row r="130" spans="3:14" ht="12.75" customHeight="1" x14ac:dyDescent="0.2">
      <c r="C130" s="892"/>
      <c r="D130" s="892"/>
      <c r="E130" s="892"/>
      <c r="F130" s="892"/>
      <c r="G130" s="892"/>
      <c r="H130" s="892"/>
      <c r="I130" s="892"/>
      <c r="J130" s="892"/>
      <c r="L130" s="55"/>
      <c r="M130" s="55"/>
      <c r="N130" s="55"/>
    </row>
    <row r="131" spans="3:14" ht="12.75" customHeight="1" x14ac:dyDescent="0.2">
      <c r="C131" s="892"/>
      <c r="D131" s="892"/>
      <c r="E131" s="892"/>
      <c r="F131" s="892"/>
      <c r="G131" s="892"/>
      <c r="H131" s="892"/>
      <c r="I131" s="892"/>
      <c r="J131" s="892"/>
      <c r="L131" s="55"/>
      <c r="M131" s="55"/>
      <c r="N131" s="55"/>
    </row>
    <row r="132" spans="3:14" ht="12.75" customHeight="1" x14ac:dyDescent="0.2">
      <c r="C132" s="892"/>
      <c r="D132" s="892"/>
      <c r="E132" s="892"/>
      <c r="F132" s="892"/>
      <c r="G132" s="892"/>
      <c r="H132" s="892"/>
      <c r="I132" s="892"/>
      <c r="J132" s="892"/>
      <c r="L132" s="55"/>
      <c r="M132" s="55"/>
      <c r="N132" s="55"/>
    </row>
    <row r="133" spans="3:14" ht="12.75" customHeight="1" x14ac:dyDescent="0.2">
      <c r="C133" s="46"/>
      <c r="D133" s="46"/>
      <c r="E133" s="46"/>
      <c r="F133" s="46"/>
      <c r="G133" s="46"/>
      <c r="H133" s="46"/>
      <c r="I133" s="46"/>
      <c r="J133" s="46"/>
      <c r="L133" s="1091" t="s">
        <v>106</v>
      </c>
      <c r="M133" s="1091"/>
      <c r="N133" s="1091"/>
    </row>
    <row r="134" spans="3:14" ht="15.75" customHeight="1" x14ac:dyDescent="0.2">
      <c r="J134" s="3" t="s">
        <v>924</v>
      </c>
      <c r="L134" s="3" t="s">
        <v>794</v>
      </c>
      <c r="N134" s="3" t="s">
        <v>793</v>
      </c>
    </row>
    <row r="135" spans="3:14" ht="12.75" customHeight="1" x14ac:dyDescent="0.2">
      <c r="G135" t="s">
        <v>994</v>
      </c>
      <c r="J135" s="437"/>
      <c r="K135" s="446"/>
      <c r="L135" s="437"/>
      <c r="M135" s="446"/>
      <c r="N135" s="437"/>
    </row>
    <row r="136" spans="3:14" ht="12.75" customHeight="1" x14ac:dyDescent="0.2">
      <c r="G136" t="s">
        <v>879</v>
      </c>
      <c r="J136" s="437"/>
      <c r="K136" s="446"/>
      <c r="L136" s="437"/>
      <c r="M136" s="446"/>
      <c r="N136" s="437"/>
    </row>
    <row r="137" spans="3:14" ht="12.75" customHeight="1" x14ac:dyDescent="0.2">
      <c r="G137" t="s">
        <v>729</v>
      </c>
      <c r="J137" s="437"/>
      <c r="K137" s="446"/>
      <c r="L137" s="437"/>
      <c r="M137" s="446"/>
      <c r="N137" s="437"/>
    </row>
    <row r="138" spans="3:14" ht="12.75" customHeight="1" x14ac:dyDescent="0.2">
      <c r="G138" t="s">
        <v>474</v>
      </c>
      <c r="J138" s="437"/>
      <c r="K138" s="446"/>
      <c r="L138" s="437"/>
      <c r="M138" s="446"/>
      <c r="N138" s="437"/>
    </row>
    <row r="139" spans="3:14" ht="12.75" customHeight="1" x14ac:dyDescent="0.2">
      <c r="G139" t="s">
        <v>463</v>
      </c>
      <c r="J139" s="437"/>
      <c r="K139" s="446"/>
      <c r="L139" s="437"/>
      <c r="M139" s="446"/>
      <c r="N139" s="437"/>
    </row>
    <row r="140" spans="3:14" ht="12.75" customHeight="1" x14ac:dyDescent="0.2">
      <c r="G140" t="s">
        <v>78</v>
      </c>
      <c r="J140" s="437"/>
      <c r="K140" s="446"/>
      <c r="L140" s="437"/>
      <c r="M140" s="446"/>
      <c r="N140" s="437"/>
    </row>
    <row r="141" spans="3:14" ht="12.75" customHeight="1" x14ac:dyDescent="0.2">
      <c r="G141" t="s">
        <v>910</v>
      </c>
      <c r="J141" s="437"/>
      <c r="K141" s="446"/>
      <c r="L141" s="437"/>
      <c r="M141" s="446"/>
      <c r="N141" s="437"/>
    </row>
    <row r="142" spans="3:14" ht="12.75" customHeight="1" x14ac:dyDescent="0.2">
      <c r="G142" s="415" t="s">
        <v>201</v>
      </c>
      <c r="J142" s="437"/>
      <c r="K142" s="446"/>
      <c r="L142" s="437"/>
      <c r="M142" s="417"/>
      <c r="N142" s="437"/>
    </row>
    <row r="143" spans="3:14" ht="12.75" customHeight="1" thickBot="1" x14ac:dyDescent="0.25">
      <c r="J143" s="76">
        <f>SUM(J135:J142)</f>
        <v>0</v>
      </c>
      <c r="K143" s="47"/>
      <c r="L143" s="76">
        <f>SUM(L135:L142)</f>
        <v>0</v>
      </c>
      <c r="M143" s="57"/>
      <c r="N143" s="76">
        <f>SUM(N135:N142)</f>
        <v>0</v>
      </c>
    </row>
    <row r="144" spans="3:14" ht="12.75" customHeight="1" thickTop="1" x14ac:dyDescent="0.2"/>
    <row r="145" spans="1:14" ht="12.75" customHeight="1" x14ac:dyDescent="0.2"/>
    <row r="146" spans="1:14" ht="25.5" customHeight="1" x14ac:dyDescent="0.2">
      <c r="A146" s="4" t="s">
        <v>145</v>
      </c>
      <c r="B146" s="962" t="s">
        <v>922</v>
      </c>
      <c r="C146" s="963"/>
      <c r="D146" s="963"/>
      <c r="E146" s="963"/>
      <c r="F146" s="963"/>
      <c r="G146" s="963"/>
      <c r="H146" s="963"/>
      <c r="I146" s="963"/>
      <c r="J146" s="963"/>
      <c r="K146" s="963"/>
      <c r="L146" s="963"/>
      <c r="M146" s="1049"/>
      <c r="N146" s="964"/>
    </row>
    <row r="147" spans="1:14" ht="12.75" customHeight="1" x14ac:dyDescent="0.2"/>
    <row r="148" spans="1:14" ht="12.75" customHeight="1" x14ac:dyDescent="0.2">
      <c r="B148" s="50" t="s">
        <v>930</v>
      </c>
      <c r="C148" s="883" t="s">
        <v>427</v>
      </c>
      <c r="D148" s="883"/>
      <c r="E148" s="883"/>
      <c r="F148" s="883"/>
      <c r="G148" s="883"/>
      <c r="H148" s="883"/>
      <c r="I148" s="883"/>
      <c r="J148" s="883"/>
    </row>
    <row r="149" spans="1:14" ht="54.6" customHeight="1" x14ac:dyDescent="0.2">
      <c r="C149" s="883"/>
      <c r="D149" s="883"/>
      <c r="E149" s="883"/>
      <c r="F149" s="883"/>
      <c r="G149" s="883"/>
      <c r="H149" s="883"/>
      <c r="I149" s="883"/>
      <c r="J149" s="883"/>
      <c r="L149" s="3" t="s">
        <v>64</v>
      </c>
      <c r="M149" s="55"/>
      <c r="N149" s="3" t="s">
        <v>65</v>
      </c>
    </row>
    <row r="150" spans="1:14" ht="12.75" customHeight="1" x14ac:dyDescent="0.2">
      <c r="H150" t="s">
        <v>925</v>
      </c>
      <c r="L150" s="437"/>
      <c r="M150" s="446"/>
      <c r="N150" s="437"/>
    </row>
    <row r="151" spans="1:14" ht="12.75" customHeight="1" x14ac:dyDescent="0.2">
      <c r="H151" t="s">
        <v>704</v>
      </c>
      <c r="L151" s="437"/>
      <c r="M151" s="446"/>
      <c r="N151" s="437"/>
    </row>
    <row r="152" spans="1:14" ht="12.75" customHeight="1" x14ac:dyDescent="0.2">
      <c r="H152" t="s">
        <v>879</v>
      </c>
      <c r="L152" s="437"/>
      <c r="M152" s="446"/>
      <c r="N152" s="437"/>
    </row>
    <row r="153" spans="1:14" ht="12.75" customHeight="1" x14ac:dyDescent="0.2">
      <c r="H153" t="s">
        <v>729</v>
      </c>
      <c r="L153" s="437"/>
      <c r="M153" s="446"/>
      <c r="N153" s="437"/>
    </row>
    <row r="154" spans="1:14" ht="12.75" customHeight="1" x14ac:dyDescent="0.2">
      <c r="H154" t="s">
        <v>474</v>
      </c>
      <c r="L154" s="437"/>
      <c r="M154" s="446"/>
      <c r="N154" s="437"/>
    </row>
    <row r="155" spans="1:14" ht="12.75" customHeight="1" x14ac:dyDescent="0.2">
      <c r="H155" t="s">
        <v>463</v>
      </c>
      <c r="L155" s="437"/>
      <c r="M155" s="446"/>
      <c r="N155" s="437"/>
    </row>
    <row r="156" spans="1:14" ht="12.75" customHeight="1" x14ac:dyDescent="0.2">
      <c r="H156" t="s">
        <v>78</v>
      </c>
      <c r="L156" s="437"/>
      <c r="M156" s="446"/>
      <c r="N156" s="437"/>
    </row>
    <row r="157" spans="1:14" ht="12.75" customHeight="1" x14ac:dyDescent="0.2">
      <c r="H157" t="s">
        <v>910</v>
      </c>
      <c r="L157" s="437"/>
      <c r="M157" s="446"/>
      <c r="N157" s="437"/>
    </row>
    <row r="158" spans="1:14" ht="12.75" customHeight="1" x14ac:dyDescent="0.2">
      <c r="H158" s="415" t="s">
        <v>201</v>
      </c>
      <c r="L158" s="437"/>
      <c r="M158" s="446"/>
      <c r="N158" s="437"/>
    </row>
    <row r="159" spans="1:14" ht="12.75" customHeight="1" x14ac:dyDescent="0.2">
      <c r="H159" s="188" t="s">
        <v>1100</v>
      </c>
      <c r="L159" s="437"/>
      <c r="M159" s="446"/>
      <c r="N159" s="437"/>
    </row>
    <row r="160" spans="1:14" ht="12.75" customHeight="1" thickBot="1" x14ac:dyDescent="0.25">
      <c r="L160" s="76">
        <f>SUM(L150:L159)</f>
        <v>0</v>
      </c>
      <c r="M160" s="47"/>
      <c r="N160" s="76">
        <f>SUM(N150:N159)</f>
        <v>0</v>
      </c>
    </row>
    <row r="161" spans="1:14" ht="12.75" customHeight="1" thickTop="1" x14ac:dyDescent="0.2"/>
    <row r="162" spans="1:14" ht="25.5" customHeight="1" x14ac:dyDescent="0.25">
      <c r="A162" s="509" t="s">
        <v>270</v>
      </c>
      <c r="B162" s="962" t="s">
        <v>522</v>
      </c>
      <c r="C162" s="963"/>
      <c r="D162" s="963"/>
      <c r="E162" s="963"/>
      <c r="F162" s="963"/>
      <c r="G162" s="963"/>
      <c r="H162" s="963"/>
      <c r="I162" s="963"/>
      <c r="J162" s="963"/>
      <c r="K162" s="963"/>
      <c r="L162" s="963"/>
      <c r="M162" s="963"/>
      <c r="N162" s="964"/>
    </row>
    <row r="163" spans="1:14" ht="12.75" customHeight="1" x14ac:dyDescent="0.2"/>
    <row r="164" spans="1:14" ht="12.75" customHeight="1" x14ac:dyDescent="0.2">
      <c r="B164" s="50" t="s">
        <v>930</v>
      </c>
      <c r="C164" s="883" t="s">
        <v>520</v>
      </c>
      <c r="D164" s="883"/>
      <c r="E164" s="883"/>
      <c r="F164" s="883"/>
      <c r="G164" s="883"/>
      <c r="H164" s="883"/>
      <c r="I164" s="883"/>
      <c r="J164" s="883"/>
      <c r="N164" s="985"/>
    </row>
    <row r="165" spans="1:14" ht="12.75" customHeight="1" x14ac:dyDescent="0.2">
      <c r="C165" s="883"/>
      <c r="D165" s="883"/>
      <c r="E165" s="883"/>
      <c r="F165" s="883"/>
      <c r="G165" s="883"/>
      <c r="H165" s="883"/>
      <c r="I165" s="883"/>
      <c r="J165" s="883"/>
      <c r="L165" s="31"/>
      <c r="N165" s="985"/>
    </row>
    <row r="166" spans="1:14" ht="12.75" customHeight="1" x14ac:dyDescent="0.2"/>
    <row r="167" spans="1:14" ht="12.75" customHeight="1" x14ac:dyDescent="0.2">
      <c r="B167" s="50" t="s">
        <v>931</v>
      </c>
      <c r="C167" s="883" t="s">
        <v>521</v>
      </c>
      <c r="D167" s="883"/>
      <c r="E167" s="883"/>
      <c r="F167" s="883"/>
      <c r="G167" s="883"/>
      <c r="H167" s="883"/>
      <c r="I167" s="883"/>
      <c r="J167" s="883"/>
      <c r="N167" s="985"/>
    </row>
    <row r="168" spans="1:14" ht="12.75" customHeight="1" x14ac:dyDescent="0.2">
      <c r="C168" s="883"/>
      <c r="D168" s="883"/>
      <c r="E168" s="883"/>
      <c r="F168" s="883"/>
      <c r="G168" s="883"/>
      <c r="H168" s="883"/>
      <c r="I168" s="883"/>
      <c r="J168" s="883"/>
      <c r="L168" s="31"/>
      <c r="N168" s="985"/>
    </row>
    <row r="169" spans="1:14" ht="12.75" customHeight="1" x14ac:dyDescent="0.2"/>
    <row r="170" spans="1:14" ht="12.75" customHeight="1" x14ac:dyDescent="0.2"/>
    <row r="171" spans="1:14" ht="25.5" customHeight="1" x14ac:dyDescent="0.25">
      <c r="A171" s="186" t="s">
        <v>146</v>
      </c>
      <c r="B171" s="962" t="s">
        <v>1101</v>
      </c>
      <c r="C171" s="963"/>
      <c r="D171" s="963"/>
      <c r="E171" s="963"/>
      <c r="F171" s="963"/>
      <c r="G171" s="963"/>
      <c r="H171" s="963"/>
      <c r="I171" s="963"/>
      <c r="J171" s="963"/>
      <c r="K171" s="963"/>
      <c r="L171" s="963"/>
      <c r="M171" s="963"/>
      <c r="N171" s="964"/>
    </row>
    <row r="172" spans="1:14" ht="12.75" customHeight="1" x14ac:dyDescent="0.2"/>
    <row r="173" spans="1:14" ht="12.75" customHeight="1" x14ac:dyDescent="0.2">
      <c r="B173" s="4" t="s">
        <v>1102</v>
      </c>
    </row>
    <row r="174" spans="1:14" ht="12.75" customHeight="1" x14ac:dyDescent="0.2">
      <c r="B174" s="50" t="s">
        <v>930</v>
      </c>
      <c r="C174" t="s">
        <v>309</v>
      </c>
      <c r="L174" s="437"/>
    </row>
    <row r="175" spans="1:14" ht="12.75" customHeight="1" x14ac:dyDescent="0.2">
      <c r="L175" s="47"/>
    </row>
    <row r="176" spans="1:14" ht="12.75" customHeight="1" x14ac:dyDescent="0.2">
      <c r="B176" s="50" t="s">
        <v>931</v>
      </c>
      <c r="C176" t="s">
        <v>95</v>
      </c>
      <c r="L176" s="437"/>
    </row>
    <row r="177" spans="2:14" ht="12.75" customHeight="1" x14ac:dyDescent="0.2">
      <c r="L177" s="47"/>
    </row>
    <row r="178" spans="2:14" ht="12.75" customHeight="1" x14ac:dyDescent="0.2">
      <c r="B178" s="50"/>
      <c r="C178" s="4" t="s">
        <v>1102</v>
      </c>
      <c r="L178" s="47"/>
      <c r="N178" s="11">
        <f>L174-L176</f>
        <v>0</v>
      </c>
    </row>
    <row r="179" spans="2:14" ht="12.75" customHeight="1" x14ac:dyDescent="0.2">
      <c r="L179" s="47"/>
    </row>
    <row r="180" spans="2:14" ht="12.75" customHeight="1" x14ac:dyDescent="0.2">
      <c r="B180" s="4" t="s">
        <v>310</v>
      </c>
      <c r="L180" s="47"/>
    </row>
    <row r="181" spans="2:14" ht="12.75" customHeight="1" x14ac:dyDescent="0.2">
      <c r="C181" t="s">
        <v>311</v>
      </c>
      <c r="L181" s="437"/>
    </row>
    <row r="182" spans="2:14" ht="12.75" customHeight="1" x14ac:dyDescent="0.2">
      <c r="C182" t="s">
        <v>882</v>
      </c>
      <c r="L182" s="437"/>
    </row>
    <row r="183" spans="2:14" ht="12.75" customHeight="1" x14ac:dyDescent="0.2">
      <c r="C183" t="s">
        <v>880</v>
      </c>
      <c r="L183" s="437"/>
    </row>
    <row r="184" spans="2:14" ht="12.75" customHeight="1" x14ac:dyDescent="0.2">
      <c r="C184" t="s">
        <v>879</v>
      </c>
      <c r="L184" s="437"/>
    </row>
    <row r="185" spans="2:14" ht="12.75" customHeight="1" x14ac:dyDescent="0.2">
      <c r="C185" t="s">
        <v>312</v>
      </c>
      <c r="L185" s="437"/>
    </row>
    <row r="186" spans="2:14" ht="12.75" customHeight="1" x14ac:dyDescent="0.2">
      <c r="C186" t="s">
        <v>268</v>
      </c>
      <c r="L186" s="437"/>
    </row>
    <row r="187" spans="2:14" ht="12.75" customHeight="1" x14ac:dyDescent="0.2">
      <c r="C187" s="571" t="s">
        <v>1027</v>
      </c>
      <c r="L187" s="437"/>
    </row>
    <row r="188" spans="2:14" ht="12.75" customHeight="1" x14ac:dyDescent="0.2">
      <c r="C188" s="415" t="s">
        <v>313</v>
      </c>
      <c r="L188" s="437"/>
    </row>
    <row r="189" spans="2:14" ht="12.75" customHeight="1" x14ac:dyDescent="0.2">
      <c r="C189" s="415" t="s">
        <v>314</v>
      </c>
      <c r="L189" s="437"/>
    </row>
    <row r="190" spans="2:14" ht="12.75" customHeight="1" x14ac:dyDescent="0.2">
      <c r="C190" s="415" t="s">
        <v>2540</v>
      </c>
      <c r="L190" s="437"/>
      <c r="N190" s="11">
        <f>SUM(L181:L190)</f>
        <v>0</v>
      </c>
    </row>
    <row r="191" spans="2:14" ht="12.75" customHeight="1" x14ac:dyDescent="0.2"/>
    <row r="192" spans="2:14" ht="12.75" customHeight="1" x14ac:dyDescent="0.2">
      <c r="B192" s="4" t="s">
        <v>315</v>
      </c>
      <c r="L192" s="455"/>
    </row>
    <row r="193" spans="1:19" ht="19.5" customHeight="1" x14ac:dyDescent="0.2">
      <c r="N193" s="884" t="e">
        <f>IF(L194=L195," ","Recheck numbers above and detail in Worksheet M. Above entry is out of balance.")</f>
        <v>#VALUE!</v>
      </c>
      <c r="R193" s="521"/>
    </row>
    <row r="194" spans="1:19" ht="12.75" customHeight="1" x14ac:dyDescent="0.2">
      <c r="C194" s="492" t="s">
        <v>967</v>
      </c>
      <c r="D194" s="492"/>
      <c r="E194" s="493" t="s">
        <v>1103</v>
      </c>
      <c r="F194" s="491"/>
      <c r="G194" s="491"/>
      <c r="H194" s="491"/>
      <c r="I194" s="491"/>
      <c r="J194" s="491"/>
      <c r="K194" s="491"/>
      <c r="L194" s="494">
        <f>N178+N190+L192</f>
        <v>0</v>
      </c>
      <c r="N194" s="884"/>
      <c r="Q194" s="5"/>
    </row>
    <row r="195" spans="1:19" ht="12.75" customHeight="1" x14ac:dyDescent="0.2">
      <c r="E195" s="493" t="s">
        <v>533</v>
      </c>
      <c r="F195" s="491"/>
      <c r="G195" s="491"/>
      <c r="H195" s="491"/>
      <c r="I195" s="491"/>
      <c r="J195" s="491"/>
      <c r="K195" s="491"/>
      <c r="L195" s="510" t="e">
        <f>ROUND(('Conversion Worksheet'!BA165-'Conversion Worksheet'!AZ165)+'Conversion Worksheet'!BA172+'Conversion Worksheet'!BA166,0)</f>
        <v>#VALUE!</v>
      </c>
      <c r="N195" s="884"/>
      <c r="Q195" s="521"/>
      <c r="R195" s="521"/>
      <c r="S195" s="5"/>
    </row>
    <row r="196" spans="1:19" ht="24" customHeight="1" x14ac:dyDescent="0.2"/>
    <row r="197" spans="1:19" ht="25.5" customHeight="1" x14ac:dyDescent="0.2">
      <c r="A197" s="4" t="s">
        <v>843</v>
      </c>
      <c r="B197" s="962" t="s">
        <v>237</v>
      </c>
      <c r="C197" s="963"/>
      <c r="D197" s="963"/>
      <c r="E197" s="963"/>
      <c r="F197" s="963"/>
      <c r="G197" s="963"/>
      <c r="H197" s="963"/>
      <c r="I197" s="963"/>
      <c r="J197" s="963"/>
      <c r="K197" s="963"/>
      <c r="L197" s="963"/>
      <c r="M197" s="963"/>
      <c r="N197" s="964"/>
    </row>
    <row r="198" spans="1:19" ht="11.25" customHeight="1" x14ac:dyDescent="0.2">
      <c r="A198" s="4"/>
      <c r="B198" s="4"/>
      <c r="C198" s="4"/>
      <c r="D198" s="4"/>
      <c r="E198" s="4"/>
      <c r="F198" s="4"/>
      <c r="G198" s="4"/>
      <c r="H198" s="4"/>
    </row>
    <row r="199" spans="1:19" ht="21" customHeight="1" x14ac:dyDescent="0.2">
      <c r="C199" s="339" t="s">
        <v>660</v>
      </c>
      <c r="J199" s="58" t="s">
        <v>64</v>
      </c>
      <c r="K199" s="49"/>
      <c r="L199" s="58" t="s">
        <v>65</v>
      </c>
    </row>
    <row r="200" spans="1:19" x14ac:dyDescent="0.2">
      <c r="A200" t="s">
        <v>570</v>
      </c>
      <c r="C200" s="336" t="s">
        <v>651</v>
      </c>
      <c r="D200" t="s">
        <v>571</v>
      </c>
      <c r="J200" s="83">
        <f>N51+N54</f>
        <v>0</v>
      </c>
      <c r="K200" s="96"/>
      <c r="L200" s="83"/>
      <c r="N200" s="2"/>
    </row>
    <row r="201" spans="1:19" x14ac:dyDescent="0.2">
      <c r="C201" s="336"/>
      <c r="E201" t="s">
        <v>572</v>
      </c>
      <c r="J201" s="83"/>
      <c r="K201" s="96"/>
      <c r="L201" s="83">
        <f>N51+N54</f>
        <v>0</v>
      </c>
    </row>
    <row r="202" spans="1:19" ht="4.5" customHeight="1" x14ac:dyDescent="0.2">
      <c r="C202" s="336"/>
      <c r="J202" s="47"/>
      <c r="K202" s="96"/>
      <c r="L202" s="47"/>
    </row>
    <row r="203" spans="1:19" x14ac:dyDescent="0.2">
      <c r="A203" t="s">
        <v>573</v>
      </c>
      <c r="C203" s="336" t="s">
        <v>652</v>
      </c>
      <c r="D203" t="s">
        <v>738</v>
      </c>
      <c r="J203" s="83">
        <f>N62</f>
        <v>0</v>
      </c>
      <c r="K203" s="96"/>
      <c r="L203" s="83"/>
      <c r="N203" t="s">
        <v>560</v>
      </c>
    </row>
    <row r="204" spans="1:19" x14ac:dyDescent="0.2">
      <c r="C204" s="336"/>
      <c r="D204" t="s">
        <v>193</v>
      </c>
      <c r="H204" s="2"/>
      <c r="J204" s="83">
        <f>N65</f>
        <v>0</v>
      </c>
      <c r="K204" s="96"/>
      <c r="L204" s="83"/>
      <c r="N204" s="6" t="s">
        <v>575</v>
      </c>
    </row>
    <row r="205" spans="1:19" ht="12.75" customHeight="1" x14ac:dyDescent="0.2">
      <c r="C205" s="336"/>
      <c r="E205" t="s">
        <v>733</v>
      </c>
      <c r="J205" s="83"/>
      <c r="K205" s="96"/>
      <c r="L205" s="83">
        <f>N62</f>
        <v>0</v>
      </c>
    </row>
    <row r="206" spans="1:19" x14ac:dyDescent="0.2">
      <c r="C206" s="336"/>
      <c r="E206" t="s">
        <v>194</v>
      </c>
      <c r="J206" s="83"/>
      <c r="K206" s="96"/>
      <c r="L206" s="83">
        <f>N65</f>
        <v>0</v>
      </c>
    </row>
    <row r="207" spans="1:19" ht="4.5" customHeight="1" x14ac:dyDescent="0.2">
      <c r="C207" s="336"/>
      <c r="J207" s="47"/>
      <c r="K207" s="96"/>
      <c r="L207" s="47"/>
    </row>
    <row r="208" spans="1:19" x14ac:dyDescent="0.2">
      <c r="A208" t="s">
        <v>574</v>
      </c>
      <c r="C208" s="336" t="s">
        <v>653</v>
      </c>
      <c r="D208" t="s">
        <v>193</v>
      </c>
      <c r="J208" s="83">
        <f>N82</f>
        <v>0</v>
      </c>
      <c r="K208" s="96"/>
      <c r="L208" s="83"/>
    </row>
    <row r="209" spans="1:14" x14ac:dyDescent="0.2">
      <c r="D209" t="s">
        <v>738</v>
      </c>
      <c r="J209" s="11">
        <f>N75</f>
        <v>0</v>
      </c>
      <c r="K209" s="96"/>
      <c r="L209" s="83"/>
      <c r="N209" s="6" t="s">
        <v>561</v>
      </c>
    </row>
    <row r="210" spans="1:14" x14ac:dyDescent="0.2">
      <c r="B210" s="31"/>
      <c r="D210" t="s">
        <v>581</v>
      </c>
      <c r="J210" s="83">
        <f>IF((L211+L212)-(J208+J209)&lt;0,0,(L211+L212)-(J208+J209))</f>
        <v>0</v>
      </c>
      <c r="K210" s="96"/>
      <c r="L210" s="83">
        <f>IF((L211+L212)-(J208+J209)&gt;0,0,(L211+L212)-(J208+J209))</f>
        <v>0</v>
      </c>
      <c r="N210" s="6" t="s">
        <v>197</v>
      </c>
    </row>
    <row r="211" spans="1:14" x14ac:dyDescent="0.2">
      <c r="E211" t="s">
        <v>194</v>
      </c>
      <c r="J211" s="83"/>
      <c r="K211" s="96"/>
      <c r="L211" s="83">
        <f>N79</f>
        <v>0</v>
      </c>
      <c r="N211" s="6" t="s">
        <v>562</v>
      </c>
    </row>
    <row r="212" spans="1:14" x14ac:dyDescent="0.2">
      <c r="E212" t="s">
        <v>733</v>
      </c>
      <c r="J212" s="83"/>
      <c r="K212" s="96"/>
      <c r="L212" s="83">
        <f>N71</f>
        <v>0</v>
      </c>
    </row>
    <row r="213" spans="1:14" ht="3.75" customHeight="1" x14ac:dyDescent="0.2">
      <c r="J213" s="96"/>
      <c r="K213" s="96"/>
      <c r="L213" s="96"/>
    </row>
    <row r="214" spans="1:14" x14ac:dyDescent="0.2">
      <c r="A214" t="s">
        <v>787</v>
      </c>
      <c r="C214" s="337" t="s">
        <v>654</v>
      </c>
      <c r="D214" t="s">
        <v>117</v>
      </c>
      <c r="J214" s="83">
        <f>N87</f>
        <v>0</v>
      </c>
      <c r="K214" s="96"/>
      <c r="L214" s="83"/>
    </row>
    <row r="215" spans="1:14" x14ac:dyDescent="0.2">
      <c r="C215" s="337"/>
      <c r="E215" t="s">
        <v>733</v>
      </c>
      <c r="J215" s="83"/>
      <c r="K215" s="96"/>
      <c r="L215" s="83">
        <f>N87</f>
        <v>0</v>
      </c>
      <c r="N215" s="6" t="s">
        <v>936</v>
      </c>
    </row>
    <row r="216" spans="1:14" x14ac:dyDescent="0.2">
      <c r="C216" s="337"/>
      <c r="D216" t="s">
        <v>738</v>
      </c>
      <c r="J216" s="83">
        <f>N89</f>
        <v>0</v>
      </c>
      <c r="K216" s="96"/>
      <c r="L216" s="83"/>
      <c r="N216" s="6" t="s">
        <v>937</v>
      </c>
    </row>
    <row r="217" spans="1:14" x14ac:dyDescent="0.2">
      <c r="C217" s="337"/>
      <c r="E217" t="s">
        <v>118</v>
      </c>
      <c r="J217" s="83"/>
      <c r="K217" s="96"/>
      <c r="L217" s="83">
        <f>N89</f>
        <v>0</v>
      </c>
    </row>
    <row r="218" spans="1:14" ht="5.25" customHeight="1" x14ac:dyDescent="0.2">
      <c r="C218" s="337"/>
      <c r="J218" s="96"/>
      <c r="K218" s="96"/>
      <c r="L218" s="96"/>
    </row>
    <row r="219" spans="1:14" x14ac:dyDescent="0.2">
      <c r="A219" t="s">
        <v>788</v>
      </c>
      <c r="C219" s="337" t="s">
        <v>655</v>
      </c>
      <c r="D219" t="s">
        <v>752</v>
      </c>
      <c r="J219" s="83">
        <f>N99</f>
        <v>0</v>
      </c>
      <c r="K219" s="96"/>
      <c r="L219" s="83"/>
    </row>
    <row r="220" spans="1:14" x14ac:dyDescent="0.2">
      <c r="C220" s="337"/>
      <c r="D220" t="s">
        <v>789</v>
      </c>
      <c r="J220" s="83">
        <f>N100</f>
        <v>0</v>
      </c>
      <c r="K220" s="96"/>
      <c r="L220" s="83"/>
      <c r="N220" s="6" t="s">
        <v>939</v>
      </c>
    </row>
    <row r="221" spans="1:14" x14ac:dyDescent="0.2">
      <c r="C221" s="337"/>
      <c r="E221" t="s">
        <v>704</v>
      </c>
      <c r="F221" s="60"/>
      <c r="J221" s="79"/>
      <c r="L221" s="11">
        <f>N99</f>
        <v>0</v>
      </c>
      <c r="N221" s="6" t="s">
        <v>938</v>
      </c>
    </row>
    <row r="222" spans="1:14" x14ac:dyDescent="0.2">
      <c r="C222" s="337"/>
      <c r="E222" t="s">
        <v>729</v>
      </c>
      <c r="J222" s="79"/>
      <c r="L222" s="11">
        <f>N100</f>
        <v>0</v>
      </c>
    </row>
    <row r="223" spans="1:14" ht="3.75" customHeight="1" x14ac:dyDescent="0.2">
      <c r="C223" s="337"/>
    </row>
    <row r="224" spans="1:14" x14ac:dyDescent="0.2">
      <c r="A224" t="s">
        <v>790</v>
      </c>
      <c r="C224" s="337" t="s">
        <v>656</v>
      </c>
      <c r="D224" t="s">
        <v>163</v>
      </c>
      <c r="J224" s="11">
        <f>N106</f>
        <v>0</v>
      </c>
      <c r="L224" s="79"/>
    </row>
    <row r="225" spans="3:14" x14ac:dyDescent="0.2">
      <c r="C225" s="337"/>
      <c r="D225" t="s">
        <v>162</v>
      </c>
      <c r="J225" s="11">
        <f>N108</f>
        <v>0</v>
      </c>
      <c r="L225" s="79"/>
      <c r="N225" s="6"/>
    </row>
    <row r="226" spans="3:14" x14ac:dyDescent="0.2">
      <c r="C226" s="337"/>
      <c r="D226" t="s">
        <v>161</v>
      </c>
      <c r="J226" s="11">
        <f>N110</f>
        <v>0</v>
      </c>
      <c r="L226" s="79"/>
      <c r="N226" s="6"/>
    </row>
    <row r="227" spans="3:14" x14ac:dyDescent="0.2">
      <c r="C227" s="337"/>
      <c r="D227" t="s">
        <v>160</v>
      </c>
      <c r="J227" s="11">
        <f>N112</f>
        <v>0</v>
      </c>
      <c r="L227" s="79"/>
      <c r="N227" s="6"/>
    </row>
    <row r="228" spans="3:14" x14ac:dyDescent="0.2">
      <c r="C228" s="337"/>
      <c r="D228" t="s">
        <v>4853</v>
      </c>
      <c r="J228" s="11">
        <f>N114</f>
        <v>0</v>
      </c>
      <c r="L228" s="79"/>
      <c r="N228" s="6"/>
    </row>
    <row r="229" spans="3:14" x14ac:dyDescent="0.2">
      <c r="C229" s="336"/>
      <c r="D229" s="415" t="s">
        <v>4896</v>
      </c>
      <c r="J229" s="11">
        <f>N116</f>
        <v>0</v>
      </c>
      <c r="L229" s="79"/>
      <c r="N229" s="6"/>
    </row>
    <row r="230" spans="3:14" x14ac:dyDescent="0.2">
      <c r="C230" s="337"/>
      <c r="D230" t="s">
        <v>340</v>
      </c>
      <c r="J230" s="11">
        <f>N118</f>
        <v>0</v>
      </c>
      <c r="L230" s="79"/>
      <c r="N230" s="6"/>
    </row>
    <row r="231" spans="3:14" x14ac:dyDescent="0.2">
      <c r="C231" s="337"/>
      <c r="D231" s="415" t="s">
        <v>158</v>
      </c>
      <c r="J231" s="11">
        <f>N121</f>
        <v>0</v>
      </c>
      <c r="L231" s="79"/>
      <c r="N231" s="6"/>
    </row>
    <row r="232" spans="3:14" x14ac:dyDescent="0.2">
      <c r="C232" s="337"/>
      <c r="D232" s="415" t="s">
        <v>159</v>
      </c>
      <c r="J232" s="11">
        <f>N123</f>
        <v>0</v>
      </c>
      <c r="L232" s="79"/>
      <c r="N232" s="6" t="s">
        <v>944</v>
      </c>
    </row>
    <row r="233" spans="3:14" x14ac:dyDescent="0.2">
      <c r="C233" s="337"/>
      <c r="E233" t="s">
        <v>164</v>
      </c>
      <c r="J233" s="79"/>
      <c r="L233" s="11">
        <f>N106</f>
        <v>0</v>
      </c>
      <c r="N233" s="6" t="s">
        <v>157</v>
      </c>
    </row>
    <row r="234" spans="3:14" x14ac:dyDescent="0.2">
      <c r="C234" s="337"/>
      <c r="E234" t="s">
        <v>304</v>
      </c>
      <c r="J234" s="79"/>
      <c r="L234" s="11">
        <f>N108</f>
        <v>0</v>
      </c>
      <c r="N234" s="6"/>
    </row>
    <row r="235" spans="3:14" x14ac:dyDescent="0.2">
      <c r="C235" s="337"/>
      <c r="E235" t="s">
        <v>305</v>
      </c>
      <c r="J235" s="79"/>
      <c r="L235" s="11">
        <f>N110</f>
        <v>0</v>
      </c>
      <c r="N235" s="6"/>
    </row>
    <row r="236" spans="3:14" x14ac:dyDescent="0.2">
      <c r="C236" s="337"/>
      <c r="E236" t="s">
        <v>306</v>
      </c>
      <c r="J236" s="79"/>
      <c r="L236" s="11">
        <f>N112</f>
        <v>0</v>
      </c>
      <c r="N236" s="6"/>
    </row>
    <row r="237" spans="3:14" x14ac:dyDescent="0.2">
      <c r="C237" s="337"/>
      <c r="E237" t="s">
        <v>4904</v>
      </c>
      <c r="J237" s="79"/>
      <c r="L237" s="11">
        <f>N114</f>
        <v>0</v>
      </c>
      <c r="N237" s="6"/>
    </row>
    <row r="238" spans="3:14" x14ac:dyDescent="0.2">
      <c r="C238" s="336"/>
      <c r="E238" s="415" t="s">
        <v>4898</v>
      </c>
      <c r="J238" s="79"/>
      <c r="L238" s="11">
        <f>N116</f>
        <v>0</v>
      </c>
      <c r="N238" s="6"/>
    </row>
    <row r="239" spans="3:14" x14ac:dyDescent="0.2">
      <c r="C239" s="337"/>
      <c r="E239" t="s">
        <v>791</v>
      </c>
      <c r="J239" s="79"/>
      <c r="L239" s="11">
        <f>N118</f>
        <v>0</v>
      </c>
      <c r="N239" s="6"/>
    </row>
    <row r="240" spans="3:14" x14ac:dyDescent="0.2">
      <c r="C240" s="337"/>
      <c r="E240" s="415" t="s">
        <v>308</v>
      </c>
      <c r="J240" s="79"/>
      <c r="L240" s="11">
        <f>N121</f>
        <v>0</v>
      </c>
      <c r="N240" s="6"/>
    </row>
    <row r="241" spans="1:14" x14ac:dyDescent="0.2">
      <c r="C241" s="337"/>
      <c r="E241" s="415" t="s">
        <v>307</v>
      </c>
      <c r="J241" s="79"/>
      <c r="L241" s="11">
        <f>N123</f>
        <v>0</v>
      </c>
      <c r="N241" s="6"/>
    </row>
    <row r="242" spans="1:14" ht="4.5" customHeight="1" x14ac:dyDescent="0.2">
      <c r="C242" s="337"/>
    </row>
    <row r="243" spans="1:14" x14ac:dyDescent="0.2">
      <c r="A243" t="s">
        <v>792</v>
      </c>
      <c r="C243" s="337" t="s">
        <v>657</v>
      </c>
      <c r="D243" t="s">
        <v>704</v>
      </c>
      <c r="J243" s="83">
        <f t="shared" ref="J243:J250" si="0">J135</f>
        <v>0</v>
      </c>
      <c r="L243" s="79"/>
    </row>
    <row r="244" spans="1:14" x14ac:dyDescent="0.2">
      <c r="C244" s="337"/>
      <c r="D244" t="s">
        <v>879</v>
      </c>
      <c r="J244" s="83">
        <f t="shared" si="0"/>
        <v>0</v>
      </c>
      <c r="L244" s="79"/>
    </row>
    <row r="245" spans="1:14" x14ac:dyDescent="0.2">
      <c r="C245" s="337"/>
      <c r="D245" t="s">
        <v>729</v>
      </c>
      <c r="J245" s="83">
        <f t="shared" si="0"/>
        <v>0</v>
      </c>
      <c r="L245" s="79"/>
    </row>
    <row r="246" spans="1:14" x14ac:dyDescent="0.2">
      <c r="C246" s="337"/>
      <c r="D246" t="s">
        <v>474</v>
      </c>
      <c r="J246" s="83">
        <f t="shared" si="0"/>
        <v>0</v>
      </c>
      <c r="L246" s="79"/>
    </row>
    <row r="247" spans="1:14" x14ac:dyDescent="0.2">
      <c r="C247" s="337"/>
      <c r="D247" t="s">
        <v>463</v>
      </c>
      <c r="J247" s="83">
        <f t="shared" si="0"/>
        <v>0</v>
      </c>
      <c r="L247" s="79"/>
    </row>
    <row r="248" spans="1:14" x14ac:dyDescent="0.2">
      <c r="C248" s="337"/>
      <c r="D248" t="s">
        <v>78</v>
      </c>
      <c r="J248" s="83">
        <f t="shared" si="0"/>
        <v>0</v>
      </c>
      <c r="L248" s="79"/>
    </row>
    <row r="249" spans="1:14" x14ac:dyDescent="0.2">
      <c r="C249" s="337"/>
      <c r="D249" t="s">
        <v>910</v>
      </c>
      <c r="J249" s="83">
        <f t="shared" si="0"/>
        <v>0</v>
      </c>
      <c r="L249" s="79"/>
    </row>
    <row r="250" spans="1:14" x14ac:dyDescent="0.2">
      <c r="C250" s="337"/>
      <c r="D250" s="415" t="s">
        <v>201</v>
      </c>
      <c r="J250" s="83">
        <f t="shared" si="0"/>
        <v>0</v>
      </c>
      <c r="L250" s="79"/>
    </row>
    <row r="251" spans="1:14" x14ac:dyDescent="0.2">
      <c r="C251" s="337"/>
      <c r="E251" t="s">
        <v>1009</v>
      </c>
      <c r="J251" s="83"/>
      <c r="K251" s="96"/>
      <c r="L251" s="83">
        <f>J143</f>
        <v>0</v>
      </c>
    </row>
    <row r="252" spans="1:14" x14ac:dyDescent="0.2">
      <c r="C252" s="337"/>
      <c r="D252" t="s">
        <v>1000</v>
      </c>
      <c r="J252" s="83">
        <f>L143+N143</f>
        <v>0</v>
      </c>
      <c r="K252" s="96"/>
      <c r="L252" s="83"/>
    </row>
    <row r="253" spans="1:14" x14ac:dyDescent="0.2">
      <c r="C253" s="337"/>
      <c r="E253" t="s">
        <v>945</v>
      </c>
      <c r="J253" s="83"/>
      <c r="K253" s="96"/>
      <c r="L253" s="83">
        <f t="shared" ref="L253:L260" si="1">L135</f>
        <v>0</v>
      </c>
    </row>
    <row r="254" spans="1:14" x14ac:dyDescent="0.2">
      <c r="C254" s="337"/>
      <c r="E254" t="s">
        <v>946</v>
      </c>
      <c r="J254" s="83"/>
      <c r="K254" s="96"/>
      <c r="L254" s="83">
        <f t="shared" si="1"/>
        <v>0</v>
      </c>
    </row>
    <row r="255" spans="1:14" x14ac:dyDescent="0.2">
      <c r="C255" s="337"/>
      <c r="E255" t="s">
        <v>947</v>
      </c>
      <c r="J255" s="83"/>
      <c r="K255" s="96"/>
      <c r="L255" s="83">
        <f t="shared" si="1"/>
        <v>0</v>
      </c>
    </row>
    <row r="256" spans="1:14" x14ac:dyDescent="0.2">
      <c r="C256" s="337"/>
      <c r="E256" t="s">
        <v>948</v>
      </c>
      <c r="J256" s="83"/>
      <c r="K256" s="96"/>
      <c r="L256" s="83">
        <f t="shared" si="1"/>
        <v>0</v>
      </c>
      <c r="N256" s="6" t="s">
        <v>940</v>
      </c>
    </row>
    <row r="257" spans="2:14" x14ac:dyDescent="0.2">
      <c r="C257" s="337"/>
      <c r="E257" t="s">
        <v>949</v>
      </c>
      <c r="J257" s="83"/>
      <c r="K257" s="96"/>
      <c r="L257" s="83">
        <f t="shared" si="1"/>
        <v>0</v>
      </c>
      <c r="N257" s="6" t="s">
        <v>941</v>
      </c>
    </row>
    <row r="258" spans="2:14" x14ac:dyDescent="0.2">
      <c r="C258" s="337"/>
      <c r="E258" t="s">
        <v>136</v>
      </c>
      <c r="J258" s="83"/>
      <c r="K258" s="96"/>
      <c r="L258" s="83">
        <f t="shared" si="1"/>
        <v>0</v>
      </c>
    </row>
    <row r="259" spans="2:14" x14ac:dyDescent="0.2">
      <c r="C259" s="337"/>
      <c r="E259" t="s">
        <v>137</v>
      </c>
      <c r="J259" s="83"/>
      <c r="K259" s="96"/>
      <c r="L259" s="83">
        <f t="shared" si="1"/>
        <v>0</v>
      </c>
    </row>
    <row r="260" spans="2:14" x14ac:dyDescent="0.2">
      <c r="C260" s="337"/>
      <c r="E260" s="415" t="s">
        <v>210</v>
      </c>
      <c r="J260" s="83"/>
      <c r="K260" s="96"/>
      <c r="L260" s="83">
        <f t="shared" si="1"/>
        <v>0</v>
      </c>
    </row>
    <row r="261" spans="2:14" x14ac:dyDescent="0.2">
      <c r="C261" s="337"/>
      <c r="E261" t="s">
        <v>138</v>
      </c>
      <c r="J261" s="83"/>
      <c r="K261" s="96"/>
      <c r="L261" s="83">
        <f t="shared" ref="L261:L268" si="2">N135</f>
        <v>0</v>
      </c>
    </row>
    <row r="262" spans="2:14" x14ac:dyDescent="0.2">
      <c r="C262" s="337"/>
      <c r="E262" t="s">
        <v>139</v>
      </c>
      <c r="J262" s="83"/>
      <c r="K262" s="96"/>
      <c r="L262" s="83">
        <f t="shared" si="2"/>
        <v>0</v>
      </c>
    </row>
    <row r="263" spans="2:14" x14ac:dyDescent="0.2">
      <c r="C263" s="337"/>
      <c r="E263" t="s">
        <v>140</v>
      </c>
      <c r="J263" s="83"/>
      <c r="K263" s="96"/>
      <c r="L263" s="83">
        <f t="shared" si="2"/>
        <v>0</v>
      </c>
    </row>
    <row r="264" spans="2:14" x14ac:dyDescent="0.2">
      <c r="C264" s="337"/>
      <c r="E264" t="s">
        <v>855</v>
      </c>
      <c r="J264" s="83"/>
      <c r="K264" s="96"/>
      <c r="L264" s="83">
        <f t="shared" si="2"/>
        <v>0</v>
      </c>
    </row>
    <row r="265" spans="2:14" x14ac:dyDescent="0.2">
      <c r="C265" s="337"/>
      <c r="E265" t="s">
        <v>856</v>
      </c>
      <c r="J265" s="83"/>
      <c r="K265" s="96"/>
      <c r="L265" s="83">
        <f t="shared" si="2"/>
        <v>0</v>
      </c>
    </row>
    <row r="266" spans="2:14" x14ac:dyDescent="0.2">
      <c r="C266" s="337"/>
      <c r="E266" t="s">
        <v>857</v>
      </c>
      <c r="J266" s="83"/>
      <c r="K266" s="96"/>
      <c r="L266" s="83">
        <f t="shared" si="2"/>
        <v>0</v>
      </c>
    </row>
    <row r="267" spans="2:14" x14ac:dyDescent="0.2">
      <c r="C267" s="337"/>
      <c r="E267" t="s">
        <v>858</v>
      </c>
      <c r="J267" s="83"/>
      <c r="K267" s="96"/>
      <c r="L267" s="83">
        <f t="shared" si="2"/>
        <v>0</v>
      </c>
    </row>
    <row r="268" spans="2:14" x14ac:dyDescent="0.2">
      <c r="C268" s="337"/>
      <c r="E268" s="415" t="s">
        <v>211</v>
      </c>
      <c r="J268" s="83"/>
      <c r="K268" s="96"/>
      <c r="L268" s="83">
        <f t="shared" si="2"/>
        <v>0</v>
      </c>
    </row>
    <row r="269" spans="2:14" ht="3" customHeight="1" x14ac:dyDescent="0.2">
      <c r="C269" s="337"/>
    </row>
    <row r="270" spans="2:14" x14ac:dyDescent="0.2">
      <c r="B270" t="s">
        <v>995</v>
      </c>
      <c r="C270" s="337" t="s">
        <v>658</v>
      </c>
      <c r="D270" t="s">
        <v>925</v>
      </c>
      <c r="J270" s="83">
        <f t="shared" ref="J270:J279" si="3">L150</f>
        <v>0</v>
      </c>
      <c r="K270" s="96"/>
      <c r="L270" s="83">
        <f t="shared" ref="L270:L279" si="4">N150</f>
        <v>0</v>
      </c>
    </row>
    <row r="271" spans="2:14" x14ac:dyDescent="0.2">
      <c r="C271" s="337"/>
      <c r="D271" t="s">
        <v>704</v>
      </c>
      <c r="J271" s="83">
        <f t="shared" si="3"/>
        <v>0</v>
      </c>
      <c r="K271" s="96"/>
      <c r="L271" s="83">
        <f t="shared" si="4"/>
        <v>0</v>
      </c>
    </row>
    <row r="272" spans="2:14" x14ac:dyDescent="0.2">
      <c r="C272" s="337"/>
      <c r="D272" t="s">
        <v>879</v>
      </c>
      <c r="J272" s="83">
        <f t="shared" si="3"/>
        <v>0</v>
      </c>
      <c r="K272" s="96"/>
      <c r="L272" s="83">
        <f t="shared" si="4"/>
        <v>0</v>
      </c>
    </row>
    <row r="273" spans="2:16" x14ac:dyDescent="0.2">
      <c r="C273" s="337"/>
      <c r="D273" t="s">
        <v>729</v>
      </c>
      <c r="J273" s="83">
        <f t="shared" si="3"/>
        <v>0</v>
      </c>
      <c r="K273" s="96"/>
      <c r="L273" s="83">
        <f t="shared" si="4"/>
        <v>0</v>
      </c>
    </row>
    <row r="274" spans="2:16" x14ac:dyDescent="0.2">
      <c r="C274" s="337"/>
      <c r="D274" t="s">
        <v>474</v>
      </c>
      <c r="J274" s="83">
        <f t="shared" si="3"/>
        <v>0</v>
      </c>
      <c r="K274" s="96"/>
      <c r="L274" s="83">
        <f t="shared" si="4"/>
        <v>0</v>
      </c>
      <c r="N274" s="6" t="s">
        <v>942</v>
      </c>
    </row>
    <row r="275" spans="2:16" x14ac:dyDescent="0.2">
      <c r="C275" s="337"/>
      <c r="D275" t="s">
        <v>463</v>
      </c>
      <c r="J275" s="83">
        <f t="shared" si="3"/>
        <v>0</v>
      </c>
      <c r="K275" s="96"/>
      <c r="L275" s="83">
        <f t="shared" si="4"/>
        <v>0</v>
      </c>
      <c r="N275" s="6" t="s">
        <v>943</v>
      </c>
    </row>
    <row r="276" spans="2:16" x14ac:dyDescent="0.2">
      <c r="C276" s="337"/>
      <c r="D276" t="s">
        <v>78</v>
      </c>
      <c r="J276" s="83">
        <f t="shared" si="3"/>
        <v>0</v>
      </c>
      <c r="K276" s="96"/>
      <c r="L276" s="83">
        <f t="shared" si="4"/>
        <v>0</v>
      </c>
    </row>
    <row r="277" spans="2:16" x14ac:dyDescent="0.2">
      <c r="C277" s="337"/>
      <c r="D277" t="s">
        <v>910</v>
      </c>
      <c r="J277" s="83">
        <f t="shared" si="3"/>
        <v>0</v>
      </c>
      <c r="K277" s="96"/>
      <c r="L277" s="83">
        <f t="shared" si="4"/>
        <v>0</v>
      </c>
    </row>
    <row r="278" spans="2:16" x14ac:dyDescent="0.2">
      <c r="C278" s="337"/>
      <c r="D278" s="415" t="s">
        <v>201</v>
      </c>
      <c r="J278" s="83">
        <f t="shared" si="3"/>
        <v>0</v>
      </c>
      <c r="K278" s="96"/>
      <c r="L278" s="83">
        <f t="shared" si="4"/>
        <v>0</v>
      </c>
    </row>
    <row r="279" spans="2:16" x14ac:dyDescent="0.2">
      <c r="C279" s="337"/>
      <c r="D279" t="s">
        <v>915</v>
      </c>
      <c r="J279" s="83">
        <f t="shared" si="3"/>
        <v>0</v>
      </c>
      <c r="K279" s="96"/>
      <c r="L279" s="83">
        <f t="shared" si="4"/>
        <v>0</v>
      </c>
    </row>
    <row r="280" spans="2:16" ht="7.5" customHeight="1" x14ac:dyDescent="0.2">
      <c r="C280" s="337"/>
      <c r="J280" s="96"/>
      <c r="K280" s="96"/>
      <c r="L280" s="96"/>
      <c r="N280" s="884" t="s">
        <v>802</v>
      </c>
      <c r="O280" s="884"/>
      <c r="P280" s="884"/>
    </row>
    <row r="281" spans="2:16" ht="12.75" customHeight="1" x14ac:dyDescent="0.2">
      <c r="B281" s="392" t="s">
        <v>565</v>
      </c>
      <c r="C281" s="338" t="s">
        <v>659</v>
      </c>
      <c r="D281" t="s">
        <v>874</v>
      </c>
      <c r="J281" s="83">
        <f>N164</f>
        <v>0</v>
      </c>
      <c r="K281" s="96"/>
      <c r="L281" s="83"/>
      <c r="N281" s="884"/>
      <c r="O281" s="884"/>
      <c r="P281" s="884"/>
    </row>
    <row r="282" spans="2:16" x14ac:dyDescent="0.2">
      <c r="C282" s="337"/>
      <c r="D282" t="s">
        <v>1023</v>
      </c>
      <c r="J282" s="83">
        <f>N167</f>
        <v>0</v>
      </c>
      <c r="K282" s="96"/>
      <c r="L282" s="83"/>
      <c r="N282" s="884"/>
      <c r="O282" s="884"/>
      <c r="P282" s="884"/>
    </row>
    <row r="283" spans="2:16" x14ac:dyDescent="0.2">
      <c r="C283" s="337"/>
      <c r="E283" t="s">
        <v>523</v>
      </c>
      <c r="J283" s="83"/>
      <c r="K283" s="96"/>
      <c r="L283" s="83">
        <f>N164+N167</f>
        <v>0</v>
      </c>
      <c r="N283" s="884"/>
      <c r="O283" s="884"/>
      <c r="P283" s="884"/>
    </row>
    <row r="284" spans="2:16" ht="8.25" customHeight="1" x14ac:dyDescent="0.2">
      <c r="C284" s="337"/>
      <c r="N284" s="151"/>
      <c r="O284" s="151"/>
    </row>
    <row r="285" spans="2:16" x14ac:dyDescent="0.2">
      <c r="B285" t="s">
        <v>271</v>
      </c>
      <c r="C285" s="336" t="s">
        <v>566</v>
      </c>
      <c r="D285" t="s">
        <v>915</v>
      </c>
      <c r="J285" s="11">
        <f>N178+L181+L182+L183+L184+L185+L186+L187+L188+L189+L190+L192</f>
        <v>0</v>
      </c>
      <c r="L285" s="79"/>
    </row>
    <row r="286" spans="2:16" x14ac:dyDescent="0.2">
      <c r="E286" s="188" t="s">
        <v>1104</v>
      </c>
      <c r="J286" s="79"/>
      <c r="L286" s="11">
        <f>N178</f>
        <v>0</v>
      </c>
    </row>
    <row r="287" spans="2:16" x14ac:dyDescent="0.2">
      <c r="E287" t="s">
        <v>272</v>
      </c>
      <c r="J287" s="79"/>
      <c r="L287" s="11">
        <f t="shared" ref="L287:L293" si="5">L181</f>
        <v>0</v>
      </c>
    </row>
    <row r="288" spans="2:16" x14ac:dyDescent="0.2">
      <c r="E288" t="s">
        <v>273</v>
      </c>
      <c r="J288" s="79"/>
      <c r="L288" s="11">
        <f t="shared" si="5"/>
        <v>0</v>
      </c>
    </row>
    <row r="289" spans="5:14" x14ac:dyDescent="0.2">
      <c r="E289" t="s">
        <v>274</v>
      </c>
      <c r="J289" s="79"/>
      <c r="L289" s="11">
        <f t="shared" si="5"/>
        <v>0</v>
      </c>
      <c r="N289" s="884" t="s">
        <v>1105</v>
      </c>
    </row>
    <row r="290" spans="5:14" ht="12.75" customHeight="1" x14ac:dyDescent="0.2">
      <c r="E290" t="s">
        <v>275</v>
      </c>
      <c r="J290" s="79"/>
      <c r="L290" s="11">
        <f t="shared" si="5"/>
        <v>0</v>
      </c>
      <c r="N290" s="884"/>
    </row>
    <row r="291" spans="5:14" x14ac:dyDescent="0.2">
      <c r="E291" t="s">
        <v>276</v>
      </c>
      <c r="J291" s="79"/>
      <c r="L291" s="11">
        <f t="shared" si="5"/>
        <v>0</v>
      </c>
      <c r="N291" s="884"/>
    </row>
    <row r="292" spans="5:14" x14ac:dyDescent="0.2">
      <c r="E292" t="s">
        <v>79</v>
      </c>
      <c r="J292" s="79"/>
      <c r="L292" s="11">
        <f t="shared" si="5"/>
        <v>0</v>
      </c>
      <c r="N292" s="884"/>
    </row>
    <row r="293" spans="5:14" x14ac:dyDescent="0.2">
      <c r="E293" s="188" t="s">
        <v>1026</v>
      </c>
      <c r="J293" s="79"/>
      <c r="L293" s="11">
        <f t="shared" si="5"/>
        <v>0</v>
      </c>
      <c r="N293" s="151"/>
    </row>
    <row r="294" spans="5:14" x14ac:dyDescent="0.2">
      <c r="E294" s="415" t="s">
        <v>277</v>
      </c>
      <c r="J294" s="79"/>
      <c r="L294" s="11">
        <f>L188</f>
        <v>0</v>
      </c>
    </row>
    <row r="295" spans="5:14" x14ac:dyDescent="0.2">
      <c r="E295" s="415" t="s">
        <v>278</v>
      </c>
      <c r="J295" s="79"/>
      <c r="L295" s="11">
        <f>L189</f>
        <v>0</v>
      </c>
    </row>
    <row r="296" spans="5:14" x14ac:dyDescent="0.2">
      <c r="E296" s="415" t="s">
        <v>94</v>
      </c>
      <c r="J296" s="79"/>
      <c r="L296" s="11">
        <f>L190</f>
        <v>0</v>
      </c>
    </row>
    <row r="297" spans="5:14" x14ac:dyDescent="0.2">
      <c r="E297" t="s">
        <v>515</v>
      </c>
      <c r="J297" s="79"/>
      <c r="L297" s="11">
        <f>L192</f>
        <v>0</v>
      </c>
    </row>
    <row r="298" spans="5:14" ht="13.5" thickBot="1" x14ac:dyDescent="0.25">
      <c r="J298" s="80">
        <f>SUM(J200:J297)</f>
        <v>0</v>
      </c>
      <c r="K298" s="107"/>
      <c r="L298" s="80">
        <f>SUM(L200:L297)</f>
        <v>0</v>
      </c>
    </row>
    <row r="299" spans="5:14" ht="13.5" thickTop="1" x14ac:dyDescent="0.2"/>
  </sheetData>
  <sheetProtection algorithmName="SHA-512" hashValue="lAJ5UnjAwBsnetYNhvAR6joHiMdxxBThdgLlbtA4pqNGIiowUzu3Y809YHFwtPLfGqWPSlGSCARyVX37paxKJQ==" saltValue="69HqORQfk7JbFUmzg8uMHw==" spinCount="100000" sheet="1" objects="1" scenarios="1"/>
  <mergeCells count="52">
    <mergeCell ref="C71:L73"/>
    <mergeCell ref="C75:L77"/>
    <mergeCell ref="N62:N63"/>
    <mergeCell ref="B48:N48"/>
    <mergeCell ref="B59:N59"/>
    <mergeCell ref="B69:N69"/>
    <mergeCell ref="C65:L66"/>
    <mergeCell ref="N71:N73"/>
    <mergeCell ref="N75:N77"/>
    <mergeCell ref="C21:N26"/>
    <mergeCell ref="C18:N19"/>
    <mergeCell ref="C31:N34"/>
    <mergeCell ref="N65:N66"/>
    <mergeCell ref="C43:N45"/>
    <mergeCell ref="C36:N41"/>
    <mergeCell ref="C51:L52"/>
    <mergeCell ref="C62:L63"/>
    <mergeCell ref="C54:L55"/>
    <mergeCell ref="N54:N55"/>
    <mergeCell ref="N51:N52"/>
    <mergeCell ref="C28:N29"/>
    <mergeCell ref="C12:N16"/>
    <mergeCell ref="A2:O2"/>
    <mergeCell ref="B4:P4"/>
    <mergeCell ref="C6:N7"/>
    <mergeCell ref="C9:N10"/>
    <mergeCell ref="N289:N292"/>
    <mergeCell ref="B94:N94"/>
    <mergeCell ref="C96:J97"/>
    <mergeCell ref="C128:J132"/>
    <mergeCell ref="C164:J165"/>
    <mergeCell ref="N164:N165"/>
    <mergeCell ref="B146:N146"/>
    <mergeCell ref="L133:N133"/>
    <mergeCell ref="N280:P283"/>
    <mergeCell ref="C167:J168"/>
    <mergeCell ref="B126:N126"/>
    <mergeCell ref="B104:N104"/>
    <mergeCell ref="N167:N168"/>
    <mergeCell ref="C79:L80"/>
    <mergeCell ref="C87:L87"/>
    <mergeCell ref="C118:L119"/>
    <mergeCell ref="B197:N197"/>
    <mergeCell ref="B171:N171"/>
    <mergeCell ref="C148:J149"/>
    <mergeCell ref="N193:N195"/>
    <mergeCell ref="N79:N80"/>
    <mergeCell ref="B162:N162"/>
    <mergeCell ref="C89:J89"/>
    <mergeCell ref="N82:N83"/>
    <mergeCell ref="C82:L83"/>
    <mergeCell ref="B85:N85"/>
  </mergeCells>
  <phoneticPr fontId="15" type="noConversion"/>
  <printOptions horizontalCentered="1"/>
  <pageMargins left="0.5" right="0.45" top="0.72" bottom="0.71" header="0.5" footer="0.5"/>
  <pageSetup scale="61" orientation="portrait" r:id="rId1"/>
  <headerFooter alignWithMargins="0">
    <oddHeader>&amp;R&amp;"Arial,Bold"&amp;12Entry  L</oddHeader>
    <oddFooter>&amp;L&amp;8&amp;D - City model&amp;R&amp;P</oddFooter>
  </headerFooter>
  <rowBreaks count="3" manualBreakCount="3">
    <brk id="68" max="15" man="1"/>
    <brk id="144" max="15" man="1"/>
    <brk id="223" max="15" man="1"/>
  </rowBreak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L109"/>
  <sheetViews>
    <sheetView topLeftCell="A25" workbookViewId="0">
      <selection activeCell="D55" sqref="D55"/>
    </sheetView>
  </sheetViews>
  <sheetFormatPr defaultRowHeight="12.75" x14ac:dyDescent="0.2"/>
  <cols>
    <col min="1" max="1" width="3.42578125" customWidth="1"/>
    <col min="2" max="2" width="41.140625" customWidth="1"/>
    <col min="3" max="3" width="12.5703125" customWidth="1"/>
    <col min="4" max="4" width="13.42578125" customWidth="1"/>
    <col min="5" max="5" width="14" customWidth="1"/>
    <col min="6" max="6" width="13.140625" customWidth="1"/>
    <col min="7" max="7" width="10.42578125" customWidth="1"/>
  </cols>
  <sheetData>
    <row r="1" spans="1:12" ht="36.75" customHeight="1" x14ac:dyDescent="0.3">
      <c r="A1" s="1092" t="s">
        <v>1118</v>
      </c>
      <c r="B1" s="1093"/>
      <c r="C1" s="1093"/>
      <c r="D1" s="1093"/>
      <c r="E1" s="1093"/>
      <c r="F1" s="1093"/>
      <c r="G1" s="1093"/>
      <c r="H1" s="1093"/>
      <c r="I1" s="1094"/>
      <c r="J1" s="373"/>
      <c r="K1" s="373"/>
      <c r="L1" s="373"/>
    </row>
    <row r="2" spans="1:12" ht="7.5" customHeight="1" x14ac:dyDescent="0.2"/>
    <row r="3" spans="1:12" ht="51.75" customHeight="1" x14ac:dyDescent="0.2">
      <c r="B3" s="892" t="s">
        <v>1119</v>
      </c>
      <c r="C3" s="883"/>
      <c r="D3" s="883"/>
      <c r="E3" s="883"/>
      <c r="F3" s="883"/>
      <c r="G3" s="883"/>
      <c r="H3" s="883"/>
      <c r="I3" s="883"/>
    </row>
    <row r="4" spans="1:12" ht="4.5" customHeight="1" x14ac:dyDescent="0.2"/>
    <row r="5" spans="1:12" ht="27" customHeight="1" x14ac:dyDescent="0.2">
      <c r="B5" s="892" t="s">
        <v>689</v>
      </c>
      <c r="C5" s="883"/>
      <c r="D5" s="883"/>
      <c r="E5" s="883"/>
      <c r="F5" s="883"/>
      <c r="G5" s="883"/>
      <c r="H5" s="883"/>
      <c r="I5" s="883"/>
    </row>
    <row r="6" spans="1:12" ht="6" customHeight="1" x14ac:dyDescent="0.2"/>
    <row r="7" spans="1:12" ht="25.5" customHeight="1" x14ac:dyDescent="0.25">
      <c r="A7" s="4" t="s">
        <v>860</v>
      </c>
      <c r="B7" s="1095" t="s">
        <v>1120</v>
      </c>
      <c r="C7" s="1096"/>
      <c r="D7" s="1096"/>
      <c r="E7" s="1096"/>
      <c r="F7" s="1096"/>
      <c r="G7" s="1096"/>
      <c r="H7" s="1096"/>
      <c r="I7" s="1097"/>
    </row>
    <row r="8" spans="1:12" ht="25.5" customHeight="1" x14ac:dyDescent="0.25">
      <c r="A8" s="4"/>
      <c r="B8" s="410"/>
      <c r="C8" s="410"/>
      <c r="D8" s="410"/>
      <c r="E8" s="410"/>
      <c r="F8" s="410"/>
      <c r="G8" s="410"/>
      <c r="H8" s="410"/>
      <c r="I8" s="410"/>
    </row>
    <row r="9" spans="1:12" ht="25.5" customHeight="1" x14ac:dyDescent="0.25">
      <c r="A9" s="4"/>
      <c r="B9" s="410"/>
      <c r="C9" s="410"/>
      <c r="D9" s="410"/>
      <c r="E9" s="410"/>
      <c r="F9" s="410"/>
      <c r="G9" s="410"/>
      <c r="H9" s="410"/>
      <c r="I9" s="410"/>
    </row>
    <row r="10" spans="1:12" ht="25.5" customHeight="1" x14ac:dyDescent="0.25">
      <c r="A10" s="4"/>
      <c r="B10" s="410"/>
      <c r="C10" s="410"/>
      <c r="D10" s="410"/>
      <c r="E10" s="410"/>
      <c r="F10" s="410"/>
      <c r="G10" s="410"/>
      <c r="H10" s="410"/>
      <c r="I10" s="410"/>
    </row>
    <row r="11" spans="1:12" ht="25.5" customHeight="1" x14ac:dyDescent="0.25">
      <c r="A11" s="4"/>
      <c r="B11" s="410"/>
      <c r="C11" s="410"/>
      <c r="D11" s="410"/>
      <c r="E11" s="410"/>
      <c r="F11" s="410"/>
      <c r="G11" s="410"/>
      <c r="H11" s="410"/>
      <c r="I11" s="410"/>
    </row>
    <row r="12" spans="1:12" ht="11.25" customHeight="1" x14ac:dyDescent="0.25">
      <c r="A12" s="4"/>
      <c r="B12" s="500"/>
      <c r="C12" s="410"/>
      <c r="D12" s="410"/>
      <c r="E12" s="410"/>
      <c r="F12" s="410"/>
      <c r="G12" s="410"/>
      <c r="H12" s="410"/>
      <c r="I12" s="410"/>
    </row>
    <row r="13" spans="1:12" ht="15.75" x14ac:dyDescent="0.25">
      <c r="B13" s="351"/>
      <c r="C13" s="501" t="s">
        <v>900</v>
      </c>
      <c r="D13" s="501" t="s">
        <v>900</v>
      </c>
      <c r="E13" s="502" t="s">
        <v>901</v>
      </c>
      <c r="F13" s="503" t="s">
        <v>901</v>
      </c>
      <c r="G13" s="459" t="s">
        <v>540</v>
      </c>
    </row>
    <row r="14" spans="1:12" x14ac:dyDescent="0.2">
      <c r="B14" s="351"/>
      <c r="C14" s="460" t="s">
        <v>538</v>
      </c>
      <c r="D14" s="538"/>
      <c r="E14" s="538"/>
      <c r="F14" s="409" t="s">
        <v>539</v>
      </c>
      <c r="G14" s="460" t="s">
        <v>537</v>
      </c>
    </row>
    <row r="15" spans="1:12" x14ac:dyDescent="0.2">
      <c r="B15" s="352" t="s">
        <v>541</v>
      </c>
      <c r="C15" s="461" t="s">
        <v>542</v>
      </c>
      <c r="D15" s="461" t="s">
        <v>1034</v>
      </c>
      <c r="E15" s="461" t="s">
        <v>1033</v>
      </c>
      <c r="F15" s="462" t="s">
        <v>543</v>
      </c>
      <c r="G15" s="461" t="s">
        <v>1121</v>
      </c>
    </row>
    <row r="16" spans="1:12" ht="3.75" customHeight="1" x14ac:dyDescent="0.2">
      <c r="B16" s="7"/>
      <c r="C16" s="463"/>
      <c r="D16" s="463"/>
      <c r="E16" s="463"/>
      <c r="F16" s="463"/>
      <c r="G16" s="499"/>
    </row>
    <row r="17" spans="2:9" x14ac:dyDescent="0.2">
      <c r="B17" s="353" t="s">
        <v>704</v>
      </c>
      <c r="C17" s="474"/>
      <c r="D17" s="474"/>
      <c r="E17" s="474"/>
      <c r="F17" s="474"/>
      <c r="G17" s="498">
        <f t="shared" ref="G17:G27" si="0">+C17+D17-E17-F17</f>
        <v>0</v>
      </c>
      <c r="H17" s="354"/>
    </row>
    <row r="18" spans="2:9" ht="15" x14ac:dyDescent="0.2">
      <c r="B18" s="353" t="s">
        <v>703</v>
      </c>
      <c r="C18" s="475"/>
      <c r="D18" s="475"/>
      <c r="E18" s="475"/>
      <c r="F18" s="475"/>
      <c r="G18" s="498">
        <f t="shared" si="0"/>
        <v>0</v>
      </c>
      <c r="H18" s="92" t="s">
        <v>758</v>
      </c>
      <c r="I18" s="540"/>
    </row>
    <row r="19" spans="2:9" ht="15" x14ac:dyDescent="0.2">
      <c r="B19" s="353" t="s">
        <v>880</v>
      </c>
      <c r="C19" s="475"/>
      <c r="D19" s="475"/>
      <c r="E19" s="475"/>
      <c r="F19" s="475"/>
      <c r="G19" s="498">
        <f t="shared" si="0"/>
        <v>0</v>
      </c>
      <c r="H19" s="92" t="s">
        <v>759</v>
      </c>
      <c r="I19" s="540"/>
    </row>
    <row r="20" spans="2:9" ht="15" x14ac:dyDescent="0.2">
      <c r="B20" s="353" t="s">
        <v>544</v>
      </c>
      <c r="C20" s="475"/>
      <c r="D20" s="475"/>
      <c r="E20" s="475"/>
      <c r="F20" s="475"/>
      <c r="G20" s="498">
        <f t="shared" si="0"/>
        <v>0</v>
      </c>
      <c r="H20" s="92" t="s">
        <v>662</v>
      </c>
    </row>
    <row r="21" spans="2:9" x14ac:dyDescent="0.2">
      <c r="B21" s="353" t="s">
        <v>881</v>
      </c>
      <c r="C21" s="445"/>
      <c r="D21" s="475"/>
      <c r="E21" s="475"/>
      <c r="F21" s="475"/>
      <c r="G21" s="498">
        <f t="shared" si="0"/>
        <v>0</v>
      </c>
      <c r="H21" s="354"/>
    </row>
    <row r="22" spans="2:9" ht="15" x14ac:dyDescent="0.2">
      <c r="B22" s="353" t="s">
        <v>421</v>
      </c>
      <c r="C22" s="475"/>
      <c r="D22" s="475"/>
      <c r="E22" s="475"/>
      <c r="F22" s="475"/>
      <c r="G22" s="498">
        <f t="shared" si="0"/>
        <v>0</v>
      </c>
      <c r="H22" s="92" t="s">
        <v>706</v>
      </c>
      <c r="I22" s="540"/>
    </row>
    <row r="23" spans="2:9" ht="15" x14ac:dyDescent="0.2">
      <c r="B23" s="353" t="s">
        <v>1027</v>
      </c>
      <c r="C23" s="475"/>
      <c r="D23" s="475"/>
      <c r="E23" s="475"/>
      <c r="F23" s="475"/>
      <c r="G23" s="498">
        <f t="shared" si="0"/>
        <v>0</v>
      </c>
      <c r="H23" s="92" t="s">
        <v>530</v>
      </c>
      <c r="I23" s="540"/>
    </row>
    <row r="24" spans="2:9" ht="15" x14ac:dyDescent="0.2">
      <c r="B24" s="353" t="s">
        <v>1035</v>
      </c>
      <c r="C24" s="475"/>
      <c r="D24" s="475"/>
      <c r="E24" s="475"/>
      <c r="F24" s="475"/>
      <c r="G24" s="498">
        <f t="shared" si="0"/>
        <v>0</v>
      </c>
      <c r="H24" s="92" t="s">
        <v>531</v>
      </c>
      <c r="I24" s="540"/>
    </row>
    <row r="25" spans="2:9" x14ac:dyDescent="0.2">
      <c r="B25" s="472" t="s">
        <v>201</v>
      </c>
      <c r="C25" s="475"/>
      <c r="D25" s="475"/>
      <c r="E25" s="475"/>
      <c r="F25" s="475"/>
      <c r="G25" s="498">
        <f t="shared" si="0"/>
        <v>0</v>
      </c>
      <c r="H25" s="354"/>
    </row>
    <row r="26" spans="2:9" x14ac:dyDescent="0.2">
      <c r="B26" s="353" t="s">
        <v>545</v>
      </c>
      <c r="C26" s="475"/>
      <c r="D26" s="475"/>
      <c r="E26" s="475"/>
      <c r="F26" s="475"/>
      <c r="G26" s="498">
        <f t="shared" si="0"/>
        <v>0</v>
      </c>
      <c r="H26" s="354"/>
    </row>
    <row r="27" spans="2:9" ht="15" x14ac:dyDescent="0.2">
      <c r="B27" s="355" t="s">
        <v>367</v>
      </c>
      <c r="C27" s="445"/>
      <c r="D27" s="475"/>
      <c r="E27" s="475"/>
      <c r="F27" s="475"/>
      <c r="G27" s="498">
        <f t="shared" si="0"/>
        <v>0</v>
      </c>
      <c r="H27" s="92"/>
    </row>
    <row r="28" spans="2:9" x14ac:dyDescent="0.2">
      <c r="B28" s="353"/>
      <c r="C28" s="476"/>
      <c r="D28" s="476"/>
      <c r="E28" s="476"/>
      <c r="F28" s="476"/>
      <c r="G28" s="477"/>
    </row>
    <row r="29" spans="2:9" x14ac:dyDescent="0.2">
      <c r="B29" s="504" t="s">
        <v>102</v>
      </c>
      <c r="C29" s="478">
        <f>SUM(C17:C27)</f>
        <v>0</v>
      </c>
      <c r="D29" s="478">
        <f>SUM(D17:D27)</f>
        <v>0</v>
      </c>
      <c r="E29" s="478">
        <f>SUM(E17:E27)</f>
        <v>0</v>
      </c>
      <c r="F29" s="478">
        <f>SUM(F17:F27)</f>
        <v>0</v>
      </c>
      <c r="G29" s="478">
        <f>SUM(G17:G27)</f>
        <v>0</v>
      </c>
    </row>
    <row r="31" spans="2:9" hidden="1" x14ac:dyDescent="0.2"/>
    <row r="32" spans="2:9" hidden="1" x14ac:dyDescent="0.2">
      <c r="B32" s="350"/>
      <c r="C32" s="356"/>
      <c r="D32" s="356"/>
      <c r="E32" s="356"/>
      <c r="F32" s="345"/>
      <c r="G32" s="356" t="s">
        <v>537</v>
      </c>
    </row>
    <row r="33" spans="2:10" hidden="1" x14ac:dyDescent="0.2">
      <c r="B33" s="351"/>
      <c r="C33" s="357" t="s">
        <v>538</v>
      </c>
      <c r="D33" s="357" t="s">
        <v>546</v>
      </c>
      <c r="E33" s="357" t="s">
        <v>546</v>
      </c>
      <c r="F33" s="49" t="s">
        <v>539</v>
      </c>
      <c r="G33" s="357" t="s">
        <v>540</v>
      </c>
    </row>
    <row r="34" spans="2:10" hidden="1" x14ac:dyDescent="0.2">
      <c r="B34" s="358" t="s">
        <v>547</v>
      </c>
      <c r="C34" s="359" t="s">
        <v>542</v>
      </c>
      <c r="D34" s="359" t="s">
        <v>548</v>
      </c>
      <c r="E34" s="359" t="s">
        <v>549</v>
      </c>
      <c r="F34" s="58" t="s">
        <v>543</v>
      </c>
      <c r="G34" s="359" t="s">
        <v>680</v>
      </c>
    </row>
    <row r="35" spans="2:10" hidden="1" x14ac:dyDescent="0.2">
      <c r="B35" s="360"/>
      <c r="C35" s="356"/>
      <c r="D35" s="356"/>
      <c r="E35" s="356"/>
      <c r="F35" s="345"/>
      <c r="G35" s="356"/>
    </row>
    <row r="36" spans="2:10" hidden="1" x14ac:dyDescent="0.2">
      <c r="B36" s="353" t="s">
        <v>550</v>
      </c>
      <c r="C36" s="361"/>
      <c r="D36" s="361"/>
      <c r="E36" s="361"/>
      <c r="F36" s="361"/>
      <c r="G36" s="361">
        <f t="shared" ref="G36:G41" si="1">+C36+D36-E36-F36</f>
        <v>0</v>
      </c>
    </row>
    <row r="37" spans="2:10" hidden="1" x14ac:dyDescent="0.2">
      <c r="B37" s="353" t="s">
        <v>551</v>
      </c>
      <c r="C37" s="362"/>
      <c r="D37" s="362"/>
      <c r="E37" s="362"/>
      <c r="F37" s="362"/>
      <c r="G37" s="361">
        <f t="shared" si="1"/>
        <v>0</v>
      </c>
    </row>
    <row r="38" spans="2:10" hidden="1" x14ac:dyDescent="0.2">
      <c r="B38" s="353" t="s">
        <v>978</v>
      </c>
      <c r="C38" s="362"/>
      <c r="D38" s="362"/>
      <c r="E38" s="362"/>
      <c r="F38" s="362"/>
      <c r="G38" s="361">
        <f t="shared" si="1"/>
        <v>0</v>
      </c>
    </row>
    <row r="39" spans="2:10" hidden="1" x14ac:dyDescent="0.2">
      <c r="B39" s="353" t="s">
        <v>552</v>
      </c>
      <c r="C39" s="362"/>
      <c r="D39" s="362"/>
      <c r="E39" s="362"/>
      <c r="F39" s="362"/>
      <c r="G39" s="361">
        <f t="shared" si="1"/>
        <v>0</v>
      </c>
    </row>
    <row r="40" spans="2:10" hidden="1" x14ac:dyDescent="0.2">
      <c r="B40" s="353" t="s">
        <v>1</v>
      </c>
      <c r="C40" s="362"/>
      <c r="D40" s="362"/>
      <c r="E40" s="362"/>
      <c r="F40" s="362"/>
      <c r="G40" s="361">
        <f t="shared" si="1"/>
        <v>0</v>
      </c>
    </row>
    <row r="41" spans="2:10" hidden="1" x14ac:dyDescent="0.2">
      <c r="B41" s="355" t="s">
        <v>227</v>
      </c>
      <c r="C41" s="8"/>
      <c r="D41" s="362"/>
      <c r="E41" s="362"/>
      <c r="F41" s="362"/>
      <c r="G41" s="361">
        <f t="shared" si="1"/>
        <v>0</v>
      </c>
    </row>
    <row r="42" spans="2:10" hidden="1" x14ac:dyDescent="0.2">
      <c r="B42" s="350"/>
      <c r="C42" s="350"/>
      <c r="D42" s="350"/>
      <c r="E42" s="350"/>
      <c r="F42" s="363"/>
      <c r="G42" s="350"/>
    </row>
    <row r="43" spans="2:10" hidden="1" x14ac:dyDescent="0.2">
      <c r="B43" s="361" t="s">
        <v>102</v>
      </c>
      <c r="C43" s="361">
        <f>SUM(C36:C41)</f>
        <v>0</v>
      </c>
      <c r="D43" s="361">
        <f>SUM(D36:D41)</f>
        <v>0</v>
      </c>
      <c r="E43" s="361">
        <f>SUM(E36:E41)</f>
        <v>0</v>
      </c>
      <c r="F43" s="361">
        <f>SUM(F36:F41)</f>
        <v>0</v>
      </c>
      <c r="G43" s="361">
        <f>SUM(G36:G41)</f>
        <v>0</v>
      </c>
    </row>
    <row r="44" spans="2:10" ht="15" x14ac:dyDescent="0.2">
      <c r="B44" s="131" t="s">
        <v>758</v>
      </c>
      <c r="C44" s="188" t="s">
        <v>1030</v>
      </c>
    </row>
    <row r="45" spans="2:10" ht="12.75" customHeight="1" x14ac:dyDescent="0.2">
      <c r="B45" s="131" t="s">
        <v>759</v>
      </c>
      <c r="C45" t="s">
        <v>299</v>
      </c>
      <c r="H45" s="46"/>
      <c r="I45" s="46"/>
      <c r="J45" s="46"/>
    </row>
    <row r="46" spans="2:10" ht="15" x14ac:dyDescent="0.2">
      <c r="B46" s="131" t="s">
        <v>662</v>
      </c>
      <c r="C46" s="892" t="s">
        <v>1031</v>
      </c>
      <c r="D46" s="883"/>
      <c r="E46" s="883"/>
      <c r="F46" s="883"/>
      <c r="G46" s="883"/>
      <c r="H46" s="883"/>
    </row>
    <row r="47" spans="2:10" ht="14.25" customHeight="1" x14ac:dyDescent="0.2">
      <c r="B47" s="131" t="s">
        <v>706</v>
      </c>
      <c r="C47" s="892" t="s">
        <v>1032</v>
      </c>
      <c r="D47" s="881"/>
      <c r="E47" s="881"/>
      <c r="F47" s="881"/>
      <c r="G47" s="881"/>
    </row>
    <row r="48" spans="2:10" ht="12" customHeight="1" x14ac:dyDescent="0.2">
      <c r="B48" s="131" t="s">
        <v>530</v>
      </c>
      <c r="C48" s="188" t="s">
        <v>1028</v>
      </c>
    </row>
    <row r="49" spans="1:12" ht="15" x14ac:dyDescent="0.2">
      <c r="B49" s="131" t="s">
        <v>531</v>
      </c>
      <c r="C49" s="188" t="s">
        <v>1029</v>
      </c>
    </row>
    <row r="50" spans="1:12" ht="30" customHeight="1" x14ac:dyDescent="0.2">
      <c r="B50" s="537" t="s">
        <v>1128</v>
      </c>
      <c r="C50" s="892" t="s">
        <v>1126</v>
      </c>
      <c r="D50" s="883"/>
      <c r="E50" s="883"/>
      <c r="F50" s="883"/>
      <c r="G50" s="46"/>
    </row>
    <row r="51" spans="1:12" ht="30" customHeight="1" x14ac:dyDescent="0.2">
      <c r="B51" s="537"/>
      <c r="C51" s="536"/>
      <c r="D51" s="46"/>
      <c r="E51" s="46"/>
      <c r="F51" s="46"/>
      <c r="G51" s="46"/>
    </row>
    <row r="52" spans="1:12" ht="25.5" customHeight="1" x14ac:dyDescent="0.25">
      <c r="A52" s="4" t="s">
        <v>861</v>
      </c>
      <c r="B52" s="1095" t="s">
        <v>1114</v>
      </c>
      <c r="C52" s="1096"/>
      <c r="D52" s="1096"/>
      <c r="E52" s="1096"/>
      <c r="F52" s="1096"/>
      <c r="G52" s="1096"/>
      <c r="H52" s="1096"/>
      <c r="I52" s="1097"/>
      <c r="J52" s="364"/>
      <c r="K52" s="364"/>
      <c r="L52" s="364"/>
    </row>
    <row r="53" spans="1:12" x14ac:dyDescent="0.2">
      <c r="B53" s="1098"/>
      <c r="C53" s="1098"/>
      <c r="D53" s="1098"/>
      <c r="E53" s="1098"/>
      <c r="F53" s="1098"/>
      <c r="G53" s="1098"/>
      <c r="H53" s="1098"/>
      <c r="I53" s="1098"/>
      <c r="J53" s="364"/>
      <c r="K53" s="364"/>
      <c r="L53" s="364"/>
    </row>
    <row r="54" spans="1:12" x14ac:dyDescent="0.2">
      <c r="B54" s="387" t="s">
        <v>2</v>
      </c>
      <c r="C54" s="49"/>
      <c r="D54" s="49"/>
    </row>
    <row r="55" spans="1:12" x14ac:dyDescent="0.2">
      <c r="B55" s="363"/>
      <c r="C55" s="55" t="s">
        <v>665</v>
      </c>
      <c r="D55" s="55" t="s">
        <v>667</v>
      </c>
      <c r="E55" s="55" t="s">
        <v>668</v>
      </c>
    </row>
    <row r="56" spans="1:12" x14ac:dyDescent="0.2">
      <c r="B56" s="329" t="s">
        <v>664</v>
      </c>
      <c r="C56" s="382" t="s">
        <v>680</v>
      </c>
      <c r="D56" s="3" t="s">
        <v>476</v>
      </c>
      <c r="E56" s="3" t="s">
        <v>680</v>
      </c>
    </row>
    <row r="57" spans="1:12" x14ac:dyDescent="0.2">
      <c r="B57" s="46" t="s">
        <v>3</v>
      </c>
      <c r="C57" s="384" t="str">
        <f>'Conversion Worksheet'!AZ41</f>
        <v xml:space="preserve"> </v>
      </c>
    </row>
    <row r="58" spans="1:12" x14ac:dyDescent="0.2">
      <c r="B58" s="46" t="s">
        <v>4</v>
      </c>
      <c r="C58" s="383" t="str">
        <f>'Conversion Worksheet'!AZ46</f>
        <v xml:space="preserve"> </v>
      </c>
    </row>
    <row r="59" spans="1:12" x14ac:dyDescent="0.2">
      <c r="B59" s="46" t="s">
        <v>5</v>
      </c>
      <c r="C59" s="383" t="str">
        <f>'Conversion Worksheet'!AZ47</f>
        <v xml:space="preserve"> </v>
      </c>
      <c r="D59" s="383">
        <f>'Conversion Worksheet'!BA50</f>
        <v>0</v>
      </c>
    </row>
    <row r="60" spans="1:12" x14ac:dyDescent="0.2">
      <c r="B60" s="46" t="s">
        <v>6</v>
      </c>
      <c r="C60" s="383" t="str">
        <f>'Conversion Worksheet'!AZ51</f>
        <v xml:space="preserve"> </v>
      </c>
      <c r="D60" s="383">
        <f>'Conversion Worksheet'!BA54</f>
        <v>0</v>
      </c>
    </row>
    <row r="61" spans="1:12" x14ac:dyDescent="0.2">
      <c r="B61" s="46" t="s">
        <v>7</v>
      </c>
      <c r="C61" s="383" t="str">
        <f>'Conversion Worksheet'!AZ55</f>
        <v xml:space="preserve"> </v>
      </c>
      <c r="D61" s="383">
        <f>'Conversion Worksheet'!BA58</f>
        <v>0</v>
      </c>
      <c r="F61" s="1102" t="s">
        <v>1127</v>
      </c>
      <c r="G61" s="1102"/>
      <c r="H61" s="1102"/>
      <c r="I61" s="1102"/>
    </row>
    <row r="62" spans="1:12" x14ac:dyDescent="0.2">
      <c r="B62" s="46" t="s">
        <v>212</v>
      </c>
      <c r="C62" s="383" t="str">
        <f>'Conversion Worksheet'!AZ59</f>
        <v xml:space="preserve"> </v>
      </c>
      <c r="D62" s="383">
        <f>'Conversion Worksheet'!BA62</f>
        <v>0</v>
      </c>
      <c r="F62" s="1102"/>
      <c r="G62" s="1102"/>
      <c r="H62" s="1102"/>
      <c r="I62" s="1102"/>
    </row>
    <row r="63" spans="1:12" x14ac:dyDescent="0.2">
      <c r="B63" s="572" t="s">
        <v>4926</v>
      </c>
      <c r="C63" s="383" t="str">
        <f>'Conversion Worksheet'!AZ63</f>
        <v xml:space="preserve"> </v>
      </c>
      <c r="D63" s="383">
        <f>'Conversion Worksheet'!BA66</f>
        <v>0</v>
      </c>
    </row>
    <row r="64" spans="1:12" x14ac:dyDescent="0.2">
      <c r="B64" s="46" t="s">
        <v>4905</v>
      </c>
      <c r="C64" s="383" t="str">
        <f>'Conversion Worksheet'!AZ67</f>
        <v xml:space="preserve"> </v>
      </c>
      <c r="D64" s="383">
        <f>'Conversion Worksheet'!BA70</f>
        <v>0</v>
      </c>
    </row>
    <row r="65" spans="2:7" x14ac:dyDescent="0.2">
      <c r="B65" s="46" t="s">
        <v>4906</v>
      </c>
      <c r="C65" s="383">
        <f>'Conversion Worksheet'!AZ71</f>
        <v>0</v>
      </c>
      <c r="D65" s="383">
        <f>'Conversion Worksheet'!BA72</f>
        <v>0</v>
      </c>
    </row>
    <row r="66" spans="2:7" x14ac:dyDescent="0.2">
      <c r="B66" s="473" t="s">
        <v>213</v>
      </c>
      <c r="C66" s="383" t="str">
        <f>'Conversion Worksheet'!AZ73</f>
        <v xml:space="preserve"> </v>
      </c>
      <c r="D66" s="270">
        <f>'Conversion Worksheet'!BA76</f>
        <v>0</v>
      </c>
    </row>
    <row r="67" spans="2:7" x14ac:dyDescent="0.2">
      <c r="B67" s="473" t="s">
        <v>214</v>
      </c>
      <c r="C67" s="383" t="str">
        <f>'Conversion Worksheet'!AZ77</f>
        <v xml:space="preserve"> </v>
      </c>
      <c r="D67" s="270">
        <f>'Conversion Worksheet'!BA80</f>
        <v>0</v>
      </c>
    </row>
    <row r="68" spans="2:7" x14ac:dyDescent="0.2">
      <c r="B68" s="46" t="s">
        <v>215</v>
      </c>
      <c r="C68" s="385" t="str">
        <f>'Conversion Worksheet'!AZ45</f>
        <v xml:space="preserve"> </v>
      </c>
      <c r="D68" s="343"/>
    </row>
    <row r="69" spans="2:7" ht="13.5" thickBot="1" x14ac:dyDescent="0.25">
      <c r="B69" s="388" t="s">
        <v>666</v>
      </c>
      <c r="C69" s="386">
        <f>SUM(C56:C68)</f>
        <v>0</v>
      </c>
      <c r="D69" s="386">
        <f>SUM(D59:D67)</f>
        <v>0</v>
      </c>
      <c r="E69" s="495">
        <f>C69-D69</f>
        <v>0</v>
      </c>
    </row>
    <row r="70" spans="2:7" ht="12" customHeight="1" thickTop="1" x14ac:dyDescent="0.2"/>
    <row r="71" spans="2:7" x14ac:dyDescent="0.2">
      <c r="B71" s="329" t="s">
        <v>217</v>
      </c>
      <c r="C71" s="486"/>
    </row>
    <row r="72" spans="2:7" x14ac:dyDescent="0.2">
      <c r="B72" s="46" t="s">
        <v>1002</v>
      </c>
      <c r="C72" s="487"/>
    </row>
    <row r="73" spans="2:7" x14ac:dyDescent="0.2">
      <c r="B73" s="46" t="s">
        <v>287</v>
      </c>
      <c r="C73" s="420"/>
    </row>
    <row r="74" spans="2:7" ht="25.5" customHeight="1" x14ac:dyDescent="0.2">
      <c r="B74" s="485" t="s">
        <v>902</v>
      </c>
      <c r="C74" s="434"/>
      <c r="D74" s="1103" t="s">
        <v>903</v>
      </c>
      <c r="E74" s="1103"/>
      <c r="F74" s="1103"/>
      <c r="G74" s="1103"/>
    </row>
    <row r="75" spans="2:7" x14ac:dyDescent="0.2">
      <c r="B75" s="485" t="s">
        <v>1004</v>
      </c>
      <c r="C75" s="73">
        <v>0</v>
      </c>
      <c r="D75" s="1103"/>
      <c r="E75" s="1103"/>
      <c r="F75" s="1103"/>
      <c r="G75" s="1103"/>
    </row>
    <row r="76" spans="2:7" x14ac:dyDescent="0.2">
      <c r="B76" s="485" t="s">
        <v>1003</v>
      </c>
      <c r="C76" s="434"/>
      <c r="D76" s="380"/>
    </row>
    <row r="77" spans="2:7" x14ac:dyDescent="0.2">
      <c r="B77" s="161" t="s">
        <v>682</v>
      </c>
      <c r="C77" s="434"/>
    </row>
    <row r="78" spans="2:7" x14ac:dyDescent="0.2">
      <c r="B78" s="46" t="s">
        <v>219</v>
      </c>
      <c r="C78" s="56"/>
    </row>
    <row r="79" spans="2:7" x14ac:dyDescent="0.2">
      <c r="B79" s="46" t="s">
        <v>683</v>
      </c>
      <c r="C79" s="445"/>
    </row>
    <row r="80" spans="2:7" x14ac:dyDescent="0.2">
      <c r="B80" s="329" t="s">
        <v>220</v>
      </c>
      <c r="C80" s="496">
        <f>+C72-C74-C75-C76-C77+C79</f>
        <v>0</v>
      </c>
    </row>
    <row r="82" spans="2:7" ht="13.5" thickBot="1" x14ac:dyDescent="0.25">
      <c r="B82" s="479" t="s">
        <v>1104</v>
      </c>
      <c r="C82" s="396">
        <f>E69-C80</f>
        <v>0</v>
      </c>
      <c r="D82" s="6"/>
    </row>
    <row r="83" spans="2:7" ht="12.75" customHeight="1" thickTop="1" x14ac:dyDescent="0.2">
      <c r="B83" s="329"/>
    </row>
    <row r="84" spans="2:7" hidden="1" x14ac:dyDescent="0.2">
      <c r="B84" s="329"/>
    </row>
    <row r="85" spans="2:7" hidden="1" x14ac:dyDescent="0.2">
      <c r="B85" s="365"/>
      <c r="C85" s="356"/>
      <c r="E85" s="356" t="s">
        <v>222</v>
      </c>
      <c r="F85" s="356" t="s">
        <v>223</v>
      </c>
      <c r="G85" s="346"/>
    </row>
    <row r="86" spans="2:7" hidden="1" x14ac:dyDescent="0.2">
      <c r="B86" s="351"/>
      <c r="C86" s="357" t="s">
        <v>279</v>
      </c>
      <c r="D86" s="356"/>
      <c r="E86" s="357" t="s">
        <v>280</v>
      </c>
      <c r="F86" s="357" t="s">
        <v>281</v>
      </c>
      <c r="G86" s="366"/>
    </row>
    <row r="87" spans="2:7" hidden="1" x14ac:dyDescent="0.2">
      <c r="B87" s="358" t="s">
        <v>547</v>
      </c>
      <c r="C87" s="359" t="s">
        <v>282</v>
      </c>
      <c r="D87" s="357" t="s">
        <v>978</v>
      </c>
      <c r="E87" s="359" t="s">
        <v>284</v>
      </c>
      <c r="F87" s="359" t="s">
        <v>285</v>
      </c>
      <c r="G87" s="367" t="s">
        <v>102</v>
      </c>
    </row>
    <row r="88" spans="2:7" hidden="1" x14ac:dyDescent="0.2">
      <c r="B88" s="350"/>
      <c r="C88" s="350"/>
      <c r="D88" s="359" t="s">
        <v>283</v>
      </c>
      <c r="E88" s="350"/>
      <c r="F88" s="350"/>
      <c r="G88" s="350"/>
    </row>
    <row r="89" spans="2:7" hidden="1" x14ac:dyDescent="0.2">
      <c r="B89" s="368" t="s">
        <v>286</v>
      </c>
      <c r="C89" s="351"/>
      <c r="D89" s="350"/>
      <c r="E89" s="351"/>
      <c r="F89" s="351"/>
      <c r="G89" s="351">
        <f>+C89+D90+E89+F89</f>
        <v>0</v>
      </c>
    </row>
    <row r="90" spans="2:7" hidden="1" x14ac:dyDescent="0.2">
      <c r="B90" s="351" t="s">
        <v>0</v>
      </c>
      <c r="C90" s="351"/>
      <c r="D90" s="351"/>
      <c r="E90" s="351"/>
      <c r="F90" s="351"/>
      <c r="G90" s="351">
        <f>+C90+D91+E90+F90</f>
        <v>0</v>
      </c>
    </row>
    <row r="91" spans="2:7" hidden="1" x14ac:dyDescent="0.2">
      <c r="B91" s="351" t="s">
        <v>287</v>
      </c>
      <c r="C91" s="351"/>
      <c r="D91" s="351"/>
      <c r="E91" s="351"/>
      <c r="F91" s="351"/>
      <c r="G91" s="351"/>
    </row>
    <row r="92" spans="2:7" hidden="1" x14ac:dyDescent="0.2">
      <c r="B92" s="351" t="s">
        <v>288</v>
      </c>
      <c r="C92" s="361"/>
      <c r="D92" s="351"/>
      <c r="E92" s="361"/>
      <c r="F92" s="361"/>
      <c r="G92" s="361">
        <f>+C92+D93+E92+F92</f>
        <v>0</v>
      </c>
    </row>
    <row r="93" spans="2:7" hidden="1" x14ac:dyDescent="0.2">
      <c r="B93" s="369" t="s">
        <v>216</v>
      </c>
      <c r="C93" s="351">
        <f>+C89+C90-C92</f>
        <v>0</v>
      </c>
      <c r="D93" s="361"/>
      <c r="E93" s="351">
        <f>+E89+E90-E92</f>
        <v>0</v>
      </c>
      <c r="F93" s="351">
        <f>+F89+F90-F92</f>
        <v>0</v>
      </c>
      <c r="G93" s="351">
        <f>+G89+G90-G92</f>
        <v>0</v>
      </c>
    </row>
    <row r="94" spans="2:7" hidden="1" x14ac:dyDescent="0.2">
      <c r="B94" s="368" t="s">
        <v>289</v>
      </c>
      <c r="C94" s="351"/>
      <c r="D94" s="351">
        <f>+D90+D91-D93</f>
        <v>0</v>
      </c>
      <c r="E94" s="351"/>
      <c r="F94" s="351"/>
      <c r="G94" s="351"/>
    </row>
    <row r="95" spans="2:7" hidden="1" x14ac:dyDescent="0.2">
      <c r="B95" s="368" t="s">
        <v>218</v>
      </c>
      <c r="C95" s="351"/>
      <c r="D95" s="351"/>
      <c r="E95" s="351"/>
      <c r="F95" s="351"/>
      <c r="G95" s="351">
        <f>+C95+D96+E95+F95</f>
        <v>0</v>
      </c>
    </row>
    <row r="96" spans="2:7" hidden="1" x14ac:dyDescent="0.2">
      <c r="B96" s="351" t="s">
        <v>669</v>
      </c>
      <c r="C96" s="351"/>
      <c r="D96" s="351"/>
      <c r="E96" s="351"/>
      <c r="F96" s="351"/>
      <c r="G96" s="351">
        <f>+C96+D97+E96+F96</f>
        <v>0</v>
      </c>
    </row>
    <row r="97" spans="1:12" hidden="1" x14ac:dyDescent="0.2">
      <c r="B97" s="368" t="s">
        <v>219</v>
      </c>
      <c r="C97" s="351"/>
      <c r="D97" s="351"/>
      <c r="E97" s="351"/>
      <c r="F97" s="351"/>
      <c r="G97" s="351"/>
    </row>
    <row r="98" spans="1:12" hidden="1" x14ac:dyDescent="0.2">
      <c r="B98" s="368" t="s">
        <v>670</v>
      </c>
      <c r="C98" s="351"/>
      <c r="D98" s="351"/>
      <c r="E98" s="351"/>
      <c r="F98" s="351"/>
      <c r="G98" s="351">
        <f>+C98+D99+E98+F98</f>
        <v>0</v>
      </c>
    </row>
    <row r="99" spans="1:12" hidden="1" x14ac:dyDescent="0.2">
      <c r="B99" s="370" t="s">
        <v>290</v>
      </c>
      <c r="C99" s="361"/>
      <c r="D99" s="351"/>
      <c r="E99" s="361"/>
      <c r="F99" s="361"/>
      <c r="G99" s="361">
        <f>+C99+D100+E99+F99</f>
        <v>0</v>
      </c>
    </row>
    <row r="100" spans="1:12" hidden="1" x14ac:dyDescent="0.2">
      <c r="B100" s="381" t="s">
        <v>221</v>
      </c>
      <c r="C100" s="350">
        <f>+C93-C95-C96+C98+C99</f>
        <v>0</v>
      </c>
      <c r="D100" s="361"/>
      <c r="E100" s="350">
        <f>+E93-E95-E96+E98+E99</f>
        <v>0</v>
      </c>
      <c r="F100" s="350">
        <f>+F93-F95-F96+F98+F99</f>
        <v>0</v>
      </c>
      <c r="G100" s="351">
        <f>+G93-G95-G96+G98+G99</f>
        <v>0</v>
      </c>
    </row>
    <row r="101" spans="1:12" ht="25.5" customHeight="1" x14ac:dyDescent="0.25">
      <c r="A101" s="4" t="s">
        <v>459</v>
      </c>
      <c r="B101" s="1099" t="s">
        <v>1117</v>
      </c>
      <c r="C101" s="1100"/>
      <c r="D101" s="1100"/>
      <c r="E101" s="1100"/>
      <c r="F101" s="1100"/>
      <c r="G101" s="1100"/>
      <c r="H101" s="1100"/>
      <c r="I101" s="1101"/>
      <c r="J101" s="364"/>
      <c r="K101" s="364"/>
      <c r="L101" s="364"/>
    </row>
    <row r="103" spans="1:12" ht="20.100000000000001" customHeight="1" x14ac:dyDescent="0.2">
      <c r="B103" s="536" t="s">
        <v>1122</v>
      </c>
      <c r="C103" s="371" t="e">
        <f>('Conversion Worksheet'!BA165+'Conversion Worksheet'!BA166-'Conversion Worksheet'!AZ165)+('Conversion Worksheet'!BA172-'Conversion Worksheet'!AZ172)</f>
        <v>#VALUE!</v>
      </c>
      <c r="D103" s="380" t="s">
        <v>627</v>
      </c>
      <c r="E103" s="46"/>
      <c r="F103" s="46"/>
    </row>
    <row r="104" spans="1:12" ht="20.100000000000001" customHeight="1" x14ac:dyDescent="0.2">
      <c r="B104" s="536" t="s">
        <v>1123</v>
      </c>
      <c r="C104" s="371">
        <f>+G29</f>
        <v>0</v>
      </c>
      <c r="D104" s="380" t="s">
        <v>625</v>
      </c>
      <c r="E104" s="46"/>
      <c r="F104" s="46"/>
    </row>
    <row r="105" spans="1:12" ht="20.100000000000001" customHeight="1" x14ac:dyDescent="0.2">
      <c r="B105" s="536" t="s">
        <v>1124</v>
      </c>
      <c r="C105" s="372">
        <f>+C82</f>
        <v>0</v>
      </c>
      <c r="D105" s="380" t="s">
        <v>626</v>
      </c>
      <c r="E105" s="46"/>
      <c r="F105" s="46"/>
    </row>
    <row r="106" spans="1:12" ht="20.100000000000001" customHeight="1" thickBot="1" x14ac:dyDescent="0.25">
      <c r="B106" s="536" t="s">
        <v>1125</v>
      </c>
      <c r="C106" s="497" t="e">
        <f>+C103-C104-C105</f>
        <v>#VALUE!</v>
      </c>
      <c r="D106" s="46"/>
      <c r="E106" s="46"/>
      <c r="F106" s="46"/>
    </row>
    <row r="107" spans="1:12" ht="13.5" thickTop="1" x14ac:dyDescent="0.2">
      <c r="D107" s="46"/>
    </row>
    <row r="109" spans="1:12" x14ac:dyDescent="0.2">
      <c r="C109" s="5"/>
    </row>
  </sheetData>
  <sheetProtection algorithmName="SHA-512" hashValue="1IzGxyW8Mga92OFRnVWh6KGfH8vvKSKwrQjj1EPMMC9yYFPFkRgidVu7AzO3W5Q4znYdOnSc4y5Iiy3AMNR/6A==" saltValue="4JJQHbxP+EwgsD8o+vplfA==" spinCount="100000" sheet="1" objects="1" scenarios="1"/>
  <mergeCells count="12">
    <mergeCell ref="B101:I101"/>
    <mergeCell ref="B3:I3"/>
    <mergeCell ref="B5:I5"/>
    <mergeCell ref="F61:I62"/>
    <mergeCell ref="C46:H46"/>
    <mergeCell ref="D74:G75"/>
    <mergeCell ref="A1:I1"/>
    <mergeCell ref="B52:I52"/>
    <mergeCell ref="B53:I53"/>
    <mergeCell ref="B7:I7"/>
    <mergeCell ref="C47:G47"/>
    <mergeCell ref="C50:F50"/>
  </mergeCells>
  <phoneticPr fontId="0" type="noConversion"/>
  <printOptions horizontalCentered="1"/>
  <pageMargins left="0.43" right="0.45" top="0.68" bottom="0.67" header="0.5" footer="0.5"/>
  <pageSetup scale="56" orientation="portrait" r:id="rId1"/>
  <headerFooter alignWithMargins="0">
    <oddHeader xml:space="preserve">&amp;R&amp;8M - Supporting Schedule
</oddHeader>
    <oddFooter>&amp;L&amp;8&amp;D - City model&amp;R&amp;P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U1807"/>
  <sheetViews>
    <sheetView workbookViewId="0"/>
  </sheetViews>
  <sheetFormatPr defaultColWidth="9.140625" defaultRowHeight="15" x14ac:dyDescent="0.25"/>
  <cols>
    <col min="1" max="1" width="15.28515625" style="644" customWidth="1"/>
    <col min="2" max="2" width="39.5703125" style="644" customWidth="1"/>
    <col min="3" max="5" width="13.85546875" style="644" customWidth="1"/>
    <col min="6" max="6" width="13.42578125" style="644" customWidth="1"/>
    <col min="7" max="7" width="18.28515625" style="644" customWidth="1"/>
    <col min="8" max="8" width="1.5703125" style="644" customWidth="1"/>
    <col min="9" max="9" width="18.28515625" style="644" customWidth="1"/>
    <col min="10" max="10" width="20" style="644" customWidth="1"/>
    <col min="11" max="11" width="14.42578125" style="644" customWidth="1"/>
    <col min="12" max="12" width="19.42578125" style="644" customWidth="1"/>
    <col min="13" max="13" width="3" style="644" customWidth="1"/>
    <col min="14" max="14" width="18.28515625" style="644" customWidth="1"/>
    <col min="15" max="15" width="20" style="644" customWidth="1"/>
    <col min="16" max="16" width="9.140625" style="644" customWidth="1"/>
    <col min="17" max="17" width="19.42578125" style="644" customWidth="1"/>
    <col min="18" max="18" width="2.42578125" style="644" customWidth="1"/>
    <col min="19" max="19" width="13.85546875" style="644" customWidth="1"/>
    <col min="20" max="20" width="22.42578125" style="644" customWidth="1"/>
    <col min="21" max="21" width="14.28515625" style="644" customWidth="1"/>
    <col min="22" max="16384" width="9.140625" style="644"/>
  </cols>
  <sheetData>
    <row r="1" spans="1:21" x14ac:dyDescent="0.25">
      <c r="A1" s="643" t="s">
        <v>2544</v>
      </c>
      <c r="I1" s="645" t="s">
        <v>1131</v>
      </c>
      <c r="J1" s="645"/>
      <c r="K1" s="645"/>
      <c r="L1" s="645"/>
      <c r="N1" s="645" t="s">
        <v>1132</v>
      </c>
      <c r="O1" s="645"/>
      <c r="P1" s="645"/>
      <c r="Q1" s="645"/>
      <c r="S1" s="645" t="s">
        <v>1133</v>
      </c>
      <c r="T1" s="645"/>
      <c r="U1" s="645"/>
    </row>
    <row r="2" spans="1:21" ht="120" x14ac:dyDescent="0.25">
      <c r="A2" s="646" t="s">
        <v>920</v>
      </c>
      <c r="B2" s="646" t="s">
        <v>1134</v>
      </c>
      <c r="C2" s="646" t="s">
        <v>2090</v>
      </c>
      <c r="D2" s="646" t="s">
        <v>2091</v>
      </c>
      <c r="E2" s="646" t="s">
        <v>2545</v>
      </c>
      <c r="F2" s="646" t="s">
        <v>2546</v>
      </c>
      <c r="G2" s="646" t="s">
        <v>1135</v>
      </c>
      <c r="H2" s="646"/>
      <c r="I2" s="646" t="s">
        <v>1136</v>
      </c>
      <c r="J2" s="646" t="s">
        <v>1137</v>
      </c>
      <c r="K2" s="646" t="s">
        <v>1138</v>
      </c>
      <c r="L2" s="646" t="s">
        <v>1139</v>
      </c>
      <c r="M2" s="646"/>
      <c r="N2" s="646" t="s">
        <v>1136</v>
      </c>
      <c r="O2" s="646" t="s">
        <v>1137</v>
      </c>
      <c r="P2" s="646" t="s">
        <v>1138</v>
      </c>
      <c r="Q2" s="646" t="s">
        <v>1139</v>
      </c>
      <c r="R2" s="646"/>
      <c r="S2" s="646" t="s">
        <v>1140</v>
      </c>
      <c r="T2" s="646" t="s">
        <v>1141</v>
      </c>
      <c r="U2" s="646" t="s">
        <v>1142</v>
      </c>
    </row>
    <row r="3" spans="1:21" x14ac:dyDescent="0.25">
      <c r="A3" s="646" t="s">
        <v>480</v>
      </c>
      <c r="B3" s="647" t="s">
        <v>2094</v>
      </c>
      <c r="C3" s="646"/>
      <c r="D3" s="646"/>
      <c r="E3" s="646"/>
      <c r="F3" s="646"/>
      <c r="G3" s="646"/>
      <c r="H3" s="646"/>
      <c r="I3" s="646"/>
      <c r="J3" s="646"/>
      <c r="K3" s="646"/>
      <c r="L3" s="646"/>
      <c r="M3" s="646"/>
      <c r="N3" s="646"/>
      <c r="O3" s="646"/>
      <c r="P3" s="646"/>
      <c r="Q3" s="646"/>
      <c r="R3" s="646"/>
      <c r="S3" s="646"/>
      <c r="T3" s="646"/>
      <c r="U3" s="646"/>
    </row>
    <row r="4" spans="1:21" x14ac:dyDescent="0.25">
      <c r="A4" s="648">
        <v>70505</v>
      </c>
      <c r="B4" s="649" t="s">
        <v>2547</v>
      </c>
      <c r="C4" s="650">
        <v>4.6880000000000001E-4</v>
      </c>
      <c r="D4" s="650">
        <v>5.0319999999999998E-4</v>
      </c>
      <c r="E4" s="651">
        <v>186822</v>
      </c>
      <c r="F4" s="651">
        <v>225833</v>
      </c>
      <c r="G4" s="651">
        <v>994951</v>
      </c>
      <c r="H4" s="651"/>
      <c r="I4" s="652">
        <v>18693</v>
      </c>
      <c r="J4" s="652">
        <v>871894</v>
      </c>
      <c r="K4" s="652">
        <v>68145</v>
      </c>
      <c r="L4" s="651">
        <v>0</v>
      </c>
      <c r="M4" s="651"/>
      <c r="N4" s="652">
        <v>34864</v>
      </c>
      <c r="O4" s="652">
        <v>321812</v>
      </c>
      <c r="P4" s="652">
        <v>0</v>
      </c>
      <c r="Q4" s="651">
        <v>31773</v>
      </c>
      <c r="R4" s="651"/>
      <c r="S4" s="652">
        <v>265936</v>
      </c>
      <c r="T4" s="653">
        <v>-10267</v>
      </c>
      <c r="U4" s="653">
        <v>255668</v>
      </c>
    </row>
    <row r="5" spans="1:21" x14ac:dyDescent="0.25">
      <c r="A5" s="648">
        <v>71786</v>
      </c>
      <c r="B5" s="649" t="s">
        <v>2548</v>
      </c>
      <c r="C5" s="650">
        <v>4.3600000000000003E-5</v>
      </c>
      <c r="D5" s="650">
        <v>4.3699999999999998E-5</v>
      </c>
      <c r="E5" s="651">
        <v>14646.29</v>
      </c>
      <c r="F5" s="651">
        <v>19612</v>
      </c>
      <c r="G5" s="651">
        <v>92534</v>
      </c>
      <c r="H5" s="651"/>
      <c r="I5" s="652">
        <v>1739</v>
      </c>
      <c r="J5" s="652">
        <v>81089</v>
      </c>
      <c r="K5" s="652">
        <v>6338</v>
      </c>
      <c r="L5" s="651">
        <v>0</v>
      </c>
      <c r="M5" s="651"/>
      <c r="N5" s="652">
        <v>3242</v>
      </c>
      <c r="O5" s="652">
        <v>29930</v>
      </c>
      <c r="P5" s="652">
        <v>0</v>
      </c>
      <c r="Q5" s="651">
        <v>6350</v>
      </c>
      <c r="R5" s="651"/>
      <c r="S5" s="652">
        <v>24733</v>
      </c>
      <c r="T5" s="653">
        <v>-2337</v>
      </c>
      <c r="U5" s="653">
        <v>22396</v>
      </c>
    </row>
    <row r="6" spans="1:21" x14ac:dyDescent="0.25">
      <c r="A6" s="648">
        <v>72265</v>
      </c>
      <c r="B6" s="649" t="s">
        <v>2549</v>
      </c>
      <c r="C6" s="650">
        <v>1.327E-4</v>
      </c>
      <c r="D6" s="650">
        <v>1.3329999999999999E-4</v>
      </c>
      <c r="E6" s="651">
        <v>48905</v>
      </c>
      <c r="F6" s="651">
        <v>59824</v>
      </c>
      <c r="G6" s="651">
        <v>281634</v>
      </c>
      <c r="H6" s="651"/>
      <c r="I6" s="652">
        <v>5291</v>
      </c>
      <c r="J6" s="652">
        <v>246801</v>
      </c>
      <c r="K6" s="652">
        <v>19289</v>
      </c>
      <c r="L6" s="651">
        <v>7214</v>
      </c>
      <c r="M6" s="651"/>
      <c r="N6" s="652">
        <v>9869</v>
      </c>
      <c r="O6" s="652">
        <v>91093</v>
      </c>
      <c r="P6" s="652">
        <v>0</v>
      </c>
      <c r="Q6" s="651">
        <v>5063</v>
      </c>
      <c r="R6" s="651"/>
      <c r="S6" s="652">
        <v>75277</v>
      </c>
      <c r="T6" s="653">
        <v>2291</v>
      </c>
      <c r="U6" s="653">
        <v>77567</v>
      </c>
    </row>
    <row r="7" spans="1:21" x14ac:dyDescent="0.25">
      <c r="A7" s="648">
        <v>72657</v>
      </c>
      <c r="B7" s="649" t="s">
        <v>2550</v>
      </c>
      <c r="C7" s="650">
        <v>4.2799999999999997E-5</v>
      </c>
      <c r="D7" s="650">
        <v>4.0800000000000002E-5</v>
      </c>
      <c r="E7" s="651">
        <v>15356.17</v>
      </c>
      <c r="F7" s="651">
        <v>18311</v>
      </c>
      <c r="G7" s="651">
        <v>90836</v>
      </c>
      <c r="H7" s="651"/>
      <c r="I7" s="652">
        <v>1707</v>
      </c>
      <c r="J7" s="652">
        <v>79601</v>
      </c>
      <c r="K7" s="652">
        <v>6221</v>
      </c>
      <c r="L7" s="651">
        <v>6577</v>
      </c>
      <c r="M7" s="651"/>
      <c r="N7" s="652">
        <v>3183</v>
      </c>
      <c r="O7" s="652">
        <v>29380</v>
      </c>
      <c r="P7" s="652">
        <v>0</v>
      </c>
      <c r="Q7" s="651">
        <v>4643</v>
      </c>
      <c r="R7" s="651"/>
      <c r="S7" s="652">
        <v>24279</v>
      </c>
      <c r="T7" s="653">
        <v>1725</v>
      </c>
      <c r="U7" s="653">
        <v>26005</v>
      </c>
    </row>
    <row r="8" spans="1:21" x14ac:dyDescent="0.25">
      <c r="A8" s="648">
        <v>90001</v>
      </c>
      <c r="B8" s="649" t="s">
        <v>2551</v>
      </c>
      <c r="C8" s="650">
        <v>8.6910000000000004E-4</v>
      </c>
      <c r="D8" s="650">
        <v>8.2339999999999996E-4</v>
      </c>
      <c r="E8" s="651">
        <v>342848</v>
      </c>
      <c r="F8" s="651">
        <v>369537</v>
      </c>
      <c r="G8" s="651">
        <v>1844521</v>
      </c>
      <c r="H8" s="651"/>
      <c r="I8" s="652">
        <v>34655</v>
      </c>
      <c r="J8" s="652">
        <v>1616389</v>
      </c>
      <c r="K8" s="652">
        <v>126333</v>
      </c>
      <c r="L8" s="651">
        <v>17611</v>
      </c>
      <c r="M8" s="651"/>
      <c r="N8" s="652">
        <v>64634</v>
      </c>
      <c r="O8" s="652">
        <v>596601</v>
      </c>
      <c r="P8" s="652">
        <v>0</v>
      </c>
      <c r="Q8" s="651">
        <v>4549</v>
      </c>
      <c r="R8" s="651"/>
      <c r="S8" s="652">
        <v>493013</v>
      </c>
      <c r="T8" s="653">
        <v>4026</v>
      </c>
      <c r="U8" s="653">
        <v>497039</v>
      </c>
    </row>
    <row r="9" spans="1:21" x14ac:dyDescent="0.25">
      <c r="A9" s="648">
        <v>90002</v>
      </c>
      <c r="B9" s="649" t="s">
        <v>2552</v>
      </c>
      <c r="C9" s="650">
        <v>1.15E-5</v>
      </c>
      <c r="D9" s="650">
        <v>1.15E-5</v>
      </c>
      <c r="E9" s="651">
        <v>5945</v>
      </c>
      <c r="F9" s="651">
        <v>5161</v>
      </c>
      <c r="G9" s="651">
        <v>24407</v>
      </c>
      <c r="H9" s="651"/>
      <c r="I9" s="652">
        <v>458.5625</v>
      </c>
      <c r="J9" s="652">
        <v>21388</v>
      </c>
      <c r="K9" s="652">
        <v>1672</v>
      </c>
      <c r="L9" s="651">
        <v>1428</v>
      </c>
      <c r="M9" s="651"/>
      <c r="N9" s="652">
        <v>855</v>
      </c>
      <c r="O9" s="652">
        <v>7894</v>
      </c>
      <c r="P9" s="652">
        <v>0</v>
      </c>
      <c r="Q9" s="651">
        <v>0</v>
      </c>
      <c r="R9" s="651"/>
      <c r="S9" s="652">
        <v>6524</v>
      </c>
      <c r="T9" s="653">
        <v>436</v>
      </c>
      <c r="U9" s="653">
        <v>6960</v>
      </c>
    </row>
    <row r="10" spans="1:21" x14ac:dyDescent="0.25">
      <c r="A10" s="648">
        <v>90011</v>
      </c>
      <c r="B10" s="649" t="s">
        <v>2553</v>
      </c>
      <c r="C10" s="650">
        <v>2.0819999999999999E-4</v>
      </c>
      <c r="D10" s="650">
        <v>2.2800000000000001E-4</v>
      </c>
      <c r="E10" s="651">
        <v>74534</v>
      </c>
      <c r="F10" s="651">
        <v>102325</v>
      </c>
      <c r="G10" s="651">
        <v>441870</v>
      </c>
      <c r="H10" s="651"/>
      <c r="I10" s="652">
        <v>8302</v>
      </c>
      <c r="J10" s="652">
        <v>387219</v>
      </c>
      <c r="K10" s="652">
        <v>30264</v>
      </c>
      <c r="L10" s="651">
        <v>4623</v>
      </c>
      <c r="M10" s="651"/>
      <c r="N10" s="652">
        <v>15484</v>
      </c>
      <c r="O10" s="652">
        <v>142921</v>
      </c>
      <c r="P10" s="652">
        <v>0</v>
      </c>
      <c r="Q10" s="651">
        <v>24562</v>
      </c>
      <c r="R10" s="651"/>
      <c r="S10" s="652">
        <v>118105</v>
      </c>
      <c r="T10" s="653">
        <v>-4521</v>
      </c>
      <c r="U10" s="653">
        <v>113585</v>
      </c>
    </row>
    <row r="11" spans="1:21" x14ac:dyDescent="0.25">
      <c r="A11" s="648">
        <v>90092</v>
      </c>
      <c r="B11" s="649" t="s">
        <v>2554</v>
      </c>
      <c r="C11" s="650">
        <v>3.946E-4</v>
      </c>
      <c r="D11" s="650">
        <v>4.8670000000000001E-4</v>
      </c>
      <c r="E11" s="651">
        <v>169426.22</v>
      </c>
      <c r="F11" s="651">
        <v>218428</v>
      </c>
      <c r="G11" s="651">
        <v>837473</v>
      </c>
      <c r="H11" s="651"/>
      <c r="I11" s="652">
        <v>15735</v>
      </c>
      <c r="J11" s="652">
        <v>733894</v>
      </c>
      <c r="K11" s="652">
        <v>57359</v>
      </c>
      <c r="L11" s="651">
        <v>0</v>
      </c>
      <c r="M11" s="651"/>
      <c r="N11" s="652">
        <v>29346</v>
      </c>
      <c r="O11" s="652">
        <v>270876</v>
      </c>
      <c r="P11" s="652">
        <v>0</v>
      </c>
      <c r="Q11" s="651">
        <v>115870</v>
      </c>
      <c r="R11" s="651"/>
      <c r="S11" s="652">
        <v>223844</v>
      </c>
      <c r="T11" s="653">
        <v>-40775</v>
      </c>
      <c r="U11" s="653">
        <v>183070</v>
      </c>
    </row>
    <row r="12" spans="1:21" x14ac:dyDescent="0.25">
      <c r="A12" s="648">
        <v>90096</v>
      </c>
      <c r="B12" s="649" t="s">
        <v>2555</v>
      </c>
      <c r="C12" s="650">
        <v>1.3860999999999999E-3</v>
      </c>
      <c r="D12" s="650">
        <v>1.4866E-3</v>
      </c>
      <c r="E12" s="651">
        <v>582268</v>
      </c>
      <c r="F12" s="651">
        <v>667177</v>
      </c>
      <c r="G12" s="651">
        <v>2941769</v>
      </c>
      <c r="H12" s="651"/>
      <c r="I12" s="652">
        <v>55271</v>
      </c>
      <c r="J12" s="652">
        <v>2577927</v>
      </c>
      <c r="K12" s="652">
        <v>201485</v>
      </c>
      <c r="L12" s="651">
        <v>79002</v>
      </c>
      <c r="M12" s="651"/>
      <c r="N12" s="652">
        <v>103083</v>
      </c>
      <c r="O12" s="652">
        <v>951499</v>
      </c>
      <c r="P12" s="652">
        <v>0</v>
      </c>
      <c r="Q12" s="651">
        <v>44718</v>
      </c>
      <c r="R12" s="651"/>
      <c r="S12" s="652">
        <v>786292</v>
      </c>
      <c r="T12" s="653">
        <v>23820</v>
      </c>
      <c r="U12" s="653">
        <v>810111</v>
      </c>
    </row>
    <row r="13" spans="1:21" x14ac:dyDescent="0.25">
      <c r="A13" s="648">
        <v>90098</v>
      </c>
      <c r="B13" s="649" t="s">
        <v>2556</v>
      </c>
      <c r="C13" s="650">
        <v>2.9280000000000002E-4</v>
      </c>
      <c r="D13" s="650">
        <v>5.0869999999999995E-4</v>
      </c>
      <c r="E13" s="651">
        <v>129330</v>
      </c>
      <c r="F13" s="651">
        <v>228302</v>
      </c>
      <c r="G13" s="651">
        <v>621420</v>
      </c>
      <c r="H13" s="651"/>
      <c r="I13" s="652">
        <v>11675</v>
      </c>
      <c r="J13" s="652">
        <v>544562</v>
      </c>
      <c r="K13" s="652">
        <v>42562</v>
      </c>
      <c r="L13" s="651">
        <v>0</v>
      </c>
      <c r="M13" s="651"/>
      <c r="N13" s="652">
        <v>21775</v>
      </c>
      <c r="O13" s="652">
        <v>200995</v>
      </c>
      <c r="P13" s="652">
        <v>0</v>
      </c>
      <c r="Q13" s="651">
        <v>163662</v>
      </c>
      <c r="R13" s="651"/>
      <c r="S13" s="652">
        <v>166096</v>
      </c>
      <c r="T13" s="653">
        <v>-52769</v>
      </c>
      <c r="U13" s="653">
        <v>113327</v>
      </c>
    </row>
    <row r="14" spans="1:21" x14ac:dyDescent="0.25">
      <c r="A14" s="648">
        <v>90099</v>
      </c>
      <c r="B14" s="649" t="s">
        <v>2557</v>
      </c>
      <c r="C14" s="650">
        <v>4.9330000000000001E-4</v>
      </c>
      <c r="D14" s="650">
        <v>5.9599999999999996E-4</v>
      </c>
      <c r="E14" s="651">
        <v>207476.25</v>
      </c>
      <c r="F14" s="651">
        <v>267481</v>
      </c>
      <c r="G14" s="651">
        <v>1046948</v>
      </c>
      <c r="H14" s="651"/>
      <c r="I14" s="652">
        <v>19670</v>
      </c>
      <c r="J14" s="652">
        <v>917460</v>
      </c>
      <c r="K14" s="652">
        <v>71707</v>
      </c>
      <c r="L14" s="651">
        <v>4838</v>
      </c>
      <c r="M14" s="651"/>
      <c r="N14" s="652">
        <v>36686</v>
      </c>
      <c r="O14" s="652">
        <v>338630</v>
      </c>
      <c r="P14" s="652">
        <v>0</v>
      </c>
      <c r="Q14" s="651">
        <v>60491</v>
      </c>
      <c r="R14" s="651"/>
      <c r="S14" s="652">
        <v>279834</v>
      </c>
      <c r="T14" s="653">
        <v>-14054</v>
      </c>
      <c r="U14" s="653">
        <v>265780</v>
      </c>
    </row>
    <row r="15" spans="1:21" x14ac:dyDescent="0.25">
      <c r="A15" s="648">
        <v>90101</v>
      </c>
      <c r="B15" s="649" t="s">
        <v>2558</v>
      </c>
      <c r="C15" s="650">
        <v>6.3996000000000001E-3</v>
      </c>
      <c r="D15" s="650">
        <v>6.1599000000000003E-3</v>
      </c>
      <c r="E15" s="651">
        <v>2594375.06</v>
      </c>
      <c r="F15" s="651">
        <v>2764526</v>
      </c>
      <c r="G15" s="651">
        <v>13582095</v>
      </c>
      <c r="H15" s="651"/>
      <c r="I15" s="652">
        <v>255184</v>
      </c>
      <c r="J15" s="652">
        <v>11902245</v>
      </c>
      <c r="K15" s="652">
        <v>930252</v>
      </c>
      <c r="L15" s="651">
        <v>229062</v>
      </c>
      <c r="M15" s="651"/>
      <c r="N15" s="652">
        <v>475932</v>
      </c>
      <c r="O15" s="652">
        <v>4393057</v>
      </c>
      <c r="P15" s="652">
        <v>0</v>
      </c>
      <c r="Q15" s="651">
        <v>51491</v>
      </c>
      <c r="R15" s="651"/>
      <c r="S15" s="652">
        <v>3630295</v>
      </c>
      <c r="T15" s="653">
        <v>45786</v>
      </c>
      <c r="U15" s="653">
        <v>3676081</v>
      </c>
    </row>
    <row r="16" spans="1:21" x14ac:dyDescent="0.25">
      <c r="A16" s="648">
        <v>90111</v>
      </c>
      <c r="B16" s="649" t="s">
        <v>2559</v>
      </c>
      <c r="C16" s="650">
        <v>4.8874000000000001E-3</v>
      </c>
      <c r="D16" s="650">
        <v>4.9893000000000003E-3</v>
      </c>
      <c r="E16" s="651">
        <v>1973481.4</v>
      </c>
      <c r="F16" s="651">
        <v>2239168</v>
      </c>
      <c r="G16" s="651">
        <v>10372700</v>
      </c>
      <c r="H16" s="651"/>
      <c r="I16" s="652">
        <v>194885</v>
      </c>
      <c r="J16" s="652">
        <v>9089792</v>
      </c>
      <c r="K16" s="652">
        <v>710437</v>
      </c>
      <c r="L16" s="651">
        <v>0</v>
      </c>
      <c r="M16" s="651"/>
      <c r="N16" s="652">
        <v>363471</v>
      </c>
      <c r="O16" s="652">
        <v>3354995</v>
      </c>
      <c r="P16" s="652">
        <v>0</v>
      </c>
      <c r="Q16" s="651">
        <v>163983</v>
      </c>
      <c r="R16" s="651"/>
      <c r="S16" s="652">
        <v>2772471</v>
      </c>
      <c r="T16" s="653">
        <v>-57381</v>
      </c>
      <c r="U16" s="653">
        <v>2715090</v>
      </c>
    </row>
    <row r="17" spans="1:21" x14ac:dyDescent="0.25">
      <c r="A17" s="648">
        <v>90114</v>
      </c>
      <c r="B17" s="649" t="s">
        <v>2560</v>
      </c>
      <c r="C17" s="650">
        <v>1.0681E-3</v>
      </c>
      <c r="D17" s="650">
        <v>1.0043000000000001E-3</v>
      </c>
      <c r="E17" s="651">
        <v>1022992</v>
      </c>
      <c r="F17" s="651">
        <v>450724</v>
      </c>
      <c r="G17" s="651">
        <v>2266866</v>
      </c>
      <c r="H17" s="651"/>
      <c r="I17" s="652">
        <v>42590</v>
      </c>
      <c r="J17" s="652">
        <v>1986497</v>
      </c>
      <c r="K17" s="652">
        <v>155260</v>
      </c>
      <c r="L17" s="651">
        <v>821100</v>
      </c>
      <c r="M17" s="651"/>
      <c r="N17" s="652">
        <v>79434</v>
      </c>
      <c r="O17" s="652">
        <v>733206</v>
      </c>
      <c r="P17" s="652">
        <v>0</v>
      </c>
      <c r="Q17" s="651">
        <v>0</v>
      </c>
      <c r="R17" s="651"/>
      <c r="S17" s="652">
        <v>605900</v>
      </c>
      <c r="T17" s="653">
        <v>245765</v>
      </c>
      <c r="U17" s="653">
        <v>851665</v>
      </c>
    </row>
    <row r="18" spans="1:21" x14ac:dyDescent="0.25">
      <c r="A18" s="648">
        <v>90117</v>
      </c>
      <c r="B18" s="649" t="s">
        <v>2561</v>
      </c>
      <c r="C18" s="650">
        <v>1.35E-4</v>
      </c>
      <c r="D18" s="650">
        <v>1.3019999999999999E-4</v>
      </c>
      <c r="E18" s="651">
        <v>78954</v>
      </c>
      <c r="F18" s="651">
        <v>58433</v>
      </c>
      <c r="G18" s="651">
        <v>286515</v>
      </c>
      <c r="H18" s="651"/>
      <c r="I18" s="652">
        <v>5383.125</v>
      </c>
      <c r="J18" s="652">
        <v>251078.67</v>
      </c>
      <c r="K18" s="652">
        <v>19624</v>
      </c>
      <c r="L18" s="651">
        <v>42554</v>
      </c>
      <c r="M18" s="651"/>
      <c r="N18" s="652">
        <v>10040</v>
      </c>
      <c r="O18" s="652">
        <v>92671.83</v>
      </c>
      <c r="P18" s="652">
        <v>0</v>
      </c>
      <c r="Q18" s="651">
        <v>0</v>
      </c>
      <c r="R18" s="651"/>
      <c r="S18" s="652">
        <v>76581</v>
      </c>
      <c r="T18" s="653">
        <v>14293</v>
      </c>
      <c r="U18" s="653">
        <v>90874</v>
      </c>
    </row>
    <row r="19" spans="1:21" x14ac:dyDescent="0.25">
      <c r="A19" s="648">
        <v>90121</v>
      </c>
      <c r="B19" s="649" t="s">
        <v>2562</v>
      </c>
      <c r="C19" s="650">
        <v>1.0789E-3</v>
      </c>
      <c r="D19" s="650">
        <v>1.1057E-3</v>
      </c>
      <c r="E19" s="651">
        <v>394126</v>
      </c>
      <c r="F19" s="651">
        <v>496232</v>
      </c>
      <c r="G19" s="651">
        <v>2289787</v>
      </c>
      <c r="H19" s="651"/>
      <c r="I19" s="652">
        <v>43021</v>
      </c>
      <c r="J19" s="652">
        <v>2006584</v>
      </c>
      <c r="K19" s="652">
        <v>156830</v>
      </c>
      <c r="L19" s="651">
        <v>6521</v>
      </c>
      <c r="M19" s="651"/>
      <c r="N19" s="652">
        <v>80237</v>
      </c>
      <c r="O19" s="652">
        <v>740620</v>
      </c>
      <c r="P19" s="652">
        <v>0</v>
      </c>
      <c r="Q19" s="651">
        <v>74370</v>
      </c>
      <c r="R19" s="651"/>
      <c r="S19" s="652">
        <v>612027</v>
      </c>
      <c r="T19" s="653">
        <v>-17947</v>
      </c>
      <c r="U19" s="653">
        <v>594079</v>
      </c>
    </row>
    <row r="20" spans="1:21" x14ac:dyDescent="0.25">
      <c r="A20" s="648">
        <v>90131</v>
      </c>
      <c r="B20" s="649" t="s">
        <v>2563</v>
      </c>
      <c r="C20" s="650">
        <v>5.0440000000000001E-4</v>
      </c>
      <c r="D20" s="650">
        <v>4.727E-4</v>
      </c>
      <c r="E20" s="651">
        <v>173703</v>
      </c>
      <c r="F20" s="651">
        <v>212145</v>
      </c>
      <c r="G20" s="651">
        <v>1070506</v>
      </c>
      <c r="H20" s="651"/>
      <c r="I20" s="652">
        <v>20112.95</v>
      </c>
      <c r="J20" s="652">
        <v>938104</v>
      </c>
      <c r="K20" s="652">
        <v>73320</v>
      </c>
      <c r="L20" s="651">
        <v>0</v>
      </c>
      <c r="M20" s="651"/>
      <c r="N20" s="652">
        <v>37512</v>
      </c>
      <c r="O20" s="652">
        <v>346249</v>
      </c>
      <c r="P20" s="652">
        <v>0</v>
      </c>
      <c r="Q20" s="651">
        <v>23072</v>
      </c>
      <c r="R20" s="651"/>
      <c r="S20" s="652">
        <v>286130</v>
      </c>
      <c r="T20" s="653">
        <v>-8951</v>
      </c>
      <c r="U20" s="653">
        <v>277180</v>
      </c>
    </row>
    <row r="21" spans="1:21" x14ac:dyDescent="0.25">
      <c r="A21" s="648">
        <v>90141</v>
      </c>
      <c r="B21" s="649" t="s">
        <v>2564</v>
      </c>
      <c r="C21" s="650">
        <v>1.306E-4</v>
      </c>
      <c r="D21" s="650">
        <v>1.5919999999999999E-4</v>
      </c>
      <c r="E21" s="651">
        <v>55925.87</v>
      </c>
      <c r="F21" s="651">
        <v>71448</v>
      </c>
      <c r="G21" s="651">
        <v>277177</v>
      </c>
      <c r="H21" s="651"/>
      <c r="I21" s="652">
        <v>5208</v>
      </c>
      <c r="J21" s="652">
        <v>242895</v>
      </c>
      <c r="K21" s="652">
        <v>18984</v>
      </c>
      <c r="L21" s="651">
        <v>2143</v>
      </c>
      <c r="M21" s="651"/>
      <c r="N21" s="652">
        <v>9713</v>
      </c>
      <c r="O21" s="652">
        <v>89651</v>
      </c>
      <c r="P21" s="652">
        <v>0</v>
      </c>
      <c r="Q21" s="651">
        <v>13732</v>
      </c>
      <c r="R21" s="651"/>
      <c r="S21" s="652">
        <v>74085</v>
      </c>
      <c r="T21" s="653">
        <v>-2701</v>
      </c>
      <c r="U21" s="653">
        <v>71385</v>
      </c>
    </row>
    <row r="22" spans="1:21" x14ac:dyDescent="0.25">
      <c r="A22" s="648">
        <v>90151</v>
      </c>
      <c r="B22" s="649" t="s">
        <v>2565</v>
      </c>
      <c r="C22" s="650">
        <v>1.0000000000000001E-5</v>
      </c>
      <c r="D22" s="650">
        <v>9.7999999999999993E-6</v>
      </c>
      <c r="E22" s="651">
        <v>2703</v>
      </c>
      <c r="F22" s="651">
        <v>4398</v>
      </c>
      <c r="G22" s="651">
        <v>21223</v>
      </c>
      <c r="H22" s="651"/>
      <c r="I22" s="652">
        <v>399</v>
      </c>
      <c r="J22" s="652">
        <v>18598</v>
      </c>
      <c r="K22" s="652">
        <v>1454</v>
      </c>
      <c r="L22" s="651">
        <v>0</v>
      </c>
      <c r="M22" s="651"/>
      <c r="N22" s="652">
        <v>743.69</v>
      </c>
      <c r="O22" s="652">
        <v>6865</v>
      </c>
      <c r="P22" s="652">
        <v>0</v>
      </c>
      <c r="Q22" s="651">
        <v>2266</v>
      </c>
      <c r="R22" s="651"/>
      <c r="S22" s="652">
        <v>5673</v>
      </c>
      <c r="T22" s="653">
        <v>-782</v>
      </c>
      <c r="U22" s="653">
        <v>4891</v>
      </c>
    </row>
    <row r="23" spans="1:21" x14ac:dyDescent="0.25">
      <c r="A23" s="648">
        <v>90161</v>
      </c>
      <c r="B23" s="649" t="s">
        <v>2566</v>
      </c>
      <c r="C23" s="650">
        <v>3.4799999999999999E-5</v>
      </c>
      <c r="D23" s="650">
        <v>2.6299999999999999E-5</v>
      </c>
      <c r="E23" s="651">
        <v>13115.62</v>
      </c>
      <c r="F23" s="651">
        <v>11803</v>
      </c>
      <c r="G23" s="651">
        <v>73857</v>
      </c>
      <c r="H23" s="651"/>
      <c r="I23" s="652">
        <v>1388</v>
      </c>
      <c r="J23" s="652">
        <v>64723</v>
      </c>
      <c r="K23" s="652">
        <v>5059</v>
      </c>
      <c r="L23" s="651">
        <v>5728</v>
      </c>
      <c r="M23" s="651"/>
      <c r="N23" s="652">
        <v>2588</v>
      </c>
      <c r="O23" s="652">
        <v>23889</v>
      </c>
      <c r="P23" s="652">
        <v>0</v>
      </c>
      <c r="Q23" s="651">
        <v>0</v>
      </c>
      <c r="R23" s="651"/>
      <c r="S23" s="652">
        <v>19741</v>
      </c>
      <c r="T23" s="653">
        <v>1706</v>
      </c>
      <c r="U23" s="653">
        <v>21447</v>
      </c>
    </row>
    <row r="24" spans="1:21" x14ac:dyDescent="0.25">
      <c r="A24" s="648">
        <v>90201</v>
      </c>
      <c r="B24" s="649" t="s">
        <v>2567</v>
      </c>
      <c r="C24" s="650">
        <v>1.2419E-3</v>
      </c>
      <c r="D24" s="650">
        <v>1.1842999999999999E-3</v>
      </c>
      <c r="E24" s="651">
        <v>470870</v>
      </c>
      <c r="F24" s="651">
        <v>531507</v>
      </c>
      <c r="G24" s="651">
        <v>2635728</v>
      </c>
      <c r="H24" s="651"/>
      <c r="I24" s="652">
        <v>49521</v>
      </c>
      <c r="J24" s="652">
        <v>2309738</v>
      </c>
      <c r="K24" s="652">
        <v>180524</v>
      </c>
      <c r="L24" s="651">
        <v>70694</v>
      </c>
      <c r="M24" s="651"/>
      <c r="N24" s="652">
        <v>92359</v>
      </c>
      <c r="O24" s="652">
        <v>852512</v>
      </c>
      <c r="P24" s="652">
        <v>0</v>
      </c>
      <c r="Q24" s="651">
        <v>450</v>
      </c>
      <c r="R24" s="651"/>
      <c r="S24" s="652">
        <v>704491</v>
      </c>
      <c r="T24" s="653">
        <v>33957</v>
      </c>
      <c r="U24" s="653">
        <v>738448</v>
      </c>
    </row>
    <row r="25" spans="1:21" x14ac:dyDescent="0.25">
      <c r="A25" s="648">
        <v>90203</v>
      </c>
      <c r="B25" s="649" t="s">
        <v>2568</v>
      </c>
      <c r="C25" s="650">
        <v>2.3680000000000001E-4</v>
      </c>
      <c r="D25" s="650">
        <v>2.7530000000000002E-4</v>
      </c>
      <c r="E25" s="651">
        <v>95318</v>
      </c>
      <c r="F25" s="651">
        <v>123553</v>
      </c>
      <c r="G25" s="651">
        <v>502569</v>
      </c>
      <c r="H25" s="651"/>
      <c r="I25" s="652">
        <v>9442.4</v>
      </c>
      <c r="J25" s="652">
        <v>440411</v>
      </c>
      <c r="K25" s="652">
        <v>34421</v>
      </c>
      <c r="L25" s="651">
        <v>3338</v>
      </c>
      <c r="M25" s="651"/>
      <c r="N25" s="652">
        <v>17611</v>
      </c>
      <c r="O25" s="652">
        <v>162553</v>
      </c>
      <c r="P25" s="652">
        <v>0</v>
      </c>
      <c r="Q25" s="651">
        <v>36458</v>
      </c>
      <c r="R25" s="651"/>
      <c r="S25" s="652">
        <v>134329</v>
      </c>
      <c r="T25" s="653">
        <v>-11660</v>
      </c>
      <c r="U25" s="653">
        <v>122669</v>
      </c>
    </row>
    <row r="26" spans="1:21" x14ac:dyDescent="0.25">
      <c r="A26" s="648">
        <v>90205</v>
      </c>
      <c r="B26" s="649" t="s">
        <v>2569</v>
      </c>
      <c r="C26" s="650">
        <v>3.3599999999999997E-5</v>
      </c>
      <c r="D26" s="650">
        <v>3.5299999999999997E-5</v>
      </c>
      <c r="E26" s="651">
        <v>13992.72</v>
      </c>
      <c r="F26" s="651">
        <v>15842</v>
      </c>
      <c r="G26" s="651">
        <v>71310</v>
      </c>
      <c r="H26" s="651"/>
      <c r="I26" s="652">
        <v>1339.8</v>
      </c>
      <c r="J26" s="652">
        <v>62491</v>
      </c>
      <c r="K26" s="652">
        <v>4884</v>
      </c>
      <c r="L26" s="651">
        <v>1378</v>
      </c>
      <c r="M26" s="651"/>
      <c r="N26" s="652">
        <v>2499</v>
      </c>
      <c r="O26" s="652">
        <v>23065</v>
      </c>
      <c r="P26" s="652">
        <v>0</v>
      </c>
      <c r="Q26" s="651">
        <v>782</v>
      </c>
      <c r="R26" s="651"/>
      <c r="S26" s="652">
        <v>19060</v>
      </c>
      <c r="T26" s="653">
        <v>406</v>
      </c>
      <c r="U26" s="653">
        <v>19467</v>
      </c>
    </row>
    <row r="27" spans="1:21" x14ac:dyDescent="0.25">
      <c r="A27" s="648">
        <v>90206</v>
      </c>
      <c r="B27" s="649" t="s">
        <v>2570</v>
      </c>
      <c r="C27" s="650">
        <v>4.347E-4</v>
      </c>
      <c r="D27" s="650">
        <v>4.3810000000000002E-4</v>
      </c>
      <c r="E27" s="651">
        <v>170440.57</v>
      </c>
      <c r="F27" s="651">
        <v>196617</v>
      </c>
      <c r="G27" s="651">
        <v>922579</v>
      </c>
      <c r="H27" s="651"/>
      <c r="I27" s="652">
        <v>17334</v>
      </c>
      <c r="J27" s="652">
        <v>808473</v>
      </c>
      <c r="K27" s="652">
        <v>63188</v>
      </c>
      <c r="L27" s="651">
        <v>18047</v>
      </c>
      <c r="M27" s="651"/>
      <c r="N27" s="652">
        <v>32328</v>
      </c>
      <c r="O27" s="652">
        <v>298403</v>
      </c>
      <c r="P27" s="652">
        <v>0</v>
      </c>
      <c r="Q27" s="651">
        <v>12515</v>
      </c>
      <c r="R27" s="651"/>
      <c r="S27" s="652">
        <v>246592</v>
      </c>
      <c r="T27" s="653">
        <v>5439</v>
      </c>
      <c r="U27" s="653">
        <v>252031</v>
      </c>
    </row>
    <row r="28" spans="1:21" x14ac:dyDescent="0.25">
      <c r="A28" s="648">
        <v>90211</v>
      </c>
      <c r="B28" s="649" t="s">
        <v>2571</v>
      </c>
      <c r="C28" s="650">
        <v>1.5689999999999999E-4</v>
      </c>
      <c r="D28" s="650">
        <v>1.708E-4</v>
      </c>
      <c r="E28" s="651">
        <v>58970</v>
      </c>
      <c r="F28" s="651">
        <v>76654</v>
      </c>
      <c r="G28" s="651">
        <v>332994</v>
      </c>
      <c r="H28" s="651"/>
      <c r="I28" s="652">
        <v>6256</v>
      </c>
      <c r="J28" s="652">
        <v>291809</v>
      </c>
      <c r="K28" s="652">
        <v>22807</v>
      </c>
      <c r="L28" s="651">
        <v>0</v>
      </c>
      <c r="M28" s="651"/>
      <c r="N28" s="652">
        <v>11668</v>
      </c>
      <c r="O28" s="652">
        <v>107705</v>
      </c>
      <c r="P28" s="652">
        <v>0</v>
      </c>
      <c r="Q28" s="651">
        <v>17335</v>
      </c>
      <c r="R28" s="651"/>
      <c r="S28" s="652">
        <v>89005</v>
      </c>
      <c r="T28" s="653">
        <v>-5305</v>
      </c>
      <c r="U28" s="653">
        <v>83699</v>
      </c>
    </row>
    <row r="29" spans="1:21" x14ac:dyDescent="0.25">
      <c r="A29" s="648">
        <v>90301</v>
      </c>
      <c r="B29" s="649" t="s">
        <v>2572</v>
      </c>
      <c r="C29" s="650">
        <v>6.4000000000000005E-4</v>
      </c>
      <c r="D29" s="650">
        <v>6.2489999999999996E-4</v>
      </c>
      <c r="E29" s="651">
        <v>241334.31</v>
      </c>
      <c r="F29" s="651">
        <v>280451</v>
      </c>
      <c r="G29" s="651">
        <v>1358294</v>
      </c>
      <c r="H29" s="651"/>
      <c r="I29" s="652">
        <v>25520</v>
      </c>
      <c r="J29" s="652">
        <v>1190299</v>
      </c>
      <c r="K29" s="652">
        <v>93031</v>
      </c>
      <c r="L29" s="651">
        <v>6684</v>
      </c>
      <c r="M29" s="651"/>
      <c r="N29" s="652">
        <v>47596.160000000003</v>
      </c>
      <c r="O29" s="652">
        <v>439333</v>
      </c>
      <c r="P29" s="652">
        <v>0</v>
      </c>
      <c r="Q29" s="651">
        <v>19561</v>
      </c>
      <c r="R29" s="651"/>
      <c r="S29" s="652">
        <v>363052</v>
      </c>
      <c r="T29" s="653">
        <v>-5224</v>
      </c>
      <c r="U29" s="653">
        <v>357828</v>
      </c>
    </row>
    <row r="30" spans="1:21" x14ac:dyDescent="0.25">
      <c r="A30" s="648">
        <v>90305</v>
      </c>
      <c r="B30" s="649" t="s">
        <v>2573</v>
      </c>
      <c r="C30" s="650">
        <v>1.7009999999999999E-4</v>
      </c>
      <c r="D30" s="650">
        <v>1.773E-4</v>
      </c>
      <c r="E30" s="651">
        <v>84901.17</v>
      </c>
      <c r="F30" s="651">
        <v>79571</v>
      </c>
      <c r="G30" s="651">
        <v>361009</v>
      </c>
      <c r="H30" s="651"/>
      <c r="I30" s="652">
        <v>6783</v>
      </c>
      <c r="J30" s="652">
        <v>316359</v>
      </c>
      <c r="K30" s="652">
        <v>24726</v>
      </c>
      <c r="L30" s="651">
        <v>26122</v>
      </c>
      <c r="M30" s="651"/>
      <c r="N30" s="652">
        <v>12650</v>
      </c>
      <c r="O30" s="652">
        <v>116767</v>
      </c>
      <c r="P30" s="652">
        <v>0</v>
      </c>
      <c r="Q30" s="651">
        <v>0</v>
      </c>
      <c r="R30" s="651"/>
      <c r="S30" s="652">
        <v>96492</v>
      </c>
      <c r="T30" s="653">
        <v>9101</v>
      </c>
      <c r="U30" s="653">
        <v>105594</v>
      </c>
    </row>
    <row r="31" spans="1:21" x14ac:dyDescent="0.25">
      <c r="A31" s="648">
        <v>90307</v>
      </c>
      <c r="B31" s="649" t="s">
        <v>2574</v>
      </c>
      <c r="C31" s="650">
        <v>7.7000000000000008E-6</v>
      </c>
      <c r="D31" s="650">
        <v>8.4999999999999999E-6</v>
      </c>
      <c r="E31" s="651">
        <v>3744</v>
      </c>
      <c r="F31" s="651">
        <v>3815</v>
      </c>
      <c r="G31" s="651">
        <v>16342</v>
      </c>
      <c r="H31" s="651"/>
      <c r="I31" s="652">
        <v>307</v>
      </c>
      <c r="J31" s="652">
        <v>14321</v>
      </c>
      <c r="K31" s="652">
        <v>1119</v>
      </c>
      <c r="L31" s="651">
        <v>213</v>
      </c>
      <c r="M31" s="651"/>
      <c r="N31" s="652">
        <v>573</v>
      </c>
      <c r="O31" s="652">
        <v>5286</v>
      </c>
      <c r="P31" s="652">
        <v>0</v>
      </c>
      <c r="Q31" s="651">
        <v>80</v>
      </c>
      <c r="R31" s="651"/>
      <c r="S31" s="652">
        <v>4368</v>
      </c>
      <c r="T31" s="653">
        <v>33</v>
      </c>
      <c r="U31" s="653">
        <v>4401</v>
      </c>
    </row>
    <row r="32" spans="1:21" x14ac:dyDescent="0.25">
      <c r="A32" s="648">
        <v>90401</v>
      </c>
      <c r="B32" s="649" t="s">
        <v>2575</v>
      </c>
      <c r="C32" s="650">
        <v>1.3626999999999999E-3</v>
      </c>
      <c r="D32" s="650">
        <v>1.359E-3</v>
      </c>
      <c r="E32" s="651">
        <v>569788.09</v>
      </c>
      <c r="F32" s="651">
        <v>609911</v>
      </c>
      <c r="G32" s="651">
        <v>2892106</v>
      </c>
      <c r="H32" s="651"/>
      <c r="I32" s="652">
        <v>54338</v>
      </c>
      <c r="J32" s="652">
        <v>2534407</v>
      </c>
      <c r="K32" s="652">
        <v>198083</v>
      </c>
      <c r="L32" s="651">
        <v>70826</v>
      </c>
      <c r="M32" s="651"/>
      <c r="N32" s="652">
        <v>101343</v>
      </c>
      <c r="O32" s="652">
        <v>935436</v>
      </c>
      <c r="P32" s="652">
        <v>0</v>
      </c>
      <c r="Q32" s="651">
        <v>0</v>
      </c>
      <c r="R32" s="651"/>
      <c r="S32" s="652">
        <v>773017</v>
      </c>
      <c r="T32" s="653">
        <v>26807</v>
      </c>
      <c r="U32" s="653">
        <v>799824</v>
      </c>
    </row>
    <row r="33" spans="1:21" x14ac:dyDescent="0.25">
      <c r="A33" s="648">
        <v>90411</v>
      </c>
      <c r="B33" s="649" t="s">
        <v>2576</v>
      </c>
      <c r="C33" s="650">
        <v>3.5490000000000001E-4</v>
      </c>
      <c r="D33" s="650">
        <v>4.0069999999999998E-4</v>
      </c>
      <c r="E33" s="651">
        <v>139271.16</v>
      </c>
      <c r="F33" s="651">
        <v>179832</v>
      </c>
      <c r="G33" s="651">
        <v>753217</v>
      </c>
      <c r="H33" s="651"/>
      <c r="I33" s="652">
        <v>14152</v>
      </c>
      <c r="J33" s="652">
        <v>660058</v>
      </c>
      <c r="K33" s="652">
        <v>51589</v>
      </c>
      <c r="L33" s="651">
        <v>0</v>
      </c>
      <c r="M33" s="651"/>
      <c r="N33" s="652">
        <v>26394</v>
      </c>
      <c r="O33" s="652">
        <v>243624</v>
      </c>
      <c r="P33" s="652">
        <v>0</v>
      </c>
      <c r="Q33" s="651">
        <v>45866</v>
      </c>
      <c r="R33" s="651"/>
      <c r="S33" s="652">
        <v>201324</v>
      </c>
      <c r="T33" s="653">
        <v>-13553</v>
      </c>
      <c r="U33" s="653">
        <v>187770</v>
      </c>
    </row>
    <row r="34" spans="1:21" x14ac:dyDescent="0.25">
      <c r="A34" s="648">
        <v>90413</v>
      </c>
      <c r="B34" s="649" t="s">
        <v>2577</v>
      </c>
      <c r="C34" s="650">
        <v>3.7299999999999999E-5</v>
      </c>
      <c r="D34" s="650">
        <v>3.6399999999999997E-5</v>
      </c>
      <c r="E34" s="651">
        <v>16560</v>
      </c>
      <c r="F34" s="651">
        <v>16336</v>
      </c>
      <c r="G34" s="651">
        <v>79163</v>
      </c>
      <c r="H34" s="651"/>
      <c r="I34" s="652">
        <v>1487</v>
      </c>
      <c r="J34" s="652">
        <v>69372</v>
      </c>
      <c r="K34" s="652">
        <v>5422</v>
      </c>
      <c r="L34" s="651">
        <v>9568</v>
      </c>
      <c r="M34" s="651"/>
      <c r="N34" s="652">
        <v>2774</v>
      </c>
      <c r="O34" s="652">
        <v>25605</v>
      </c>
      <c r="P34" s="652">
        <v>0</v>
      </c>
      <c r="Q34" s="651">
        <v>0</v>
      </c>
      <c r="R34" s="651"/>
      <c r="S34" s="652">
        <v>21159</v>
      </c>
      <c r="T34" s="653">
        <v>3645</v>
      </c>
      <c r="U34" s="653">
        <v>24804</v>
      </c>
    </row>
    <row r="35" spans="1:21" x14ac:dyDescent="0.25">
      <c r="A35" s="648">
        <v>90417</v>
      </c>
      <c r="B35" s="649" t="s">
        <v>2578</v>
      </c>
      <c r="C35" s="650">
        <v>1.2099999999999999E-5</v>
      </c>
      <c r="D35" s="650">
        <v>1.38E-5</v>
      </c>
      <c r="E35" s="651">
        <v>7492</v>
      </c>
      <c r="F35" s="651">
        <v>6193</v>
      </c>
      <c r="G35" s="651">
        <v>25680</v>
      </c>
      <c r="H35" s="651"/>
      <c r="I35" s="652">
        <v>482</v>
      </c>
      <c r="J35" s="652">
        <v>22504</v>
      </c>
      <c r="K35" s="652">
        <v>1759</v>
      </c>
      <c r="L35" s="651">
        <v>2032</v>
      </c>
      <c r="M35" s="651"/>
      <c r="N35" s="652">
        <v>900</v>
      </c>
      <c r="O35" s="652">
        <v>8306</v>
      </c>
      <c r="P35" s="652">
        <v>0</v>
      </c>
      <c r="Q35" s="651">
        <v>0</v>
      </c>
      <c r="R35" s="651"/>
      <c r="S35" s="652">
        <v>6864</v>
      </c>
      <c r="T35" s="653">
        <v>687</v>
      </c>
      <c r="U35" s="653">
        <v>7551</v>
      </c>
    </row>
    <row r="36" spans="1:21" x14ac:dyDescent="0.25">
      <c r="A36" s="648">
        <v>90421</v>
      </c>
      <c r="B36" s="649" t="s">
        <v>2579</v>
      </c>
      <c r="C36" s="650">
        <v>2.3600000000000001E-5</v>
      </c>
      <c r="D36" s="650">
        <v>2.4700000000000001E-5</v>
      </c>
      <c r="E36" s="651">
        <v>7745.31</v>
      </c>
      <c r="F36" s="651">
        <v>11085</v>
      </c>
      <c r="G36" s="651">
        <v>50087</v>
      </c>
      <c r="H36" s="651"/>
      <c r="I36" s="652">
        <v>941</v>
      </c>
      <c r="J36" s="652">
        <v>43892</v>
      </c>
      <c r="K36" s="652">
        <v>3431</v>
      </c>
      <c r="L36" s="651">
        <v>0</v>
      </c>
      <c r="M36" s="651"/>
      <c r="N36" s="652">
        <v>1755</v>
      </c>
      <c r="O36" s="652">
        <v>16200</v>
      </c>
      <c r="P36" s="652">
        <v>0</v>
      </c>
      <c r="Q36" s="651">
        <v>3590</v>
      </c>
      <c r="R36" s="651"/>
      <c r="S36" s="652">
        <v>13388</v>
      </c>
      <c r="T36" s="653">
        <v>-1226</v>
      </c>
      <c r="U36" s="653">
        <v>12162</v>
      </c>
    </row>
    <row r="37" spans="1:21" x14ac:dyDescent="0.25">
      <c r="A37" s="648">
        <v>90431</v>
      </c>
      <c r="B37" s="649" t="s">
        <v>2580</v>
      </c>
      <c r="C37" s="650">
        <v>4.2799999999999997E-5</v>
      </c>
      <c r="D37" s="650">
        <v>4.7599999999999998E-5</v>
      </c>
      <c r="E37" s="651">
        <v>18711.07</v>
      </c>
      <c r="F37" s="651">
        <v>21363</v>
      </c>
      <c r="G37" s="651">
        <v>90836</v>
      </c>
      <c r="H37" s="651"/>
      <c r="I37" s="652">
        <v>1707</v>
      </c>
      <c r="J37" s="652">
        <v>79601</v>
      </c>
      <c r="K37" s="652">
        <v>6221</v>
      </c>
      <c r="L37" s="651">
        <v>8478</v>
      </c>
      <c r="M37" s="651"/>
      <c r="N37" s="652">
        <v>3183</v>
      </c>
      <c r="O37" s="652">
        <v>29380</v>
      </c>
      <c r="P37" s="652">
        <v>0</v>
      </c>
      <c r="Q37" s="651">
        <v>1719</v>
      </c>
      <c r="R37" s="651"/>
      <c r="S37" s="652">
        <v>24279</v>
      </c>
      <c r="T37" s="653">
        <v>2793</v>
      </c>
      <c r="U37" s="653">
        <v>27072</v>
      </c>
    </row>
    <row r="38" spans="1:21" x14ac:dyDescent="0.25">
      <c r="A38" s="648">
        <v>90441</v>
      </c>
      <c r="B38" s="649" t="s">
        <v>2581</v>
      </c>
      <c r="C38" s="650">
        <v>9.3999999999999998E-6</v>
      </c>
      <c r="D38" s="650">
        <v>1.03E-5</v>
      </c>
      <c r="E38" s="651">
        <v>4675</v>
      </c>
      <c r="F38" s="651">
        <v>4623</v>
      </c>
      <c r="G38" s="651">
        <v>19950</v>
      </c>
      <c r="H38" s="651"/>
      <c r="I38" s="652">
        <v>374.82499999999999</v>
      </c>
      <c r="J38" s="652">
        <v>17483</v>
      </c>
      <c r="K38" s="652">
        <v>1366</v>
      </c>
      <c r="L38" s="651">
        <v>1367</v>
      </c>
      <c r="M38" s="651"/>
      <c r="N38" s="652">
        <v>699</v>
      </c>
      <c r="O38" s="652">
        <v>6453</v>
      </c>
      <c r="P38" s="652">
        <v>0</v>
      </c>
      <c r="Q38" s="651">
        <v>200</v>
      </c>
      <c r="R38" s="651"/>
      <c r="S38" s="652">
        <v>5332</v>
      </c>
      <c r="T38" s="653">
        <v>578</v>
      </c>
      <c r="U38" s="653">
        <v>5911</v>
      </c>
    </row>
    <row r="39" spans="1:21" x14ac:dyDescent="0.25">
      <c r="A39" s="648">
        <v>90451</v>
      </c>
      <c r="B39" s="649" t="s">
        <v>2582</v>
      </c>
      <c r="C39" s="650">
        <v>1.7900000000000001E-5</v>
      </c>
      <c r="D39" s="650">
        <v>1.2099999999999999E-5</v>
      </c>
      <c r="E39" s="651">
        <v>6772.25</v>
      </c>
      <c r="F39" s="651">
        <v>5430</v>
      </c>
      <c r="G39" s="651">
        <v>37990</v>
      </c>
      <c r="H39" s="651"/>
      <c r="I39" s="652">
        <v>713.76250000000005</v>
      </c>
      <c r="J39" s="652">
        <v>33291</v>
      </c>
      <c r="K39" s="652">
        <v>2602</v>
      </c>
      <c r="L39" s="651">
        <v>3118</v>
      </c>
      <c r="M39" s="651"/>
      <c r="N39" s="652">
        <v>1331</v>
      </c>
      <c r="O39" s="652">
        <v>12288</v>
      </c>
      <c r="P39" s="652">
        <v>0</v>
      </c>
      <c r="Q39" s="651">
        <v>288</v>
      </c>
      <c r="R39" s="651"/>
      <c r="S39" s="652">
        <v>10154</v>
      </c>
      <c r="T39" s="653">
        <v>814</v>
      </c>
      <c r="U39" s="653">
        <v>10968</v>
      </c>
    </row>
    <row r="40" spans="1:21" x14ac:dyDescent="0.25">
      <c r="A40" s="648">
        <v>90461</v>
      </c>
      <c r="B40" s="649" t="s">
        <v>2583</v>
      </c>
      <c r="C40" s="650">
        <v>1.7200000000000001E-5</v>
      </c>
      <c r="D40" s="650">
        <v>1.7200000000000001E-5</v>
      </c>
      <c r="E40" s="651">
        <v>6466.34</v>
      </c>
      <c r="F40" s="651">
        <v>7719</v>
      </c>
      <c r="G40" s="651">
        <v>36504</v>
      </c>
      <c r="H40" s="651"/>
      <c r="I40" s="652">
        <v>685.85</v>
      </c>
      <c r="J40" s="652">
        <v>31989</v>
      </c>
      <c r="K40" s="652">
        <v>2500</v>
      </c>
      <c r="L40" s="651">
        <v>4750</v>
      </c>
      <c r="M40" s="651"/>
      <c r="N40" s="652">
        <v>1279</v>
      </c>
      <c r="O40" s="652">
        <v>11807</v>
      </c>
      <c r="P40" s="652">
        <v>0</v>
      </c>
      <c r="Q40" s="651">
        <v>2426</v>
      </c>
      <c r="R40" s="651"/>
      <c r="S40" s="652">
        <v>9757</v>
      </c>
      <c r="T40" s="653">
        <v>583</v>
      </c>
      <c r="U40" s="653">
        <v>10340</v>
      </c>
    </row>
    <row r="41" spans="1:21" x14ac:dyDescent="0.25">
      <c r="A41" s="648">
        <v>90501</v>
      </c>
      <c r="B41" s="649" t="s">
        <v>2584</v>
      </c>
      <c r="C41" s="650">
        <v>1.4001E-3</v>
      </c>
      <c r="D41" s="650">
        <v>1.4352E-3</v>
      </c>
      <c r="E41" s="651">
        <v>603983</v>
      </c>
      <c r="F41" s="651">
        <v>644109</v>
      </c>
      <c r="G41" s="651">
        <v>2971481</v>
      </c>
      <c r="H41" s="651"/>
      <c r="I41" s="652">
        <v>55829</v>
      </c>
      <c r="J41" s="652">
        <v>2603965</v>
      </c>
      <c r="K41" s="652">
        <v>203520</v>
      </c>
      <c r="L41" s="651">
        <v>46994</v>
      </c>
      <c r="M41" s="651"/>
      <c r="N41" s="652">
        <v>104124</v>
      </c>
      <c r="O41" s="652">
        <v>961110</v>
      </c>
      <c r="P41" s="652">
        <v>0</v>
      </c>
      <c r="Q41" s="651">
        <v>0</v>
      </c>
      <c r="R41" s="651"/>
      <c r="S41" s="652">
        <v>794233</v>
      </c>
      <c r="T41" s="653">
        <v>20332</v>
      </c>
      <c r="U41" s="653">
        <v>814566</v>
      </c>
    </row>
    <row r="42" spans="1:21" x14ac:dyDescent="0.25">
      <c r="A42" s="648">
        <v>90507</v>
      </c>
      <c r="B42" s="649" t="s">
        <v>1182</v>
      </c>
      <c r="C42" s="650">
        <v>7.3000000000000004E-6</v>
      </c>
      <c r="D42" s="650">
        <v>7.7000000000000008E-6</v>
      </c>
      <c r="E42" s="651">
        <v>9534.18</v>
      </c>
      <c r="F42" s="651">
        <v>3456</v>
      </c>
      <c r="G42" s="651">
        <v>15493</v>
      </c>
      <c r="H42" s="651"/>
      <c r="I42" s="652">
        <v>291</v>
      </c>
      <c r="J42" s="652">
        <v>13577</v>
      </c>
      <c r="K42" s="652">
        <v>1061</v>
      </c>
      <c r="L42" s="651">
        <v>8871</v>
      </c>
      <c r="M42" s="651"/>
      <c r="N42" s="652">
        <v>543</v>
      </c>
      <c r="O42" s="652">
        <v>5011</v>
      </c>
      <c r="P42" s="652">
        <v>0</v>
      </c>
      <c r="Q42" s="651">
        <v>0</v>
      </c>
      <c r="R42" s="651"/>
      <c r="S42" s="652">
        <v>4141</v>
      </c>
      <c r="T42" s="653">
        <v>2759</v>
      </c>
      <c r="U42" s="653">
        <v>6900</v>
      </c>
    </row>
    <row r="43" spans="1:21" x14ac:dyDescent="0.25">
      <c r="A43" s="648">
        <v>90511</v>
      </c>
      <c r="B43" s="649" t="s">
        <v>2585</v>
      </c>
      <c r="C43" s="650">
        <v>9.5500000000000004E-5</v>
      </c>
      <c r="D43" s="650">
        <v>9.0699999999999996E-5</v>
      </c>
      <c r="E43" s="651">
        <v>45634.76</v>
      </c>
      <c r="F43" s="651">
        <v>40706</v>
      </c>
      <c r="G43" s="651">
        <v>202683</v>
      </c>
      <c r="H43" s="651"/>
      <c r="I43" s="652">
        <v>3808.0625</v>
      </c>
      <c r="J43" s="652">
        <v>177615</v>
      </c>
      <c r="K43" s="652">
        <v>13882</v>
      </c>
      <c r="L43" s="651">
        <v>15579</v>
      </c>
      <c r="M43" s="651"/>
      <c r="N43" s="652">
        <v>7102</v>
      </c>
      <c r="O43" s="652">
        <v>65557</v>
      </c>
      <c r="P43" s="652">
        <v>0</v>
      </c>
      <c r="Q43" s="651">
        <v>0</v>
      </c>
      <c r="R43" s="651"/>
      <c r="S43" s="652">
        <v>54174</v>
      </c>
      <c r="T43" s="653">
        <v>5418</v>
      </c>
      <c r="U43" s="653">
        <v>59592</v>
      </c>
    </row>
    <row r="44" spans="1:21" x14ac:dyDescent="0.25">
      <c r="A44" s="648">
        <v>90521</v>
      </c>
      <c r="B44" s="649" t="s">
        <v>2586</v>
      </c>
      <c r="C44" s="650">
        <v>1.395E-4</v>
      </c>
      <c r="D44" s="650">
        <v>1.451E-4</v>
      </c>
      <c r="E44" s="651">
        <v>47723.41</v>
      </c>
      <c r="F44" s="651">
        <v>65120</v>
      </c>
      <c r="G44" s="651">
        <v>296066</v>
      </c>
      <c r="H44" s="651"/>
      <c r="I44" s="652">
        <v>5562.5625</v>
      </c>
      <c r="J44" s="652">
        <v>259448</v>
      </c>
      <c r="K44" s="652">
        <v>20278</v>
      </c>
      <c r="L44" s="651">
        <v>0</v>
      </c>
      <c r="M44" s="651"/>
      <c r="N44" s="652">
        <v>10374</v>
      </c>
      <c r="O44" s="652">
        <v>95761</v>
      </c>
      <c r="P44" s="652">
        <v>0</v>
      </c>
      <c r="Q44" s="651">
        <v>17468</v>
      </c>
      <c r="R44" s="651"/>
      <c r="S44" s="652">
        <v>79134</v>
      </c>
      <c r="T44" s="653">
        <v>-5509</v>
      </c>
      <c r="U44" s="653">
        <v>73625</v>
      </c>
    </row>
    <row r="45" spans="1:21" x14ac:dyDescent="0.25">
      <c r="A45" s="648">
        <v>90601</v>
      </c>
      <c r="B45" s="649" t="s">
        <v>2587</v>
      </c>
      <c r="C45" s="650">
        <v>1.1785999999999999E-3</v>
      </c>
      <c r="D45" s="650">
        <v>1.2051E-3</v>
      </c>
      <c r="E45" s="651">
        <v>469146.06</v>
      </c>
      <c r="F45" s="651">
        <v>540842</v>
      </c>
      <c r="G45" s="651">
        <v>2501384</v>
      </c>
      <c r="H45" s="651"/>
      <c r="I45" s="652">
        <v>46997</v>
      </c>
      <c r="J45" s="652">
        <v>2192010</v>
      </c>
      <c r="K45" s="652">
        <v>171322</v>
      </c>
      <c r="L45" s="651">
        <v>32298</v>
      </c>
      <c r="M45" s="651"/>
      <c r="N45" s="652">
        <v>87651</v>
      </c>
      <c r="O45" s="652">
        <v>809059</v>
      </c>
      <c r="P45" s="652">
        <v>0</v>
      </c>
      <c r="Q45" s="651">
        <v>26702</v>
      </c>
      <c r="R45" s="651"/>
      <c r="S45" s="652">
        <v>668583</v>
      </c>
      <c r="T45" s="653">
        <v>7604</v>
      </c>
      <c r="U45" s="653">
        <v>676188</v>
      </c>
    </row>
    <row r="46" spans="1:21" x14ac:dyDescent="0.25">
      <c r="A46" s="648">
        <v>90602</v>
      </c>
      <c r="B46" s="649" t="s">
        <v>2095</v>
      </c>
      <c r="C46" s="650">
        <v>6.3299999999999994E-5</v>
      </c>
      <c r="D46" s="650">
        <v>0</v>
      </c>
      <c r="E46" s="651">
        <v>31566.720000000001</v>
      </c>
      <c r="F46" s="651">
        <v>0</v>
      </c>
      <c r="G46" s="651">
        <v>134344</v>
      </c>
      <c r="H46" s="651"/>
      <c r="I46" s="652">
        <v>2524</v>
      </c>
      <c r="J46" s="652">
        <v>117728</v>
      </c>
      <c r="K46" s="652">
        <v>9201</v>
      </c>
      <c r="L46" s="651">
        <v>46975</v>
      </c>
      <c r="M46" s="651"/>
      <c r="N46" s="652">
        <v>4708</v>
      </c>
      <c r="O46" s="652">
        <v>43453</v>
      </c>
      <c r="P46" s="652">
        <v>0</v>
      </c>
      <c r="Q46" s="651">
        <v>0</v>
      </c>
      <c r="R46" s="651"/>
      <c r="S46" s="652">
        <v>35908</v>
      </c>
      <c r="T46" s="653">
        <v>12962</v>
      </c>
      <c r="U46" s="653">
        <v>48870</v>
      </c>
    </row>
    <row r="47" spans="1:21" x14ac:dyDescent="0.25">
      <c r="A47" s="648">
        <v>90605</v>
      </c>
      <c r="B47" s="649" t="s">
        <v>2588</v>
      </c>
      <c r="C47" s="650">
        <v>3.8399999999999998E-5</v>
      </c>
      <c r="D47" s="650">
        <v>3.6399999999999997E-5</v>
      </c>
      <c r="E47" s="651">
        <v>22332.880000000001</v>
      </c>
      <c r="F47" s="651">
        <v>16336</v>
      </c>
      <c r="G47" s="651">
        <v>81498</v>
      </c>
      <c r="H47" s="651"/>
      <c r="I47" s="652">
        <v>1531</v>
      </c>
      <c r="J47" s="652">
        <v>71418</v>
      </c>
      <c r="K47" s="652">
        <v>5582</v>
      </c>
      <c r="L47" s="651">
        <v>11852</v>
      </c>
      <c r="M47" s="651"/>
      <c r="N47" s="652">
        <v>2856</v>
      </c>
      <c r="O47" s="652">
        <v>26360</v>
      </c>
      <c r="P47" s="652">
        <v>0</v>
      </c>
      <c r="Q47" s="651">
        <v>0</v>
      </c>
      <c r="R47" s="651"/>
      <c r="S47" s="652">
        <v>21783</v>
      </c>
      <c r="T47" s="653">
        <v>3784</v>
      </c>
      <c r="U47" s="653">
        <v>25567</v>
      </c>
    </row>
    <row r="48" spans="1:21" x14ac:dyDescent="0.25">
      <c r="A48" s="648">
        <v>90611</v>
      </c>
      <c r="B48" s="649" t="s">
        <v>2589</v>
      </c>
      <c r="C48" s="650">
        <v>1.5669999999999999E-4</v>
      </c>
      <c r="D48" s="650">
        <v>1.663E-4</v>
      </c>
      <c r="E48" s="651">
        <v>56254</v>
      </c>
      <c r="F48" s="651">
        <v>74634</v>
      </c>
      <c r="G48" s="651">
        <v>332570</v>
      </c>
      <c r="H48" s="651"/>
      <c r="I48" s="652">
        <v>6248</v>
      </c>
      <c r="J48" s="652">
        <v>291437</v>
      </c>
      <c r="K48" s="652">
        <v>22778</v>
      </c>
      <c r="L48" s="651">
        <v>5072.51</v>
      </c>
      <c r="M48" s="651"/>
      <c r="N48" s="652">
        <v>11654</v>
      </c>
      <c r="O48" s="652">
        <v>107568</v>
      </c>
      <c r="P48" s="652">
        <v>0</v>
      </c>
      <c r="Q48" s="651">
        <v>13074</v>
      </c>
      <c r="R48" s="651"/>
      <c r="S48" s="652">
        <v>88891</v>
      </c>
      <c r="T48" s="653">
        <v>-969</v>
      </c>
      <c r="U48" s="653">
        <v>87922</v>
      </c>
    </row>
    <row r="49" spans="1:21" x14ac:dyDescent="0.25">
      <c r="A49" s="648">
        <v>90617</v>
      </c>
      <c r="B49" s="649" t="s">
        <v>2590</v>
      </c>
      <c r="C49" s="650">
        <v>2.6800000000000001E-5</v>
      </c>
      <c r="D49" s="650">
        <v>2.6599999999999999E-5</v>
      </c>
      <c r="E49" s="651">
        <v>14103</v>
      </c>
      <c r="F49" s="651">
        <v>11938</v>
      </c>
      <c r="G49" s="651">
        <v>56879</v>
      </c>
      <c r="H49" s="651"/>
      <c r="I49" s="652">
        <v>1069</v>
      </c>
      <c r="J49" s="652">
        <v>49844</v>
      </c>
      <c r="K49" s="652">
        <v>3896</v>
      </c>
      <c r="L49" s="651">
        <v>8505</v>
      </c>
      <c r="M49" s="651"/>
      <c r="N49" s="652">
        <v>1993</v>
      </c>
      <c r="O49" s="652">
        <v>18397</v>
      </c>
      <c r="P49" s="652">
        <v>0</v>
      </c>
      <c r="Q49" s="651">
        <v>0</v>
      </c>
      <c r="R49" s="651"/>
      <c r="S49" s="652">
        <v>15203</v>
      </c>
      <c r="T49" s="653">
        <v>3445</v>
      </c>
      <c r="U49" s="653">
        <v>18647</v>
      </c>
    </row>
    <row r="50" spans="1:21" x14ac:dyDescent="0.25">
      <c r="A50" s="648">
        <v>90621</v>
      </c>
      <c r="B50" s="649" t="s">
        <v>2591</v>
      </c>
      <c r="C50" s="650">
        <v>8.2100000000000003E-5</v>
      </c>
      <c r="D50" s="650">
        <v>7.9400000000000006E-5</v>
      </c>
      <c r="E50" s="651">
        <v>28252</v>
      </c>
      <c r="F50" s="651">
        <v>35634</v>
      </c>
      <c r="G50" s="651">
        <v>174244</v>
      </c>
      <c r="H50" s="651"/>
      <c r="I50" s="652">
        <v>3274</v>
      </c>
      <c r="J50" s="652">
        <v>152693</v>
      </c>
      <c r="K50" s="652">
        <v>11934</v>
      </c>
      <c r="L50" s="651">
        <v>1182</v>
      </c>
      <c r="M50" s="651"/>
      <c r="N50" s="652">
        <v>6106</v>
      </c>
      <c r="O50" s="652">
        <v>56358</v>
      </c>
      <c r="P50" s="652">
        <v>0</v>
      </c>
      <c r="Q50" s="651">
        <v>7913</v>
      </c>
      <c r="R50" s="651"/>
      <c r="S50" s="652">
        <v>46573</v>
      </c>
      <c r="T50" s="653">
        <v>-1933</v>
      </c>
      <c r="U50" s="653">
        <v>44639</v>
      </c>
    </row>
    <row r="51" spans="1:21" x14ac:dyDescent="0.25">
      <c r="A51" s="648">
        <v>90631</v>
      </c>
      <c r="B51" s="649" t="s">
        <v>2592</v>
      </c>
      <c r="C51" s="650">
        <v>3.8000000000000002E-4</v>
      </c>
      <c r="D51" s="650">
        <v>3.4539999999999999E-4</v>
      </c>
      <c r="E51" s="651">
        <v>153531.72</v>
      </c>
      <c r="F51" s="651">
        <v>155013</v>
      </c>
      <c r="G51" s="651">
        <v>806487.3</v>
      </c>
      <c r="H51" s="651"/>
      <c r="I51" s="652">
        <v>15152.5</v>
      </c>
      <c r="J51" s="652">
        <v>706740</v>
      </c>
      <c r="K51" s="652">
        <v>55237.18</v>
      </c>
      <c r="L51" s="651">
        <v>16567</v>
      </c>
      <c r="M51" s="651"/>
      <c r="N51" s="652">
        <v>28260.22</v>
      </c>
      <c r="O51" s="652">
        <v>260854.04</v>
      </c>
      <c r="P51" s="652">
        <v>0</v>
      </c>
      <c r="Q51" s="651">
        <v>14381</v>
      </c>
      <c r="R51" s="651"/>
      <c r="S51" s="652">
        <v>215562.22</v>
      </c>
      <c r="T51" s="653">
        <v>-1856</v>
      </c>
      <c r="U51" s="653">
        <v>213706</v>
      </c>
    </row>
    <row r="52" spans="1:21" x14ac:dyDescent="0.25">
      <c r="A52" s="648">
        <v>90641</v>
      </c>
      <c r="B52" s="649" t="s">
        <v>2593</v>
      </c>
      <c r="C52" s="650">
        <v>1.4399999999999999E-5</v>
      </c>
      <c r="D52" s="650">
        <v>1.5400000000000002E-5</v>
      </c>
      <c r="E52" s="651">
        <v>5940.04</v>
      </c>
      <c r="F52" s="651">
        <v>6911</v>
      </c>
      <c r="G52" s="651">
        <v>30562</v>
      </c>
      <c r="H52" s="651"/>
      <c r="I52" s="652">
        <v>574</v>
      </c>
      <c r="J52" s="652">
        <v>26782</v>
      </c>
      <c r="K52" s="652">
        <v>2093</v>
      </c>
      <c r="L52" s="651">
        <v>340</v>
      </c>
      <c r="M52" s="651"/>
      <c r="N52" s="652">
        <v>1071</v>
      </c>
      <c r="O52" s="652">
        <v>9885</v>
      </c>
      <c r="P52" s="652">
        <v>0</v>
      </c>
      <c r="Q52" s="651">
        <v>782</v>
      </c>
      <c r="R52" s="651"/>
      <c r="S52" s="652">
        <v>8169</v>
      </c>
      <c r="T52" s="653">
        <v>-144</v>
      </c>
      <c r="U52" s="653">
        <v>8025</v>
      </c>
    </row>
    <row r="53" spans="1:21" x14ac:dyDescent="0.25">
      <c r="A53" s="648">
        <v>90651</v>
      </c>
      <c r="B53" s="649" t="s">
        <v>2594</v>
      </c>
      <c r="C53" s="650">
        <v>1.108E-4</v>
      </c>
      <c r="D53" s="650">
        <v>1.042E-4</v>
      </c>
      <c r="E53" s="651">
        <v>96248</v>
      </c>
      <c r="F53" s="651">
        <v>46764</v>
      </c>
      <c r="G53" s="651">
        <v>235155</v>
      </c>
      <c r="H53" s="651"/>
      <c r="I53" s="652">
        <v>4418</v>
      </c>
      <c r="J53" s="652">
        <v>206070</v>
      </c>
      <c r="K53" s="652">
        <v>16106</v>
      </c>
      <c r="L53" s="651">
        <v>73167</v>
      </c>
      <c r="M53" s="651"/>
      <c r="N53" s="652">
        <v>8240</v>
      </c>
      <c r="O53" s="652">
        <v>76060</v>
      </c>
      <c r="P53" s="652">
        <v>0</v>
      </c>
      <c r="Q53" s="651">
        <v>9364.94</v>
      </c>
      <c r="R53" s="651"/>
      <c r="S53" s="652">
        <v>62853</v>
      </c>
      <c r="T53" s="653">
        <v>17052</v>
      </c>
      <c r="U53" s="653">
        <v>79906</v>
      </c>
    </row>
    <row r="54" spans="1:21" x14ac:dyDescent="0.25">
      <c r="A54" s="648">
        <v>90701</v>
      </c>
      <c r="B54" s="649" t="s">
        <v>2595</v>
      </c>
      <c r="C54" s="650">
        <v>2.3587E-3</v>
      </c>
      <c r="D54" s="650">
        <v>2.3326000000000002E-3</v>
      </c>
      <c r="E54" s="651">
        <v>908617.53</v>
      </c>
      <c r="F54" s="651">
        <v>1046857</v>
      </c>
      <c r="G54" s="651">
        <v>5005952</v>
      </c>
      <c r="H54" s="651"/>
      <c r="I54" s="652">
        <v>94053</v>
      </c>
      <c r="J54" s="652">
        <v>4386809</v>
      </c>
      <c r="K54" s="652">
        <v>342863</v>
      </c>
      <c r="L54" s="651">
        <v>35812.04</v>
      </c>
      <c r="M54" s="651"/>
      <c r="N54" s="652">
        <v>175414</v>
      </c>
      <c r="O54" s="652">
        <v>1619148</v>
      </c>
      <c r="P54" s="652">
        <v>0</v>
      </c>
      <c r="Q54" s="651">
        <v>44222</v>
      </c>
      <c r="R54" s="651"/>
      <c r="S54" s="652">
        <v>1338017</v>
      </c>
      <c r="T54" s="653">
        <v>5621</v>
      </c>
      <c r="U54" s="653">
        <v>1343639</v>
      </c>
    </row>
    <row r="55" spans="1:21" x14ac:dyDescent="0.25">
      <c r="A55" s="648">
        <v>90704</v>
      </c>
      <c r="B55" s="649" t="s">
        <v>2596</v>
      </c>
      <c r="C55" s="650">
        <v>3.4900000000000001E-5</v>
      </c>
      <c r="D55" s="650">
        <v>3.3300000000000003E-5</v>
      </c>
      <c r="E55" s="651">
        <v>22788</v>
      </c>
      <c r="F55" s="651">
        <v>14945</v>
      </c>
      <c r="G55" s="651">
        <v>74069</v>
      </c>
      <c r="H55" s="651"/>
      <c r="I55" s="652">
        <v>1392</v>
      </c>
      <c r="J55" s="652">
        <v>64908</v>
      </c>
      <c r="K55" s="652">
        <v>5073</v>
      </c>
      <c r="L55" s="651">
        <v>13042</v>
      </c>
      <c r="M55" s="651"/>
      <c r="N55" s="652">
        <v>2595</v>
      </c>
      <c r="O55" s="652">
        <v>23957</v>
      </c>
      <c r="P55" s="652">
        <v>0</v>
      </c>
      <c r="Q55" s="651">
        <v>0</v>
      </c>
      <c r="R55" s="651"/>
      <c r="S55" s="652">
        <v>19798</v>
      </c>
      <c r="T55" s="653">
        <v>4197</v>
      </c>
      <c r="U55" s="653">
        <v>23995</v>
      </c>
    </row>
    <row r="56" spans="1:21" x14ac:dyDescent="0.25">
      <c r="A56" s="648">
        <v>90705</v>
      </c>
      <c r="B56" s="649" t="s">
        <v>2597</v>
      </c>
      <c r="C56" s="650">
        <v>3.3899999999999997E-5</v>
      </c>
      <c r="D56" s="650">
        <v>3.0599999999999998E-5</v>
      </c>
      <c r="E56" s="651">
        <v>17670</v>
      </c>
      <c r="F56" s="651">
        <v>13733</v>
      </c>
      <c r="G56" s="651">
        <v>71947</v>
      </c>
      <c r="H56" s="651"/>
      <c r="I56" s="652">
        <v>1352</v>
      </c>
      <c r="J56" s="652">
        <v>63049</v>
      </c>
      <c r="K56" s="652">
        <v>4928</v>
      </c>
      <c r="L56" s="651">
        <v>9785</v>
      </c>
      <c r="M56" s="651"/>
      <c r="N56" s="652">
        <v>2521</v>
      </c>
      <c r="O56" s="652">
        <v>23271</v>
      </c>
      <c r="P56" s="652">
        <v>0</v>
      </c>
      <c r="Q56" s="651">
        <v>0</v>
      </c>
      <c r="R56" s="651"/>
      <c r="S56" s="652">
        <v>19230</v>
      </c>
      <c r="T56" s="653">
        <v>3239</v>
      </c>
      <c r="U56" s="653">
        <v>22470</v>
      </c>
    </row>
    <row r="57" spans="1:21" x14ac:dyDescent="0.25">
      <c r="A57" s="648">
        <v>90709</v>
      </c>
      <c r="B57" s="649" t="s">
        <v>2598</v>
      </c>
      <c r="C57" s="650">
        <v>1.4569999999999999E-4</v>
      </c>
      <c r="D57" s="650">
        <v>2.1790000000000001E-4</v>
      </c>
      <c r="E57" s="651">
        <v>59289.13</v>
      </c>
      <c r="F57" s="651">
        <v>97792</v>
      </c>
      <c r="G57" s="651">
        <v>309224</v>
      </c>
      <c r="H57" s="651"/>
      <c r="I57" s="652">
        <v>5810</v>
      </c>
      <c r="J57" s="652">
        <v>270979</v>
      </c>
      <c r="K57" s="652">
        <v>21179</v>
      </c>
      <c r="L57" s="651">
        <v>10221</v>
      </c>
      <c r="M57" s="651"/>
      <c r="N57" s="652">
        <v>10836</v>
      </c>
      <c r="O57" s="652">
        <v>100017</v>
      </c>
      <c r="P57" s="652">
        <v>0</v>
      </c>
      <c r="Q57" s="651">
        <v>44565</v>
      </c>
      <c r="R57" s="651"/>
      <c r="S57" s="652">
        <v>82651</v>
      </c>
      <c r="T57" s="653">
        <v>-6883</v>
      </c>
      <c r="U57" s="653">
        <v>75769</v>
      </c>
    </row>
    <row r="58" spans="1:21" x14ac:dyDescent="0.25">
      <c r="A58" s="648">
        <v>90711</v>
      </c>
      <c r="B58" s="649" t="s">
        <v>2599</v>
      </c>
      <c r="C58" s="650">
        <v>1.7302000000000001E-3</v>
      </c>
      <c r="D58" s="650">
        <v>1.8802000000000001E-3</v>
      </c>
      <c r="E58" s="651">
        <v>667293.38</v>
      </c>
      <c r="F58" s="651">
        <v>843822</v>
      </c>
      <c r="G58" s="651">
        <v>3672064</v>
      </c>
      <c r="H58" s="651"/>
      <c r="I58" s="652">
        <v>68992</v>
      </c>
      <c r="J58" s="652">
        <v>3217899</v>
      </c>
      <c r="K58" s="652">
        <v>251504</v>
      </c>
      <c r="L58" s="651">
        <v>0</v>
      </c>
      <c r="M58" s="651"/>
      <c r="N58" s="652">
        <v>128673</v>
      </c>
      <c r="O58" s="652">
        <v>1187710</v>
      </c>
      <c r="P58" s="652">
        <v>0</v>
      </c>
      <c r="Q58" s="651">
        <v>193488</v>
      </c>
      <c r="R58" s="651"/>
      <c r="S58" s="652">
        <v>981489</v>
      </c>
      <c r="T58" s="653">
        <v>-61566</v>
      </c>
      <c r="U58" s="653">
        <v>919922</v>
      </c>
    </row>
    <row r="59" spans="1:21" x14ac:dyDescent="0.25">
      <c r="A59" s="648">
        <v>90721</v>
      </c>
      <c r="B59" s="649" t="s">
        <v>2600</v>
      </c>
      <c r="C59" s="650">
        <v>3.7299999999999999E-5</v>
      </c>
      <c r="D59" s="650">
        <v>3.82E-5</v>
      </c>
      <c r="E59" s="651">
        <v>14531.46</v>
      </c>
      <c r="F59" s="651">
        <v>17144</v>
      </c>
      <c r="G59" s="651">
        <v>79163</v>
      </c>
      <c r="H59" s="651"/>
      <c r="I59" s="652">
        <v>1487</v>
      </c>
      <c r="J59" s="652">
        <v>69372</v>
      </c>
      <c r="K59" s="652">
        <v>5422</v>
      </c>
      <c r="L59" s="651">
        <v>5347</v>
      </c>
      <c r="M59" s="651"/>
      <c r="N59" s="652">
        <v>2774</v>
      </c>
      <c r="O59" s="652">
        <v>25605</v>
      </c>
      <c r="P59" s="652">
        <v>0</v>
      </c>
      <c r="Q59" s="651">
        <v>1129</v>
      </c>
      <c r="R59" s="651"/>
      <c r="S59" s="652">
        <v>21159</v>
      </c>
      <c r="T59" s="653">
        <v>2098</v>
      </c>
      <c r="U59" s="653">
        <v>23258</v>
      </c>
    </row>
    <row r="60" spans="1:21" x14ac:dyDescent="0.25">
      <c r="A60" s="648">
        <v>90731</v>
      </c>
      <c r="B60" s="649" t="s">
        <v>2601</v>
      </c>
      <c r="C60" s="650">
        <v>1.917E-4</v>
      </c>
      <c r="D60" s="650">
        <v>1.9459999999999999E-4</v>
      </c>
      <c r="E60" s="651">
        <v>77066</v>
      </c>
      <c r="F60" s="651">
        <v>87335</v>
      </c>
      <c r="G60" s="651">
        <v>406852</v>
      </c>
      <c r="H60" s="651"/>
      <c r="I60" s="652">
        <v>7644</v>
      </c>
      <c r="J60" s="652">
        <v>356532</v>
      </c>
      <c r="K60" s="652">
        <v>27866</v>
      </c>
      <c r="L60" s="651">
        <v>0</v>
      </c>
      <c r="M60" s="651"/>
      <c r="N60" s="652">
        <v>14257</v>
      </c>
      <c r="O60" s="652">
        <v>131594</v>
      </c>
      <c r="P60" s="652">
        <v>0</v>
      </c>
      <c r="Q60" s="651">
        <v>10037</v>
      </c>
      <c r="R60" s="651"/>
      <c r="S60" s="652">
        <v>108745</v>
      </c>
      <c r="T60" s="653">
        <v>-3998</v>
      </c>
      <c r="U60" s="653">
        <v>104747</v>
      </c>
    </row>
    <row r="61" spans="1:21" x14ac:dyDescent="0.25">
      <c r="A61" s="648">
        <v>90741</v>
      </c>
      <c r="B61" s="649" t="s">
        <v>2602</v>
      </c>
      <c r="C61" s="650">
        <v>1.2099999999999999E-5</v>
      </c>
      <c r="D61" s="650">
        <v>1.2799999999999999E-5</v>
      </c>
      <c r="E61" s="651">
        <v>6754</v>
      </c>
      <c r="F61" s="651">
        <v>5745</v>
      </c>
      <c r="G61" s="651">
        <v>25680</v>
      </c>
      <c r="H61" s="651"/>
      <c r="I61" s="652">
        <v>482</v>
      </c>
      <c r="J61" s="652">
        <v>22504</v>
      </c>
      <c r="K61" s="652">
        <v>1759</v>
      </c>
      <c r="L61" s="651">
        <v>3208</v>
      </c>
      <c r="M61" s="651"/>
      <c r="N61" s="652">
        <v>900</v>
      </c>
      <c r="O61" s="652">
        <v>8306</v>
      </c>
      <c r="P61" s="652">
        <v>0</v>
      </c>
      <c r="Q61" s="651">
        <v>1496</v>
      </c>
      <c r="R61" s="651"/>
      <c r="S61" s="652">
        <v>6864</v>
      </c>
      <c r="T61" s="653">
        <v>287</v>
      </c>
      <c r="U61" s="653">
        <v>7151</v>
      </c>
    </row>
    <row r="62" spans="1:21" x14ac:dyDescent="0.25">
      <c r="A62" s="648">
        <v>90751</v>
      </c>
      <c r="B62" s="649" t="s">
        <v>2603</v>
      </c>
      <c r="C62" s="650">
        <v>6.5599999999999995E-5</v>
      </c>
      <c r="D62" s="650">
        <v>6.2000000000000003E-5</v>
      </c>
      <c r="E62" s="651">
        <v>24796.57</v>
      </c>
      <c r="F62" s="651">
        <v>27825</v>
      </c>
      <c r="G62" s="651">
        <v>139225</v>
      </c>
      <c r="H62" s="651"/>
      <c r="I62" s="652">
        <v>2616</v>
      </c>
      <c r="J62" s="652">
        <v>122006</v>
      </c>
      <c r="K62" s="652">
        <v>9536</v>
      </c>
      <c r="L62" s="651">
        <v>8610</v>
      </c>
      <c r="M62" s="651"/>
      <c r="N62" s="652">
        <v>4879</v>
      </c>
      <c r="O62" s="652">
        <v>45032</v>
      </c>
      <c r="P62" s="652">
        <v>0</v>
      </c>
      <c r="Q62" s="651">
        <v>0</v>
      </c>
      <c r="R62" s="651"/>
      <c r="S62" s="652">
        <v>37213</v>
      </c>
      <c r="T62" s="653">
        <v>3670</v>
      </c>
      <c r="U62" s="653">
        <v>40883</v>
      </c>
    </row>
    <row r="63" spans="1:21" x14ac:dyDescent="0.25">
      <c r="A63" s="648">
        <v>90801</v>
      </c>
      <c r="B63" s="649" t="s">
        <v>2604</v>
      </c>
      <c r="C63" s="650">
        <v>1.1404E-3</v>
      </c>
      <c r="D63" s="650">
        <v>1.0472000000000001E-3</v>
      </c>
      <c r="E63" s="651">
        <v>442982.95</v>
      </c>
      <c r="F63" s="651">
        <v>469977</v>
      </c>
      <c r="G63" s="651">
        <v>2420311</v>
      </c>
      <c r="H63" s="651"/>
      <c r="I63" s="652">
        <v>45473.45</v>
      </c>
      <c r="J63" s="652">
        <v>2120964</v>
      </c>
      <c r="K63" s="652">
        <v>165770</v>
      </c>
      <c r="L63" s="651">
        <v>156481</v>
      </c>
      <c r="M63" s="651"/>
      <c r="N63" s="652">
        <v>84810</v>
      </c>
      <c r="O63" s="652">
        <v>782837</v>
      </c>
      <c r="P63" s="652">
        <v>0</v>
      </c>
      <c r="Q63" s="651">
        <v>0</v>
      </c>
      <c r="R63" s="651"/>
      <c r="S63" s="652">
        <v>646914</v>
      </c>
      <c r="T63" s="653">
        <v>53264</v>
      </c>
      <c r="U63" s="653">
        <v>700177</v>
      </c>
    </row>
    <row r="64" spans="1:21" x14ac:dyDescent="0.25">
      <c r="A64" s="648">
        <v>90804</v>
      </c>
      <c r="B64" s="649" t="s">
        <v>2605</v>
      </c>
      <c r="C64" s="650">
        <v>6.0000000000000002E-6</v>
      </c>
      <c r="D64" s="650">
        <v>4.6999999999999999E-6</v>
      </c>
      <c r="E64" s="651">
        <v>2490.12</v>
      </c>
      <c r="F64" s="651">
        <v>2109</v>
      </c>
      <c r="G64" s="651">
        <v>12734.01</v>
      </c>
      <c r="H64" s="651"/>
      <c r="I64" s="652">
        <v>239.25</v>
      </c>
      <c r="J64" s="652">
        <v>11159</v>
      </c>
      <c r="K64" s="652">
        <v>872</v>
      </c>
      <c r="L64" s="651">
        <v>2282</v>
      </c>
      <c r="M64" s="651"/>
      <c r="N64" s="652">
        <v>446</v>
      </c>
      <c r="O64" s="652">
        <v>4119</v>
      </c>
      <c r="P64" s="652">
        <v>0</v>
      </c>
      <c r="Q64" s="651">
        <v>0</v>
      </c>
      <c r="R64" s="651"/>
      <c r="S64" s="652">
        <v>3404</v>
      </c>
      <c r="T64" s="653">
        <v>878</v>
      </c>
      <c r="U64" s="653">
        <v>4282</v>
      </c>
    </row>
    <row r="65" spans="1:21" x14ac:dyDescent="0.25">
      <c r="A65" s="648">
        <v>90805</v>
      </c>
      <c r="B65" s="649" t="s">
        <v>2606</v>
      </c>
      <c r="C65" s="650">
        <v>5.5099999999999998E-5</v>
      </c>
      <c r="D65" s="650">
        <v>5.2800000000000003E-5</v>
      </c>
      <c r="E65" s="651">
        <v>34303</v>
      </c>
      <c r="F65" s="651">
        <v>23696</v>
      </c>
      <c r="G65" s="651">
        <v>116941</v>
      </c>
      <c r="H65" s="651"/>
      <c r="I65" s="652">
        <v>2197</v>
      </c>
      <c r="J65" s="652">
        <v>102477</v>
      </c>
      <c r="K65" s="652">
        <v>8009</v>
      </c>
      <c r="L65" s="651">
        <v>22372</v>
      </c>
      <c r="M65" s="651"/>
      <c r="N65" s="652">
        <v>4098</v>
      </c>
      <c r="O65" s="652">
        <v>37824</v>
      </c>
      <c r="P65" s="652">
        <v>0</v>
      </c>
      <c r="Q65" s="651">
        <v>0</v>
      </c>
      <c r="R65" s="651"/>
      <c r="S65" s="652">
        <v>31257</v>
      </c>
      <c r="T65" s="653">
        <v>7625</v>
      </c>
      <c r="U65" s="653">
        <v>38881</v>
      </c>
    </row>
    <row r="66" spans="1:21" x14ac:dyDescent="0.25">
      <c r="A66" s="648">
        <v>90808</v>
      </c>
      <c r="B66" s="649" t="s">
        <v>2607</v>
      </c>
      <c r="C66" s="650">
        <v>1.109E-4</v>
      </c>
      <c r="D66" s="650">
        <v>1.176E-4</v>
      </c>
      <c r="E66" s="651">
        <v>47437.34</v>
      </c>
      <c r="F66" s="651">
        <v>52778</v>
      </c>
      <c r="G66" s="651">
        <v>235367</v>
      </c>
      <c r="H66" s="651"/>
      <c r="I66" s="652">
        <v>4422</v>
      </c>
      <c r="J66" s="652">
        <v>206256</v>
      </c>
      <c r="K66" s="652">
        <v>16121</v>
      </c>
      <c r="L66" s="651">
        <v>1422</v>
      </c>
      <c r="M66" s="651"/>
      <c r="N66" s="652">
        <v>8248</v>
      </c>
      <c r="O66" s="652">
        <v>76128</v>
      </c>
      <c r="P66" s="652">
        <v>0</v>
      </c>
      <c r="Q66" s="651">
        <v>2972</v>
      </c>
      <c r="R66" s="651"/>
      <c r="S66" s="652">
        <v>62910</v>
      </c>
      <c r="T66" s="653">
        <v>-460</v>
      </c>
      <c r="U66" s="653">
        <v>62451</v>
      </c>
    </row>
    <row r="67" spans="1:21" x14ac:dyDescent="0.25">
      <c r="A67" s="648">
        <v>90811</v>
      </c>
      <c r="B67" s="649" t="s">
        <v>2608</v>
      </c>
      <c r="C67" s="650">
        <v>4.0000000000000003E-5</v>
      </c>
      <c r="D67" s="650">
        <v>3.6199999999999999E-5</v>
      </c>
      <c r="E67" s="651">
        <v>12069.34</v>
      </c>
      <c r="F67" s="651">
        <v>16246</v>
      </c>
      <c r="G67" s="651">
        <v>84893</v>
      </c>
      <c r="H67" s="651"/>
      <c r="I67" s="652">
        <v>1595</v>
      </c>
      <c r="J67" s="652">
        <v>74394</v>
      </c>
      <c r="K67" s="652">
        <v>5814</v>
      </c>
      <c r="L67" s="651">
        <v>947</v>
      </c>
      <c r="M67" s="651"/>
      <c r="N67" s="652">
        <v>2974.76</v>
      </c>
      <c r="O67" s="652">
        <v>27458</v>
      </c>
      <c r="P67" s="652">
        <v>0</v>
      </c>
      <c r="Q67" s="651">
        <v>2175</v>
      </c>
      <c r="R67" s="651"/>
      <c r="S67" s="652">
        <v>22691</v>
      </c>
      <c r="T67" s="653">
        <v>-159</v>
      </c>
      <c r="U67" s="653">
        <v>22531</v>
      </c>
    </row>
    <row r="68" spans="1:21" x14ac:dyDescent="0.25">
      <c r="A68" s="648">
        <v>90812</v>
      </c>
      <c r="B68" s="649" t="s">
        <v>2609</v>
      </c>
      <c r="C68" s="650">
        <v>2.13E-4</v>
      </c>
      <c r="D68" s="650">
        <v>2.409E-4</v>
      </c>
      <c r="E68" s="651">
        <v>88699.09</v>
      </c>
      <c r="F68" s="651">
        <v>108114</v>
      </c>
      <c r="G68" s="651">
        <v>452057</v>
      </c>
      <c r="H68" s="651"/>
      <c r="I68" s="652">
        <v>8493.375</v>
      </c>
      <c r="J68" s="652">
        <v>396146</v>
      </c>
      <c r="K68" s="652">
        <v>30962</v>
      </c>
      <c r="L68" s="651">
        <v>8573</v>
      </c>
      <c r="M68" s="651"/>
      <c r="N68" s="652">
        <v>15841</v>
      </c>
      <c r="O68" s="652">
        <v>146216</v>
      </c>
      <c r="P68" s="652">
        <v>0</v>
      </c>
      <c r="Q68" s="651">
        <v>14237</v>
      </c>
      <c r="R68" s="651"/>
      <c r="S68" s="652">
        <v>120828</v>
      </c>
      <c r="T68" s="653">
        <v>453</v>
      </c>
      <c r="U68" s="653">
        <v>121281</v>
      </c>
    </row>
    <row r="69" spans="1:21" x14ac:dyDescent="0.25">
      <c r="A69" s="648">
        <v>90813</v>
      </c>
      <c r="B69" s="649" t="s">
        <v>2610</v>
      </c>
      <c r="C69" s="650">
        <v>5.4999999999999999E-6</v>
      </c>
      <c r="D69" s="650">
        <v>5.4E-6</v>
      </c>
      <c r="E69" s="651">
        <v>1841</v>
      </c>
      <c r="F69" s="651">
        <v>2423</v>
      </c>
      <c r="G69" s="651">
        <v>11673</v>
      </c>
      <c r="H69" s="651"/>
      <c r="I69" s="652">
        <v>219.3125</v>
      </c>
      <c r="J69" s="652">
        <v>10229</v>
      </c>
      <c r="K69" s="652">
        <v>799</v>
      </c>
      <c r="L69" s="651">
        <v>0</v>
      </c>
      <c r="M69" s="651"/>
      <c r="N69" s="652">
        <v>409</v>
      </c>
      <c r="O69" s="652">
        <v>3776</v>
      </c>
      <c r="P69" s="652">
        <v>0</v>
      </c>
      <c r="Q69" s="651">
        <v>1089</v>
      </c>
      <c r="R69" s="651"/>
      <c r="S69" s="652">
        <v>3120</v>
      </c>
      <c r="T69" s="653">
        <v>-397</v>
      </c>
      <c r="U69" s="653">
        <v>2723</v>
      </c>
    </row>
    <row r="70" spans="1:21" x14ac:dyDescent="0.25">
      <c r="A70" s="648">
        <v>90861</v>
      </c>
      <c r="B70" s="649" t="s">
        <v>2611</v>
      </c>
      <c r="C70" s="650">
        <v>4.7999999999999998E-6</v>
      </c>
      <c r="D70" s="650">
        <v>5.3000000000000001E-6</v>
      </c>
      <c r="E70" s="651">
        <v>3510</v>
      </c>
      <c r="F70" s="651">
        <v>2379</v>
      </c>
      <c r="G70" s="651">
        <v>10187</v>
      </c>
      <c r="H70" s="651"/>
      <c r="I70" s="652">
        <v>191</v>
      </c>
      <c r="J70" s="652">
        <v>8927</v>
      </c>
      <c r="K70" s="652">
        <v>698</v>
      </c>
      <c r="L70" s="651">
        <v>3258</v>
      </c>
      <c r="M70" s="651"/>
      <c r="N70" s="652">
        <v>357</v>
      </c>
      <c r="O70" s="652">
        <v>3295</v>
      </c>
      <c r="P70" s="652">
        <v>0</v>
      </c>
      <c r="Q70" s="651">
        <v>2245</v>
      </c>
      <c r="R70" s="651"/>
      <c r="S70" s="652">
        <v>2723</v>
      </c>
      <c r="T70" s="653">
        <v>-63</v>
      </c>
      <c r="U70" s="653">
        <v>2659</v>
      </c>
    </row>
    <row r="71" spans="1:21" x14ac:dyDescent="0.25">
      <c r="A71" s="648">
        <v>90901</v>
      </c>
      <c r="B71" s="649" t="s">
        <v>2612</v>
      </c>
      <c r="C71" s="650">
        <v>2.1302999999999999E-3</v>
      </c>
      <c r="D71" s="650">
        <v>2.2187000000000001E-3</v>
      </c>
      <c r="E71" s="651">
        <v>886463</v>
      </c>
      <c r="F71" s="651">
        <v>995739</v>
      </c>
      <c r="G71" s="651">
        <v>4521210</v>
      </c>
      <c r="H71" s="651"/>
      <c r="I71" s="652">
        <v>84946</v>
      </c>
      <c r="J71" s="652">
        <v>3962021</v>
      </c>
      <c r="K71" s="652">
        <v>309663</v>
      </c>
      <c r="L71" s="651">
        <v>9118.18</v>
      </c>
      <c r="M71" s="651"/>
      <c r="N71" s="652">
        <v>158428</v>
      </c>
      <c r="O71" s="652">
        <v>1462361</v>
      </c>
      <c r="P71" s="652">
        <v>0</v>
      </c>
      <c r="Q71" s="651">
        <v>53019</v>
      </c>
      <c r="R71" s="651"/>
      <c r="S71" s="652">
        <v>1208453</v>
      </c>
      <c r="T71" s="653">
        <v>-10432</v>
      </c>
      <c r="U71" s="653">
        <v>1198021</v>
      </c>
    </row>
    <row r="72" spans="1:21" x14ac:dyDescent="0.25">
      <c r="A72" s="648">
        <v>90911</v>
      </c>
      <c r="B72" s="649" t="s">
        <v>2613</v>
      </c>
      <c r="C72" s="650">
        <v>3.6010000000000003E-4</v>
      </c>
      <c r="D72" s="650">
        <v>3.6860000000000001E-4</v>
      </c>
      <c r="E72" s="651">
        <v>130625.3</v>
      </c>
      <c r="F72" s="651">
        <v>165425</v>
      </c>
      <c r="G72" s="651">
        <v>764253</v>
      </c>
      <c r="H72" s="651"/>
      <c r="I72" s="652">
        <v>14359</v>
      </c>
      <c r="J72" s="652">
        <v>669729</v>
      </c>
      <c r="K72" s="652">
        <v>52344</v>
      </c>
      <c r="L72" s="651">
        <v>0</v>
      </c>
      <c r="M72" s="651"/>
      <c r="N72" s="652">
        <v>26780</v>
      </c>
      <c r="O72" s="652">
        <v>247194</v>
      </c>
      <c r="P72" s="652">
        <v>0</v>
      </c>
      <c r="Q72" s="651">
        <v>51509</v>
      </c>
      <c r="R72" s="651"/>
      <c r="S72" s="652">
        <v>204274</v>
      </c>
      <c r="T72" s="653">
        <v>-20027</v>
      </c>
      <c r="U72" s="653">
        <v>184246</v>
      </c>
    </row>
    <row r="73" spans="1:21" x14ac:dyDescent="0.25">
      <c r="A73" s="648">
        <v>90917</v>
      </c>
      <c r="B73" s="649" t="s">
        <v>2614</v>
      </c>
      <c r="C73" s="650">
        <v>1.42E-5</v>
      </c>
      <c r="D73" s="650">
        <v>1.01E-5</v>
      </c>
      <c r="E73" s="651">
        <v>5169</v>
      </c>
      <c r="F73" s="651">
        <v>4533</v>
      </c>
      <c r="G73" s="651">
        <v>30137</v>
      </c>
      <c r="H73" s="651"/>
      <c r="I73" s="652">
        <v>566.22500000000002</v>
      </c>
      <c r="J73" s="652">
        <v>26410</v>
      </c>
      <c r="K73" s="652">
        <v>2064</v>
      </c>
      <c r="L73" s="651">
        <v>2014</v>
      </c>
      <c r="M73" s="651"/>
      <c r="N73" s="652">
        <v>1056</v>
      </c>
      <c r="O73" s="652">
        <v>9748</v>
      </c>
      <c r="P73" s="652">
        <v>0</v>
      </c>
      <c r="Q73" s="651">
        <v>881.57</v>
      </c>
      <c r="R73" s="651"/>
      <c r="S73" s="652">
        <v>8055</v>
      </c>
      <c r="T73" s="653">
        <v>110</v>
      </c>
      <c r="U73" s="653">
        <v>8165</v>
      </c>
    </row>
    <row r="74" spans="1:21" x14ac:dyDescent="0.25">
      <c r="A74" s="648">
        <v>90918</v>
      </c>
      <c r="B74" s="649" t="s">
        <v>2615</v>
      </c>
      <c r="C74" s="650">
        <v>1.24E-5</v>
      </c>
      <c r="D74" s="650">
        <v>1.3499999999999999E-5</v>
      </c>
      <c r="E74" s="651">
        <v>4291.66</v>
      </c>
      <c r="F74" s="651">
        <v>6059</v>
      </c>
      <c r="G74" s="651">
        <v>26317</v>
      </c>
      <c r="H74" s="651"/>
      <c r="I74" s="652">
        <v>494.45</v>
      </c>
      <c r="J74" s="652">
        <v>23062</v>
      </c>
      <c r="K74" s="652">
        <v>1802</v>
      </c>
      <c r="L74" s="651">
        <v>0</v>
      </c>
      <c r="M74" s="651"/>
      <c r="N74" s="652">
        <v>922</v>
      </c>
      <c r="O74" s="652">
        <v>8512</v>
      </c>
      <c r="P74" s="652">
        <v>0</v>
      </c>
      <c r="Q74" s="651">
        <v>2531</v>
      </c>
      <c r="R74" s="651"/>
      <c r="S74" s="652">
        <v>7034</v>
      </c>
      <c r="T74" s="653">
        <v>-865</v>
      </c>
      <c r="U74" s="653">
        <v>6169</v>
      </c>
    </row>
    <row r="75" spans="1:21" x14ac:dyDescent="0.25">
      <c r="A75" s="648">
        <v>90921</v>
      </c>
      <c r="B75" s="649" t="s">
        <v>2616</v>
      </c>
      <c r="C75" s="650">
        <v>8.7399999999999997E-5</v>
      </c>
      <c r="D75" s="650">
        <v>1.149E-4</v>
      </c>
      <c r="E75" s="651">
        <v>45670.59</v>
      </c>
      <c r="F75" s="651">
        <v>51566</v>
      </c>
      <c r="G75" s="651">
        <v>185492</v>
      </c>
      <c r="H75" s="651"/>
      <c r="I75" s="652">
        <v>3485</v>
      </c>
      <c r="J75" s="652">
        <v>162550</v>
      </c>
      <c r="K75" s="652">
        <v>12705</v>
      </c>
      <c r="L75" s="651">
        <v>4488</v>
      </c>
      <c r="M75" s="651"/>
      <c r="N75" s="652">
        <v>6500</v>
      </c>
      <c r="O75" s="652">
        <v>59996</v>
      </c>
      <c r="P75" s="652">
        <v>0</v>
      </c>
      <c r="Q75" s="651">
        <v>10576</v>
      </c>
      <c r="R75" s="651"/>
      <c r="S75" s="652">
        <v>49579</v>
      </c>
      <c r="T75" s="653">
        <v>-1977</v>
      </c>
      <c r="U75" s="653">
        <v>47602</v>
      </c>
    </row>
    <row r="76" spans="1:21" x14ac:dyDescent="0.25">
      <c r="A76" s="648">
        <v>90931</v>
      </c>
      <c r="B76" s="649" t="s">
        <v>2617</v>
      </c>
      <c r="C76" s="650">
        <v>5.1900000000000001E-5</v>
      </c>
      <c r="D76" s="650">
        <v>6.2700000000000006E-5</v>
      </c>
      <c r="E76" s="651">
        <v>20869.29</v>
      </c>
      <c r="F76" s="651">
        <v>28139</v>
      </c>
      <c r="G76" s="651">
        <v>110149</v>
      </c>
      <c r="H76" s="651"/>
      <c r="I76" s="652">
        <v>2070</v>
      </c>
      <c r="J76" s="652">
        <v>96526</v>
      </c>
      <c r="K76" s="652">
        <v>7544</v>
      </c>
      <c r="L76" s="651">
        <v>6439</v>
      </c>
      <c r="M76" s="651"/>
      <c r="N76" s="652">
        <v>3860</v>
      </c>
      <c r="O76" s="652">
        <v>35627</v>
      </c>
      <c r="P76" s="652">
        <v>0</v>
      </c>
      <c r="Q76" s="651">
        <v>6227</v>
      </c>
      <c r="R76" s="651"/>
      <c r="S76" s="652">
        <v>29441</v>
      </c>
      <c r="T76" s="653">
        <v>1082</v>
      </c>
      <c r="U76" s="653">
        <v>30524</v>
      </c>
    </row>
    <row r="77" spans="1:21" x14ac:dyDescent="0.25">
      <c r="A77" s="648">
        <v>90941</v>
      </c>
      <c r="B77" s="649" t="s">
        <v>2618</v>
      </c>
      <c r="C77" s="650">
        <v>9.0799999999999998E-5</v>
      </c>
      <c r="D77" s="650">
        <v>8.1199999999999995E-5</v>
      </c>
      <c r="E77" s="651">
        <v>33657.32</v>
      </c>
      <c r="F77" s="651">
        <v>36442</v>
      </c>
      <c r="G77" s="651">
        <v>192708</v>
      </c>
      <c r="H77" s="651"/>
      <c r="I77" s="652">
        <v>3620.65</v>
      </c>
      <c r="J77" s="652">
        <v>168874</v>
      </c>
      <c r="K77" s="652">
        <v>13199</v>
      </c>
      <c r="L77" s="651">
        <v>2275</v>
      </c>
      <c r="M77" s="651"/>
      <c r="N77" s="652">
        <v>6753</v>
      </c>
      <c r="O77" s="652">
        <v>62330</v>
      </c>
      <c r="P77" s="652">
        <v>0</v>
      </c>
      <c r="Q77" s="651">
        <v>7609</v>
      </c>
      <c r="R77" s="651"/>
      <c r="S77" s="652">
        <v>51508</v>
      </c>
      <c r="T77" s="653">
        <v>-2188</v>
      </c>
      <c r="U77" s="653">
        <v>49320</v>
      </c>
    </row>
    <row r="78" spans="1:21" x14ac:dyDescent="0.25">
      <c r="A78" s="648">
        <v>91001</v>
      </c>
      <c r="B78" s="649" t="s">
        <v>2619</v>
      </c>
      <c r="C78" s="650">
        <v>6.6189999999999999E-3</v>
      </c>
      <c r="D78" s="650">
        <v>6.5719999999999997E-3</v>
      </c>
      <c r="E78" s="651">
        <v>2476167.31</v>
      </c>
      <c r="F78" s="651">
        <v>2949474</v>
      </c>
      <c r="G78" s="651">
        <v>14047735</v>
      </c>
      <c r="H78" s="651"/>
      <c r="I78" s="652">
        <v>263933</v>
      </c>
      <c r="J78" s="652">
        <v>12310294</v>
      </c>
      <c r="K78" s="652">
        <v>962144</v>
      </c>
      <c r="L78" s="651">
        <v>72024</v>
      </c>
      <c r="M78" s="651"/>
      <c r="N78" s="652">
        <v>492248</v>
      </c>
      <c r="O78" s="652">
        <v>4543666</v>
      </c>
      <c r="P78" s="652">
        <v>0</v>
      </c>
      <c r="Q78" s="651">
        <v>203248</v>
      </c>
      <c r="R78" s="651"/>
      <c r="S78" s="652">
        <v>3754754</v>
      </c>
      <c r="T78" s="653">
        <v>-19657</v>
      </c>
      <c r="U78" s="653">
        <v>3735096</v>
      </c>
    </row>
    <row r="79" spans="1:21" x14ac:dyDescent="0.25">
      <c r="A79" s="648">
        <v>91002</v>
      </c>
      <c r="B79" s="649" t="s">
        <v>2620</v>
      </c>
      <c r="C79" s="650">
        <v>5.6360000000000004E-4</v>
      </c>
      <c r="D79" s="650">
        <v>5.8929999999999996E-4</v>
      </c>
      <c r="E79" s="651">
        <v>198213.95</v>
      </c>
      <c r="F79" s="651">
        <v>264474</v>
      </c>
      <c r="G79" s="651">
        <v>1196148</v>
      </c>
      <c r="H79" s="651"/>
      <c r="I79" s="652">
        <v>22474</v>
      </c>
      <c r="J79" s="652">
        <v>1048207</v>
      </c>
      <c r="K79" s="652">
        <v>81925</v>
      </c>
      <c r="L79" s="651">
        <v>5287.43</v>
      </c>
      <c r="M79" s="651"/>
      <c r="N79" s="652">
        <v>41914</v>
      </c>
      <c r="O79" s="652">
        <v>386888</v>
      </c>
      <c r="P79" s="652">
        <v>0</v>
      </c>
      <c r="Q79" s="651">
        <v>69296</v>
      </c>
      <c r="R79" s="651"/>
      <c r="S79" s="652">
        <v>319713</v>
      </c>
      <c r="T79" s="653">
        <v>-18039</v>
      </c>
      <c r="U79" s="653">
        <v>301674</v>
      </c>
    </row>
    <row r="80" spans="1:21" x14ac:dyDescent="0.25">
      <c r="A80" s="648">
        <v>91003</v>
      </c>
      <c r="B80" s="649" t="s">
        <v>2621</v>
      </c>
      <c r="C80" s="650">
        <v>5.6550000000000003E-4</v>
      </c>
      <c r="D80" s="650">
        <v>6.4320000000000002E-4</v>
      </c>
      <c r="E80" s="651">
        <v>237083</v>
      </c>
      <c r="F80" s="651">
        <v>288664</v>
      </c>
      <c r="G80" s="651">
        <v>1200180</v>
      </c>
      <c r="H80" s="651"/>
      <c r="I80" s="652">
        <v>22549.3125</v>
      </c>
      <c r="J80" s="652">
        <v>1051741</v>
      </c>
      <c r="K80" s="652">
        <v>82202</v>
      </c>
      <c r="L80" s="651">
        <v>33107</v>
      </c>
      <c r="M80" s="651"/>
      <c r="N80" s="652">
        <v>42056</v>
      </c>
      <c r="O80" s="652">
        <v>388192</v>
      </c>
      <c r="P80" s="652">
        <v>0</v>
      </c>
      <c r="Q80" s="651">
        <v>38498</v>
      </c>
      <c r="R80" s="651"/>
      <c r="S80" s="652">
        <v>320791</v>
      </c>
      <c r="T80" s="653">
        <v>4893</v>
      </c>
      <c r="U80" s="653">
        <v>325683</v>
      </c>
    </row>
    <row r="81" spans="1:21" x14ac:dyDescent="0.25">
      <c r="A81" s="648">
        <v>91004</v>
      </c>
      <c r="B81" s="649" t="s">
        <v>2622</v>
      </c>
      <c r="C81" s="650">
        <v>1.7499999999999998E-5</v>
      </c>
      <c r="D81" s="650">
        <v>1.8199999999999999E-5</v>
      </c>
      <c r="E81" s="651">
        <v>9480</v>
      </c>
      <c r="F81" s="651">
        <v>8168</v>
      </c>
      <c r="G81" s="651">
        <v>37141</v>
      </c>
      <c r="H81" s="651"/>
      <c r="I81" s="652">
        <v>698</v>
      </c>
      <c r="J81" s="652">
        <v>32547</v>
      </c>
      <c r="K81" s="652">
        <v>2544</v>
      </c>
      <c r="L81" s="651">
        <v>7859</v>
      </c>
      <c r="M81" s="651"/>
      <c r="N81" s="652">
        <v>1301.4575</v>
      </c>
      <c r="O81" s="652">
        <v>12013</v>
      </c>
      <c r="P81" s="652">
        <v>0</v>
      </c>
      <c r="Q81" s="651">
        <v>217</v>
      </c>
      <c r="R81" s="651"/>
      <c r="S81" s="652">
        <v>9927</v>
      </c>
      <c r="T81" s="653">
        <v>2541</v>
      </c>
      <c r="U81" s="653">
        <v>12468</v>
      </c>
    </row>
    <row r="82" spans="1:21" x14ac:dyDescent="0.25">
      <c r="A82" s="648">
        <v>91006</v>
      </c>
      <c r="B82" s="649" t="s">
        <v>2623</v>
      </c>
      <c r="C82" s="650">
        <v>1.0096E-3</v>
      </c>
      <c r="D82" s="650">
        <v>1.0097000000000001E-3</v>
      </c>
      <c r="E82" s="651">
        <v>387783</v>
      </c>
      <c r="F82" s="651">
        <v>453147</v>
      </c>
      <c r="G82" s="651">
        <v>2142709</v>
      </c>
      <c r="H82" s="651"/>
      <c r="I82" s="652">
        <v>40258</v>
      </c>
      <c r="J82" s="652">
        <v>1877696</v>
      </c>
      <c r="K82" s="652">
        <v>146756</v>
      </c>
      <c r="L82" s="651">
        <v>28780</v>
      </c>
      <c r="M82" s="651"/>
      <c r="N82" s="652">
        <v>75083</v>
      </c>
      <c r="O82" s="652">
        <v>693048</v>
      </c>
      <c r="P82" s="652">
        <v>0</v>
      </c>
      <c r="Q82" s="651">
        <v>21822</v>
      </c>
      <c r="R82" s="651"/>
      <c r="S82" s="652">
        <v>572715</v>
      </c>
      <c r="T82" s="653">
        <v>4927</v>
      </c>
      <c r="U82" s="653">
        <v>577642</v>
      </c>
    </row>
    <row r="83" spans="1:21" x14ac:dyDescent="0.25">
      <c r="A83" s="648">
        <v>91007</v>
      </c>
      <c r="B83" s="649" t="s">
        <v>2624</v>
      </c>
      <c r="C83" s="650">
        <v>1.2500000000000001E-5</v>
      </c>
      <c r="D83" s="650">
        <v>9.5999999999999996E-6</v>
      </c>
      <c r="E83" s="651">
        <v>10106.58</v>
      </c>
      <c r="F83" s="651">
        <v>4308</v>
      </c>
      <c r="G83" s="651">
        <v>26529.1875</v>
      </c>
      <c r="H83" s="651"/>
      <c r="I83" s="652">
        <v>498.4375</v>
      </c>
      <c r="J83" s="652">
        <v>23248</v>
      </c>
      <c r="K83" s="652">
        <v>1817</v>
      </c>
      <c r="L83" s="651">
        <v>7512</v>
      </c>
      <c r="M83" s="651"/>
      <c r="N83" s="652">
        <v>930</v>
      </c>
      <c r="O83" s="652">
        <v>8581</v>
      </c>
      <c r="P83" s="652">
        <v>0</v>
      </c>
      <c r="Q83" s="651">
        <v>1019</v>
      </c>
      <c r="R83" s="651"/>
      <c r="S83" s="652">
        <v>7091</v>
      </c>
      <c r="T83" s="653">
        <v>1625</v>
      </c>
      <c r="U83" s="653">
        <v>8716</v>
      </c>
    </row>
    <row r="84" spans="1:21" x14ac:dyDescent="0.25">
      <c r="A84" s="648">
        <v>91008</v>
      </c>
      <c r="B84" s="649" t="s">
        <v>2625</v>
      </c>
      <c r="C84" s="650">
        <v>1.273E-4</v>
      </c>
      <c r="D84" s="650">
        <v>1.1629999999999999E-4</v>
      </c>
      <c r="E84" s="651">
        <v>64143</v>
      </c>
      <c r="F84" s="651">
        <v>52195</v>
      </c>
      <c r="G84" s="651">
        <v>270173</v>
      </c>
      <c r="H84" s="651"/>
      <c r="I84" s="652">
        <v>5076</v>
      </c>
      <c r="J84" s="652">
        <v>236758</v>
      </c>
      <c r="K84" s="652">
        <v>18504</v>
      </c>
      <c r="L84" s="651">
        <v>45460</v>
      </c>
      <c r="M84" s="651"/>
      <c r="N84" s="652">
        <v>9467</v>
      </c>
      <c r="O84" s="652">
        <v>87386</v>
      </c>
      <c r="P84" s="652">
        <v>0</v>
      </c>
      <c r="Q84" s="651">
        <v>0</v>
      </c>
      <c r="R84" s="651"/>
      <c r="S84" s="652">
        <v>72213</v>
      </c>
      <c r="T84" s="653">
        <v>15722</v>
      </c>
      <c r="U84" s="653">
        <v>87935</v>
      </c>
    </row>
    <row r="85" spans="1:21" x14ac:dyDescent="0.25">
      <c r="A85" s="648">
        <v>91009</v>
      </c>
      <c r="B85" s="649" t="s">
        <v>2626</v>
      </c>
      <c r="C85" s="650">
        <v>1.8700000000000001E-5</v>
      </c>
      <c r="D85" s="650">
        <v>1.5099999999999999E-5</v>
      </c>
      <c r="E85" s="651">
        <v>10450.36</v>
      </c>
      <c r="F85" s="651">
        <v>6777</v>
      </c>
      <c r="G85" s="651">
        <v>39688</v>
      </c>
      <c r="H85" s="651"/>
      <c r="I85" s="652">
        <v>745.66250000000002</v>
      </c>
      <c r="J85" s="652">
        <v>34779</v>
      </c>
      <c r="K85" s="652">
        <v>2718</v>
      </c>
      <c r="L85" s="651">
        <v>4142</v>
      </c>
      <c r="M85" s="651"/>
      <c r="N85" s="652">
        <v>1391</v>
      </c>
      <c r="O85" s="652">
        <v>12837</v>
      </c>
      <c r="P85" s="652">
        <v>0</v>
      </c>
      <c r="Q85" s="651">
        <v>3815</v>
      </c>
      <c r="R85" s="651"/>
      <c r="S85" s="652">
        <v>10608</v>
      </c>
      <c r="T85" s="653">
        <v>-284</v>
      </c>
      <c r="U85" s="653">
        <v>10324</v>
      </c>
    </row>
    <row r="86" spans="1:21" x14ac:dyDescent="0.25">
      <c r="A86" s="648">
        <v>91010</v>
      </c>
      <c r="B86" s="649" t="s">
        <v>2627</v>
      </c>
      <c r="C86" s="650">
        <v>6.8399999999999996E-5</v>
      </c>
      <c r="D86" s="650">
        <v>7.08E-5</v>
      </c>
      <c r="E86" s="651">
        <v>29262</v>
      </c>
      <c r="F86" s="651">
        <v>31775</v>
      </c>
      <c r="G86" s="651">
        <v>145168</v>
      </c>
      <c r="H86" s="651"/>
      <c r="I86" s="652">
        <v>2727.45</v>
      </c>
      <c r="J86" s="652">
        <v>127213</v>
      </c>
      <c r="K86" s="652">
        <v>9943</v>
      </c>
      <c r="L86" s="651">
        <v>10683</v>
      </c>
      <c r="M86" s="651"/>
      <c r="N86" s="652">
        <v>5087</v>
      </c>
      <c r="O86" s="652">
        <v>46954</v>
      </c>
      <c r="P86" s="652">
        <v>0</v>
      </c>
      <c r="Q86" s="651">
        <v>400</v>
      </c>
      <c r="R86" s="651"/>
      <c r="S86" s="652">
        <v>38801</v>
      </c>
      <c r="T86" s="653">
        <v>4384</v>
      </c>
      <c r="U86" s="653">
        <v>43185</v>
      </c>
    </row>
    <row r="87" spans="1:21" x14ac:dyDescent="0.25">
      <c r="A87" s="648">
        <v>91011</v>
      </c>
      <c r="B87" s="649" t="s">
        <v>2628</v>
      </c>
      <c r="C87" s="650">
        <v>3.1789999999999998E-4</v>
      </c>
      <c r="D87" s="650">
        <v>3.0249999999999998E-4</v>
      </c>
      <c r="E87" s="651">
        <v>134881.49</v>
      </c>
      <c r="F87" s="651">
        <v>135760</v>
      </c>
      <c r="G87" s="651">
        <v>674690</v>
      </c>
      <c r="H87" s="651"/>
      <c r="I87" s="652">
        <v>12676</v>
      </c>
      <c r="J87" s="652">
        <v>591244</v>
      </c>
      <c r="K87" s="652">
        <v>46210</v>
      </c>
      <c r="L87" s="651">
        <v>30818</v>
      </c>
      <c r="M87" s="651"/>
      <c r="N87" s="652">
        <v>23642</v>
      </c>
      <c r="O87" s="652">
        <v>218225</v>
      </c>
      <c r="P87" s="652">
        <v>0</v>
      </c>
      <c r="Q87" s="651">
        <v>0</v>
      </c>
      <c r="R87" s="651"/>
      <c r="S87" s="652">
        <v>180335</v>
      </c>
      <c r="T87" s="653">
        <v>10335</v>
      </c>
      <c r="U87" s="653">
        <v>190670</v>
      </c>
    </row>
    <row r="88" spans="1:21" x14ac:dyDescent="0.25">
      <c r="A88" s="648">
        <v>91012</v>
      </c>
      <c r="B88" s="649" t="s">
        <v>2629</v>
      </c>
      <c r="C88" s="650">
        <v>1.49E-5</v>
      </c>
      <c r="D88" s="650">
        <v>1.08E-5</v>
      </c>
      <c r="E88" s="651">
        <v>7817.43</v>
      </c>
      <c r="F88" s="651">
        <v>4847</v>
      </c>
      <c r="G88" s="651">
        <v>31623</v>
      </c>
      <c r="H88" s="651"/>
      <c r="I88" s="652">
        <v>594</v>
      </c>
      <c r="J88" s="652">
        <v>27712</v>
      </c>
      <c r="K88" s="652">
        <v>2166</v>
      </c>
      <c r="L88" s="651">
        <v>3563</v>
      </c>
      <c r="M88" s="651"/>
      <c r="N88" s="652">
        <v>1108</v>
      </c>
      <c r="O88" s="652">
        <v>10228</v>
      </c>
      <c r="P88" s="652">
        <v>0</v>
      </c>
      <c r="Q88" s="651">
        <v>4733</v>
      </c>
      <c r="R88" s="651"/>
      <c r="S88" s="652">
        <v>8452</v>
      </c>
      <c r="T88" s="653">
        <v>-1352</v>
      </c>
      <c r="U88" s="653">
        <v>7100</v>
      </c>
    </row>
    <row r="89" spans="1:21" x14ac:dyDescent="0.25">
      <c r="A89" s="648">
        <v>91013</v>
      </c>
      <c r="B89" s="649" t="s">
        <v>2630</v>
      </c>
      <c r="C89" s="650">
        <v>2.1800000000000001E-5</v>
      </c>
      <c r="D89" s="650">
        <v>0</v>
      </c>
      <c r="E89" s="651">
        <v>20992.21</v>
      </c>
      <c r="F89" s="651">
        <v>0</v>
      </c>
      <c r="G89" s="651">
        <v>46267</v>
      </c>
      <c r="H89" s="651"/>
      <c r="I89" s="652">
        <v>869</v>
      </c>
      <c r="J89" s="652">
        <v>40545</v>
      </c>
      <c r="K89" s="652">
        <v>3169</v>
      </c>
      <c r="L89" s="651">
        <v>21362</v>
      </c>
      <c r="M89" s="651"/>
      <c r="N89" s="652">
        <v>1621</v>
      </c>
      <c r="O89" s="652">
        <v>14965</v>
      </c>
      <c r="P89" s="652">
        <v>0</v>
      </c>
      <c r="Q89" s="651">
        <v>0</v>
      </c>
      <c r="R89" s="651"/>
      <c r="S89" s="652">
        <v>12366</v>
      </c>
      <c r="T89" s="653">
        <v>5534</v>
      </c>
      <c r="U89" s="653">
        <v>17901</v>
      </c>
    </row>
    <row r="90" spans="1:21" x14ac:dyDescent="0.25">
      <c r="A90" s="648">
        <v>91014</v>
      </c>
      <c r="B90" s="649" t="s">
        <v>2631</v>
      </c>
      <c r="C90" s="650">
        <v>2.1499999999999999E-4</v>
      </c>
      <c r="D90" s="650">
        <v>2.241E-4</v>
      </c>
      <c r="E90" s="651">
        <v>84391.47</v>
      </c>
      <c r="F90" s="651">
        <v>100575</v>
      </c>
      <c r="G90" s="651">
        <v>456302</v>
      </c>
      <c r="H90" s="651"/>
      <c r="I90" s="652">
        <v>8573.125</v>
      </c>
      <c r="J90" s="652">
        <v>399866</v>
      </c>
      <c r="K90" s="652">
        <v>31253</v>
      </c>
      <c r="L90" s="651">
        <v>0</v>
      </c>
      <c r="M90" s="651"/>
      <c r="N90" s="652">
        <v>15989</v>
      </c>
      <c r="O90" s="652">
        <v>147588.47</v>
      </c>
      <c r="P90" s="652">
        <v>0</v>
      </c>
      <c r="Q90" s="651">
        <v>17744</v>
      </c>
      <c r="R90" s="651"/>
      <c r="S90" s="652">
        <v>121963</v>
      </c>
      <c r="T90" s="653">
        <v>-6457</v>
      </c>
      <c r="U90" s="653">
        <v>115506</v>
      </c>
    </row>
    <row r="91" spans="1:21" x14ac:dyDescent="0.25">
      <c r="A91" s="648">
        <v>91017</v>
      </c>
      <c r="B91" s="649" t="s">
        <v>2632</v>
      </c>
      <c r="C91" s="650">
        <v>2.3E-5</v>
      </c>
      <c r="D91" s="650">
        <v>1.01E-5</v>
      </c>
      <c r="E91" s="651">
        <v>10837.78</v>
      </c>
      <c r="F91" s="651">
        <v>4533</v>
      </c>
      <c r="G91" s="651">
        <v>48814</v>
      </c>
      <c r="H91" s="651"/>
      <c r="I91" s="652">
        <v>917.125</v>
      </c>
      <c r="J91" s="652">
        <v>42776</v>
      </c>
      <c r="K91" s="652">
        <v>3343</v>
      </c>
      <c r="L91" s="651">
        <v>11872</v>
      </c>
      <c r="M91" s="651"/>
      <c r="N91" s="652">
        <v>1710</v>
      </c>
      <c r="O91" s="652">
        <v>15789</v>
      </c>
      <c r="P91" s="652">
        <v>0</v>
      </c>
      <c r="Q91" s="651">
        <v>0</v>
      </c>
      <c r="R91" s="651"/>
      <c r="S91" s="652">
        <v>13047</v>
      </c>
      <c r="T91" s="653">
        <v>3546</v>
      </c>
      <c r="U91" s="653">
        <v>16593</v>
      </c>
    </row>
    <row r="92" spans="1:21" x14ac:dyDescent="0.25">
      <c r="A92" s="648">
        <v>91020</v>
      </c>
      <c r="B92" s="649" t="s">
        <v>2633</v>
      </c>
      <c r="C92" s="650">
        <v>1.9899999999999999E-5</v>
      </c>
      <c r="D92" s="650">
        <v>1.7E-5</v>
      </c>
      <c r="E92" s="651">
        <v>8500.07</v>
      </c>
      <c r="F92" s="651">
        <v>7629</v>
      </c>
      <c r="G92" s="651">
        <v>42234</v>
      </c>
      <c r="H92" s="651"/>
      <c r="I92" s="652">
        <v>794</v>
      </c>
      <c r="J92" s="652">
        <v>37011</v>
      </c>
      <c r="K92" s="652">
        <v>2893</v>
      </c>
      <c r="L92" s="651">
        <v>2656</v>
      </c>
      <c r="M92" s="651"/>
      <c r="N92" s="652">
        <v>1480</v>
      </c>
      <c r="O92" s="652">
        <v>13661</v>
      </c>
      <c r="P92" s="652">
        <v>0</v>
      </c>
      <c r="Q92" s="651">
        <v>582</v>
      </c>
      <c r="R92" s="651"/>
      <c r="S92" s="652">
        <v>11289</v>
      </c>
      <c r="T92" s="653">
        <v>685</v>
      </c>
      <c r="U92" s="653">
        <v>11973</v>
      </c>
    </row>
    <row r="93" spans="1:21" x14ac:dyDescent="0.25">
      <c r="A93" s="648">
        <v>91021</v>
      </c>
      <c r="B93" s="649" t="s">
        <v>2634</v>
      </c>
      <c r="C93" s="650">
        <v>8.6989999999999995E-4</v>
      </c>
      <c r="D93" s="650">
        <v>9.4979999999999999E-4</v>
      </c>
      <c r="E93" s="651">
        <v>366474.75</v>
      </c>
      <c r="F93" s="651">
        <v>426265</v>
      </c>
      <c r="G93" s="651">
        <v>1846219</v>
      </c>
      <c r="H93" s="651"/>
      <c r="I93" s="652">
        <v>34687</v>
      </c>
      <c r="J93" s="652">
        <v>1617877</v>
      </c>
      <c r="K93" s="652">
        <v>126450</v>
      </c>
      <c r="L93" s="651">
        <v>0</v>
      </c>
      <c r="M93" s="651"/>
      <c r="N93" s="652">
        <v>64694</v>
      </c>
      <c r="O93" s="652">
        <v>597150</v>
      </c>
      <c r="P93" s="652">
        <v>0</v>
      </c>
      <c r="Q93" s="651">
        <v>117733</v>
      </c>
      <c r="R93" s="651"/>
      <c r="S93" s="652">
        <v>493467</v>
      </c>
      <c r="T93" s="653">
        <v>-45954</v>
      </c>
      <c r="U93" s="653">
        <v>447513</v>
      </c>
    </row>
    <row r="94" spans="1:21" x14ac:dyDescent="0.25">
      <c r="A94" s="648">
        <v>91024</v>
      </c>
      <c r="B94" s="649" t="s">
        <v>2635</v>
      </c>
      <c r="C94" s="650">
        <v>6.6299999999999999E-5</v>
      </c>
      <c r="D94" s="650">
        <v>4.3800000000000001E-5</v>
      </c>
      <c r="E94" s="651">
        <v>26295.57</v>
      </c>
      <c r="F94" s="651">
        <v>19657</v>
      </c>
      <c r="G94" s="651">
        <v>140711</v>
      </c>
      <c r="H94" s="651"/>
      <c r="I94" s="652">
        <v>2644</v>
      </c>
      <c r="J94" s="652">
        <v>123308</v>
      </c>
      <c r="K94" s="652">
        <v>9637</v>
      </c>
      <c r="L94" s="651">
        <v>28363</v>
      </c>
      <c r="M94" s="651"/>
      <c r="N94" s="652">
        <v>4931</v>
      </c>
      <c r="O94" s="652">
        <v>45512</v>
      </c>
      <c r="P94" s="652">
        <v>0</v>
      </c>
      <c r="Q94" s="651">
        <v>0</v>
      </c>
      <c r="R94" s="651"/>
      <c r="S94" s="652">
        <v>37610</v>
      </c>
      <c r="T94" s="653">
        <v>9531</v>
      </c>
      <c r="U94" s="653">
        <v>47141</v>
      </c>
    </row>
    <row r="95" spans="1:21" x14ac:dyDescent="0.25">
      <c r="A95" s="648">
        <v>91026</v>
      </c>
      <c r="B95" s="649" t="s">
        <v>1233</v>
      </c>
      <c r="C95" s="650">
        <v>6.0900000000000003E-5</v>
      </c>
      <c r="D95" s="650">
        <v>5.4700000000000001E-5</v>
      </c>
      <c r="E95" s="651">
        <v>45660</v>
      </c>
      <c r="F95" s="651">
        <v>24549</v>
      </c>
      <c r="G95" s="651">
        <v>129250</v>
      </c>
      <c r="H95" s="651"/>
      <c r="I95" s="652">
        <v>2428</v>
      </c>
      <c r="J95" s="652">
        <v>113264</v>
      </c>
      <c r="K95" s="652">
        <v>8852</v>
      </c>
      <c r="L95" s="651">
        <v>43564</v>
      </c>
      <c r="M95" s="651"/>
      <c r="N95" s="652">
        <v>4529</v>
      </c>
      <c r="O95" s="652">
        <v>41805</v>
      </c>
      <c r="P95" s="652">
        <v>0</v>
      </c>
      <c r="Q95" s="651">
        <v>6237</v>
      </c>
      <c r="R95" s="651"/>
      <c r="S95" s="652">
        <v>34547</v>
      </c>
      <c r="T95" s="653">
        <v>10429</v>
      </c>
      <c r="U95" s="653">
        <v>44976</v>
      </c>
    </row>
    <row r="96" spans="1:21" x14ac:dyDescent="0.25">
      <c r="A96" s="648">
        <v>91027</v>
      </c>
      <c r="B96" s="649" t="s">
        <v>2636</v>
      </c>
      <c r="C96" s="650">
        <v>1.6099999999999998E-5</v>
      </c>
      <c r="D96" s="650">
        <v>1.6099999999999998E-5</v>
      </c>
      <c r="E96" s="651">
        <v>15581</v>
      </c>
      <c r="F96" s="651">
        <v>7226</v>
      </c>
      <c r="G96" s="651">
        <v>34170</v>
      </c>
      <c r="H96" s="651"/>
      <c r="I96" s="652">
        <v>642</v>
      </c>
      <c r="J96" s="652">
        <v>29943</v>
      </c>
      <c r="K96" s="652">
        <v>2340</v>
      </c>
      <c r="L96" s="651">
        <v>15162</v>
      </c>
      <c r="M96" s="651"/>
      <c r="N96" s="652">
        <v>1197</v>
      </c>
      <c r="O96" s="652">
        <v>11052</v>
      </c>
      <c r="P96" s="652">
        <v>0</v>
      </c>
      <c r="Q96" s="651">
        <v>0</v>
      </c>
      <c r="R96" s="651"/>
      <c r="S96" s="652">
        <v>9133</v>
      </c>
      <c r="T96" s="653">
        <v>5044</v>
      </c>
      <c r="U96" s="653">
        <v>14177</v>
      </c>
    </row>
    <row r="97" spans="1:21" x14ac:dyDescent="0.25">
      <c r="A97" s="648">
        <v>91032</v>
      </c>
      <c r="B97" s="649" t="s">
        <v>2637</v>
      </c>
      <c r="C97" s="650">
        <v>1.8600000000000001E-5</v>
      </c>
      <c r="D97" s="650">
        <v>2.12E-5</v>
      </c>
      <c r="E97" s="651">
        <v>14204.55</v>
      </c>
      <c r="F97" s="651">
        <v>9514</v>
      </c>
      <c r="G97" s="651">
        <v>39475</v>
      </c>
      <c r="H97" s="651"/>
      <c r="I97" s="652">
        <v>742</v>
      </c>
      <c r="J97" s="652">
        <v>34593</v>
      </c>
      <c r="K97" s="652">
        <v>2704</v>
      </c>
      <c r="L97" s="651">
        <v>14052</v>
      </c>
      <c r="M97" s="651"/>
      <c r="N97" s="652">
        <v>1383</v>
      </c>
      <c r="O97" s="652">
        <v>12768</v>
      </c>
      <c r="P97" s="652">
        <v>0</v>
      </c>
      <c r="Q97" s="651">
        <v>0</v>
      </c>
      <c r="R97" s="651"/>
      <c r="S97" s="652">
        <v>10551</v>
      </c>
      <c r="T97" s="653">
        <v>4978</v>
      </c>
      <c r="U97" s="653">
        <v>15529</v>
      </c>
    </row>
    <row r="98" spans="1:21" x14ac:dyDescent="0.25">
      <c r="A98" s="648">
        <v>91041</v>
      </c>
      <c r="B98" s="649" t="s">
        <v>2638</v>
      </c>
      <c r="C98" s="650">
        <v>4.3609999999999998E-4</v>
      </c>
      <c r="D98" s="650">
        <v>4.8910000000000002E-4</v>
      </c>
      <c r="E98" s="651">
        <v>143841.5</v>
      </c>
      <c r="F98" s="651">
        <v>219505</v>
      </c>
      <c r="G98" s="651">
        <v>925550</v>
      </c>
      <c r="H98" s="651"/>
      <c r="I98" s="652">
        <v>17389</v>
      </c>
      <c r="J98" s="652">
        <v>811077</v>
      </c>
      <c r="K98" s="652">
        <v>63392</v>
      </c>
      <c r="L98" s="651">
        <v>0</v>
      </c>
      <c r="M98" s="651"/>
      <c r="N98" s="652">
        <v>32432</v>
      </c>
      <c r="O98" s="652">
        <v>299364</v>
      </c>
      <c r="P98" s="652">
        <v>0</v>
      </c>
      <c r="Q98" s="651">
        <v>93669</v>
      </c>
      <c r="R98" s="651"/>
      <c r="S98" s="652">
        <v>247386</v>
      </c>
      <c r="T98" s="653">
        <v>-28115</v>
      </c>
      <c r="U98" s="653">
        <v>219271</v>
      </c>
    </row>
    <row r="99" spans="1:21" x14ac:dyDescent="0.25">
      <c r="A99" s="648">
        <v>91042</v>
      </c>
      <c r="B99" s="649" t="s">
        <v>2639</v>
      </c>
      <c r="C99" s="650">
        <v>2.062E-4</v>
      </c>
      <c r="D99" s="650">
        <v>2.1579999999999999E-4</v>
      </c>
      <c r="E99" s="651">
        <v>79476</v>
      </c>
      <c r="F99" s="651">
        <v>96850</v>
      </c>
      <c r="G99" s="651">
        <v>437625</v>
      </c>
      <c r="H99" s="651"/>
      <c r="I99" s="652">
        <v>8222</v>
      </c>
      <c r="J99" s="652">
        <v>383499</v>
      </c>
      <c r="K99" s="652">
        <v>29973</v>
      </c>
      <c r="L99" s="651">
        <v>241</v>
      </c>
      <c r="M99" s="651"/>
      <c r="N99" s="652">
        <v>15335</v>
      </c>
      <c r="O99" s="652">
        <v>141548</v>
      </c>
      <c r="P99" s="652">
        <v>0</v>
      </c>
      <c r="Q99" s="651">
        <v>9427</v>
      </c>
      <c r="R99" s="651"/>
      <c r="S99" s="652">
        <v>116971</v>
      </c>
      <c r="T99" s="653">
        <v>-2338</v>
      </c>
      <c r="U99" s="653">
        <v>114633</v>
      </c>
    </row>
    <row r="100" spans="1:21" x14ac:dyDescent="0.25">
      <c r="A100" s="648">
        <v>91047</v>
      </c>
      <c r="B100" s="649" t="s">
        <v>2640</v>
      </c>
      <c r="C100" s="650">
        <v>1.3200000000000001E-5</v>
      </c>
      <c r="D100" s="650">
        <v>1.29E-5</v>
      </c>
      <c r="E100" s="651">
        <v>17711.78</v>
      </c>
      <c r="F100" s="651">
        <v>5789</v>
      </c>
      <c r="G100" s="651">
        <v>28015</v>
      </c>
      <c r="H100" s="651"/>
      <c r="I100" s="652">
        <v>526.35</v>
      </c>
      <c r="J100" s="652">
        <v>24550</v>
      </c>
      <c r="K100" s="652">
        <v>1919</v>
      </c>
      <c r="L100" s="651">
        <v>17767</v>
      </c>
      <c r="M100" s="651"/>
      <c r="N100" s="652">
        <v>982</v>
      </c>
      <c r="O100" s="652">
        <v>9061</v>
      </c>
      <c r="P100" s="652">
        <v>0</v>
      </c>
      <c r="Q100" s="651">
        <v>0</v>
      </c>
      <c r="R100" s="651"/>
      <c r="S100" s="652">
        <v>7488</v>
      </c>
      <c r="T100" s="653">
        <v>5499</v>
      </c>
      <c r="U100" s="653">
        <v>12987</v>
      </c>
    </row>
    <row r="101" spans="1:21" x14ac:dyDescent="0.25">
      <c r="A101" s="648">
        <v>91051</v>
      </c>
      <c r="B101" s="649" t="s">
        <v>2641</v>
      </c>
      <c r="C101" s="650">
        <v>7.6600000000000005E-5</v>
      </c>
      <c r="D101" s="650">
        <v>8.14E-5</v>
      </c>
      <c r="E101" s="651">
        <v>31833</v>
      </c>
      <c r="F101" s="651">
        <v>36532</v>
      </c>
      <c r="G101" s="651">
        <v>162571</v>
      </c>
      <c r="H101" s="651"/>
      <c r="I101" s="652">
        <v>3054</v>
      </c>
      <c r="J101" s="652">
        <v>142464</v>
      </c>
      <c r="K101" s="652">
        <v>11135</v>
      </c>
      <c r="L101" s="651">
        <v>2509</v>
      </c>
      <c r="M101" s="651"/>
      <c r="N101" s="652">
        <v>5697</v>
      </c>
      <c r="O101" s="652">
        <v>52583</v>
      </c>
      <c r="P101" s="652">
        <v>0</v>
      </c>
      <c r="Q101" s="651">
        <v>2829</v>
      </c>
      <c r="R101" s="651"/>
      <c r="S101" s="652">
        <v>43453</v>
      </c>
      <c r="T101" s="653">
        <v>37</v>
      </c>
      <c r="U101" s="653">
        <v>43490</v>
      </c>
    </row>
    <row r="102" spans="1:21" x14ac:dyDescent="0.25">
      <c r="A102" s="648">
        <v>91057</v>
      </c>
      <c r="B102" s="649" t="s">
        <v>2642</v>
      </c>
      <c r="C102" s="650">
        <v>1.5E-5</v>
      </c>
      <c r="D102" s="650">
        <v>1.49E-5</v>
      </c>
      <c r="E102" s="651">
        <v>9524.76</v>
      </c>
      <c r="F102" s="651">
        <v>6687</v>
      </c>
      <c r="G102" s="651">
        <v>31835</v>
      </c>
      <c r="H102" s="651"/>
      <c r="I102" s="652">
        <v>598.125</v>
      </c>
      <c r="J102" s="652">
        <v>27897.63</v>
      </c>
      <c r="K102" s="652">
        <v>2180.415</v>
      </c>
      <c r="L102" s="651">
        <v>5494</v>
      </c>
      <c r="M102" s="651"/>
      <c r="N102" s="652">
        <v>1116</v>
      </c>
      <c r="O102" s="652">
        <v>10297</v>
      </c>
      <c r="P102" s="652">
        <v>0</v>
      </c>
      <c r="Q102" s="651">
        <v>0</v>
      </c>
      <c r="R102" s="651"/>
      <c r="S102" s="652">
        <v>8509</v>
      </c>
      <c r="T102" s="653">
        <v>1691</v>
      </c>
      <c r="U102" s="653">
        <v>10200</v>
      </c>
    </row>
    <row r="103" spans="1:21" x14ac:dyDescent="0.25">
      <c r="A103" s="648">
        <v>91061</v>
      </c>
      <c r="B103" s="649" t="s">
        <v>2643</v>
      </c>
      <c r="C103" s="650">
        <v>3.7730000000000001E-4</v>
      </c>
      <c r="D103" s="650">
        <v>3.322E-4</v>
      </c>
      <c r="E103" s="651">
        <v>141049.84</v>
      </c>
      <c r="F103" s="651">
        <v>149089</v>
      </c>
      <c r="G103" s="651">
        <v>800757</v>
      </c>
      <c r="H103" s="651"/>
      <c r="I103" s="652">
        <v>15045</v>
      </c>
      <c r="J103" s="652">
        <v>701718</v>
      </c>
      <c r="K103" s="652">
        <v>54845</v>
      </c>
      <c r="L103" s="651">
        <v>13223</v>
      </c>
      <c r="M103" s="651"/>
      <c r="N103" s="652">
        <v>28059</v>
      </c>
      <c r="O103" s="652">
        <v>259001</v>
      </c>
      <c r="P103" s="652">
        <v>0</v>
      </c>
      <c r="Q103" s="651">
        <v>46977</v>
      </c>
      <c r="R103" s="651"/>
      <c r="S103" s="652">
        <v>214031</v>
      </c>
      <c r="T103" s="653">
        <v>-15751</v>
      </c>
      <c r="U103" s="653">
        <v>198279</v>
      </c>
    </row>
    <row r="104" spans="1:21" x14ac:dyDescent="0.25">
      <c r="A104" s="648">
        <v>91067</v>
      </c>
      <c r="B104" s="649" t="s">
        <v>2644</v>
      </c>
      <c r="C104" s="650">
        <v>1.8499999999999999E-5</v>
      </c>
      <c r="D104" s="650">
        <v>1.7099999999999999E-5</v>
      </c>
      <c r="E104" s="651">
        <v>8476</v>
      </c>
      <c r="F104" s="651">
        <v>7674</v>
      </c>
      <c r="G104" s="651">
        <v>39263</v>
      </c>
      <c r="H104" s="651"/>
      <c r="I104" s="652">
        <v>737.6875</v>
      </c>
      <c r="J104" s="652">
        <v>34407</v>
      </c>
      <c r="K104" s="652">
        <v>2689</v>
      </c>
      <c r="L104" s="651">
        <v>3670</v>
      </c>
      <c r="M104" s="651"/>
      <c r="N104" s="652">
        <v>1376</v>
      </c>
      <c r="O104" s="652">
        <v>12699</v>
      </c>
      <c r="P104" s="652">
        <v>0</v>
      </c>
      <c r="Q104" s="651">
        <v>0</v>
      </c>
      <c r="R104" s="651"/>
      <c r="S104" s="652">
        <v>10494</v>
      </c>
      <c r="T104" s="653">
        <v>1258</v>
      </c>
      <c r="U104" s="653">
        <v>11752</v>
      </c>
    </row>
    <row r="105" spans="1:21" x14ac:dyDescent="0.25">
      <c r="A105" s="648">
        <v>91071</v>
      </c>
      <c r="B105" s="649" t="s">
        <v>2645</v>
      </c>
      <c r="C105" s="650">
        <v>2.4379999999999999E-4</v>
      </c>
      <c r="D105" s="650">
        <v>2.321E-4</v>
      </c>
      <c r="E105" s="651">
        <v>89648</v>
      </c>
      <c r="F105" s="651">
        <v>104165</v>
      </c>
      <c r="G105" s="651">
        <v>517425</v>
      </c>
      <c r="H105" s="651"/>
      <c r="I105" s="652">
        <v>9722</v>
      </c>
      <c r="J105" s="652">
        <v>453429</v>
      </c>
      <c r="K105" s="652">
        <v>35439</v>
      </c>
      <c r="L105" s="651">
        <v>16829.43</v>
      </c>
      <c r="M105" s="651"/>
      <c r="N105" s="652">
        <v>18131</v>
      </c>
      <c r="O105" s="652">
        <v>167358</v>
      </c>
      <c r="P105" s="652">
        <v>0</v>
      </c>
      <c r="Q105" s="651">
        <v>3799</v>
      </c>
      <c r="R105" s="651"/>
      <c r="S105" s="652">
        <v>138300</v>
      </c>
      <c r="T105" s="653">
        <v>7310</v>
      </c>
      <c r="U105" s="653">
        <v>145610</v>
      </c>
    </row>
    <row r="106" spans="1:21" x14ac:dyDescent="0.25">
      <c r="A106" s="648">
        <v>91077</v>
      </c>
      <c r="B106" s="649" t="s">
        <v>2646</v>
      </c>
      <c r="C106" s="650">
        <v>3.9999999999999998E-6</v>
      </c>
      <c r="D106" s="650">
        <v>4.7999999999999998E-6</v>
      </c>
      <c r="E106" s="651">
        <v>2964.42</v>
      </c>
      <c r="F106" s="651">
        <v>2154</v>
      </c>
      <c r="G106" s="651">
        <v>8489.34</v>
      </c>
      <c r="H106" s="651"/>
      <c r="I106" s="652">
        <v>159.5</v>
      </c>
      <c r="J106" s="652">
        <v>7439</v>
      </c>
      <c r="K106" s="652">
        <v>581</v>
      </c>
      <c r="L106" s="651">
        <v>1140</v>
      </c>
      <c r="M106" s="651"/>
      <c r="N106" s="652">
        <v>297</v>
      </c>
      <c r="O106" s="652">
        <v>2746</v>
      </c>
      <c r="P106" s="652">
        <v>0</v>
      </c>
      <c r="Q106" s="651">
        <v>103</v>
      </c>
      <c r="R106" s="651"/>
      <c r="S106" s="652">
        <v>2269</v>
      </c>
      <c r="T106" s="653">
        <v>294</v>
      </c>
      <c r="U106" s="653">
        <v>2563</v>
      </c>
    </row>
    <row r="107" spans="1:21" x14ac:dyDescent="0.25">
      <c r="A107" s="648">
        <v>91081</v>
      </c>
      <c r="B107" s="649" t="s">
        <v>2647</v>
      </c>
      <c r="C107" s="650">
        <v>3.6499999999999998E-4</v>
      </c>
      <c r="D107" s="650">
        <v>3.5750000000000002E-4</v>
      </c>
      <c r="E107" s="651">
        <v>146436</v>
      </c>
      <c r="F107" s="651">
        <v>160444</v>
      </c>
      <c r="G107" s="651">
        <v>774652</v>
      </c>
      <c r="H107" s="651"/>
      <c r="I107" s="652">
        <v>14554.375</v>
      </c>
      <c r="J107" s="652">
        <v>678842.33</v>
      </c>
      <c r="K107" s="652">
        <v>53057</v>
      </c>
      <c r="L107" s="651">
        <v>1642</v>
      </c>
      <c r="M107" s="651"/>
      <c r="N107" s="652">
        <v>27145</v>
      </c>
      <c r="O107" s="652">
        <v>250557</v>
      </c>
      <c r="P107" s="652">
        <v>0</v>
      </c>
      <c r="Q107" s="651">
        <v>27235</v>
      </c>
      <c r="R107" s="651"/>
      <c r="S107" s="652">
        <v>207053</v>
      </c>
      <c r="T107" s="653">
        <v>-13214</v>
      </c>
      <c r="U107" s="653">
        <v>193840</v>
      </c>
    </row>
    <row r="108" spans="1:21" x14ac:dyDescent="0.25">
      <c r="A108" s="648">
        <v>91091</v>
      </c>
      <c r="B108" s="649" t="s">
        <v>2648</v>
      </c>
      <c r="C108" s="650">
        <v>5.6380000000000004E-4</v>
      </c>
      <c r="D108" s="650">
        <v>5.3359999999999996E-4</v>
      </c>
      <c r="E108" s="651">
        <v>203382.8</v>
      </c>
      <c r="F108" s="651">
        <v>239476</v>
      </c>
      <c r="G108" s="651">
        <v>1196572</v>
      </c>
      <c r="H108" s="651"/>
      <c r="I108" s="652">
        <v>22482</v>
      </c>
      <c r="J108" s="652">
        <v>1048579</v>
      </c>
      <c r="K108" s="652">
        <v>81955</v>
      </c>
      <c r="L108" s="651">
        <v>0</v>
      </c>
      <c r="M108" s="651"/>
      <c r="N108" s="652">
        <v>41929</v>
      </c>
      <c r="O108" s="652">
        <v>387025</v>
      </c>
      <c r="P108" s="652">
        <v>0</v>
      </c>
      <c r="Q108" s="651">
        <v>54149</v>
      </c>
      <c r="R108" s="651"/>
      <c r="S108" s="652">
        <v>319826</v>
      </c>
      <c r="T108" s="653">
        <v>-22256</v>
      </c>
      <c r="U108" s="653">
        <v>297571</v>
      </c>
    </row>
    <row r="109" spans="1:21" x14ac:dyDescent="0.25">
      <c r="A109" s="648">
        <v>91101</v>
      </c>
      <c r="B109" s="649" t="s">
        <v>2649</v>
      </c>
      <c r="C109" s="650">
        <v>1.36685E-2</v>
      </c>
      <c r="D109" s="650">
        <v>1.3700499999999999E-2</v>
      </c>
      <c r="E109" s="651">
        <v>5218349</v>
      </c>
      <c r="F109" s="651">
        <v>6148702</v>
      </c>
      <c r="G109" s="651">
        <v>29009136</v>
      </c>
      <c r="H109" s="651"/>
      <c r="I109" s="652">
        <v>545031</v>
      </c>
      <c r="J109" s="652">
        <v>25421250</v>
      </c>
      <c r="K109" s="652">
        <v>1986867</v>
      </c>
      <c r="L109" s="651">
        <v>791280</v>
      </c>
      <c r="M109" s="651"/>
      <c r="N109" s="652">
        <v>1016513</v>
      </c>
      <c r="O109" s="652">
        <v>9382851</v>
      </c>
      <c r="P109" s="652">
        <v>0</v>
      </c>
      <c r="Q109" s="651">
        <v>337196</v>
      </c>
      <c r="R109" s="651"/>
      <c r="S109" s="652">
        <v>7753716</v>
      </c>
      <c r="T109" s="653">
        <v>232315</v>
      </c>
      <c r="U109" s="653">
        <v>7986031</v>
      </c>
    </row>
    <row r="110" spans="1:21" x14ac:dyDescent="0.25">
      <c r="A110" s="648">
        <v>91102</v>
      </c>
      <c r="B110" s="649" t="s">
        <v>2650</v>
      </c>
      <c r="C110" s="650">
        <v>3.034E-4</v>
      </c>
      <c r="D110" s="650">
        <v>2.834E-4</v>
      </c>
      <c r="E110" s="651">
        <v>133771</v>
      </c>
      <c r="F110" s="651">
        <v>127188</v>
      </c>
      <c r="G110" s="651">
        <v>643916</v>
      </c>
      <c r="H110" s="651"/>
      <c r="I110" s="652">
        <v>12098</v>
      </c>
      <c r="J110" s="652">
        <v>564276</v>
      </c>
      <c r="K110" s="652">
        <v>44103</v>
      </c>
      <c r="L110" s="651">
        <v>18534</v>
      </c>
      <c r="M110" s="651"/>
      <c r="N110" s="652">
        <v>22564</v>
      </c>
      <c r="O110" s="652">
        <v>208271</v>
      </c>
      <c r="P110" s="652">
        <v>0</v>
      </c>
      <c r="Q110" s="651">
        <v>52648</v>
      </c>
      <c r="R110" s="651"/>
      <c r="S110" s="652">
        <v>172109</v>
      </c>
      <c r="T110" s="653">
        <v>-13734</v>
      </c>
      <c r="U110" s="653">
        <v>158376</v>
      </c>
    </row>
    <row r="111" spans="1:21" x14ac:dyDescent="0.25">
      <c r="A111" s="648">
        <v>91104</v>
      </c>
      <c r="B111" s="649" t="s">
        <v>2651</v>
      </c>
      <c r="C111" s="650">
        <v>8.1999999999999994E-6</v>
      </c>
      <c r="D111" s="650">
        <v>9.2E-6</v>
      </c>
      <c r="E111" s="651">
        <v>5034.29</v>
      </c>
      <c r="F111" s="651">
        <v>4129</v>
      </c>
      <c r="G111" s="651">
        <v>17403</v>
      </c>
      <c r="H111" s="651"/>
      <c r="I111" s="652">
        <v>327</v>
      </c>
      <c r="J111" s="652">
        <v>15251</v>
      </c>
      <c r="K111" s="652">
        <v>1192</v>
      </c>
      <c r="L111" s="651">
        <v>993</v>
      </c>
      <c r="M111" s="651"/>
      <c r="N111" s="652">
        <v>610</v>
      </c>
      <c r="O111" s="652">
        <v>5629</v>
      </c>
      <c r="P111" s="652">
        <v>0</v>
      </c>
      <c r="Q111" s="651">
        <v>78</v>
      </c>
      <c r="R111" s="651"/>
      <c r="S111" s="652">
        <v>4652</v>
      </c>
      <c r="T111" s="653">
        <v>239</v>
      </c>
      <c r="U111" s="653">
        <v>4890</v>
      </c>
    </row>
    <row r="112" spans="1:21" x14ac:dyDescent="0.25">
      <c r="A112" s="648">
        <v>91107</v>
      </c>
      <c r="B112" s="649" t="s">
        <v>2652</v>
      </c>
      <c r="C112" s="650">
        <v>6.7899999999999997E-5</v>
      </c>
      <c r="D112" s="650">
        <v>6.3999999999999997E-5</v>
      </c>
      <c r="E112" s="651">
        <v>34872.559999999998</v>
      </c>
      <c r="F112" s="651">
        <v>28723</v>
      </c>
      <c r="G112" s="651">
        <v>144107</v>
      </c>
      <c r="H112" s="651"/>
      <c r="I112" s="652">
        <v>2708</v>
      </c>
      <c r="J112" s="652">
        <v>126283</v>
      </c>
      <c r="K112" s="652">
        <v>9870</v>
      </c>
      <c r="L112" s="651">
        <v>11761</v>
      </c>
      <c r="M112" s="651"/>
      <c r="N112" s="652">
        <v>5050</v>
      </c>
      <c r="O112" s="652">
        <v>46610</v>
      </c>
      <c r="P112" s="652">
        <v>0</v>
      </c>
      <c r="Q112" s="651">
        <v>0</v>
      </c>
      <c r="R112" s="651"/>
      <c r="S112" s="652">
        <v>38518</v>
      </c>
      <c r="T112" s="653">
        <v>3853</v>
      </c>
      <c r="U112" s="653">
        <v>42371</v>
      </c>
    </row>
    <row r="113" spans="1:21" x14ac:dyDescent="0.25">
      <c r="A113" s="648">
        <v>91108</v>
      </c>
      <c r="B113" s="649" t="s">
        <v>2653</v>
      </c>
      <c r="C113" s="650">
        <v>1.2622E-3</v>
      </c>
      <c r="D113" s="650">
        <v>1.2565E-3</v>
      </c>
      <c r="E113" s="651">
        <v>552346.72</v>
      </c>
      <c r="F113" s="651">
        <v>563910</v>
      </c>
      <c r="G113" s="651">
        <v>2678811</v>
      </c>
      <c r="H113" s="651"/>
      <c r="I113" s="652">
        <v>50330</v>
      </c>
      <c r="J113" s="652">
        <v>2347493</v>
      </c>
      <c r="K113" s="652">
        <v>183475</v>
      </c>
      <c r="L113" s="651">
        <v>83626</v>
      </c>
      <c r="M113" s="651"/>
      <c r="N113" s="652">
        <v>93869</v>
      </c>
      <c r="O113" s="652">
        <v>866447</v>
      </c>
      <c r="P113" s="652">
        <v>0</v>
      </c>
      <c r="Q113" s="651">
        <v>0</v>
      </c>
      <c r="R113" s="651"/>
      <c r="S113" s="652">
        <v>716007</v>
      </c>
      <c r="T113" s="653">
        <v>29649</v>
      </c>
      <c r="U113" s="653">
        <v>745656</v>
      </c>
    </row>
    <row r="114" spans="1:21" x14ac:dyDescent="0.25">
      <c r="A114" s="648">
        <v>91109</v>
      </c>
      <c r="B114" s="649" t="s">
        <v>2654</v>
      </c>
      <c r="C114" s="650">
        <v>9.2100000000000003E-5</v>
      </c>
      <c r="D114" s="650">
        <v>9.6600000000000003E-5</v>
      </c>
      <c r="E114" s="651">
        <v>40330</v>
      </c>
      <c r="F114" s="651">
        <v>43354</v>
      </c>
      <c r="G114" s="651">
        <v>195467</v>
      </c>
      <c r="H114" s="651"/>
      <c r="I114" s="652">
        <v>3672</v>
      </c>
      <c r="J114" s="652">
        <v>171291</v>
      </c>
      <c r="K114" s="652">
        <v>13388</v>
      </c>
      <c r="L114" s="651">
        <v>2200</v>
      </c>
      <c r="M114" s="651"/>
      <c r="N114" s="652">
        <v>6849</v>
      </c>
      <c r="O114" s="652">
        <v>63223</v>
      </c>
      <c r="P114" s="652">
        <v>0</v>
      </c>
      <c r="Q114" s="651">
        <v>1611</v>
      </c>
      <c r="R114" s="651"/>
      <c r="S114" s="652">
        <v>52245</v>
      </c>
      <c r="T114" s="653">
        <v>89</v>
      </c>
      <c r="U114" s="653">
        <v>52335</v>
      </c>
    </row>
    <row r="115" spans="1:21" x14ac:dyDescent="0.25">
      <c r="A115" s="648">
        <v>91111</v>
      </c>
      <c r="B115" s="649" t="s">
        <v>2655</v>
      </c>
      <c r="C115" s="650">
        <v>2.2359999999999999E-4</v>
      </c>
      <c r="D115" s="650">
        <v>2.2049999999999999E-4</v>
      </c>
      <c r="E115" s="651">
        <v>98685</v>
      </c>
      <c r="F115" s="651">
        <v>98959</v>
      </c>
      <c r="G115" s="651">
        <v>474554</v>
      </c>
      <c r="H115" s="651"/>
      <c r="I115" s="652">
        <v>8916</v>
      </c>
      <c r="J115" s="652">
        <v>415861</v>
      </c>
      <c r="K115" s="652">
        <v>32503</v>
      </c>
      <c r="L115" s="651">
        <v>26669</v>
      </c>
      <c r="M115" s="651"/>
      <c r="N115" s="652">
        <v>16629</v>
      </c>
      <c r="O115" s="652">
        <v>153492</v>
      </c>
      <c r="P115" s="652">
        <v>0</v>
      </c>
      <c r="Q115" s="651">
        <v>0</v>
      </c>
      <c r="R115" s="651"/>
      <c r="S115" s="652">
        <v>126841</v>
      </c>
      <c r="T115" s="653">
        <v>8870</v>
      </c>
      <c r="U115" s="653">
        <v>135711</v>
      </c>
    </row>
    <row r="116" spans="1:21" x14ac:dyDescent="0.25">
      <c r="A116" s="648">
        <v>91119</v>
      </c>
      <c r="B116" s="649" t="s">
        <v>1254</v>
      </c>
      <c r="C116" s="650">
        <v>0</v>
      </c>
      <c r="D116" s="650">
        <v>0</v>
      </c>
      <c r="E116" s="651">
        <v>0</v>
      </c>
      <c r="F116" s="651">
        <v>0</v>
      </c>
      <c r="G116" s="651">
        <v>0</v>
      </c>
      <c r="H116" s="651"/>
      <c r="I116" s="652">
        <v>0</v>
      </c>
      <c r="J116" s="652">
        <v>0</v>
      </c>
      <c r="K116" s="652">
        <v>0</v>
      </c>
      <c r="L116" s="651">
        <v>0</v>
      </c>
      <c r="M116" s="651"/>
      <c r="N116" s="652">
        <v>0</v>
      </c>
      <c r="O116" s="652">
        <v>0</v>
      </c>
      <c r="P116" s="652">
        <v>0</v>
      </c>
      <c r="Q116" s="651">
        <v>645424.66</v>
      </c>
      <c r="R116" s="651"/>
      <c r="S116" s="652">
        <v>0</v>
      </c>
      <c r="T116" s="653">
        <v>-324334</v>
      </c>
      <c r="U116" s="653">
        <v>-324334</v>
      </c>
    </row>
    <row r="117" spans="1:21" x14ac:dyDescent="0.25">
      <c r="A117" s="648">
        <v>91120</v>
      </c>
      <c r="B117" s="649" t="s">
        <v>2656</v>
      </c>
      <c r="C117" s="650">
        <v>1.184E-4</v>
      </c>
      <c r="D117" s="650">
        <v>1.161E-4</v>
      </c>
      <c r="E117" s="651">
        <v>42592.1</v>
      </c>
      <c r="F117" s="651">
        <v>52105</v>
      </c>
      <c r="G117" s="651">
        <v>251284</v>
      </c>
      <c r="H117" s="651"/>
      <c r="I117" s="652">
        <v>4721.2</v>
      </c>
      <c r="J117" s="652">
        <v>220205</v>
      </c>
      <c r="K117" s="652">
        <v>17211</v>
      </c>
      <c r="L117" s="651">
        <v>0</v>
      </c>
      <c r="M117" s="651"/>
      <c r="N117" s="652">
        <v>8805</v>
      </c>
      <c r="O117" s="652">
        <v>81277</v>
      </c>
      <c r="P117" s="652">
        <v>0</v>
      </c>
      <c r="Q117" s="651">
        <v>29635</v>
      </c>
      <c r="R117" s="651"/>
      <c r="S117" s="652">
        <v>67165</v>
      </c>
      <c r="T117" s="653">
        <v>-11244</v>
      </c>
      <c r="U117" s="653">
        <v>55921</v>
      </c>
    </row>
    <row r="118" spans="1:21" x14ac:dyDescent="0.25">
      <c r="A118" s="648">
        <v>91121</v>
      </c>
      <c r="B118" s="649" t="s">
        <v>2657</v>
      </c>
      <c r="C118" s="650">
        <v>9.7842999999999992E-3</v>
      </c>
      <c r="D118" s="650">
        <v>1.0167600000000001E-2</v>
      </c>
      <c r="E118" s="651">
        <v>3705845</v>
      </c>
      <c r="F118" s="651">
        <v>4563158</v>
      </c>
      <c r="G118" s="651">
        <v>20765562</v>
      </c>
      <c r="H118" s="651"/>
      <c r="I118" s="652">
        <v>390149</v>
      </c>
      <c r="J118" s="652">
        <v>18197252</v>
      </c>
      <c r="K118" s="652">
        <v>1422256</v>
      </c>
      <c r="L118" s="651">
        <v>0</v>
      </c>
      <c r="M118" s="651"/>
      <c r="N118" s="652">
        <v>727649</v>
      </c>
      <c r="O118" s="652">
        <v>6716511</v>
      </c>
      <c r="P118" s="652">
        <v>0</v>
      </c>
      <c r="Q118" s="651">
        <v>834506</v>
      </c>
      <c r="R118" s="651"/>
      <c r="S118" s="652">
        <v>5550330</v>
      </c>
      <c r="T118" s="653">
        <v>-296106</v>
      </c>
      <c r="U118" s="653">
        <v>5254224</v>
      </c>
    </row>
    <row r="119" spans="1:21" x14ac:dyDescent="0.25">
      <c r="A119" s="648">
        <v>91127</v>
      </c>
      <c r="B119" s="649" t="s">
        <v>2658</v>
      </c>
      <c r="C119" s="650">
        <v>2.8229999999999998E-4</v>
      </c>
      <c r="D119" s="650">
        <v>2.7680000000000001E-4</v>
      </c>
      <c r="E119" s="651">
        <v>136473</v>
      </c>
      <c r="F119" s="651">
        <v>124226</v>
      </c>
      <c r="G119" s="651">
        <v>599135</v>
      </c>
      <c r="H119" s="651"/>
      <c r="I119" s="652">
        <v>11257</v>
      </c>
      <c r="J119" s="652">
        <v>525033</v>
      </c>
      <c r="K119" s="652">
        <v>41035</v>
      </c>
      <c r="L119" s="651">
        <v>59704</v>
      </c>
      <c r="M119" s="651"/>
      <c r="N119" s="652">
        <v>20994</v>
      </c>
      <c r="O119" s="652">
        <v>193787</v>
      </c>
      <c r="P119" s="652">
        <v>0</v>
      </c>
      <c r="Q119" s="651">
        <v>0</v>
      </c>
      <c r="R119" s="651"/>
      <c r="S119" s="652">
        <v>160140</v>
      </c>
      <c r="T119" s="653">
        <v>22617</v>
      </c>
      <c r="U119" s="653">
        <v>182757</v>
      </c>
    </row>
    <row r="120" spans="1:21" x14ac:dyDescent="0.25">
      <c r="A120" s="648">
        <v>91128</v>
      </c>
      <c r="B120" s="649" t="s">
        <v>2659</v>
      </c>
      <c r="C120" s="650">
        <v>5.0929999999999997E-4</v>
      </c>
      <c r="D120" s="650">
        <v>5.042E-4</v>
      </c>
      <c r="E120" s="651">
        <v>208474</v>
      </c>
      <c r="F120" s="651">
        <v>226282</v>
      </c>
      <c r="G120" s="651">
        <v>1080905</v>
      </c>
      <c r="H120" s="651"/>
      <c r="I120" s="652">
        <v>20308</v>
      </c>
      <c r="J120" s="652">
        <v>947218</v>
      </c>
      <c r="K120" s="652">
        <v>74032</v>
      </c>
      <c r="L120" s="651">
        <v>10827</v>
      </c>
      <c r="M120" s="651"/>
      <c r="N120" s="652">
        <v>37876</v>
      </c>
      <c r="O120" s="652">
        <v>349613</v>
      </c>
      <c r="P120" s="652">
        <v>0</v>
      </c>
      <c r="Q120" s="651">
        <v>12589</v>
      </c>
      <c r="R120" s="651"/>
      <c r="S120" s="652">
        <v>288910</v>
      </c>
      <c r="T120" s="653">
        <v>-2677</v>
      </c>
      <c r="U120" s="653">
        <v>286233</v>
      </c>
    </row>
    <row r="121" spans="1:21" x14ac:dyDescent="0.25">
      <c r="A121" s="648">
        <v>91138</v>
      </c>
      <c r="B121" s="649" t="s">
        <v>2660</v>
      </c>
      <c r="C121" s="650">
        <v>6.2350000000000003E-4</v>
      </c>
      <c r="D121" s="650">
        <v>6.6279999999999996E-4</v>
      </c>
      <c r="E121" s="651">
        <v>190650</v>
      </c>
      <c r="F121" s="651">
        <v>297461</v>
      </c>
      <c r="G121" s="651">
        <v>1323276</v>
      </c>
      <c r="H121" s="651"/>
      <c r="I121" s="652">
        <v>24862.0625</v>
      </c>
      <c r="J121" s="652">
        <v>1159611</v>
      </c>
      <c r="K121" s="652">
        <v>90633</v>
      </c>
      <c r="L121" s="651">
        <v>0</v>
      </c>
      <c r="M121" s="651"/>
      <c r="N121" s="652">
        <v>46369</v>
      </c>
      <c r="O121" s="652">
        <v>428007</v>
      </c>
      <c r="P121" s="652">
        <v>0</v>
      </c>
      <c r="Q121" s="651">
        <v>111983</v>
      </c>
      <c r="R121" s="651"/>
      <c r="S121" s="652">
        <v>353692</v>
      </c>
      <c r="T121" s="653">
        <v>-35624</v>
      </c>
      <c r="U121" s="653">
        <v>318068</v>
      </c>
    </row>
    <row r="122" spans="1:21" x14ac:dyDescent="0.25">
      <c r="A122" s="648">
        <v>91141</v>
      </c>
      <c r="B122" s="649" t="s">
        <v>2661</v>
      </c>
      <c r="C122" s="650">
        <v>5.5679999999999998E-4</v>
      </c>
      <c r="D122" s="650">
        <v>6.2560000000000003E-4</v>
      </c>
      <c r="E122" s="651">
        <v>214309.96</v>
      </c>
      <c r="F122" s="651">
        <v>280766</v>
      </c>
      <c r="G122" s="651">
        <v>1181716</v>
      </c>
      <c r="H122" s="651"/>
      <c r="I122" s="652">
        <v>22202</v>
      </c>
      <c r="J122" s="652">
        <v>1035560</v>
      </c>
      <c r="K122" s="652">
        <v>80937</v>
      </c>
      <c r="L122" s="651">
        <v>0</v>
      </c>
      <c r="M122" s="651"/>
      <c r="N122" s="652">
        <v>41409</v>
      </c>
      <c r="O122" s="652">
        <v>382220</v>
      </c>
      <c r="P122" s="652">
        <v>0</v>
      </c>
      <c r="Q122" s="651">
        <v>106380</v>
      </c>
      <c r="R122" s="651"/>
      <c r="S122" s="652">
        <v>315855</v>
      </c>
      <c r="T122" s="653">
        <v>-35698</v>
      </c>
      <c r="U122" s="653">
        <v>280157</v>
      </c>
    </row>
    <row r="123" spans="1:21" x14ac:dyDescent="0.25">
      <c r="A123" s="648">
        <v>91147</v>
      </c>
      <c r="B123" s="649" t="s">
        <v>2662</v>
      </c>
      <c r="C123" s="650">
        <v>2.4199999999999999E-5</v>
      </c>
      <c r="D123" s="650">
        <v>2.1399999999999998E-5</v>
      </c>
      <c r="E123" s="651">
        <v>10371</v>
      </c>
      <c r="F123" s="651">
        <v>9604</v>
      </c>
      <c r="G123" s="651">
        <v>51361</v>
      </c>
      <c r="H123" s="651"/>
      <c r="I123" s="652">
        <v>965</v>
      </c>
      <c r="J123" s="652">
        <v>45008</v>
      </c>
      <c r="K123" s="652">
        <v>3518</v>
      </c>
      <c r="L123" s="651">
        <v>10859</v>
      </c>
      <c r="M123" s="651"/>
      <c r="N123" s="652">
        <v>1800</v>
      </c>
      <c r="O123" s="652">
        <v>16612</v>
      </c>
      <c r="P123" s="652">
        <v>0</v>
      </c>
      <c r="Q123" s="651">
        <v>0</v>
      </c>
      <c r="R123" s="651"/>
      <c r="S123" s="652">
        <v>13728</v>
      </c>
      <c r="T123" s="653">
        <v>3941</v>
      </c>
      <c r="U123" s="653">
        <v>17669</v>
      </c>
    </row>
    <row r="124" spans="1:21" x14ac:dyDescent="0.25">
      <c r="A124" s="648">
        <v>91151</v>
      </c>
      <c r="B124" s="649" t="s">
        <v>2663</v>
      </c>
      <c r="C124" s="650">
        <v>6.1180000000000002E-4</v>
      </c>
      <c r="D124" s="650">
        <v>6.4479999999999995E-4</v>
      </c>
      <c r="E124" s="651">
        <v>222681.43</v>
      </c>
      <c r="F124" s="651">
        <v>289382</v>
      </c>
      <c r="G124" s="651">
        <v>1298445</v>
      </c>
      <c r="H124" s="651"/>
      <c r="I124" s="652">
        <v>24396</v>
      </c>
      <c r="J124" s="652">
        <v>1137851</v>
      </c>
      <c r="K124" s="652">
        <v>88932</v>
      </c>
      <c r="L124" s="651">
        <v>10702</v>
      </c>
      <c r="M124" s="651"/>
      <c r="N124" s="652">
        <v>45499</v>
      </c>
      <c r="O124" s="652">
        <v>419975</v>
      </c>
      <c r="P124" s="652">
        <v>0</v>
      </c>
      <c r="Q124" s="651">
        <v>50740</v>
      </c>
      <c r="R124" s="651"/>
      <c r="S124" s="652">
        <v>347055</v>
      </c>
      <c r="T124" s="653">
        <v>-11759</v>
      </c>
      <c r="U124" s="653">
        <v>335296</v>
      </c>
    </row>
    <row r="125" spans="1:21" x14ac:dyDescent="0.25">
      <c r="A125" s="648">
        <v>91154</v>
      </c>
      <c r="B125" s="649" t="s">
        <v>2664</v>
      </c>
      <c r="C125" s="650">
        <v>1.9599999999999999E-5</v>
      </c>
      <c r="D125" s="650">
        <v>1.59E-5</v>
      </c>
      <c r="E125" s="651">
        <v>8048.64</v>
      </c>
      <c r="F125" s="651">
        <v>7136</v>
      </c>
      <c r="G125" s="651">
        <v>41598</v>
      </c>
      <c r="H125" s="651"/>
      <c r="I125" s="652">
        <v>781.55</v>
      </c>
      <c r="J125" s="652">
        <v>36453</v>
      </c>
      <c r="K125" s="652">
        <v>2849</v>
      </c>
      <c r="L125" s="651">
        <v>5846</v>
      </c>
      <c r="M125" s="651"/>
      <c r="N125" s="652">
        <v>1458</v>
      </c>
      <c r="O125" s="652">
        <v>13455</v>
      </c>
      <c r="P125" s="652">
        <v>0</v>
      </c>
      <c r="Q125" s="651">
        <v>0</v>
      </c>
      <c r="R125" s="651"/>
      <c r="S125" s="652">
        <v>11118</v>
      </c>
      <c r="T125" s="653">
        <v>2074</v>
      </c>
      <c r="U125" s="653">
        <v>13192</v>
      </c>
    </row>
    <row r="126" spans="1:21" x14ac:dyDescent="0.25">
      <c r="A126" s="648">
        <v>91161</v>
      </c>
      <c r="B126" s="649" t="s">
        <v>2665</v>
      </c>
      <c r="C126" s="650">
        <v>9.4599999999999996E-5</v>
      </c>
      <c r="D126" s="650">
        <v>1.0670000000000001E-4</v>
      </c>
      <c r="E126" s="651">
        <v>44114</v>
      </c>
      <c r="F126" s="651">
        <v>47886</v>
      </c>
      <c r="G126" s="651">
        <v>200773</v>
      </c>
      <c r="H126" s="651"/>
      <c r="I126" s="652">
        <v>3772</v>
      </c>
      <c r="J126" s="652">
        <v>175941</v>
      </c>
      <c r="K126" s="652">
        <v>13751</v>
      </c>
      <c r="L126" s="651">
        <v>7920</v>
      </c>
      <c r="M126" s="651"/>
      <c r="N126" s="652">
        <v>7035</v>
      </c>
      <c r="O126" s="652">
        <v>64939</v>
      </c>
      <c r="P126" s="652">
        <v>0</v>
      </c>
      <c r="Q126" s="651">
        <v>5006</v>
      </c>
      <c r="R126" s="651"/>
      <c r="S126" s="652">
        <v>53664</v>
      </c>
      <c r="T126" s="653">
        <v>881</v>
      </c>
      <c r="U126" s="653">
        <v>54545</v>
      </c>
    </row>
    <row r="127" spans="1:21" x14ac:dyDescent="0.25">
      <c r="A127" s="648">
        <v>91171</v>
      </c>
      <c r="B127" s="649" t="s">
        <v>2666</v>
      </c>
      <c r="C127" s="650">
        <v>2.5589999999999999E-4</v>
      </c>
      <c r="D127" s="650">
        <v>2.5240000000000001E-4</v>
      </c>
      <c r="E127" s="651">
        <v>90093.88</v>
      </c>
      <c r="F127" s="651">
        <v>113276</v>
      </c>
      <c r="G127" s="651">
        <v>543106</v>
      </c>
      <c r="H127" s="651"/>
      <c r="I127" s="652">
        <v>10204</v>
      </c>
      <c r="J127" s="652">
        <v>475934</v>
      </c>
      <c r="K127" s="652">
        <v>37198</v>
      </c>
      <c r="L127" s="651">
        <v>0</v>
      </c>
      <c r="M127" s="651"/>
      <c r="N127" s="652">
        <v>19031</v>
      </c>
      <c r="O127" s="652">
        <v>175665</v>
      </c>
      <c r="P127" s="652">
        <v>0</v>
      </c>
      <c r="Q127" s="651">
        <v>32510</v>
      </c>
      <c r="R127" s="651"/>
      <c r="S127" s="652">
        <v>145164</v>
      </c>
      <c r="T127" s="653">
        <v>-12018</v>
      </c>
      <c r="U127" s="653">
        <v>133146</v>
      </c>
    </row>
    <row r="128" spans="1:21" x14ac:dyDescent="0.25">
      <c r="A128" s="648">
        <v>91201</v>
      </c>
      <c r="B128" s="649" t="s">
        <v>2667</v>
      </c>
      <c r="C128" s="650">
        <v>2.3127999999999998E-3</v>
      </c>
      <c r="D128" s="650">
        <v>2.2309000000000001E-3</v>
      </c>
      <c r="E128" s="651">
        <v>868644</v>
      </c>
      <c r="F128" s="651">
        <v>1001215</v>
      </c>
      <c r="G128" s="651">
        <v>4908536</v>
      </c>
      <c r="H128" s="651"/>
      <c r="I128" s="652">
        <v>92222.9</v>
      </c>
      <c r="J128" s="652">
        <v>4301443</v>
      </c>
      <c r="K128" s="652">
        <v>336191</v>
      </c>
      <c r="L128" s="651">
        <v>65448</v>
      </c>
      <c r="M128" s="651"/>
      <c r="N128" s="652">
        <v>172001</v>
      </c>
      <c r="O128" s="652">
        <v>1587640</v>
      </c>
      <c r="P128" s="652">
        <v>0</v>
      </c>
      <c r="Q128" s="651">
        <v>21142</v>
      </c>
      <c r="R128" s="651"/>
      <c r="S128" s="652">
        <v>1311980</v>
      </c>
      <c r="T128" s="653">
        <v>19623</v>
      </c>
      <c r="U128" s="653">
        <v>1331603</v>
      </c>
    </row>
    <row r="129" spans="1:21" x14ac:dyDescent="0.25">
      <c r="A129" s="648">
        <v>91202</v>
      </c>
      <c r="B129" s="649" t="s">
        <v>2668</v>
      </c>
      <c r="C129" s="650">
        <v>1.897E-4</v>
      </c>
      <c r="D129" s="650">
        <v>1.7560000000000001E-4</v>
      </c>
      <c r="E129" s="651">
        <v>85259.9</v>
      </c>
      <c r="F129" s="651">
        <v>78808</v>
      </c>
      <c r="G129" s="651">
        <v>402607</v>
      </c>
      <c r="H129" s="651"/>
      <c r="I129" s="652">
        <v>7564</v>
      </c>
      <c r="J129" s="652">
        <v>352812</v>
      </c>
      <c r="K129" s="652">
        <v>27575</v>
      </c>
      <c r="L129" s="651">
        <v>29505</v>
      </c>
      <c r="M129" s="651"/>
      <c r="N129" s="652">
        <v>14108</v>
      </c>
      <c r="O129" s="652">
        <v>130221</v>
      </c>
      <c r="P129" s="652">
        <v>0</v>
      </c>
      <c r="Q129" s="651">
        <v>0</v>
      </c>
      <c r="R129" s="651"/>
      <c r="S129" s="652">
        <v>107611</v>
      </c>
      <c r="T129" s="653">
        <v>10216</v>
      </c>
      <c r="U129" s="653">
        <v>117827</v>
      </c>
    </row>
    <row r="130" spans="1:21" x14ac:dyDescent="0.25">
      <c r="A130" s="648">
        <v>91203</v>
      </c>
      <c r="B130" s="649" t="s">
        <v>2669</v>
      </c>
      <c r="C130" s="650">
        <v>2.4479999999999999E-4</v>
      </c>
      <c r="D130" s="650">
        <v>2.4909999999999998E-4</v>
      </c>
      <c r="E130" s="651">
        <v>123805</v>
      </c>
      <c r="F130" s="651">
        <v>111795</v>
      </c>
      <c r="G130" s="651">
        <v>519548</v>
      </c>
      <c r="H130" s="651"/>
      <c r="I130" s="652">
        <v>9761.4</v>
      </c>
      <c r="J130" s="652">
        <v>455289</v>
      </c>
      <c r="K130" s="652">
        <v>35584</v>
      </c>
      <c r="L130" s="651">
        <v>32505</v>
      </c>
      <c r="M130" s="651"/>
      <c r="N130" s="652">
        <v>18206</v>
      </c>
      <c r="O130" s="652">
        <v>168045</v>
      </c>
      <c r="P130" s="652">
        <v>0</v>
      </c>
      <c r="Q130" s="651">
        <v>0</v>
      </c>
      <c r="R130" s="651"/>
      <c r="S130" s="652">
        <v>138867</v>
      </c>
      <c r="T130" s="653">
        <v>11460</v>
      </c>
      <c r="U130" s="653">
        <v>150327</v>
      </c>
    </row>
    <row r="131" spans="1:21" x14ac:dyDescent="0.25">
      <c r="A131" s="648">
        <v>91206</v>
      </c>
      <c r="B131" s="649" t="s">
        <v>2670</v>
      </c>
      <c r="C131" s="650">
        <v>8.2129999999999996E-4</v>
      </c>
      <c r="D131" s="650">
        <v>8.1959999999999997E-4</v>
      </c>
      <c r="E131" s="651">
        <v>334673.01</v>
      </c>
      <c r="F131" s="651">
        <v>367832</v>
      </c>
      <c r="G131" s="651">
        <v>1743074</v>
      </c>
      <c r="H131" s="651"/>
      <c r="I131" s="652">
        <v>32749</v>
      </c>
      <c r="J131" s="652">
        <v>1527488</v>
      </c>
      <c r="K131" s="652">
        <v>119385</v>
      </c>
      <c r="L131" s="651">
        <v>21519</v>
      </c>
      <c r="M131" s="651"/>
      <c r="N131" s="652">
        <v>61079</v>
      </c>
      <c r="O131" s="652">
        <v>563788</v>
      </c>
      <c r="P131" s="652">
        <v>0</v>
      </c>
      <c r="Q131" s="651">
        <v>1526</v>
      </c>
      <c r="R131" s="651"/>
      <c r="S131" s="652">
        <v>465898</v>
      </c>
      <c r="T131" s="653">
        <v>10203</v>
      </c>
      <c r="U131" s="653">
        <v>476101</v>
      </c>
    </row>
    <row r="132" spans="1:21" x14ac:dyDescent="0.25">
      <c r="A132" s="648">
        <v>91208</v>
      </c>
      <c r="B132" s="649" t="s">
        <v>2671</v>
      </c>
      <c r="C132" s="650">
        <v>1.3699999999999999E-5</v>
      </c>
      <c r="D132" s="650">
        <v>1.2999999999999999E-5</v>
      </c>
      <c r="E132" s="651">
        <v>5593</v>
      </c>
      <c r="F132" s="651">
        <v>5834</v>
      </c>
      <c r="G132" s="651">
        <v>29076</v>
      </c>
      <c r="H132" s="651"/>
      <c r="I132" s="652">
        <v>546.28750000000002</v>
      </c>
      <c r="J132" s="652">
        <v>25480</v>
      </c>
      <c r="K132" s="652">
        <v>1991</v>
      </c>
      <c r="L132" s="651">
        <v>7123</v>
      </c>
      <c r="M132" s="651"/>
      <c r="N132" s="652">
        <v>1019</v>
      </c>
      <c r="O132" s="652">
        <v>9404</v>
      </c>
      <c r="P132" s="652">
        <v>0</v>
      </c>
      <c r="Q132" s="651">
        <v>0</v>
      </c>
      <c r="R132" s="651"/>
      <c r="S132" s="652">
        <v>7772</v>
      </c>
      <c r="T132" s="653">
        <v>3401</v>
      </c>
      <c r="U132" s="653">
        <v>11172</v>
      </c>
    </row>
    <row r="133" spans="1:21" x14ac:dyDescent="0.25">
      <c r="A133" s="648">
        <v>91211</v>
      </c>
      <c r="B133" s="649" t="s">
        <v>2672</v>
      </c>
      <c r="C133" s="650">
        <v>4.6789999999999999E-4</v>
      </c>
      <c r="D133" s="650">
        <v>4.6260000000000002E-4</v>
      </c>
      <c r="E133" s="651">
        <v>192012</v>
      </c>
      <c r="F133" s="651">
        <v>207612</v>
      </c>
      <c r="G133" s="651">
        <v>993041</v>
      </c>
      <c r="H133" s="651"/>
      <c r="I133" s="652">
        <v>18658</v>
      </c>
      <c r="J133" s="652">
        <v>870220</v>
      </c>
      <c r="K133" s="652">
        <v>68014</v>
      </c>
      <c r="L133" s="651">
        <v>5989</v>
      </c>
      <c r="M133" s="651"/>
      <c r="N133" s="652">
        <v>34797</v>
      </c>
      <c r="O133" s="652">
        <v>321194</v>
      </c>
      <c r="P133" s="652">
        <v>0</v>
      </c>
      <c r="Q133" s="651">
        <v>5137</v>
      </c>
      <c r="R133" s="651"/>
      <c r="S133" s="652">
        <v>265425</v>
      </c>
      <c r="T133" s="653">
        <v>568</v>
      </c>
      <c r="U133" s="653">
        <v>265993</v>
      </c>
    </row>
    <row r="134" spans="1:21" x14ac:dyDescent="0.25">
      <c r="A134" s="648">
        <v>91213</v>
      </c>
      <c r="B134" s="649" t="s">
        <v>2673</v>
      </c>
      <c r="C134" s="650">
        <v>3.57E-5</v>
      </c>
      <c r="D134" s="650">
        <v>3.5500000000000002E-5</v>
      </c>
      <c r="E134" s="651">
        <v>11312</v>
      </c>
      <c r="F134" s="651">
        <v>15932</v>
      </c>
      <c r="G134" s="651">
        <v>75767</v>
      </c>
      <c r="H134" s="651"/>
      <c r="I134" s="652">
        <v>1424</v>
      </c>
      <c r="J134" s="652">
        <v>66396</v>
      </c>
      <c r="K134" s="652">
        <v>5189</v>
      </c>
      <c r="L134" s="651">
        <v>0</v>
      </c>
      <c r="M134" s="651"/>
      <c r="N134" s="652">
        <v>2655</v>
      </c>
      <c r="O134" s="652">
        <v>24507</v>
      </c>
      <c r="P134" s="652">
        <v>0</v>
      </c>
      <c r="Q134" s="651">
        <v>4828</v>
      </c>
      <c r="R134" s="651"/>
      <c r="S134" s="652">
        <v>20252</v>
      </c>
      <c r="T134" s="653">
        <v>-1558</v>
      </c>
      <c r="U134" s="653">
        <v>18694</v>
      </c>
    </row>
    <row r="135" spans="1:21" x14ac:dyDescent="0.25">
      <c r="A135" s="648">
        <v>91214</v>
      </c>
      <c r="B135" s="649" t="s">
        <v>2674</v>
      </c>
      <c r="C135" s="650">
        <v>2.8200000000000001E-5</v>
      </c>
      <c r="D135" s="650">
        <v>2.6800000000000001E-5</v>
      </c>
      <c r="E135" s="651">
        <v>8297</v>
      </c>
      <c r="F135" s="651">
        <v>12028</v>
      </c>
      <c r="G135" s="651">
        <v>59850</v>
      </c>
      <c r="H135" s="651"/>
      <c r="I135" s="652">
        <v>1124</v>
      </c>
      <c r="J135" s="652">
        <v>52448</v>
      </c>
      <c r="K135" s="652">
        <v>4099</v>
      </c>
      <c r="L135" s="651">
        <v>2071</v>
      </c>
      <c r="M135" s="651"/>
      <c r="N135" s="652">
        <v>2097</v>
      </c>
      <c r="O135" s="652">
        <v>19358</v>
      </c>
      <c r="P135" s="652">
        <v>0</v>
      </c>
      <c r="Q135" s="651">
        <v>1863</v>
      </c>
      <c r="R135" s="651"/>
      <c r="S135" s="652">
        <v>15997</v>
      </c>
      <c r="T135" s="653">
        <v>289</v>
      </c>
      <c r="U135" s="653">
        <v>16286</v>
      </c>
    </row>
    <row r="136" spans="1:21" x14ac:dyDescent="0.25">
      <c r="A136" s="648">
        <v>91217</v>
      </c>
      <c r="B136" s="649" t="s">
        <v>2675</v>
      </c>
      <c r="C136" s="650">
        <v>2.6699999999999998E-5</v>
      </c>
      <c r="D136" s="650">
        <v>1.8700000000000001E-5</v>
      </c>
      <c r="E136" s="651">
        <v>15053.92</v>
      </c>
      <c r="F136" s="651">
        <v>8392</v>
      </c>
      <c r="G136" s="651">
        <v>56666</v>
      </c>
      <c r="H136" s="651"/>
      <c r="I136" s="652">
        <v>1065</v>
      </c>
      <c r="J136" s="652">
        <v>49658</v>
      </c>
      <c r="K136" s="652">
        <v>3881</v>
      </c>
      <c r="L136" s="651">
        <v>11622</v>
      </c>
      <c r="M136" s="651"/>
      <c r="N136" s="652">
        <v>1986</v>
      </c>
      <c r="O136" s="652">
        <v>18328</v>
      </c>
      <c r="P136" s="652">
        <v>0</v>
      </c>
      <c r="Q136" s="651">
        <v>0</v>
      </c>
      <c r="R136" s="651"/>
      <c r="S136" s="652">
        <v>15146</v>
      </c>
      <c r="T136" s="653">
        <v>3617</v>
      </c>
      <c r="U136" s="653">
        <v>18763</v>
      </c>
    </row>
    <row r="137" spans="1:21" x14ac:dyDescent="0.25">
      <c r="A137" s="648">
        <v>91221</v>
      </c>
      <c r="B137" s="649" t="s">
        <v>2676</v>
      </c>
      <c r="C137" s="650">
        <v>1.294E-4</v>
      </c>
      <c r="D137" s="650">
        <v>1.404E-4</v>
      </c>
      <c r="E137" s="651">
        <v>50416</v>
      </c>
      <c r="F137" s="651">
        <v>63011</v>
      </c>
      <c r="G137" s="651">
        <v>274630</v>
      </c>
      <c r="H137" s="651"/>
      <c r="I137" s="652">
        <v>5160</v>
      </c>
      <c r="J137" s="652">
        <v>240664</v>
      </c>
      <c r="K137" s="652">
        <v>18810</v>
      </c>
      <c r="L137" s="651">
        <v>7496</v>
      </c>
      <c r="M137" s="651"/>
      <c r="N137" s="652">
        <v>9623</v>
      </c>
      <c r="O137" s="652">
        <v>88828</v>
      </c>
      <c r="P137" s="652">
        <v>0</v>
      </c>
      <c r="Q137" s="651">
        <v>9810</v>
      </c>
      <c r="R137" s="651"/>
      <c r="S137" s="652">
        <v>73405</v>
      </c>
      <c r="T137" s="653">
        <v>1070</v>
      </c>
      <c r="U137" s="653">
        <v>74475</v>
      </c>
    </row>
    <row r="138" spans="1:21" x14ac:dyDescent="0.25">
      <c r="A138" s="648">
        <v>91231</v>
      </c>
      <c r="B138" s="649" t="s">
        <v>2677</v>
      </c>
      <c r="C138" s="650">
        <v>1.9957E-3</v>
      </c>
      <c r="D138" s="650">
        <v>2.0203999999999999E-3</v>
      </c>
      <c r="E138" s="651">
        <v>763104.33</v>
      </c>
      <c r="F138" s="651">
        <v>906743</v>
      </c>
      <c r="G138" s="651">
        <v>4235544</v>
      </c>
      <c r="H138" s="651"/>
      <c r="I138" s="652">
        <v>79579</v>
      </c>
      <c r="J138" s="652">
        <v>3711687</v>
      </c>
      <c r="K138" s="652">
        <v>290097</v>
      </c>
      <c r="L138" s="651">
        <v>21281.06</v>
      </c>
      <c r="M138" s="651"/>
      <c r="N138" s="652">
        <v>148418</v>
      </c>
      <c r="O138" s="652">
        <v>1369964</v>
      </c>
      <c r="P138" s="652">
        <v>0</v>
      </c>
      <c r="Q138" s="651">
        <v>85796</v>
      </c>
      <c r="R138" s="651"/>
      <c r="S138" s="652">
        <v>1132099</v>
      </c>
      <c r="T138" s="653">
        <v>-14080</v>
      </c>
      <c r="U138" s="653">
        <v>1118019</v>
      </c>
    </row>
    <row r="139" spans="1:21" x14ac:dyDescent="0.25">
      <c r="A139" s="648">
        <v>91233</v>
      </c>
      <c r="B139" s="649" t="s">
        <v>2678</v>
      </c>
      <c r="C139" s="650">
        <v>4.5599999999999997E-5</v>
      </c>
      <c r="D139" s="650">
        <v>4.3399999999999998E-5</v>
      </c>
      <c r="E139" s="651">
        <v>17053</v>
      </c>
      <c r="F139" s="651">
        <v>19478</v>
      </c>
      <c r="G139" s="651">
        <v>96778</v>
      </c>
      <c r="H139" s="651"/>
      <c r="I139" s="652">
        <v>1818.3</v>
      </c>
      <c r="J139" s="652">
        <v>84809</v>
      </c>
      <c r="K139" s="652">
        <v>6628</v>
      </c>
      <c r="L139" s="651">
        <v>8243</v>
      </c>
      <c r="M139" s="651"/>
      <c r="N139" s="652">
        <v>3391</v>
      </c>
      <c r="O139" s="652">
        <v>31302</v>
      </c>
      <c r="P139" s="652">
        <v>0</v>
      </c>
      <c r="Q139" s="651">
        <v>159</v>
      </c>
      <c r="R139" s="651"/>
      <c r="S139" s="652">
        <v>25867</v>
      </c>
      <c r="T139" s="653">
        <v>3163</v>
      </c>
      <c r="U139" s="653">
        <v>29031</v>
      </c>
    </row>
    <row r="140" spans="1:21" x14ac:dyDescent="0.25">
      <c r="A140" s="648">
        <v>91241</v>
      </c>
      <c r="B140" s="649" t="s">
        <v>2679</v>
      </c>
      <c r="C140" s="650">
        <v>3.68E-5</v>
      </c>
      <c r="D140" s="650">
        <v>4.0800000000000002E-5</v>
      </c>
      <c r="E140" s="651">
        <v>13967</v>
      </c>
      <c r="F140" s="651">
        <v>18311</v>
      </c>
      <c r="G140" s="651">
        <v>78102</v>
      </c>
      <c r="H140" s="651"/>
      <c r="I140" s="652">
        <v>1467.4</v>
      </c>
      <c r="J140" s="652">
        <v>68442</v>
      </c>
      <c r="K140" s="652">
        <v>5349</v>
      </c>
      <c r="L140" s="651">
        <v>0</v>
      </c>
      <c r="M140" s="651"/>
      <c r="N140" s="652">
        <v>2737</v>
      </c>
      <c r="O140" s="652">
        <v>25262</v>
      </c>
      <c r="P140" s="652">
        <v>0</v>
      </c>
      <c r="Q140" s="651">
        <v>6784</v>
      </c>
      <c r="R140" s="651"/>
      <c r="S140" s="652">
        <v>20875</v>
      </c>
      <c r="T140" s="653">
        <v>-2529</v>
      </c>
      <c r="U140" s="653">
        <v>18346</v>
      </c>
    </row>
    <row r="141" spans="1:21" x14ac:dyDescent="0.25">
      <c r="A141" s="648">
        <v>91251</v>
      </c>
      <c r="B141" s="649" t="s">
        <v>2680</v>
      </c>
      <c r="C141" s="650">
        <v>2.65E-5</v>
      </c>
      <c r="D141" s="650">
        <v>2.6699999999999998E-5</v>
      </c>
      <c r="E141" s="651">
        <v>9989</v>
      </c>
      <c r="F141" s="651">
        <v>11983</v>
      </c>
      <c r="G141" s="651">
        <v>56242</v>
      </c>
      <c r="H141" s="651"/>
      <c r="I141" s="652">
        <v>1056.6875</v>
      </c>
      <c r="J141" s="652">
        <v>49286</v>
      </c>
      <c r="K141" s="652">
        <v>3852</v>
      </c>
      <c r="L141" s="651">
        <v>4706</v>
      </c>
      <c r="M141" s="651"/>
      <c r="N141" s="652">
        <v>1971</v>
      </c>
      <c r="O141" s="652">
        <v>18191</v>
      </c>
      <c r="P141" s="652">
        <v>0</v>
      </c>
      <c r="Q141" s="651">
        <v>1236</v>
      </c>
      <c r="R141" s="651"/>
      <c r="S141" s="652">
        <v>15033</v>
      </c>
      <c r="T141" s="653">
        <v>2006</v>
      </c>
      <c r="U141" s="653">
        <v>17039</v>
      </c>
    </row>
    <row r="142" spans="1:21" x14ac:dyDescent="0.25">
      <c r="A142" s="648">
        <v>91261</v>
      </c>
      <c r="B142" s="649" t="s">
        <v>2681</v>
      </c>
      <c r="C142" s="650">
        <v>9.5000000000000005E-6</v>
      </c>
      <c r="D142" s="650">
        <v>8.8000000000000004E-6</v>
      </c>
      <c r="E142" s="651">
        <v>4130</v>
      </c>
      <c r="F142" s="651">
        <v>3949</v>
      </c>
      <c r="G142" s="651">
        <v>20162</v>
      </c>
      <c r="H142" s="651"/>
      <c r="I142" s="652">
        <v>378.8125</v>
      </c>
      <c r="J142" s="652">
        <v>17668</v>
      </c>
      <c r="K142" s="652">
        <v>1381</v>
      </c>
      <c r="L142" s="651">
        <v>2027</v>
      </c>
      <c r="M142" s="651"/>
      <c r="N142" s="652">
        <v>707</v>
      </c>
      <c r="O142" s="652">
        <v>6521</v>
      </c>
      <c r="P142" s="652">
        <v>0</v>
      </c>
      <c r="Q142" s="651">
        <v>0</v>
      </c>
      <c r="R142" s="651"/>
      <c r="S142" s="652">
        <v>5389</v>
      </c>
      <c r="T142" s="653">
        <v>729</v>
      </c>
      <c r="U142" s="653">
        <v>6118</v>
      </c>
    </row>
    <row r="143" spans="1:21" x14ac:dyDescent="0.25">
      <c r="A143" s="648">
        <v>91301</v>
      </c>
      <c r="B143" s="649" t="s">
        <v>2682</v>
      </c>
      <c r="C143" s="650">
        <v>7.7765000000000004E-3</v>
      </c>
      <c r="D143" s="650">
        <v>7.2360999999999997E-3</v>
      </c>
      <c r="E143" s="651">
        <v>2863288</v>
      </c>
      <c r="F143" s="651">
        <v>3247518</v>
      </c>
      <c r="G143" s="651">
        <v>16504338</v>
      </c>
      <c r="H143" s="651"/>
      <c r="I143" s="652">
        <v>310088</v>
      </c>
      <c r="J143" s="652">
        <v>14463061</v>
      </c>
      <c r="K143" s="652">
        <v>1130400</v>
      </c>
      <c r="L143" s="651">
        <v>26878</v>
      </c>
      <c r="M143" s="651"/>
      <c r="N143" s="652">
        <v>578331</v>
      </c>
      <c r="O143" s="652">
        <v>5338241</v>
      </c>
      <c r="P143" s="652">
        <v>0</v>
      </c>
      <c r="Q143" s="651">
        <v>184573</v>
      </c>
      <c r="R143" s="651"/>
      <c r="S143" s="652">
        <v>4411367</v>
      </c>
      <c r="T143" s="653">
        <v>-64544</v>
      </c>
      <c r="U143" s="653">
        <v>4346824</v>
      </c>
    </row>
    <row r="144" spans="1:21" x14ac:dyDescent="0.25">
      <c r="A144" s="648">
        <v>91302</v>
      </c>
      <c r="B144" s="649" t="s">
        <v>2683</v>
      </c>
      <c r="C144" s="650">
        <v>5.9190000000000002E-4</v>
      </c>
      <c r="D144" s="650">
        <v>5.8169999999999999E-4</v>
      </c>
      <c r="E144" s="651">
        <v>242052.32</v>
      </c>
      <c r="F144" s="651">
        <v>261063</v>
      </c>
      <c r="G144" s="651">
        <v>1256210</v>
      </c>
      <c r="H144" s="651"/>
      <c r="I144" s="652">
        <v>23602</v>
      </c>
      <c r="J144" s="652">
        <v>1100840</v>
      </c>
      <c r="K144" s="652">
        <v>86039</v>
      </c>
      <c r="L144" s="651">
        <v>53000</v>
      </c>
      <c r="M144" s="651"/>
      <c r="N144" s="652">
        <v>44019</v>
      </c>
      <c r="O144" s="652">
        <v>406314</v>
      </c>
      <c r="P144" s="652">
        <v>0</v>
      </c>
      <c r="Q144" s="651">
        <v>0</v>
      </c>
      <c r="R144" s="651"/>
      <c r="S144" s="652">
        <v>335767</v>
      </c>
      <c r="T144" s="653">
        <v>20102</v>
      </c>
      <c r="U144" s="653">
        <v>355869</v>
      </c>
    </row>
    <row r="145" spans="1:21" x14ac:dyDescent="0.25">
      <c r="A145" s="648">
        <v>91306</v>
      </c>
      <c r="B145" s="649" t="s">
        <v>2684</v>
      </c>
      <c r="C145" s="650">
        <v>1.6676E-3</v>
      </c>
      <c r="D145" s="650">
        <v>1.5539E-3</v>
      </c>
      <c r="E145" s="651">
        <v>693271</v>
      </c>
      <c r="F145" s="651">
        <v>697381</v>
      </c>
      <c r="G145" s="651">
        <v>3539206</v>
      </c>
      <c r="H145" s="651"/>
      <c r="I145" s="652">
        <v>66495.55</v>
      </c>
      <c r="J145" s="652">
        <v>3101473</v>
      </c>
      <c r="K145" s="652">
        <v>242404</v>
      </c>
      <c r="L145" s="651">
        <v>174697</v>
      </c>
      <c r="M145" s="651"/>
      <c r="N145" s="652">
        <v>124018</v>
      </c>
      <c r="O145" s="652">
        <v>1144737</v>
      </c>
      <c r="P145" s="652">
        <v>0</v>
      </c>
      <c r="Q145" s="651">
        <v>0</v>
      </c>
      <c r="R145" s="651"/>
      <c r="S145" s="652">
        <v>945978</v>
      </c>
      <c r="T145" s="653">
        <v>60990</v>
      </c>
      <c r="U145" s="653">
        <v>1006968</v>
      </c>
    </row>
    <row r="146" spans="1:21" x14ac:dyDescent="0.25">
      <c r="A146" s="648">
        <v>91308</v>
      </c>
      <c r="B146" s="649" t="s">
        <v>2685</v>
      </c>
      <c r="C146" s="650">
        <v>2.05E-4</v>
      </c>
      <c r="D146" s="650">
        <v>1.8650000000000001E-4</v>
      </c>
      <c r="E146" s="651">
        <v>71992.33</v>
      </c>
      <c r="F146" s="651">
        <v>83700</v>
      </c>
      <c r="G146" s="651">
        <v>435079</v>
      </c>
      <c r="H146" s="651"/>
      <c r="I146" s="652">
        <v>8174.375</v>
      </c>
      <c r="J146" s="652">
        <v>381267.61</v>
      </c>
      <c r="K146" s="652">
        <v>29799</v>
      </c>
      <c r="L146" s="651">
        <v>4790</v>
      </c>
      <c r="M146" s="651"/>
      <c r="N146" s="652">
        <v>15246</v>
      </c>
      <c r="O146" s="652">
        <v>140724</v>
      </c>
      <c r="P146" s="652">
        <v>0</v>
      </c>
      <c r="Q146" s="651">
        <v>3858</v>
      </c>
      <c r="R146" s="651"/>
      <c r="S146" s="652">
        <v>116290</v>
      </c>
      <c r="T146" s="653">
        <v>980</v>
      </c>
      <c r="U146" s="653">
        <v>117270</v>
      </c>
    </row>
    <row r="147" spans="1:21" x14ac:dyDescent="0.25">
      <c r="A147" s="648">
        <v>91311</v>
      </c>
      <c r="B147" s="649" t="s">
        <v>2686</v>
      </c>
      <c r="C147" s="650">
        <v>7.6649999999999999E-3</v>
      </c>
      <c r="D147" s="650">
        <v>7.9313999999999999E-3</v>
      </c>
      <c r="E147" s="651">
        <v>2915494</v>
      </c>
      <c r="F147" s="651">
        <v>3559565</v>
      </c>
      <c r="G147" s="651">
        <v>16267698</v>
      </c>
      <c r="H147" s="651"/>
      <c r="I147" s="652">
        <v>305642</v>
      </c>
      <c r="J147" s="652">
        <v>14255689</v>
      </c>
      <c r="K147" s="652">
        <v>1114192</v>
      </c>
      <c r="L147" s="651">
        <v>121391</v>
      </c>
      <c r="M147" s="651"/>
      <c r="N147" s="652">
        <v>570038</v>
      </c>
      <c r="O147" s="652">
        <v>5261700.57</v>
      </c>
      <c r="P147" s="652">
        <v>0</v>
      </c>
      <c r="Q147" s="651">
        <v>535505</v>
      </c>
      <c r="R147" s="651"/>
      <c r="S147" s="652">
        <v>4348117</v>
      </c>
      <c r="T147" s="653">
        <v>-145156</v>
      </c>
      <c r="U147" s="653">
        <v>4202961</v>
      </c>
    </row>
    <row r="148" spans="1:21" x14ac:dyDescent="0.25">
      <c r="A148" s="648">
        <v>91317</v>
      </c>
      <c r="B148" s="649" t="s">
        <v>2687</v>
      </c>
      <c r="C148" s="650">
        <v>9.0500000000000004E-5</v>
      </c>
      <c r="D148" s="650">
        <v>9.59E-5</v>
      </c>
      <c r="E148" s="651">
        <v>39328.85</v>
      </c>
      <c r="F148" s="651">
        <v>43039</v>
      </c>
      <c r="G148" s="651">
        <v>192071</v>
      </c>
      <c r="H148" s="651"/>
      <c r="I148" s="652">
        <v>3608.6875</v>
      </c>
      <c r="J148" s="652">
        <v>168316</v>
      </c>
      <c r="K148" s="652">
        <v>13155</v>
      </c>
      <c r="L148" s="651">
        <v>3623</v>
      </c>
      <c r="M148" s="651"/>
      <c r="N148" s="652">
        <v>6730</v>
      </c>
      <c r="O148" s="652">
        <v>62124</v>
      </c>
      <c r="P148" s="652">
        <v>0</v>
      </c>
      <c r="Q148" s="651">
        <v>2926</v>
      </c>
      <c r="R148" s="651"/>
      <c r="S148" s="652">
        <v>51338</v>
      </c>
      <c r="T148" s="653">
        <v>118</v>
      </c>
      <c r="U148" s="653">
        <v>51456</v>
      </c>
    </row>
    <row r="149" spans="1:21" x14ac:dyDescent="0.25">
      <c r="A149" s="648">
        <v>91321</v>
      </c>
      <c r="B149" s="649" t="s">
        <v>2688</v>
      </c>
      <c r="C149" s="650">
        <v>4.1999999999999998E-5</v>
      </c>
      <c r="D149" s="650">
        <v>3.1999999999999999E-5</v>
      </c>
      <c r="E149" s="651">
        <v>17123</v>
      </c>
      <c r="F149" s="651">
        <v>14361</v>
      </c>
      <c r="G149" s="651">
        <v>89138</v>
      </c>
      <c r="H149" s="651"/>
      <c r="I149" s="652">
        <v>1674.75</v>
      </c>
      <c r="J149" s="652">
        <v>78113</v>
      </c>
      <c r="K149" s="652">
        <v>6105</v>
      </c>
      <c r="L149" s="651">
        <v>6260</v>
      </c>
      <c r="M149" s="651"/>
      <c r="N149" s="652">
        <v>3123</v>
      </c>
      <c r="O149" s="652">
        <v>28831</v>
      </c>
      <c r="P149" s="652">
        <v>0</v>
      </c>
      <c r="Q149" s="651">
        <v>5826</v>
      </c>
      <c r="R149" s="651"/>
      <c r="S149" s="652">
        <v>23825</v>
      </c>
      <c r="T149" s="653">
        <v>-210</v>
      </c>
      <c r="U149" s="653">
        <v>23615</v>
      </c>
    </row>
    <row r="150" spans="1:21" x14ac:dyDescent="0.25">
      <c r="A150" s="648">
        <v>91327</v>
      </c>
      <c r="B150" s="649" t="s">
        <v>2689</v>
      </c>
      <c r="C150" s="650">
        <v>1.03E-5</v>
      </c>
      <c r="D150" s="650">
        <v>1.13E-5</v>
      </c>
      <c r="E150" s="651">
        <v>4112</v>
      </c>
      <c r="F150" s="651">
        <v>5071</v>
      </c>
      <c r="G150" s="651">
        <v>21860</v>
      </c>
      <c r="H150" s="651"/>
      <c r="I150" s="652">
        <v>410.71249999999998</v>
      </c>
      <c r="J150" s="652">
        <v>19156</v>
      </c>
      <c r="K150" s="652">
        <v>1497</v>
      </c>
      <c r="L150" s="651">
        <v>72</v>
      </c>
      <c r="M150" s="651"/>
      <c r="N150" s="652">
        <v>766</v>
      </c>
      <c r="O150" s="652">
        <v>7071</v>
      </c>
      <c r="P150" s="652">
        <v>0</v>
      </c>
      <c r="Q150" s="651">
        <v>1050</v>
      </c>
      <c r="R150" s="651"/>
      <c r="S150" s="652">
        <v>5843</v>
      </c>
      <c r="T150" s="653">
        <v>-275</v>
      </c>
      <c r="U150" s="653">
        <v>5568</v>
      </c>
    </row>
    <row r="151" spans="1:21" x14ac:dyDescent="0.25">
      <c r="A151" s="648">
        <v>91331</v>
      </c>
      <c r="B151" s="649" t="s">
        <v>2690</v>
      </c>
      <c r="C151" s="650">
        <v>2.8509999999999998E-3</v>
      </c>
      <c r="D151" s="650">
        <v>3.0317E-3</v>
      </c>
      <c r="E151" s="651">
        <v>1040695.76</v>
      </c>
      <c r="F151" s="651">
        <v>1360609</v>
      </c>
      <c r="G151" s="651">
        <v>6050777</v>
      </c>
      <c r="H151" s="651"/>
      <c r="I151" s="652">
        <v>113684</v>
      </c>
      <c r="J151" s="652">
        <v>5302410</v>
      </c>
      <c r="K151" s="652">
        <v>414424</v>
      </c>
      <c r="L151" s="651">
        <v>0</v>
      </c>
      <c r="M151" s="651"/>
      <c r="N151" s="652">
        <v>212026</v>
      </c>
      <c r="O151" s="652">
        <v>1957092</v>
      </c>
      <c r="P151" s="652">
        <v>0</v>
      </c>
      <c r="Q151" s="651">
        <v>459221</v>
      </c>
      <c r="R151" s="651"/>
      <c r="S151" s="652">
        <v>1617284</v>
      </c>
      <c r="T151" s="653">
        <v>-164462</v>
      </c>
      <c r="U151" s="653">
        <v>1452822</v>
      </c>
    </row>
    <row r="152" spans="1:21" x14ac:dyDescent="0.25">
      <c r="A152" s="648">
        <v>91341</v>
      </c>
      <c r="B152" s="649" t="s">
        <v>2691</v>
      </c>
      <c r="C152" s="650">
        <v>1.4399999999999999E-5</v>
      </c>
      <c r="D152" s="650">
        <v>2.1299999999999999E-5</v>
      </c>
      <c r="E152" s="651">
        <v>7639.09</v>
      </c>
      <c r="F152" s="651">
        <v>9559</v>
      </c>
      <c r="G152" s="651">
        <v>30562</v>
      </c>
      <c r="H152" s="651"/>
      <c r="I152" s="652">
        <v>574</v>
      </c>
      <c r="J152" s="652">
        <v>26782</v>
      </c>
      <c r="K152" s="652">
        <v>2093</v>
      </c>
      <c r="L152" s="651">
        <v>514</v>
      </c>
      <c r="M152" s="651"/>
      <c r="N152" s="652">
        <v>1071</v>
      </c>
      <c r="O152" s="652">
        <v>9885</v>
      </c>
      <c r="P152" s="652">
        <v>0</v>
      </c>
      <c r="Q152" s="651">
        <v>2374</v>
      </c>
      <c r="R152" s="651"/>
      <c r="S152" s="652">
        <v>8169</v>
      </c>
      <c r="T152" s="653">
        <v>-382</v>
      </c>
      <c r="U152" s="653">
        <v>7786</v>
      </c>
    </row>
    <row r="153" spans="1:21" x14ac:dyDescent="0.25">
      <c r="A153" s="648">
        <v>91401</v>
      </c>
      <c r="B153" s="649" t="s">
        <v>2692</v>
      </c>
      <c r="C153" s="650">
        <v>3.6841E-3</v>
      </c>
      <c r="D153" s="650">
        <v>3.5414999999999999E-3</v>
      </c>
      <c r="E153" s="651">
        <v>1403464.74</v>
      </c>
      <c r="F153" s="651">
        <v>1589404</v>
      </c>
      <c r="G153" s="651">
        <v>7818894</v>
      </c>
      <c r="H153" s="651"/>
      <c r="I153" s="652">
        <v>146903</v>
      </c>
      <c r="J153" s="652">
        <v>6851844</v>
      </c>
      <c r="K153" s="652">
        <v>535524</v>
      </c>
      <c r="L153" s="651">
        <v>30858</v>
      </c>
      <c r="M153" s="651"/>
      <c r="N153" s="652">
        <v>273983</v>
      </c>
      <c r="O153" s="652">
        <v>2528980</v>
      </c>
      <c r="P153" s="652">
        <v>0</v>
      </c>
      <c r="Q153" s="651">
        <v>11385</v>
      </c>
      <c r="R153" s="651"/>
      <c r="S153" s="652">
        <v>2089876</v>
      </c>
      <c r="T153" s="653">
        <v>10463</v>
      </c>
      <c r="U153" s="653">
        <v>2100338</v>
      </c>
    </row>
    <row r="154" spans="1:21" x14ac:dyDescent="0.25">
      <c r="A154" s="648">
        <v>91411</v>
      </c>
      <c r="B154" s="649" t="s">
        <v>2693</v>
      </c>
      <c r="C154" s="650">
        <v>3.5379999999999998E-4</v>
      </c>
      <c r="D154" s="650">
        <v>3.1189999999999999E-4</v>
      </c>
      <c r="E154" s="651">
        <v>141435.49</v>
      </c>
      <c r="F154" s="651">
        <v>139979</v>
      </c>
      <c r="G154" s="651">
        <v>750882</v>
      </c>
      <c r="H154" s="651"/>
      <c r="I154" s="652">
        <v>14108</v>
      </c>
      <c r="J154" s="652">
        <v>658012</v>
      </c>
      <c r="K154" s="652">
        <v>51429</v>
      </c>
      <c r="L154" s="651">
        <v>22528</v>
      </c>
      <c r="M154" s="651"/>
      <c r="N154" s="652">
        <v>26312</v>
      </c>
      <c r="O154" s="652">
        <v>242869</v>
      </c>
      <c r="P154" s="652">
        <v>0</v>
      </c>
      <c r="Q154" s="651">
        <v>2801.92</v>
      </c>
      <c r="R154" s="651"/>
      <c r="S154" s="652">
        <v>200700</v>
      </c>
      <c r="T154" s="653">
        <v>4720</v>
      </c>
      <c r="U154" s="653">
        <v>205420</v>
      </c>
    </row>
    <row r="155" spans="1:21" x14ac:dyDescent="0.25">
      <c r="A155" s="648">
        <v>91417</v>
      </c>
      <c r="B155" s="649" t="s">
        <v>2694</v>
      </c>
      <c r="C155" s="650">
        <v>9.9000000000000001E-6</v>
      </c>
      <c r="D155" s="650">
        <v>1.04E-5</v>
      </c>
      <c r="E155" s="651">
        <v>4800</v>
      </c>
      <c r="F155" s="651">
        <v>4667</v>
      </c>
      <c r="G155" s="651">
        <v>21011</v>
      </c>
      <c r="H155" s="651"/>
      <c r="I155" s="652">
        <v>394.76249999999999</v>
      </c>
      <c r="J155" s="652">
        <v>18412</v>
      </c>
      <c r="K155" s="652">
        <v>1439</v>
      </c>
      <c r="L155" s="651">
        <v>3686</v>
      </c>
      <c r="M155" s="651"/>
      <c r="N155" s="652">
        <v>736</v>
      </c>
      <c r="O155" s="652">
        <v>6796</v>
      </c>
      <c r="P155" s="652">
        <v>0</v>
      </c>
      <c r="Q155" s="651">
        <v>0</v>
      </c>
      <c r="R155" s="651"/>
      <c r="S155" s="652">
        <v>5616</v>
      </c>
      <c r="T155" s="653">
        <v>1711</v>
      </c>
      <c r="U155" s="653">
        <v>7327</v>
      </c>
    </row>
    <row r="156" spans="1:21" x14ac:dyDescent="0.25">
      <c r="A156" s="648">
        <v>91421</v>
      </c>
      <c r="B156" s="649" t="s">
        <v>2695</v>
      </c>
      <c r="C156" s="650">
        <v>7.0400000000000004E-5</v>
      </c>
      <c r="D156" s="650">
        <v>7.3399999999999995E-5</v>
      </c>
      <c r="E156" s="651">
        <v>30683</v>
      </c>
      <c r="F156" s="651">
        <v>32941</v>
      </c>
      <c r="G156" s="651">
        <v>149412</v>
      </c>
      <c r="H156" s="651"/>
      <c r="I156" s="652">
        <v>2807</v>
      </c>
      <c r="J156" s="652">
        <v>130933</v>
      </c>
      <c r="K156" s="652">
        <v>10233</v>
      </c>
      <c r="L156" s="651">
        <v>2567</v>
      </c>
      <c r="M156" s="651"/>
      <c r="N156" s="652">
        <v>5236</v>
      </c>
      <c r="O156" s="652">
        <v>48327</v>
      </c>
      <c r="P156" s="652">
        <v>0</v>
      </c>
      <c r="Q156" s="651">
        <v>4833</v>
      </c>
      <c r="R156" s="651"/>
      <c r="S156" s="652">
        <v>39936</v>
      </c>
      <c r="T156" s="653">
        <v>-400</v>
      </c>
      <c r="U156" s="653">
        <v>39536</v>
      </c>
    </row>
    <row r="157" spans="1:21" x14ac:dyDescent="0.25">
      <c r="A157" s="648">
        <v>91423</v>
      </c>
      <c r="B157" s="649" t="s">
        <v>2696</v>
      </c>
      <c r="C157" s="650">
        <v>3.8699999999999999E-5</v>
      </c>
      <c r="D157" s="650">
        <v>3.9499999999999998E-5</v>
      </c>
      <c r="E157" s="651">
        <v>17177.96</v>
      </c>
      <c r="F157" s="651">
        <v>17727</v>
      </c>
      <c r="G157" s="651">
        <v>82134</v>
      </c>
      <c r="H157" s="651"/>
      <c r="I157" s="652">
        <v>1543</v>
      </c>
      <c r="J157" s="652">
        <v>71976</v>
      </c>
      <c r="K157" s="652">
        <v>5625</v>
      </c>
      <c r="L157" s="651">
        <v>10132</v>
      </c>
      <c r="M157" s="651"/>
      <c r="N157" s="652">
        <v>2878</v>
      </c>
      <c r="O157" s="652">
        <v>26566</v>
      </c>
      <c r="P157" s="652">
        <v>0</v>
      </c>
      <c r="Q157" s="651">
        <v>4072</v>
      </c>
      <c r="R157" s="651"/>
      <c r="S157" s="652">
        <v>21953</v>
      </c>
      <c r="T157" s="653">
        <v>1493</v>
      </c>
      <c r="U157" s="653">
        <v>23446</v>
      </c>
    </row>
    <row r="158" spans="1:21" x14ac:dyDescent="0.25">
      <c r="A158" s="648">
        <v>91431</v>
      </c>
      <c r="B158" s="649" t="s">
        <v>2697</v>
      </c>
      <c r="C158" s="650">
        <v>1.417E-4</v>
      </c>
      <c r="D158" s="650">
        <v>1.606E-4</v>
      </c>
      <c r="E158" s="651">
        <v>68459</v>
      </c>
      <c r="F158" s="651">
        <v>72076</v>
      </c>
      <c r="G158" s="651">
        <v>300735</v>
      </c>
      <c r="H158" s="651"/>
      <c r="I158" s="652">
        <v>5650</v>
      </c>
      <c r="J158" s="652">
        <v>263540</v>
      </c>
      <c r="K158" s="652">
        <v>20598</v>
      </c>
      <c r="L158" s="651">
        <v>1741</v>
      </c>
      <c r="M158" s="651"/>
      <c r="N158" s="652">
        <v>10538</v>
      </c>
      <c r="O158" s="652">
        <v>97271</v>
      </c>
      <c r="P158" s="652">
        <v>0</v>
      </c>
      <c r="Q158" s="651">
        <v>2500</v>
      </c>
      <c r="R158" s="651"/>
      <c r="S158" s="652">
        <v>80382</v>
      </c>
      <c r="T158" s="653">
        <v>-116</v>
      </c>
      <c r="U158" s="653">
        <v>80266</v>
      </c>
    </row>
    <row r="159" spans="1:21" x14ac:dyDescent="0.25">
      <c r="A159" s="648">
        <v>91441</v>
      </c>
      <c r="B159" s="649" t="s">
        <v>2698</v>
      </c>
      <c r="C159" s="650">
        <v>7.3800000000000005E-4</v>
      </c>
      <c r="D159" s="650">
        <v>8.0199999999999998E-4</v>
      </c>
      <c r="E159" s="651">
        <v>243177.92</v>
      </c>
      <c r="F159" s="651">
        <v>359933</v>
      </c>
      <c r="G159" s="651">
        <v>1566283</v>
      </c>
      <c r="H159" s="651"/>
      <c r="I159" s="652">
        <v>29428</v>
      </c>
      <c r="J159" s="652">
        <v>1372563</v>
      </c>
      <c r="K159" s="652">
        <v>107276</v>
      </c>
      <c r="L159" s="651">
        <v>0</v>
      </c>
      <c r="M159" s="651"/>
      <c r="N159" s="652">
        <v>54884</v>
      </c>
      <c r="O159" s="652">
        <v>506606</v>
      </c>
      <c r="P159" s="652">
        <v>0</v>
      </c>
      <c r="Q159" s="651">
        <v>154968</v>
      </c>
      <c r="R159" s="651"/>
      <c r="S159" s="652">
        <v>418645</v>
      </c>
      <c r="T159" s="653">
        <v>-51667</v>
      </c>
      <c r="U159" s="653">
        <v>366977</v>
      </c>
    </row>
    <row r="160" spans="1:21" x14ac:dyDescent="0.25">
      <c r="A160" s="648">
        <v>91451</v>
      </c>
      <c r="B160" s="649" t="s">
        <v>2699</v>
      </c>
      <c r="C160" s="650">
        <v>1.5629000000000001E-3</v>
      </c>
      <c r="D160" s="650">
        <v>1.7028E-3</v>
      </c>
      <c r="E160" s="651">
        <v>596685</v>
      </c>
      <c r="F160" s="651">
        <v>764206</v>
      </c>
      <c r="G160" s="651">
        <v>3316997</v>
      </c>
      <c r="H160" s="651"/>
      <c r="I160" s="652">
        <v>62321</v>
      </c>
      <c r="J160" s="652">
        <v>2906747</v>
      </c>
      <c r="K160" s="652">
        <v>227185</v>
      </c>
      <c r="L160" s="651">
        <v>0</v>
      </c>
      <c r="M160" s="651"/>
      <c r="N160" s="652">
        <v>116231</v>
      </c>
      <c r="O160" s="652">
        <v>1072865</v>
      </c>
      <c r="P160" s="652">
        <v>0</v>
      </c>
      <c r="Q160" s="651">
        <v>204791</v>
      </c>
      <c r="R160" s="651"/>
      <c r="S160" s="652">
        <v>886585</v>
      </c>
      <c r="T160" s="653">
        <v>-69029</v>
      </c>
      <c r="U160" s="653">
        <v>817556</v>
      </c>
    </row>
    <row r="161" spans="1:21" x14ac:dyDescent="0.25">
      <c r="A161" s="648">
        <v>91457</v>
      </c>
      <c r="B161" s="649" t="s">
        <v>2700</v>
      </c>
      <c r="C161" s="650">
        <v>2.58E-5</v>
      </c>
      <c r="D161" s="650">
        <v>2.7500000000000001E-5</v>
      </c>
      <c r="E161" s="651">
        <v>28421</v>
      </c>
      <c r="F161" s="651">
        <v>12342</v>
      </c>
      <c r="G161" s="651">
        <v>54756</v>
      </c>
      <c r="H161" s="651"/>
      <c r="I161" s="652">
        <v>1029</v>
      </c>
      <c r="J161" s="652">
        <v>47984</v>
      </c>
      <c r="K161" s="652">
        <v>3750</v>
      </c>
      <c r="L161" s="651">
        <v>24288</v>
      </c>
      <c r="M161" s="651"/>
      <c r="N161" s="652">
        <v>1919</v>
      </c>
      <c r="O161" s="652">
        <v>17711</v>
      </c>
      <c r="P161" s="652">
        <v>0</v>
      </c>
      <c r="Q161" s="651">
        <v>0</v>
      </c>
      <c r="R161" s="651"/>
      <c r="S161" s="652">
        <v>14636</v>
      </c>
      <c r="T161" s="653">
        <v>7429</v>
      </c>
      <c r="U161" s="653">
        <v>22065</v>
      </c>
    </row>
    <row r="162" spans="1:21" x14ac:dyDescent="0.25">
      <c r="A162" s="648">
        <v>91461</v>
      </c>
      <c r="B162" s="649" t="s">
        <v>2701</v>
      </c>
      <c r="C162" s="650">
        <v>8.6999999999999997E-6</v>
      </c>
      <c r="D162" s="650">
        <v>6.3999999999999997E-6</v>
      </c>
      <c r="E162" s="651">
        <v>2697</v>
      </c>
      <c r="F162" s="651">
        <v>2872</v>
      </c>
      <c r="G162" s="651">
        <v>18464</v>
      </c>
      <c r="H162" s="651"/>
      <c r="I162" s="652">
        <v>347</v>
      </c>
      <c r="J162" s="652">
        <v>16181</v>
      </c>
      <c r="K162" s="652">
        <v>1265</v>
      </c>
      <c r="L162" s="651">
        <v>3156</v>
      </c>
      <c r="M162" s="651"/>
      <c r="N162" s="652">
        <v>647</v>
      </c>
      <c r="O162" s="652">
        <v>5972</v>
      </c>
      <c r="P162" s="652">
        <v>0</v>
      </c>
      <c r="Q162" s="651">
        <v>0</v>
      </c>
      <c r="R162" s="651"/>
      <c r="S162" s="652">
        <v>4935</v>
      </c>
      <c r="T162" s="653">
        <v>1104</v>
      </c>
      <c r="U162" s="653">
        <v>6039</v>
      </c>
    </row>
    <row r="163" spans="1:21" x14ac:dyDescent="0.25">
      <c r="A163" s="648">
        <v>91501</v>
      </c>
      <c r="B163" s="649" t="s">
        <v>2702</v>
      </c>
      <c r="C163" s="650">
        <v>5.1099999999999995E-4</v>
      </c>
      <c r="D163" s="650">
        <v>4.8660000000000001E-4</v>
      </c>
      <c r="E163" s="651">
        <v>207396</v>
      </c>
      <c r="F163" s="651">
        <v>218383</v>
      </c>
      <c r="G163" s="651">
        <v>1084513</v>
      </c>
      <c r="H163" s="651"/>
      <c r="I163" s="652">
        <v>20376</v>
      </c>
      <c r="J163" s="652">
        <v>950379</v>
      </c>
      <c r="K163" s="652">
        <v>74279</v>
      </c>
      <c r="L163" s="651">
        <v>41752</v>
      </c>
      <c r="M163" s="651"/>
      <c r="N163" s="652">
        <v>38003</v>
      </c>
      <c r="O163" s="652">
        <v>350780</v>
      </c>
      <c r="P163" s="652">
        <v>0</v>
      </c>
      <c r="Q163" s="651">
        <v>0</v>
      </c>
      <c r="R163" s="651"/>
      <c r="S163" s="652">
        <v>289874</v>
      </c>
      <c r="T163" s="653">
        <v>17322</v>
      </c>
      <c r="U163" s="653">
        <v>307197</v>
      </c>
    </row>
    <row r="164" spans="1:21" x14ac:dyDescent="0.25">
      <c r="A164" s="648">
        <v>91504</v>
      </c>
      <c r="B164" s="649" t="s">
        <v>2703</v>
      </c>
      <c r="C164" s="650">
        <v>1.0200000000000001E-5</v>
      </c>
      <c r="D164" s="650">
        <v>9.7999999999999993E-6</v>
      </c>
      <c r="E164" s="651">
        <v>5951</v>
      </c>
      <c r="F164" s="651">
        <v>4398</v>
      </c>
      <c r="G164" s="651">
        <v>21648</v>
      </c>
      <c r="H164" s="651"/>
      <c r="I164" s="652">
        <v>406.72500000000002</v>
      </c>
      <c r="J164" s="652">
        <v>18970</v>
      </c>
      <c r="K164" s="652">
        <v>1483</v>
      </c>
      <c r="L164" s="651">
        <v>6563</v>
      </c>
      <c r="M164" s="651"/>
      <c r="N164" s="652">
        <v>759</v>
      </c>
      <c r="O164" s="652">
        <v>7002</v>
      </c>
      <c r="P164" s="652">
        <v>0</v>
      </c>
      <c r="Q164" s="651">
        <v>0</v>
      </c>
      <c r="R164" s="651"/>
      <c r="S164" s="652">
        <v>5786</v>
      </c>
      <c r="T164" s="653">
        <v>2270</v>
      </c>
      <c r="U164" s="653">
        <v>8056</v>
      </c>
    </row>
    <row r="165" spans="1:21" x14ac:dyDescent="0.25">
      <c r="A165" s="648">
        <v>91601</v>
      </c>
      <c r="B165" s="649" t="s">
        <v>2704</v>
      </c>
      <c r="C165" s="650">
        <v>2.9077999999999999E-3</v>
      </c>
      <c r="D165" s="650">
        <v>2.5893000000000001E-3</v>
      </c>
      <c r="E165" s="651">
        <v>1153048.76</v>
      </c>
      <c r="F165" s="651">
        <v>1162062</v>
      </c>
      <c r="G165" s="651">
        <v>6171326</v>
      </c>
      <c r="H165" s="651"/>
      <c r="I165" s="652">
        <v>115949</v>
      </c>
      <c r="J165" s="652">
        <v>5408049</v>
      </c>
      <c r="K165" s="652">
        <v>422681</v>
      </c>
      <c r="L165" s="651">
        <v>254754</v>
      </c>
      <c r="M165" s="651"/>
      <c r="N165" s="652">
        <v>216250</v>
      </c>
      <c r="O165" s="652">
        <v>1996083</v>
      </c>
      <c r="P165" s="652">
        <v>0</v>
      </c>
      <c r="Q165" s="651">
        <v>0</v>
      </c>
      <c r="R165" s="651"/>
      <c r="S165" s="652">
        <v>1649505</v>
      </c>
      <c r="T165" s="653">
        <v>86224</v>
      </c>
      <c r="U165" s="653">
        <v>1735729</v>
      </c>
    </row>
    <row r="166" spans="1:21" x14ac:dyDescent="0.25">
      <c r="A166" s="648">
        <v>91604</v>
      </c>
      <c r="B166" s="649" t="s">
        <v>2705</v>
      </c>
      <c r="C166" s="650">
        <v>8.6799999999999996E-5</v>
      </c>
      <c r="D166" s="650">
        <v>8.5000000000000006E-5</v>
      </c>
      <c r="E166" s="651">
        <v>47160</v>
      </c>
      <c r="F166" s="651">
        <v>38147</v>
      </c>
      <c r="G166" s="651">
        <v>184219</v>
      </c>
      <c r="H166" s="651"/>
      <c r="I166" s="652">
        <v>3461</v>
      </c>
      <c r="J166" s="652">
        <v>161434</v>
      </c>
      <c r="K166" s="652">
        <v>12617</v>
      </c>
      <c r="L166" s="651">
        <v>17354</v>
      </c>
      <c r="M166" s="651"/>
      <c r="N166" s="652">
        <v>6455</v>
      </c>
      <c r="O166" s="652">
        <v>59585</v>
      </c>
      <c r="P166" s="652">
        <v>0</v>
      </c>
      <c r="Q166" s="651">
        <v>0</v>
      </c>
      <c r="R166" s="651"/>
      <c r="S166" s="652">
        <v>49239</v>
      </c>
      <c r="T166" s="653">
        <v>5419</v>
      </c>
      <c r="U166" s="653">
        <v>54658</v>
      </c>
    </row>
    <row r="167" spans="1:21" x14ac:dyDescent="0.25">
      <c r="A167" s="648">
        <v>91608</v>
      </c>
      <c r="B167" s="649" t="s">
        <v>2706</v>
      </c>
      <c r="C167" s="650">
        <v>1.208E-4</v>
      </c>
      <c r="D167" s="650">
        <v>1.178E-4</v>
      </c>
      <c r="E167" s="651">
        <v>33634</v>
      </c>
      <c r="F167" s="651">
        <v>52868</v>
      </c>
      <c r="G167" s="651">
        <v>256378</v>
      </c>
      <c r="H167" s="651"/>
      <c r="I167" s="652">
        <v>4817</v>
      </c>
      <c r="J167" s="652">
        <v>224669</v>
      </c>
      <c r="K167" s="652">
        <v>17560</v>
      </c>
      <c r="L167" s="651">
        <v>1751</v>
      </c>
      <c r="M167" s="651"/>
      <c r="N167" s="652">
        <v>8984</v>
      </c>
      <c r="O167" s="652">
        <v>82924</v>
      </c>
      <c r="P167" s="652">
        <v>0</v>
      </c>
      <c r="Q167" s="651">
        <v>42921</v>
      </c>
      <c r="R167" s="651"/>
      <c r="S167" s="652">
        <v>68526</v>
      </c>
      <c r="T167" s="653">
        <v>-13278</v>
      </c>
      <c r="U167" s="653">
        <v>55248</v>
      </c>
    </row>
    <row r="168" spans="1:21" x14ac:dyDescent="0.25">
      <c r="A168" s="648">
        <v>91611</v>
      </c>
      <c r="B168" s="649" t="s">
        <v>2707</v>
      </c>
      <c r="C168" s="650">
        <v>1.4345E-3</v>
      </c>
      <c r="D168" s="650">
        <v>1.3361E-3</v>
      </c>
      <c r="E168" s="651">
        <v>495192</v>
      </c>
      <c r="F168" s="651">
        <v>599634</v>
      </c>
      <c r="G168" s="651">
        <v>3044490</v>
      </c>
      <c r="H168" s="651"/>
      <c r="I168" s="652">
        <v>57201</v>
      </c>
      <c r="J168" s="652">
        <v>2667943</v>
      </c>
      <c r="K168" s="652">
        <v>208520</v>
      </c>
      <c r="L168" s="651">
        <v>36769</v>
      </c>
      <c r="M168" s="651"/>
      <c r="N168" s="652">
        <v>106682</v>
      </c>
      <c r="O168" s="652">
        <v>984724</v>
      </c>
      <c r="P168" s="652">
        <v>0</v>
      </c>
      <c r="Q168" s="651">
        <v>21938</v>
      </c>
      <c r="R168" s="651"/>
      <c r="S168" s="652">
        <v>813747</v>
      </c>
      <c r="T168" s="653">
        <v>11752</v>
      </c>
      <c r="U168" s="653">
        <v>825500</v>
      </c>
    </row>
    <row r="169" spans="1:21" x14ac:dyDescent="0.25">
      <c r="A169" s="648">
        <v>91621</v>
      </c>
      <c r="B169" s="649" t="s">
        <v>2708</v>
      </c>
      <c r="C169" s="650">
        <v>2.5240000000000001E-4</v>
      </c>
      <c r="D169" s="650">
        <v>2.6200000000000003E-4</v>
      </c>
      <c r="E169" s="651">
        <v>102644</v>
      </c>
      <c r="F169" s="651">
        <v>117584</v>
      </c>
      <c r="G169" s="651">
        <v>535677</v>
      </c>
      <c r="H169" s="651"/>
      <c r="I169" s="652">
        <v>10064</v>
      </c>
      <c r="J169" s="652">
        <v>469424</v>
      </c>
      <c r="K169" s="652">
        <v>36689</v>
      </c>
      <c r="L169" s="651">
        <v>20545</v>
      </c>
      <c r="M169" s="651"/>
      <c r="N169" s="652">
        <v>18771</v>
      </c>
      <c r="O169" s="652">
        <v>173262</v>
      </c>
      <c r="P169" s="652">
        <v>0</v>
      </c>
      <c r="Q169" s="651">
        <v>25591</v>
      </c>
      <c r="R169" s="651"/>
      <c r="S169" s="652">
        <v>143179</v>
      </c>
      <c r="T169" s="653">
        <v>-4085</v>
      </c>
      <c r="U169" s="653">
        <v>139094</v>
      </c>
    </row>
    <row r="170" spans="1:21" x14ac:dyDescent="0.25">
      <c r="A170" s="648">
        <v>91631</v>
      </c>
      <c r="B170" s="649" t="s">
        <v>2709</v>
      </c>
      <c r="C170" s="650">
        <v>5.3870000000000003E-4</v>
      </c>
      <c r="D170" s="650">
        <v>5.4830000000000005E-4</v>
      </c>
      <c r="E170" s="651">
        <v>189554.94</v>
      </c>
      <c r="F170" s="651">
        <v>246074</v>
      </c>
      <c r="G170" s="651">
        <v>1143302</v>
      </c>
      <c r="H170" s="651"/>
      <c r="I170" s="652">
        <v>21481</v>
      </c>
      <c r="J170" s="652">
        <v>1001897</v>
      </c>
      <c r="K170" s="652">
        <v>78306</v>
      </c>
      <c r="L170" s="651">
        <v>0</v>
      </c>
      <c r="M170" s="651"/>
      <c r="N170" s="652">
        <v>40063</v>
      </c>
      <c r="O170" s="652">
        <v>369795</v>
      </c>
      <c r="P170" s="652">
        <v>0</v>
      </c>
      <c r="Q170" s="651">
        <v>35292</v>
      </c>
      <c r="R170" s="651"/>
      <c r="S170" s="652">
        <v>305588</v>
      </c>
      <c r="T170" s="653">
        <v>-10001</v>
      </c>
      <c r="U170" s="653">
        <v>295587</v>
      </c>
    </row>
    <row r="171" spans="1:21" x14ac:dyDescent="0.25">
      <c r="A171" s="648">
        <v>91633</v>
      </c>
      <c r="B171" s="649" t="s">
        <v>2710</v>
      </c>
      <c r="C171" s="650">
        <v>2.3799999999999999E-5</v>
      </c>
      <c r="D171" s="650">
        <v>2.3200000000000001E-5</v>
      </c>
      <c r="E171" s="651">
        <v>11149</v>
      </c>
      <c r="F171" s="651">
        <v>10412</v>
      </c>
      <c r="G171" s="651">
        <v>50512</v>
      </c>
      <c r="H171" s="651"/>
      <c r="I171" s="652">
        <v>949.02499999999998</v>
      </c>
      <c r="J171" s="652">
        <v>44264</v>
      </c>
      <c r="K171" s="652">
        <v>3460</v>
      </c>
      <c r="L171" s="651">
        <v>1407</v>
      </c>
      <c r="M171" s="651"/>
      <c r="N171" s="652">
        <v>1770</v>
      </c>
      <c r="O171" s="652">
        <v>16338</v>
      </c>
      <c r="P171" s="652">
        <v>0</v>
      </c>
      <c r="Q171" s="651">
        <v>5064</v>
      </c>
      <c r="R171" s="651"/>
      <c r="S171" s="652">
        <v>13501</v>
      </c>
      <c r="T171" s="653">
        <v>-1485</v>
      </c>
      <c r="U171" s="653">
        <v>12016</v>
      </c>
    </row>
    <row r="172" spans="1:21" x14ac:dyDescent="0.25">
      <c r="A172" s="648">
        <v>91641</v>
      </c>
      <c r="B172" s="649" t="s">
        <v>2711</v>
      </c>
      <c r="C172" s="650">
        <v>2.742E-4</v>
      </c>
      <c r="D172" s="650">
        <v>3.1080000000000002E-4</v>
      </c>
      <c r="E172" s="651">
        <v>90324.84</v>
      </c>
      <c r="F172" s="651">
        <v>139485</v>
      </c>
      <c r="G172" s="651">
        <v>581944</v>
      </c>
      <c r="H172" s="651"/>
      <c r="I172" s="652">
        <v>10934</v>
      </c>
      <c r="J172" s="652">
        <v>509969</v>
      </c>
      <c r="K172" s="652">
        <v>39858</v>
      </c>
      <c r="L172" s="651">
        <v>0</v>
      </c>
      <c r="M172" s="651"/>
      <c r="N172" s="652">
        <v>20392</v>
      </c>
      <c r="O172" s="652">
        <v>188227</v>
      </c>
      <c r="P172" s="652">
        <v>0</v>
      </c>
      <c r="Q172" s="651">
        <v>73613</v>
      </c>
      <c r="R172" s="651"/>
      <c r="S172" s="652">
        <v>155545</v>
      </c>
      <c r="T172" s="653">
        <v>-24397</v>
      </c>
      <c r="U172" s="653">
        <v>131148</v>
      </c>
    </row>
    <row r="173" spans="1:21" x14ac:dyDescent="0.25">
      <c r="A173" s="648">
        <v>91651</v>
      </c>
      <c r="B173" s="649" t="s">
        <v>2712</v>
      </c>
      <c r="C173" s="650">
        <v>4.6099999999999998E-4</v>
      </c>
      <c r="D173" s="650">
        <v>4.797E-4</v>
      </c>
      <c r="E173" s="651">
        <v>182169.7</v>
      </c>
      <c r="F173" s="651">
        <v>215286</v>
      </c>
      <c r="G173" s="651">
        <v>978396</v>
      </c>
      <c r="H173" s="651"/>
      <c r="I173" s="652">
        <v>18382.375</v>
      </c>
      <c r="J173" s="652">
        <v>857387</v>
      </c>
      <c r="K173" s="652">
        <v>67011</v>
      </c>
      <c r="L173" s="651">
        <v>0</v>
      </c>
      <c r="M173" s="651"/>
      <c r="N173" s="652">
        <v>34284</v>
      </c>
      <c r="O173" s="652">
        <v>316457</v>
      </c>
      <c r="P173" s="652">
        <v>0</v>
      </c>
      <c r="Q173" s="651">
        <v>30276</v>
      </c>
      <c r="R173" s="651"/>
      <c r="S173" s="652">
        <v>261511</v>
      </c>
      <c r="T173" s="653">
        <v>-9842</v>
      </c>
      <c r="U173" s="653">
        <v>251669</v>
      </c>
    </row>
    <row r="174" spans="1:21" x14ac:dyDescent="0.25">
      <c r="A174" s="648">
        <v>91661</v>
      </c>
      <c r="B174" s="649" t="s">
        <v>2713</v>
      </c>
      <c r="C174" s="650">
        <v>1.6750000000000001E-4</v>
      </c>
      <c r="D174" s="650">
        <v>1.9149999999999999E-4</v>
      </c>
      <c r="E174" s="651">
        <v>50933.13</v>
      </c>
      <c r="F174" s="651">
        <v>85944</v>
      </c>
      <c r="G174" s="651">
        <v>355491</v>
      </c>
      <c r="H174" s="651"/>
      <c r="I174" s="652">
        <v>6679.0625</v>
      </c>
      <c r="J174" s="652">
        <v>311524</v>
      </c>
      <c r="K174" s="652">
        <v>24348</v>
      </c>
      <c r="L174" s="651">
        <v>0</v>
      </c>
      <c r="M174" s="651"/>
      <c r="N174" s="652">
        <v>12457</v>
      </c>
      <c r="O174" s="652">
        <v>114982</v>
      </c>
      <c r="P174" s="652">
        <v>0</v>
      </c>
      <c r="Q174" s="651">
        <v>40976</v>
      </c>
      <c r="R174" s="651"/>
      <c r="S174" s="652">
        <v>95018</v>
      </c>
      <c r="T174" s="653">
        <v>-12042</v>
      </c>
      <c r="U174" s="653">
        <v>82975</v>
      </c>
    </row>
    <row r="175" spans="1:21" x14ac:dyDescent="0.25">
      <c r="A175" s="648">
        <v>91671</v>
      </c>
      <c r="B175" s="649" t="s">
        <v>2714</v>
      </c>
      <c r="C175" s="650">
        <v>9.7600000000000001E-5</v>
      </c>
      <c r="D175" s="650">
        <v>9.0000000000000006E-5</v>
      </c>
      <c r="E175" s="651">
        <v>40599.14</v>
      </c>
      <c r="F175" s="651">
        <v>40391.46</v>
      </c>
      <c r="G175" s="651">
        <v>207140</v>
      </c>
      <c r="H175" s="651"/>
      <c r="I175" s="652">
        <v>3891.8</v>
      </c>
      <c r="J175" s="652">
        <v>181521</v>
      </c>
      <c r="K175" s="652">
        <v>14187</v>
      </c>
      <c r="L175" s="651">
        <v>17521</v>
      </c>
      <c r="M175" s="651"/>
      <c r="N175" s="652">
        <v>7258</v>
      </c>
      <c r="O175" s="652">
        <v>66998</v>
      </c>
      <c r="P175" s="652">
        <v>0</v>
      </c>
      <c r="Q175" s="651">
        <v>0</v>
      </c>
      <c r="R175" s="651"/>
      <c r="S175" s="652">
        <v>55365</v>
      </c>
      <c r="T175" s="653">
        <v>6024</v>
      </c>
      <c r="U175" s="653">
        <v>61390</v>
      </c>
    </row>
    <row r="176" spans="1:21" x14ac:dyDescent="0.25">
      <c r="A176" s="648">
        <v>91681</v>
      </c>
      <c r="B176" s="649" t="s">
        <v>2715</v>
      </c>
      <c r="C176" s="650">
        <v>4.7130000000000002E-4</v>
      </c>
      <c r="D176" s="650">
        <v>5.2590000000000004E-4</v>
      </c>
      <c r="E176" s="651">
        <v>361073.65</v>
      </c>
      <c r="F176" s="651">
        <v>236021</v>
      </c>
      <c r="G176" s="651">
        <v>1000256</v>
      </c>
      <c r="H176" s="651"/>
      <c r="I176" s="652">
        <v>18793</v>
      </c>
      <c r="J176" s="652">
        <v>876544</v>
      </c>
      <c r="K176" s="652">
        <v>68509</v>
      </c>
      <c r="L176" s="651">
        <v>196447</v>
      </c>
      <c r="M176" s="651"/>
      <c r="N176" s="652">
        <v>35050</v>
      </c>
      <c r="O176" s="652">
        <v>323528</v>
      </c>
      <c r="P176" s="652">
        <v>0</v>
      </c>
      <c r="Q176" s="651">
        <v>9078</v>
      </c>
      <c r="R176" s="651"/>
      <c r="S176" s="652">
        <v>267354</v>
      </c>
      <c r="T176" s="653">
        <v>55234</v>
      </c>
      <c r="U176" s="653">
        <v>322588</v>
      </c>
    </row>
    <row r="177" spans="1:21" x14ac:dyDescent="0.25">
      <c r="A177" s="648">
        <v>91691</v>
      </c>
      <c r="B177" s="649" t="s">
        <v>2716</v>
      </c>
      <c r="C177" s="650">
        <v>2.4199999999999999E-5</v>
      </c>
      <c r="D177" s="650">
        <v>1.8700000000000001E-5</v>
      </c>
      <c r="E177" s="651">
        <v>9114</v>
      </c>
      <c r="F177" s="651">
        <v>8392</v>
      </c>
      <c r="G177" s="651">
        <v>51361</v>
      </c>
      <c r="H177" s="651"/>
      <c r="I177" s="652">
        <v>965</v>
      </c>
      <c r="J177" s="652">
        <v>45008</v>
      </c>
      <c r="K177" s="652">
        <v>3518</v>
      </c>
      <c r="L177" s="651">
        <v>2449</v>
      </c>
      <c r="M177" s="651"/>
      <c r="N177" s="652">
        <v>1800</v>
      </c>
      <c r="O177" s="652">
        <v>16612</v>
      </c>
      <c r="P177" s="652">
        <v>0</v>
      </c>
      <c r="Q177" s="651">
        <v>801</v>
      </c>
      <c r="R177" s="651"/>
      <c r="S177" s="652">
        <v>13728</v>
      </c>
      <c r="T177" s="653">
        <v>383</v>
      </c>
      <c r="U177" s="653">
        <v>14111</v>
      </c>
    </row>
    <row r="178" spans="1:21" x14ac:dyDescent="0.25">
      <c r="A178" s="648">
        <v>91701</v>
      </c>
      <c r="B178" s="649" t="s">
        <v>2717</v>
      </c>
      <c r="C178" s="650">
        <v>1.0897000000000001E-3</v>
      </c>
      <c r="D178" s="650">
        <v>1.0575999999999999E-3</v>
      </c>
      <c r="E178" s="651">
        <v>448773</v>
      </c>
      <c r="F178" s="651">
        <v>474645</v>
      </c>
      <c r="G178" s="651">
        <v>2312708</v>
      </c>
      <c r="H178" s="651"/>
      <c r="I178" s="652">
        <v>43452</v>
      </c>
      <c r="J178" s="652">
        <v>2026670</v>
      </c>
      <c r="K178" s="652">
        <v>158400</v>
      </c>
      <c r="L178" s="651">
        <v>20132</v>
      </c>
      <c r="M178" s="651"/>
      <c r="N178" s="652">
        <v>81040</v>
      </c>
      <c r="O178" s="652">
        <v>748033</v>
      </c>
      <c r="P178" s="652">
        <v>0</v>
      </c>
      <c r="Q178" s="651">
        <v>13968</v>
      </c>
      <c r="R178" s="651"/>
      <c r="S178" s="652">
        <v>618153</v>
      </c>
      <c r="T178" s="653">
        <v>-1590</v>
      </c>
      <c r="U178" s="653">
        <v>616563</v>
      </c>
    </row>
    <row r="179" spans="1:21" x14ac:dyDescent="0.25">
      <c r="A179" s="648">
        <v>91704</v>
      </c>
      <c r="B179" s="649" t="s">
        <v>2718</v>
      </c>
      <c r="C179" s="650">
        <v>1.6699999999999999E-5</v>
      </c>
      <c r="D179" s="650">
        <v>1.66E-5</v>
      </c>
      <c r="E179" s="651">
        <v>6924</v>
      </c>
      <c r="F179" s="651">
        <v>7450</v>
      </c>
      <c r="G179" s="651">
        <v>35443</v>
      </c>
      <c r="H179" s="651"/>
      <c r="I179" s="652">
        <v>665.91250000000002</v>
      </c>
      <c r="J179" s="652">
        <v>31059</v>
      </c>
      <c r="K179" s="652">
        <v>2428</v>
      </c>
      <c r="L179" s="651">
        <v>1658</v>
      </c>
      <c r="M179" s="651"/>
      <c r="N179" s="652">
        <v>1242</v>
      </c>
      <c r="O179" s="652">
        <v>11464</v>
      </c>
      <c r="P179" s="652">
        <v>0</v>
      </c>
      <c r="Q179" s="651">
        <v>0</v>
      </c>
      <c r="R179" s="651"/>
      <c r="S179" s="652">
        <v>9473</v>
      </c>
      <c r="T179" s="653">
        <v>628</v>
      </c>
      <c r="U179" s="653">
        <v>10101</v>
      </c>
    </row>
    <row r="180" spans="1:21" x14ac:dyDescent="0.25">
      <c r="A180" s="648">
        <v>91706</v>
      </c>
      <c r="B180" s="649" t="s">
        <v>2719</v>
      </c>
      <c r="C180" s="650">
        <v>2.4279999999999999E-4</v>
      </c>
      <c r="D180" s="650">
        <v>2.565E-4</v>
      </c>
      <c r="E180" s="651">
        <v>104554</v>
      </c>
      <c r="F180" s="651">
        <v>115116</v>
      </c>
      <c r="G180" s="651">
        <v>515303</v>
      </c>
      <c r="H180" s="651"/>
      <c r="I180" s="652">
        <v>9681.65</v>
      </c>
      <c r="J180" s="652">
        <v>451570</v>
      </c>
      <c r="K180" s="652">
        <v>35294</v>
      </c>
      <c r="L180" s="651">
        <v>807</v>
      </c>
      <c r="M180" s="651"/>
      <c r="N180" s="652">
        <v>18057</v>
      </c>
      <c r="O180" s="652">
        <v>166672</v>
      </c>
      <c r="P180" s="652">
        <v>0</v>
      </c>
      <c r="Q180" s="651">
        <v>14823</v>
      </c>
      <c r="R180" s="651"/>
      <c r="S180" s="652">
        <v>137733</v>
      </c>
      <c r="T180" s="653">
        <v>-6265</v>
      </c>
      <c r="U180" s="653">
        <v>131468</v>
      </c>
    </row>
    <row r="181" spans="1:21" x14ac:dyDescent="0.25">
      <c r="A181" s="648">
        <v>91719</v>
      </c>
      <c r="B181" s="649" t="s">
        <v>2720</v>
      </c>
      <c r="C181" s="650">
        <v>4.9299999999999999E-5</v>
      </c>
      <c r="D181" s="650">
        <v>4.4199999999999997E-5</v>
      </c>
      <c r="E181" s="651">
        <v>15848</v>
      </c>
      <c r="F181" s="651">
        <v>19837</v>
      </c>
      <c r="G181" s="651">
        <v>104631</v>
      </c>
      <c r="H181" s="651"/>
      <c r="I181" s="652">
        <v>1966</v>
      </c>
      <c r="J181" s="652">
        <v>91690</v>
      </c>
      <c r="K181" s="652">
        <v>7166</v>
      </c>
      <c r="L181" s="651">
        <v>6810</v>
      </c>
      <c r="M181" s="651"/>
      <c r="N181" s="652">
        <v>3666</v>
      </c>
      <c r="O181" s="652">
        <v>33842</v>
      </c>
      <c r="P181" s="652">
        <v>0</v>
      </c>
      <c r="Q181" s="651">
        <v>3972</v>
      </c>
      <c r="R181" s="651"/>
      <c r="S181" s="652">
        <v>27966</v>
      </c>
      <c r="T181" s="653">
        <v>602</v>
      </c>
      <c r="U181" s="653">
        <v>28568</v>
      </c>
    </row>
    <row r="182" spans="1:21" x14ac:dyDescent="0.25">
      <c r="A182" s="648">
        <v>91801</v>
      </c>
      <c r="B182" s="649" t="s">
        <v>2721</v>
      </c>
      <c r="C182" s="650">
        <v>8.3853999999999995E-3</v>
      </c>
      <c r="D182" s="650">
        <v>8.1784000000000006E-3</v>
      </c>
      <c r="E182" s="651">
        <v>3229080.93</v>
      </c>
      <c r="F182" s="651">
        <v>3670417</v>
      </c>
      <c r="G182" s="651">
        <v>17796628</v>
      </c>
      <c r="H182" s="651"/>
      <c r="I182" s="652">
        <v>334368</v>
      </c>
      <c r="J182" s="652">
        <v>15595519</v>
      </c>
      <c r="K182" s="652">
        <v>1218910</v>
      </c>
      <c r="L182" s="651">
        <v>0</v>
      </c>
      <c r="M182" s="651"/>
      <c r="N182" s="652">
        <v>623614</v>
      </c>
      <c r="O182" s="652">
        <v>5756225</v>
      </c>
      <c r="P182" s="652">
        <v>0</v>
      </c>
      <c r="Q182" s="651">
        <v>122778</v>
      </c>
      <c r="R182" s="651"/>
      <c r="S182" s="652">
        <v>4756777</v>
      </c>
      <c r="T182" s="653">
        <v>-45736</v>
      </c>
      <c r="U182" s="653">
        <v>4711042</v>
      </c>
    </row>
    <row r="183" spans="1:21" x14ac:dyDescent="0.25">
      <c r="A183" s="648">
        <v>91804</v>
      </c>
      <c r="B183" s="649" t="s">
        <v>2722</v>
      </c>
      <c r="C183" s="650">
        <v>1.462E-4</v>
      </c>
      <c r="D183" s="650">
        <v>1.4349999999999999E-4</v>
      </c>
      <c r="E183" s="651">
        <v>90420.56</v>
      </c>
      <c r="F183" s="651">
        <v>64402</v>
      </c>
      <c r="G183" s="651">
        <v>310285</v>
      </c>
      <c r="H183" s="651"/>
      <c r="I183" s="652">
        <v>5830</v>
      </c>
      <c r="J183" s="652">
        <v>271909</v>
      </c>
      <c r="K183" s="652">
        <v>21252</v>
      </c>
      <c r="L183" s="651">
        <v>55024</v>
      </c>
      <c r="M183" s="651"/>
      <c r="N183" s="652">
        <v>10873</v>
      </c>
      <c r="O183" s="652">
        <v>100360</v>
      </c>
      <c r="P183" s="652">
        <v>0</v>
      </c>
      <c r="Q183" s="651">
        <v>0</v>
      </c>
      <c r="R183" s="651"/>
      <c r="S183" s="652">
        <v>82935</v>
      </c>
      <c r="T183" s="653">
        <v>18762</v>
      </c>
      <c r="U183" s="653">
        <v>101697</v>
      </c>
    </row>
    <row r="184" spans="1:21" x14ac:dyDescent="0.25">
      <c r="A184" s="648">
        <v>91811</v>
      </c>
      <c r="B184" s="649" t="s">
        <v>2723</v>
      </c>
      <c r="C184" s="650">
        <v>4.6454000000000001E-3</v>
      </c>
      <c r="D184" s="650">
        <v>5.0266E-3</v>
      </c>
      <c r="E184" s="651">
        <v>1763088</v>
      </c>
      <c r="F184" s="651">
        <v>2255908</v>
      </c>
      <c r="G184" s="651">
        <v>9859095</v>
      </c>
      <c r="H184" s="651"/>
      <c r="I184" s="652">
        <v>185235</v>
      </c>
      <c r="J184" s="652">
        <v>8639710</v>
      </c>
      <c r="K184" s="652">
        <v>675260</v>
      </c>
      <c r="L184" s="651">
        <v>0</v>
      </c>
      <c r="M184" s="651"/>
      <c r="N184" s="652">
        <v>345474</v>
      </c>
      <c r="O184" s="652">
        <v>3188872</v>
      </c>
      <c r="P184" s="652">
        <v>0</v>
      </c>
      <c r="Q184" s="651">
        <v>514506</v>
      </c>
      <c r="R184" s="651"/>
      <c r="S184" s="652">
        <v>2635191</v>
      </c>
      <c r="T184" s="653">
        <v>-157089</v>
      </c>
      <c r="U184" s="653">
        <v>2478102</v>
      </c>
    </row>
    <row r="185" spans="1:21" x14ac:dyDescent="0.25">
      <c r="A185" s="648">
        <v>91812</v>
      </c>
      <c r="B185" s="649" t="s">
        <v>2724</v>
      </c>
      <c r="C185" s="650">
        <v>5.8199999999999998E-5</v>
      </c>
      <c r="D185" s="650">
        <v>4.1499999999999999E-5</v>
      </c>
      <c r="E185" s="651">
        <v>24707</v>
      </c>
      <c r="F185" s="651">
        <v>18625</v>
      </c>
      <c r="G185" s="651">
        <v>123520</v>
      </c>
      <c r="H185" s="651"/>
      <c r="I185" s="652">
        <v>2320.7249999999999</v>
      </c>
      <c r="J185" s="652">
        <v>108243</v>
      </c>
      <c r="K185" s="652">
        <v>8460</v>
      </c>
      <c r="L185" s="651">
        <v>16587</v>
      </c>
      <c r="M185" s="651"/>
      <c r="N185" s="652">
        <v>4328</v>
      </c>
      <c r="O185" s="652">
        <v>39952</v>
      </c>
      <c r="P185" s="652">
        <v>0</v>
      </c>
      <c r="Q185" s="651">
        <v>0</v>
      </c>
      <c r="R185" s="651"/>
      <c r="S185" s="652">
        <v>33015</v>
      </c>
      <c r="T185" s="653">
        <v>5261</v>
      </c>
      <c r="U185" s="653">
        <v>38276</v>
      </c>
    </row>
    <row r="186" spans="1:21" x14ac:dyDescent="0.25">
      <c r="A186" s="648">
        <v>91813</v>
      </c>
      <c r="B186" s="649" t="s">
        <v>2725</v>
      </c>
      <c r="C186" s="650">
        <v>1.083E-4</v>
      </c>
      <c r="D186" s="650">
        <v>9.6100000000000005E-5</v>
      </c>
      <c r="E186" s="651">
        <v>43088.72</v>
      </c>
      <c r="F186" s="651">
        <v>43129</v>
      </c>
      <c r="G186" s="651">
        <v>229849</v>
      </c>
      <c r="H186" s="651"/>
      <c r="I186" s="652">
        <v>4318</v>
      </c>
      <c r="J186" s="652">
        <v>201421</v>
      </c>
      <c r="K186" s="652">
        <v>15743</v>
      </c>
      <c r="L186" s="651">
        <v>16214</v>
      </c>
      <c r="M186" s="651"/>
      <c r="N186" s="652">
        <v>8054</v>
      </c>
      <c r="O186" s="652">
        <v>74343</v>
      </c>
      <c r="P186" s="652">
        <v>0</v>
      </c>
      <c r="Q186" s="651">
        <v>5268</v>
      </c>
      <c r="R186" s="651"/>
      <c r="S186" s="652">
        <v>61435</v>
      </c>
      <c r="T186" s="653">
        <v>2581</v>
      </c>
      <c r="U186" s="653">
        <v>64016</v>
      </c>
    </row>
    <row r="187" spans="1:21" x14ac:dyDescent="0.25">
      <c r="A187" s="648">
        <v>91818</v>
      </c>
      <c r="B187" s="649" t="s">
        <v>2726</v>
      </c>
      <c r="C187" s="650">
        <v>3.8559999999999999E-4</v>
      </c>
      <c r="D187" s="650">
        <v>3.8890000000000002E-4</v>
      </c>
      <c r="E187" s="651">
        <v>416376</v>
      </c>
      <c r="F187" s="651">
        <v>174536</v>
      </c>
      <c r="G187" s="651">
        <v>818372</v>
      </c>
      <c r="H187" s="651"/>
      <c r="I187" s="652">
        <v>15375.8</v>
      </c>
      <c r="J187" s="652">
        <v>717155</v>
      </c>
      <c r="K187" s="652">
        <v>56051</v>
      </c>
      <c r="L187" s="651">
        <v>347266</v>
      </c>
      <c r="M187" s="651"/>
      <c r="N187" s="652">
        <v>28677</v>
      </c>
      <c r="O187" s="652">
        <v>264698</v>
      </c>
      <c r="P187" s="652">
        <v>0</v>
      </c>
      <c r="Q187" s="651">
        <v>10099</v>
      </c>
      <c r="R187" s="651"/>
      <c r="S187" s="652">
        <v>218739</v>
      </c>
      <c r="T187" s="653">
        <v>98677</v>
      </c>
      <c r="U187" s="653">
        <v>317416</v>
      </c>
    </row>
    <row r="188" spans="1:21" x14ac:dyDescent="0.25">
      <c r="A188" s="648">
        <v>91819</v>
      </c>
      <c r="B188" s="649" t="s">
        <v>2727</v>
      </c>
      <c r="C188" s="650">
        <v>2.8200000000000002E-4</v>
      </c>
      <c r="D188" s="650">
        <v>2.9609999999999999E-4</v>
      </c>
      <c r="E188" s="651">
        <v>118267.02</v>
      </c>
      <c r="F188" s="651">
        <v>132888</v>
      </c>
      <c r="G188" s="651">
        <v>598498</v>
      </c>
      <c r="H188" s="651"/>
      <c r="I188" s="652">
        <v>11245</v>
      </c>
      <c r="J188" s="652">
        <v>524475</v>
      </c>
      <c r="K188" s="652">
        <v>40992</v>
      </c>
      <c r="L188" s="651">
        <v>13743</v>
      </c>
      <c r="M188" s="651"/>
      <c r="N188" s="652">
        <v>20972</v>
      </c>
      <c r="O188" s="652">
        <v>193581</v>
      </c>
      <c r="P188" s="652">
        <v>0</v>
      </c>
      <c r="Q188" s="651">
        <v>11963</v>
      </c>
      <c r="R188" s="651"/>
      <c r="S188" s="652">
        <v>159970</v>
      </c>
      <c r="T188" s="653">
        <v>3219</v>
      </c>
      <c r="U188" s="653">
        <v>163189</v>
      </c>
    </row>
    <row r="189" spans="1:21" x14ac:dyDescent="0.25">
      <c r="A189" s="648">
        <v>91821</v>
      </c>
      <c r="B189" s="649" t="s">
        <v>2728</v>
      </c>
      <c r="C189" s="650">
        <v>1.63E-4</v>
      </c>
      <c r="D189" s="650">
        <v>1.5799999999999999E-4</v>
      </c>
      <c r="E189" s="651">
        <v>61732.91</v>
      </c>
      <c r="F189" s="651">
        <v>70909</v>
      </c>
      <c r="G189" s="651">
        <v>345941</v>
      </c>
      <c r="H189" s="651"/>
      <c r="I189" s="652">
        <v>6499.625</v>
      </c>
      <c r="J189" s="652">
        <v>303154</v>
      </c>
      <c r="K189" s="652">
        <v>23694</v>
      </c>
      <c r="L189" s="651">
        <v>4196</v>
      </c>
      <c r="M189" s="651"/>
      <c r="N189" s="652">
        <v>12122</v>
      </c>
      <c r="O189" s="652">
        <v>111893</v>
      </c>
      <c r="P189" s="652">
        <v>0</v>
      </c>
      <c r="Q189" s="651">
        <v>1501</v>
      </c>
      <c r="R189" s="651"/>
      <c r="S189" s="652">
        <v>92465</v>
      </c>
      <c r="T189" s="653">
        <v>1532</v>
      </c>
      <c r="U189" s="653">
        <v>93997</v>
      </c>
    </row>
    <row r="190" spans="1:21" x14ac:dyDescent="0.25">
      <c r="A190" s="648">
        <v>91831</v>
      </c>
      <c r="B190" s="649" t="s">
        <v>2729</v>
      </c>
      <c r="C190" s="650">
        <v>3.414E-4</v>
      </c>
      <c r="D190" s="650">
        <v>3.344E-4</v>
      </c>
      <c r="E190" s="651">
        <v>124107.91</v>
      </c>
      <c r="F190" s="651">
        <v>150077</v>
      </c>
      <c r="G190" s="651">
        <v>724565</v>
      </c>
      <c r="H190" s="651"/>
      <c r="I190" s="652">
        <v>13613</v>
      </c>
      <c r="J190" s="652">
        <v>634950</v>
      </c>
      <c r="K190" s="652">
        <v>49626</v>
      </c>
      <c r="L190" s="651">
        <v>12411</v>
      </c>
      <c r="M190" s="651"/>
      <c r="N190" s="652">
        <v>25390</v>
      </c>
      <c r="O190" s="652">
        <v>234357</v>
      </c>
      <c r="P190" s="652">
        <v>0</v>
      </c>
      <c r="Q190" s="651">
        <v>9146</v>
      </c>
      <c r="R190" s="651"/>
      <c r="S190" s="652">
        <v>193666</v>
      </c>
      <c r="T190" s="653">
        <v>2194</v>
      </c>
      <c r="U190" s="653">
        <v>195860</v>
      </c>
    </row>
    <row r="191" spans="1:21" x14ac:dyDescent="0.25">
      <c r="A191" s="648">
        <v>91841</v>
      </c>
      <c r="B191" s="649" t="s">
        <v>2730</v>
      </c>
      <c r="C191" s="650">
        <v>2.63E-4</v>
      </c>
      <c r="D191" s="650">
        <v>2.7290000000000002E-4</v>
      </c>
      <c r="E191" s="651">
        <v>112188.05</v>
      </c>
      <c r="F191" s="651">
        <v>122476</v>
      </c>
      <c r="G191" s="651">
        <v>558174</v>
      </c>
      <c r="H191" s="651"/>
      <c r="I191" s="652">
        <v>10487.125</v>
      </c>
      <c r="J191" s="652">
        <v>489138</v>
      </c>
      <c r="K191" s="652">
        <v>38230</v>
      </c>
      <c r="L191" s="651">
        <v>0</v>
      </c>
      <c r="M191" s="651"/>
      <c r="N191" s="652">
        <v>19559</v>
      </c>
      <c r="O191" s="652">
        <v>180538</v>
      </c>
      <c r="P191" s="652">
        <v>0</v>
      </c>
      <c r="Q191" s="651">
        <v>24859</v>
      </c>
      <c r="R191" s="651"/>
      <c r="S191" s="652">
        <v>149192</v>
      </c>
      <c r="T191" s="653">
        <v>-10148</v>
      </c>
      <c r="U191" s="653">
        <v>139044</v>
      </c>
    </row>
    <row r="192" spans="1:21" x14ac:dyDescent="0.25">
      <c r="A192" s="648">
        <v>91851</v>
      </c>
      <c r="B192" s="649" t="s">
        <v>2731</v>
      </c>
      <c r="C192" s="650">
        <v>7.2059999999999995E-4</v>
      </c>
      <c r="D192" s="650">
        <v>7.8410000000000003E-4</v>
      </c>
      <c r="E192" s="651">
        <v>289167</v>
      </c>
      <c r="F192" s="651">
        <v>351899</v>
      </c>
      <c r="G192" s="651">
        <v>1529355</v>
      </c>
      <c r="H192" s="651"/>
      <c r="I192" s="652">
        <v>28734</v>
      </c>
      <c r="J192" s="652">
        <v>1340202</v>
      </c>
      <c r="K192" s="652">
        <v>104747</v>
      </c>
      <c r="L192" s="651">
        <v>7182</v>
      </c>
      <c r="M192" s="651"/>
      <c r="N192" s="652">
        <v>53590</v>
      </c>
      <c r="O192" s="652">
        <v>494662</v>
      </c>
      <c r="P192" s="652">
        <v>0</v>
      </c>
      <c r="Q192" s="651">
        <v>62684</v>
      </c>
      <c r="R192" s="651"/>
      <c r="S192" s="652">
        <v>408774</v>
      </c>
      <c r="T192" s="653">
        <v>-14788</v>
      </c>
      <c r="U192" s="653">
        <v>393986</v>
      </c>
    </row>
    <row r="193" spans="1:21" x14ac:dyDescent="0.25">
      <c r="A193" s="648">
        <v>91861</v>
      </c>
      <c r="B193" s="649" t="s">
        <v>2732</v>
      </c>
      <c r="C193" s="650">
        <v>1.9899999999999999E-5</v>
      </c>
      <c r="D193" s="650">
        <v>1.8499999999999999E-5</v>
      </c>
      <c r="E193" s="651">
        <v>7958</v>
      </c>
      <c r="F193" s="651">
        <v>8303</v>
      </c>
      <c r="G193" s="651">
        <v>42234</v>
      </c>
      <c r="H193" s="651"/>
      <c r="I193" s="652">
        <v>794</v>
      </c>
      <c r="J193" s="652">
        <v>37011</v>
      </c>
      <c r="K193" s="652">
        <v>2893</v>
      </c>
      <c r="L193" s="651">
        <v>3091</v>
      </c>
      <c r="M193" s="651"/>
      <c r="N193" s="652">
        <v>1480</v>
      </c>
      <c r="O193" s="652">
        <v>13661</v>
      </c>
      <c r="P193" s="652">
        <v>0</v>
      </c>
      <c r="Q193" s="651">
        <v>221</v>
      </c>
      <c r="R193" s="651"/>
      <c r="S193" s="652">
        <v>11289</v>
      </c>
      <c r="T193" s="653">
        <v>930</v>
      </c>
      <c r="U193" s="653">
        <v>12219</v>
      </c>
    </row>
    <row r="194" spans="1:21" x14ac:dyDescent="0.25">
      <c r="A194" s="648">
        <v>91871</v>
      </c>
      <c r="B194" s="649" t="s">
        <v>2733</v>
      </c>
      <c r="C194" s="650">
        <v>1.2712000000000001E-3</v>
      </c>
      <c r="D194" s="650">
        <v>1.3523000000000001E-3</v>
      </c>
      <c r="E194" s="651">
        <v>508749.63</v>
      </c>
      <c r="F194" s="651">
        <v>606904</v>
      </c>
      <c r="G194" s="651">
        <v>2697912</v>
      </c>
      <c r="H194" s="651"/>
      <c r="I194" s="652">
        <v>50689</v>
      </c>
      <c r="J194" s="652">
        <v>2364231</v>
      </c>
      <c r="K194" s="652">
        <v>184783</v>
      </c>
      <c r="L194" s="651">
        <v>0</v>
      </c>
      <c r="M194" s="651"/>
      <c r="N194" s="652">
        <v>94538</v>
      </c>
      <c r="O194" s="652">
        <v>872625</v>
      </c>
      <c r="P194" s="652">
        <v>0</v>
      </c>
      <c r="Q194" s="651">
        <v>108234</v>
      </c>
      <c r="R194" s="651"/>
      <c r="S194" s="652">
        <v>721112</v>
      </c>
      <c r="T194" s="653">
        <v>-34437</v>
      </c>
      <c r="U194" s="653">
        <v>686676</v>
      </c>
    </row>
    <row r="195" spans="1:21" x14ac:dyDescent="0.25">
      <c r="A195" s="648">
        <v>91881</v>
      </c>
      <c r="B195" s="649" t="s">
        <v>2734</v>
      </c>
      <c r="C195" s="650">
        <v>1.01E-5</v>
      </c>
      <c r="D195" s="650">
        <v>2.1399999999999998E-5</v>
      </c>
      <c r="E195" s="651">
        <v>5881.13</v>
      </c>
      <c r="F195" s="651">
        <v>9604</v>
      </c>
      <c r="G195" s="651">
        <v>21436</v>
      </c>
      <c r="H195" s="651"/>
      <c r="I195" s="652">
        <v>402.73750000000001</v>
      </c>
      <c r="J195" s="652">
        <v>18784</v>
      </c>
      <c r="K195" s="652">
        <v>1468</v>
      </c>
      <c r="L195" s="651">
        <v>0</v>
      </c>
      <c r="M195" s="651"/>
      <c r="N195" s="652">
        <v>751</v>
      </c>
      <c r="O195" s="652">
        <v>6933</v>
      </c>
      <c r="P195" s="652">
        <v>0</v>
      </c>
      <c r="Q195" s="651">
        <v>14714</v>
      </c>
      <c r="R195" s="651"/>
      <c r="S195" s="652">
        <v>5729</v>
      </c>
      <c r="T195" s="653">
        <v>-5904</v>
      </c>
      <c r="U195" s="653">
        <v>-175</v>
      </c>
    </row>
    <row r="196" spans="1:21" x14ac:dyDescent="0.25">
      <c r="A196" s="648">
        <v>91901</v>
      </c>
      <c r="B196" s="649" t="s">
        <v>2735</v>
      </c>
      <c r="C196" s="650">
        <v>3.6564000000000002E-3</v>
      </c>
      <c r="D196" s="650">
        <v>3.4198000000000002E-3</v>
      </c>
      <c r="E196" s="651">
        <v>1388384.1</v>
      </c>
      <c r="F196" s="651">
        <v>1534786</v>
      </c>
      <c r="G196" s="651">
        <v>7760106</v>
      </c>
      <c r="H196" s="651"/>
      <c r="I196" s="652">
        <v>145799</v>
      </c>
      <c r="J196" s="652">
        <v>6800326</v>
      </c>
      <c r="K196" s="652">
        <v>531498</v>
      </c>
      <c r="L196" s="651">
        <v>147570</v>
      </c>
      <c r="M196" s="651"/>
      <c r="N196" s="652">
        <v>271923</v>
      </c>
      <c r="O196" s="652">
        <v>2509965</v>
      </c>
      <c r="P196" s="652">
        <v>0</v>
      </c>
      <c r="Q196" s="651">
        <v>0</v>
      </c>
      <c r="R196" s="651"/>
      <c r="S196" s="652">
        <v>2074162</v>
      </c>
      <c r="T196" s="653">
        <v>57850</v>
      </c>
      <c r="U196" s="653">
        <v>2132013</v>
      </c>
    </row>
    <row r="197" spans="1:21" x14ac:dyDescent="0.25">
      <c r="A197" s="648">
        <v>91903</v>
      </c>
      <c r="B197" s="649" t="s">
        <v>2736</v>
      </c>
      <c r="C197" s="650">
        <v>8.3999999999999992E-6</v>
      </c>
      <c r="D197" s="650">
        <v>9.5000000000000005E-6</v>
      </c>
      <c r="E197" s="651">
        <v>4422</v>
      </c>
      <c r="F197" s="651">
        <v>4264</v>
      </c>
      <c r="G197" s="651">
        <v>17828</v>
      </c>
      <c r="H197" s="651"/>
      <c r="I197" s="652">
        <v>334.95</v>
      </c>
      <c r="J197" s="652">
        <v>15623</v>
      </c>
      <c r="K197" s="652">
        <v>1221</v>
      </c>
      <c r="L197" s="651">
        <v>656</v>
      </c>
      <c r="M197" s="651"/>
      <c r="N197" s="652">
        <v>625</v>
      </c>
      <c r="O197" s="652">
        <v>5766</v>
      </c>
      <c r="P197" s="652">
        <v>0</v>
      </c>
      <c r="Q197" s="651">
        <v>6052</v>
      </c>
      <c r="R197" s="651"/>
      <c r="S197" s="652">
        <v>4765</v>
      </c>
      <c r="T197" s="653">
        <v>-2825</v>
      </c>
      <c r="U197" s="653">
        <v>1940</v>
      </c>
    </row>
    <row r="198" spans="1:21" x14ac:dyDescent="0.25">
      <c r="A198" s="648">
        <v>91904</v>
      </c>
      <c r="B198" s="649" t="s">
        <v>2737</v>
      </c>
      <c r="C198" s="650">
        <v>2.3300000000000001E-5</v>
      </c>
      <c r="D198" s="650">
        <v>1.1600000000000001E-5</v>
      </c>
      <c r="E198" s="651">
        <v>9195</v>
      </c>
      <c r="F198" s="651">
        <v>5206</v>
      </c>
      <c r="G198" s="651">
        <v>49450</v>
      </c>
      <c r="H198" s="651"/>
      <c r="I198" s="652">
        <v>929.08749999999998</v>
      </c>
      <c r="J198" s="652">
        <v>43334</v>
      </c>
      <c r="K198" s="652">
        <v>3387</v>
      </c>
      <c r="L198" s="651">
        <v>9161</v>
      </c>
      <c r="M198" s="651"/>
      <c r="N198" s="652">
        <v>1733</v>
      </c>
      <c r="O198" s="652">
        <v>15994</v>
      </c>
      <c r="P198" s="652">
        <v>0</v>
      </c>
      <c r="Q198" s="651">
        <v>0</v>
      </c>
      <c r="R198" s="651"/>
      <c r="S198" s="652">
        <v>13217</v>
      </c>
      <c r="T198" s="653">
        <v>3062</v>
      </c>
      <c r="U198" s="653">
        <v>16279</v>
      </c>
    </row>
    <row r="199" spans="1:21" x14ac:dyDescent="0.25">
      <c r="A199" s="648">
        <v>91908</v>
      </c>
      <c r="B199" s="649" t="s">
        <v>2738</v>
      </c>
      <c r="C199" s="650">
        <v>1.3699999999999999E-5</v>
      </c>
      <c r="D199" s="650">
        <v>1.73E-5</v>
      </c>
      <c r="E199" s="651">
        <v>3751.2</v>
      </c>
      <c r="F199" s="651">
        <v>7764</v>
      </c>
      <c r="G199" s="651">
        <v>29076</v>
      </c>
      <c r="H199" s="651"/>
      <c r="I199" s="652">
        <v>546.28750000000002</v>
      </c>
      <c r="J199" s="652">
        <v>25480</v>
      </c>
      <c r="K199" s="652">
        <v>1991</v>
      </c>
      <c r="L199" s="651">
        <v>1638</v>
      </c>
      <c r="M199" s="651"/>
      <c r="N199" s="652">
        <v>1019</v>
      </c>
      <c r="O199" s="652">
        <v>9404</v>
      </c>
      <c r="P199" s="652">
        <v>0</v>
      </c>
      <c r="Q199" s="651">
        <v>3446</v>
      </c>
      <c r="R199" s="651"/>
      <c r="S199" s="652">
        <v>7772</v>
      </c>
      <c r="T199" s="653">
        <v>-83</v>
      </c>
      <c r="U199" s="653">
        <v>7689</v>
      </c>
    </row>
    <row r="200" spans="1:21" x14ac:dyDescent="0.25">
      <c r="A200" s="648">
        <v>91911</v>
      </c>
      <c r="B200" s="649" t="s">
        <v>2739</v>
      </c>
      <c r="C200" s="650">
        <v>4.639E-4</v>
      </c>
      <c r="D200" s="650">
        <v>4.4079999999999998E-4</v>
      </c>
      <c r="E200" s="651">
        <v>186806.7</v>
      </c>
      <c r="F200" s="651">
        <v>197828</v>
      </c>
      <c r="G200" s="651">
        <v>984551</v>
      </c>
      <c r="H200" s="651"/>
      <c r="I200" s="652">
        <v>18498</v>
      </c>
      <c r="J200" s="652">
        <v>862781</v>
      </c>
      <c r="K200" s="652">
        <v>67433</v>
      </c>
      <c r="L200" s="651">
        <v>9361</v>
      </c>
      <c r="M200" s="651"/>
      <c r="N200" s="652">
        <v>34500</v>
      </c>
      <c r="O200" s="652">
        <v>318448</v>
      </c>
      <c r="P200" s="652">
        <v>0</v>
      </c>
      <c r="Q200" s="651">
        <v>8482</v>
      </c>
      <c r="R200" s="651"/>
      <c r="S200" s="652">
        <v>263156</v>
      </c>
      <c r="T200" s="653">
        <v>-1046</v>
      </c>
      <c r="U200" s="653">
        <v>262110</v>
      </c>
    </row>
    <row r="201" spans="1:21" x14ac:dyDescent="0.25">
      <c r="A201" s="648">
        <v>91917</v>
      </c>
      <c r="B201" s="649" t="s">
        <v>2740</v>
      </c>
      <c r="C201" s="650">
        <v>1.36E-5</v>
      </c>
      <c r="D201" s="650">
        <v>1.42E-5</v>
      </c>
      <c r="E201" s="651">
        <v>6743.42</v>
      </c>
      <c r="F201" s="651">
        <v>6373</v>
      </c>
      <c r="G201" s="651">
        <v>28864</v>
      </c>
      <c r="H201" s="651"/>
      <c r="I201" s="652">
        <v>542</v>
      </c>
      <c r="J201" s="652">
        <v>25294</v>
      </c>
      <c r="K201" s="652">
        <v>1977</v>
      </c>
      <c r="L201" s="651">
        <v>731</v>
      </c>
      <c r="M201" s="651"/>
      <c r="N201" s="652">
        <v>1011</v>
      </c>
      <c r="O201" s="652">
        <v>9336</v>
      </c>
      <c r="P201" s="652">
        <v>0</v>
      </c>
      <c r="Q201" s="651">
        <v>0</v>
      </c>
      <c r="R201" s="651"/>
      <c r="S201" s="652">
        <v>7715</v>
      </c>
      <c r="T201" s="653">
        <v>203</v>
      </c>
      <c r="U201" s="653">
        <v>7918</v>
      </c>
    </row>
    <row r="202" spans="1:21" x14ac:dyDescent="0.25">
      <c r="A202" s="648">
        <v>91921</v>
      </c>
      <c r="B202" s="649" t="s">
        <v>2741</v>
      </c>
      <c r="C202" s="650">
        <v>3.6600000000000001E-4</v>
      </c>
      <c r="D202" s="650">
        <v>3.4840000000000001E-4</v>
      </c>
      <c r="E202" s="651">
        <v>136994.49</v>
      </c>
      <c r="F202" s="651">
        <v>156360</v>
      </c>
      <c r="G202" s="651">
        <v>776774.61</v>
      </c>
      <c r="H202" s="651"/>
      <c r="I202" s="652">
        <v>14594.25</v>
      </c>
      <c r="J202" s="652">
        <v>680702</v>
      </c>
      <c r="K202" s="652">
        <v>53202</v>
      </c>
      <c r="L202" s="651">
        <v>0</v>
      </c>
      <c r="M202" s="651"/>
      <c r="N202" s="652">
        <v>27219</v>
      </c>
      <c r="O202" s="652">
        <v>251244</v>
      </c>
      <c r="P202" s="652">
        <v>0</v>
      </c>
      <c r="Q202" s="651">
        <v>12578</v>
      </c>
      <c r="R202" s="651"/>
      <c r="S202" s="652">
        <v>207620</v>
      </c>
      <c r="T202" s="653">
        <v>-4638</v>
      </c>
      <c r="U202" s="653">
        <v>202982</v>
      </c>
    </row>
    <row r="203" spans="1:21" x14ac:dyDescent="0.25">
      <c r="A203" s="648">
        <v>92001</v>
      </c>
      <c r="B203" s="649" t="s">
        <v>2742</v>
      </c>
      <c r="C203" s="650">
        <v>1.9604000000000002E-3</v>
      </c>
      <c r="D203" s="650">
        <v>1.7531000000000001E-3</v>
      </c>
      <c r="E203" s="651">
        <v>743048.49</v>
      </c>
      <c r="F203" s="651">
        <v>786781</v>
      </c>
      <c r="G203" s="651">
        <v>4160626</v>
      </c>
      <c r="H203" s="651"/>
      <c r="I203" s="652">
        <v>78171</v>
      </c>
      <c r="J203" s="652">
        <v>3646034</v>
      </c>
      <c r="K203" s="652">
        <v>284966</v>
      </c>
      <c r="L203" s="651">
        <v>65513</v>
      </c>
      <c r="M203" s="651"/>
      <c r="N203" s="652">
        <v>145793</v>
      </c>
      <c r="O203" s="652">
        <v>1345732</v>
      </c>
      <c r="P203" s="652">
        <v>0</v>
      </c>
      <c r="Q203" s="651">
        <v>52440.480000000003</v>
      </c>
      <c r="R203" s="651"/>
      <c r="S203" s="652">
        <v>1112074</v>
      </c>
      <c r="T203" s="653">
        <v>-9057</v>
      </c>
      <c r="U203" s="653">
        <v>1103017</v>
      </c>
    </row>
    <row r="204" spans="1:21" x14ac:dyDescent="0.25">
      <c r="A204" s="648">
        <v>92005</v>
      </c>
      <c r="B204" s="649" t="s">
        <v>2743</v>
      </c>
      <c r="C204" s="650">
        <v>4.6499999999999999E-5</v>
      </c>
      <c r="D204" s="650">
        <v>4.5800000000000002E-5</v>
      </c>
      <c r="E204" s="651">
        <v>20891.13</v>
      </c>
      <c r="F204" s="651">
        <v>20555</v>
      </c>
      <c r="G204" s="651">
        <v>98689</v>
      </c>
      <c r="H204" s="651"/>
      <c r="I204" s="652">
        <v>1854.1875</v>
      </c>
      <c r="J204" s="652">
        <v>86483</v>
      </c>
      <c r="K204" s="652">
        <v>6759</v>
      </c>
      <c r="L204" s="651">
        <v>2627</v>
      </c>
      <c r="M204" s="651"/>
      <c r="N204" s="652">
        <v>3458</v>
      </c>
      <c r="O204" s="652">
        <v>31920</v>
      </c>
      <c r="P204" s="652">
        <v>0</v>
      </c>
      <c r="Q204" s="651">
        <v>597</v>
      </c>
      <c r="R204" s="651"/>
      <c r="S204" s="652">
        <v>26378</v>
      </c>
      <c r="T204" s="653">
        <v>674</v>
      </c>
      <c r="U204" s="653">
        <v>27053</v>
      </c>
    </row>
    <row r="205" spans="1:21" x14ac:dyDescent="0.25">
      <c r="A205" s="648">
        <v>92011</v>
      </c>
      <c r="B205" s="649" t="s">
        <v>2744</v>
      </c>
      <c r="C205" s="650">
        <v>1.8660000000000001E-4</v>
      </c>
      <c r="D205" s="650">
        <v>1.8230000000000001E-4</v>
      </c>
      <c r="E205" s="651">
        <v>77716</v>
      </c>
      <c r="F205" s="651">
        <v>81815</v>
      </c>
      <c r="G205" s="651">
        <v>396028</v>
      </c>
      <c r="H205" s="651"/>
      <c r="I205" s="652">
        <v>7441</v>
      </c>
      <c r="J205" s="652">
        <v>347047</v>
      </c>
      <c r="K205" s="652">
        <v>27124</v>
      </c>
      <c r="L205" s="651">
        <v>17408</v>
      </c>
      <c r="M205" s="651"/>
      <c r="N205" s="652">
        <v>13877</v>
      </c>
      <c r="O205" s="652">
        <v>128093</v>
      </c>
      <c r="P205" s="652">
        <v>0</v>
      </c>
      <c r="Q205" s="651">
        <v>0</v>
      </c>
      <c r="R205" s="651"/>
      <c r="S205" s="652">
        <v>105852</v>
      </c>
      <c r="T205" s="653">
        <v>7783</v>
      </c>
      <c r="U205" s="653">
        <v>113635</v>
      </c>
    </row>
    <row r="206" spans="1:21" x14ac:dyDescent="0.25">
      <c r="A206" s="648">
        <v>92017</v>
      </c>
      <c r="B206" s="649" t="s">
        <v>2745</v>
      </c>
      <c r="C206" s="650">
        <v>3.5099999999999999E-5</v>
      </c>
      <c r="D206" s="650">
        <v>3.7100000000000001E-5</v>
      </c>
      <c r="E206" s="651">
        <v>14855.15</v>
      </c>
      <c r="F206" s="651">
        <v>16650</v>
      </c>
      <c r="G206" s="651">
        <v>74494</v>
      </c>
      <c r="H206" s="651"/>
      <c r="I206" s="652">
        <v>1400</v>
      </c>
      <c r="J206" s="652">
        <v>65280</v>
      </c>
      <c r="K206" s="652">
        <v>5102</v>
      </c>
      <c r="L206" s="651">
        <v>388</v>
      </c>
      <c r="M206" s="651"/>
      <c r="N206" s="652">
        <v>2610</v>
      </c>
      <c r="O206" s="652">
        <v>24095</v>
      </c>
      <c r="P206" s="652">
        <v>0</v>
      </c>
      <c r="Q206" s="651">
        <v>2160</v>
      </c>
      <c r="R206" s="651"/>
      <c r="S206" s="652">
        <v>19911</v>
      </c>
      <c r="T206" s="653">
        <v>-766</v>
      </c>
      <c r="U206" s="653">
        <v>19146</v>
      </c>
    </row>
    <row r="207" spans="1:21" x14ac:dyDescent="0.25">
      <c r="A207" s="648">
        <v>92021</v>
      </c>
      <c r="B207" s="649" t="s">
        <v>2746</v>
      </c>
      <c r="C207" s="650">
        <v>1.4249999999999999E-4</v>
      </c>
      <c r="D207" s="650">
        <v>9.8999999999999994E-5</v>
      </c>
      <c r="E207" s="651">
        <v>63077</v>
      </c>
      <c r="F207" s="651">
        <v>44431</v>
      </c>
      <c r="G207" s="651">
        <v>302433</v>
      </c>
      <c r="H207" s="651"/>
      <c r="I207" s="652">
        <v>5682.1875</v>
      </c>
      <c r="J207" s="652">
        <v>265027</v>
      </c>
      <c r="K207" s="652">
        <v>20714</v>
      </c>
      <c r="L207" s="651">
        <v>27119</v>
      </c>
      <c r="M207" s="651"/>
      <c r="N207" s="652">
        <v>10598</v>
      </c>
      <c r="O207" s="652">
        <v>97820</v>
      </c>
      <c r="P207" s="652">
        <v>0</v>
      </c>
      <c r="Q207" s="651">
        <v>18999</v>
      </c>
      <c r="R207" s="651"/>
      <c r="S207" s="652">
        <v>80836</v>
      </c>
      <c r="T207" s="653">
        <v>-831</v>
      </c>
      <c r="U207" s="653">
        <v>80004</v>
      </c>
    </row>
    <row r="208" spans="1:21" x14ac:dyDescent="0.25">
      <c r="A208" s="648">
        <v>92101</v>
      </c>
      <c r="B208" s="649" t="s">
        <v>2747</v>
      </c>
      <c r="C208" s="650">
        <v>8.6870000000000003E-4</v>
      </c>
      <c r="D208" s="650">
        <v>9.1750000000000002E-4</v>
      </c>
      <c r="E208" s="651">
        <v>332881</v>
      </c>
      <c r="F208" s="651">
        <v>411768</v>
      </c>
      <c r="G208" s="651">
        <v>1843672</v>
      </c>
      <c r="H208" s="651"/>
      <c r="I208" s="652">
        <v>34639</v>
      </c>
      <c r="J208" s="652">
        <v>1615645</v>
      </c>
      <c r="K208" s="652">
        <v>126275</v>
      </c>
      <c r="L208" s="651">
        <v>18519</v>
      </c>
      <c r="M208" s="651"/>
      <c r="N208" s="652">
        <v>64604</v>
      </c>
      <c r="O208" s="652">
        <v>596326</v>
      </c>
      <c r="P208" s="652">
        <v>0</v>
      </c>
      <c r="Q208" s="651">
        <v>45788</v>
      </c>
      <c r="R208" s="651"/>
      <c r="S208" s="652">
        <v>492787</v>
      </c>
      <c r="T208" s="653">
        <v>-2848</v>
      </c>
      <c r="U208" s="653">
        <v>489939</v>
      </c>
    </row>
    <row r="209" spans="1:21" x14ac:dyDescent="0.25">
      <c r="A209" s="648">
        <v>92104</v>
      </c>
      <c r="B209" s="649" t="s">
        <v>2748</v>
      </c>
      <c r="C209" s="650">
        <v>8.8000000000000004E-6</v>
      </c>
      <c r="D209" s="650">
        <v>8.1000000000000004E-6</v>
      </c>
      <c r="E209" s="651">
        <v>4596</v>
      </c>
      <c r="F209" s="651">
        <v>3635</v>
      </c>
      <c r="G209" s="651">
        <v>18677</v>
      </c>
      <c r="H209" s="651"/>
      <c r="I209" s="652">
        <v>351</v>
      </c>
      <c r="J209" s="652">
        <v>16367</v>
      </c>
      <c r="K209" s="652">
        <v>1279</v>
      </c>
      <c r="L209" s="651">
        <v>4163</v>
      </c>
      <c r="M209" s="651"/>
      <c r="N209" s="652">
        <v>654</v>
      </c>
      <c r="O209" s="652">
        <v>6041</v>
      </c>
      <c r="P209" s="652">
        <v>0</v>
      </c>
      <c r="Q209" s="651">
        <v>0</v>
      </c>
      <c r="R209" s="651"/>
      <c r="S209" s="652">
        <v>4992</v>
      </c>
      <c r="T209" s="653">
        <v>1637</v>
      </c>
      <c r="U209" s="653">
        <v>6629</v>
      </c>
    </row>
    <row r="210" spans="1:21" x14ac:dyDescent="0.25">
      <c r="A210" s="648">
        <v>92109</v>
      </c>
      <c r="B210" s="649" t="s">
        <v>2749</v>
      </c>
      <c r="C210" s="650">
        <v>1.7909999999999999E-4</v>
      </c>
      <c r="D210" s="650">
        <v>1.7310000000000001E-4</v>
      </c>
      <c r="E210" s="651">
        <v>70342</v>
      </c>
      <c r="F210" s="651">
        <v>77686</v>
      </c>
      <c r="G210" s="651">
        <v>380110</v>
      </c>
      <c r="H210" s="651"/>
      <c r="I210" s="652">
        <v>7142</v>
      </c>
      <c r="J210" s="652">
        <v>333098</v>
      </c>
      <c r="K210" s="652">
        <v>26034</v>
      </c>
      <c r="L210" s="651">
        <v>3189</v>
      </c>
      <c r="M210" s="651"/>
      <c r="N210" s="652">
        <v>13319</v>
      </c>
      <c r="O210" s="652">
        <v>122945</v>
      </c>
      <c r="P210" s="652">
        <v>0</v>
      </c>
      <c r="Q210" s="651">
        <v>19542</v>
      </c>
      <c r="R210" s="651"/>
      <c r="S210" s="652">
        <v>101598</v>
      </c>
      <c r="T210" s="653">
        <v>-5478</v>
      </c>
      <c r="U210" s="653">
        <v>96120</v>
      </c>
    </row>
    <row r="211" spans="1:21" x14ac:dyDescent="0.25">
      <c r="A211" s="648">
        <v>92111</v>
      </c>
      <c r="B211" s="649" t="s">
        <v>2750</v>
      </c>
      <c r="C211" s="650">
        <v>5.0009999999999996E-4</v>
      </c>
      <c r="D211" s="650">
        <v>5.3319999999999995E-4</v>
      </c>
      <c r="E211" s="651">
        <v>205690.42</v>
      </c>
      <c r="F211" s="651">
        <v>239297</v>
      </c>
      <c r="G211" s="651">
        <v>1061380</v>
      </c>
      <c r="H211" s="651"/>
      <c r="I211" s="652">
        <v>19941</v>
      </c>
      <c r="J211" s="652">
        <v>930107</v>
      </c>
      <c r="K211" s="652">
        <v>72695</v>
      </c>
      <c r="L211" s="651">
        <v>14524</v>
      </c>
      <c r="M211" s="651"/>
      <c r="N211" s="652">
        <v>37192</v>
      </c>
      <c r="O211" s="652">
        <v>343298</v>
      </c>
      <c r="P211" s="652">
        <v>0</v>
      </c>
      <c r="Q211" s="651">
        <v>17909</v>
      </c>
      <c r="R211" s="651"/>
      <c r="S211" s="652">
        <v>283691</v>
      </c>
      <c r="T211" s="653">
        <v>1816</v>
      </c>
      <c r="U211" s="653">
        <v>285507</v>
      </c>
    </row>
    <row r="212" spans="1:21" x14ac:dyDescent="0.25">
      <c r="A212" s="648">
        <v>92113</v>
      </c>
      <c r="B212" s="649" t="s">
        <v>2751</v>
      </c>
      <c r="C212" s="650">
        <v>2.2099999999999998E-5</v>
      </c>
      <c r="D212" s="650">
        <v>2.2900000000000001E-5</v>
      </c>
      <c r="E212" s="651">
        <v>27800</v>
      </c>
      <c r="F212" s="651">
        <v>10277</v>
      </c>
      <c r="G212" s="651">
        <v>46904</v>
      </c>
      <c r="H212" s="651"/>
      <c r="I212" s="652">
        <v>881.23749999999995</v>
      </c>
      <c r="J212" s="652">
        <v>41103</v>
      </c>
      <c r="K212" s="652">
        <v>3212</v>
      </c>
      <c r="L212" s="651">
        <v>25322</v>
      </c>
      <c r="M212" s="651"/>
      <c r="N212" s="652">
        <v>1644</v>
      </c>
      <c r="O212" s="652">
        <v>15171</v>
      </c>
      <c r="P212" s="652">
        <v>0</v>
      </c>
      <c r="Q212" s="651">
        <v>0</v>
      </c>
      <c r="R212" s="651"/>
      <c r="S212" s="652">
        <v>12537</v>
      </c>
      <c r="T212" s="653">
        <v>7718</v>
      </c>
      <c r="U212" s="653">
        <v>20255</v>
      </c>
    </row>
    <row r="213" spans="1:21" x14ac:dyDescent="0.25">
      <c r="A213" s="648">
        <v>92201</v>
      </c>
      <c r="B213" s="649" t="s">
        <v>2752</v>
      </c>
      <c r="C213" s="650">
        <v>1.0267E-3</v>
      </c>
      <c r="D213" s="650">
        <v>9.8930000000000003E-4</v>
      </c>
      <c r="E213" s="651">
        <v>411545</v>
      </c>
      <c r="F213" s="651">
        <v>443992</v>
      </c>
      <c r="G213" s="651">
        <v>2179001</v>
      </c>
      <c r="H213" s="651"/>
      <c r="I213" s="652">
        <v>40940</v>
      </c>
      <c r="J213" s="652">
        <v>1909500</v>
      </c>
      <c r="K213" s="652">
        <v>149242</v>
      </c>
      <c r="L213" s="651">
        <v>60698</v>
      </c>
      <c r="M213" s="651"/>
      <c r="N213" s="652">
        <v>76355</v>
      </c>
      <c r="O213" s="652">
        <v>704786</v>
      </c>
      <c r="P213" s="652">
        <v>0</v>
      </c>
      <c r="Q213" s="651">
        <v>0</v>
      </c>
      <c r="R213" s="651"/>
      <c r="S213" s="652">
        <v>582415</v>
      </c>
      <c r="T213" s="653">
        <v>23895</v>
      </c>
      <c r="U213" s="653">
        <v>606310</v>
      </c>
    </row>
    <row r="214" spans="1:21" x14ac:dyDescent="0.25">
      <c r="A214" s="648">
        <v>92301</v>
      </c>
      <c r="B214" s="649" t="s">
        <v>2753</v>
      </c>
      <c r="C214" s="650">
        <v>5.2411000000000003E-3</v>
      </c>
      <c r="D214" s="650">
        <v>5.0804999999999999E-3</v>
      </c>
      <c r="E214" s="651">
        <v>2094643.33</v>
      </c>
      <c r="F214" s="651">
        <v>2280098</v>
      </c>
      <c r="G214" s="651">
        <v>11123370</v>
      </c>
      <c r="H214" s="651"/>
      <c r="I214" s="652">
        <v>208989</v>
      </c>
      <c r="J214" s="652">
        <v>9747618</v>
      </c>
      <c r="K214" s="652">
        <v>761852</v>
      </c>
      <c r="L214" s="651">
        <v>77417</v>
      </c>
      <c r="M214" s="651"/>
      <c r="N214" s="652">
        <v>389775</v>
      </c>
      <c r="O214" s="652">
        <v>3597795</v>
      </c>
      <c r="P214" s="652">
        <v>0</v>
      </c>
      <c r="Q214" s="651">
        <v>16658.29</v>
      </c>
      <c r="R214" s="651"/>
      <c r="S214" s="652">
        <v>2973114</v>
      </c>
      <c r="T214" s="653">
        <v>15378</v>
      </c>
      <c r="U214" s="653">
        <v>2988491</v>
      </c>
    </row>
    <row r="215" spans="1:21" x14ac:dyDescent="0.25">
      <c r="A215" s="648">
        <v>92302</v>
      </c>
      <c r="B215" s="649" t="s">
        <v>2754</v>
      </c>
      <c r="C215" s="650">
        <v>3.168E-4</v>
      </c>
      <c r="D215" s="650">
        <v>2.9910000000000001E-4</v>
      </c>
      <c r="E215" s="651">
        <v>116637</v>
      </c>
      <c r="F215" s="651">
        <v>134234</v>
      </c>
      <c r="G215" s="651">
        <v>672356</v>
      </c>
      <c r="H215" s="651"/>
      <c r="I215" s="652">
        <v>12632.4</v>
      </c>
      <c r="J215" s="652">
        <v>589198</v>
      </c>
      <c r="K215" s="652">
        <v>46050</v>
      </c>
      <c r="L215" s="651">
        <v>0</v>
      </c>
      <c r="M215" s="651"/>
      <c r="N215" s="652">
        <v>23560</v>
      </c>
      <c r="O215" s="652">
        <v>217470</v>
      </c>
      <c r="P215" s="652">
        <v>0</v>
      </c>
      <c r="Q215" s="651">
        <v>9658</v>
      </c>
      <c r="R215" s="651"/>
      <c r="S215" s="652">
        <v>179711</v>
      </c>
      <c r="T215" s="653">
        <v>-3995</v>
      </c>
      <c r="U215" s="653">
        <v>175716</v>
      </c>
    </row>
    <row r="216" spans="1:21" x14ac:dyDescent="0.25">
      <c r="A216" s="648">
        <v>92311</v>
      </c>
      <c r="B216" s="649" t="s">
        <v>2755</v>
      </c>
      <c r="C216" s="650">
        <v>2.1857000000000001E-3</v>
      </c>
      <c r="D216" s="650">
        <v>2.1316E-3</v>
      </c>
      <c r="E216" s="651">
        <v>841005.71</v>
      </c>
      <c r="F216" s="651">
        <v>956649</v>
      </c>
      <c r="G216" s="651">
        <v>4638788</v>
      </c>
      <c r="H216" s="651"/>
      <c r="I216" s="652">
        <v>87155</v>
      </c>
      <c r="J216" s="652">
        <v>4065057</v>
      </c>
      <c r="K216" s="652">
        <v>317716</v>
      </c>
      <c r="L216" s="651">
        <v>0</v>
      </c>
      <c r="M216" s="651"/>
      <c r="N216" s="652">
        <v>162548</v>
      </c>
      <c r="O216" s="652">
        <v>1500391</v>
      </c>
      <c r="P216" s="652">
        <v>0</v>
      </c>
      <c r="Q216" s="651">
        <v>92864</v>
      </c>
      <c r="R216" s="651"/>
      <c r="S216" s="652">
        <v>1239880</v>
      </c>
      <c r="T216" s="653">
        <v>-38618</v>
      </c>
      <c r="U216" s="653">
        <v>1201261</v>
      </c>
    </row>
    <row r="217" spans="1:21" x14ac:dyDescent="0.25">
      <c r="A217" s="648">
        <v>92317</v>
      </c>
      <c r="B217" s="649" t="s">
        <v>2756</v>
      </c>
      <c r="C217" s="650">
        <v>2.9600000000000001E-5</v>
      </c>
      <c r="D217" s="650">
        <v>3.3300000000000003E-5</v>
      </c>
      <c r="E217" s="651">
        <v>20482</v>
      </c>
      <c r="F217" s="651">
        <v>14945</v>
      </c>
      <c r="G217" s="651">
        <v>62821</v>
      </c>
      <c r="H217" s="651"/>
      <c r="I217" s="652">
        <v>1180.3</v>
      </c>
      <c r="J217" s="652">
        <v>55051</v>
      </c>
      <c r="K217" s="652">
        <v>4303</v>
      </c>
      <c r="L217" s="651">
        <v>12749</v>
      </c>
      <c r="M217" s="651"/>
      <c r="N217" s="652">
        <v>2201</v>
      </c>
      <c r="O217" s="652">
        <v>20319</v>
      </c>
      <c r="P217" s="652">
        <v>0</v>
      </c>
      <c r="Q217" s="651">
        <v>0</v>
      </c>
      <c r="R217" s="651"/>
      <c r="S217" s="652">
        <v>16791</v>
      </c>
      <c r="T217" s="653">
        <v>4401</v>
      </c>
      <c r="U217" s="653">
        <v>21192</v>
      </c>
    </row>
    <row r="218" spans="1:21" x14ac:dyDescent="0.25">
      <c r="A218" s="648">
        <v>92321</v>
      </c>
      <c r="B218" s="649" t="s">
        <v>2757</v>
      </c>
      <c r="C218" s="650">
        <v>1.2218999999999999E-3</v>
      </c>
      <c r="D218" s="650">
        <v>1.1936E-3</v>
      </c>
      <c r="E218" s="651">
        <v>481504.52</v>
      </c>
      <c r="F218" s="651">
        <v>535681</v>
      </c>
      <c r="G218" s="651">
        <v>2593281</v>
      </c>
      <c r="H218" s="651"/>
      <c r="I218" s="652">
        <v>48723</v>
      </c>
      <c r="J218" s="652">
        <v>2272541</v>
      </c>
      <c r="K218" s="652">
        <v>177617</v>
      </c>
      <c r="L218" s="651">
        <v>61228</v>
      </c>
      <c r="M218" s="651"/>
      <c r="N218" s="652">
        <v>90871</v>
      </c>
      <c r="O218" s="652">
        <v>838783</v>
      </c>
      <c r="P218" s="652">
        <v>0</v>
      </c>
      <c r="Q218" s="651">
        <v>1343</v>
      </c>
      <c r="R218" s="651"/>
      <c r="S218" s="652">
        <v>693146</v>
      </c>
      <c r="T218" s="653">
        <v>25416</v>
      </c>
      <c r="U218" s="653">
        <v>718562</v>
      </c>
    </row>
    <row r="219" spans="1:21" x14ac:dyDescent="0.25">
      <c r="A219" s="648">
        <v>92327</v>
      </c>
      <c r="B219" s="649" t="s">
        <v>2758</v>
      </c>
      <c r="C219" s="650">
        <v>7.6000000000000001E-6</v>
      </c>
      <c r="D219" s="650">
        <v>7.7999999999999999E-6</v>
      </c>
      <c r="E219" s="651">
        <v>5004.42</v>
      </c>
      <c r="F219" s="651">
        <v>3501</v>
      </c>
      <c r="G219" s="651">
        <v>16130</v>
      </c>
      <c r="H219" s="651"/>
      <c r="I219" s="652">
        <v>303.05</v>
      </c>
      <c r="J219" s="652">
        <v>14135</v>
      </c>
      <c r="K219" s="652">
        <v>1105</v>
      </c>
      <c r="L219" s="651">
        <v>2630</v>
      </c>
      <c r="M219" s="651"/>
      <c r="N219" s="652">
        <v>565</v>
      </c>
      <c r="O219" s="652">
        <v>5217</v>
      </c>
      <c r="P219" s="652">
        <v>0</v>
      </c>
      <c r="Q219" s="651">
        <v>0</v>
      </c>
      <c r="R219" s="651"/>
      <c r="S219" s="652">
        <v>4311</v>
      </c>
      <c r="T219" s="653">
        <v>853</v>
      </c>
      <c r="U219" s="653">
        <v>5165</v>
      </c>
    </row>
    <row r="220" spans="1:21" x14ac:dyDescent="0.25">
      <c r="A220" s="648">
        <v>92331</v>
      </c>
      <c r="B220" s="649" t="s">
        <v>2759</v>
      </c>
      <c r="C220" s="650">
        <v>1.393E-4</v>
      </c>
      <c r="D220" s="650">
        <v>1.4789999999999999E-4</v>
      </c>
      <c r="E220" s="651">
        <v>54278.720000000001</v>
      </c>
      <c r="F220" s="651">
        <v>66377</v>
      </c>
      <c r="G220" s="651">
        <v>295641</v>
      </c>
      <c r="H220" s="651"/>
      <c r="I220" s="652">
        <v>5555</v>
      </c>
      <c r="J220" s="652">
        <v>259076</v>
      </c>
      <c r="K220" s="652">
        <v>20249</v>
      </c>
      <c r="L220" s="651">
        <v>3725</v>
      </c>
      <c r="M220" s="651"/>
      <c r="N220" s="652">
        <v>10360</v>
      </c>
      <c r="O220" s="652">
        <v>95624</v>
      </c>
      <c r="P220" s="652">
        <v>0</v>
      </c>
      <c r="Q220" s="651">
        <v>7047</v>
      </c>
      <c r="R220" s="651"/>
      <c r="S220" s="652">
        <v>79021</v>
      </c>
      <c r="T220" s="653">
        <v>-171</v>
      </c>
      <c r="U220" s="653">
        <v>78850</v>
      </c>
    </row>
    <row r="221" spans="1:21" x14ac:dyDescent="0.25">
      <c r="A221" s="648">
        <v>92341</v>
      </c>
      <c r="B221" s="649" t="s">
        <v>2760</v>
      </c>
      <c r="C221" s="650">
        <v>7.9000000000000006E-6</v>
      </c>
      <c r="D221" s="650">
        <v>6.3999999999999997E-6</v>
      </c>
      <c r="E221" s="651">
        <v>2572</v>
      </c>
      <c r="F221" s="651">
        <v>2872</v>
      </c>
      <c r="G221" s="651">
        <v>16766</v>
      </c>
      <c r="H221" s="651"/>
      <c r="I221" s="652">
        <v>315</v>
      </c>
      <c r="J221" s="652">
        <v>14693</v>
      </c>
      <c r="K221" s="652">
        <v>1148</v>
      </c>
      <c r="L221" s="651">
        <v>478</v>
      </c>
      <c r="M221" s="651"/>
      <c r="N221" s="652">
        <v>588</v>
      </c>
      <c r="O221" s="652">
        <v>5423</v>
      </c>
      <c r="P221" s="652">
        <v>0</v>
      </c>
      <c r="Q221" s="651">
        <v>3063</v>
      </c>
      <c r="R221" s="651"/>
      <c r="S221" s="652">
        <v>4481</v>
      </c>
      <c r="T221" s="653">
        <v>-913</v>
      </c>
      <c r="U221" s="653">
        <v>3568</v>
      </c>
    </row>
    <row r="222" spans="1:21" x14ac:dyDescent="0.25">
      <c r="A222" s="648">
        <v>92351</v>
      </c>
      <c r="B222" s="649" t="s">
        <v>2761</v>
      </c>
      <c r="C222" s="650">
        <v>1.95E-5</v>
      </c>
      <c r="D222" s="650">
        <v>2.8399999999999999E-5</v>
      </c>
      <c r="E222" s="651">
        <v>8512</v>
      </c>
      <c r="F222" s="651">
        <v>12746</v>
      </c>
      <c r="G222" s="651">
        <v>41386</v>
      </c>
      <c r="H222" s="651"/>
      <c r="I222" s="652">
        <v>777.5625</v>
      </c>
      <c r="J222" s="652">
        <v>36267</v>
      </c>
      <c r="K222" s="652">
        <v>2835</v>
      </c>
      <c r="L222" s="651">
        <v>1156.19</v>
      </c>
      <c r="M222" s="651"/>
      <c r="N222" s="652">
        <v>1450</v>
      </c>
      <c r="O222" s="652">
        <v>13386</v>
      </c>
      <c r="P222" s="652">
        <v>0</v>
      </c>
      <c r="Q222" s="651">
        <v>5799</v>
      </c>
      <c r="R222" s="651"/>
      <c r="S222" s="652">
        <v>11062</v>
      </c>
      <c r="T222" s="653">
        <v>-1052</v>
      </c>
      <c r="U222" s="653">
        <v>10010</v>
      </c>
    </row>
    <row r="223" spans="1:21" x14ac:dyDescent="0.25">
      <c r="A223" s="648">
        <v>92401</v>
      </c>
      <c r="B223" s="649" t="s">
        <v>2762</v>
      </c>
      <c r="C223" s="650">
        <v>2.7449000000000002E-3</v>
      </c>
      <c r="D223" s="650">
        <v>2.7921999999999999E-3</v>
      </c>
      <c r="E223" s="651">
        <v>1162719</v>
      </c>
      <c r="F223" s="651">
        <v>1253123</v>
      </c>
      <c r="G223" s="651">
        <v>5825597</v>
      </c>
      <c r="H223" s="651"/>
      <c r="I223" s="652">
        <v>109453</v>
      </c>
      <c r="J223" s="652">
        <v>5105080</v>
      </c>
      <c r="K223" s="652">
        <v>399001</v>
      </c>
      <c r="L223" s="651">
        <v>33227</v>
      </c>
      <c r="M223" s="651"/>
      <c r="N223" s="652">
        <v>204135</v>
      </c>
      <c r="O223" s="652">
        <v>1884259</v>
      </c>
      <c r="P223" s="652">
        <v>0</v>
      </c>
      <c r="Q223" s="651">
        <v>5343</v>
      </c>
      <c r="R223" s="651"/>
      <c r="S223" s="652">
        <v>1557097</v>
      </c>
      <c r="T223" s="653">
        <v>14486</v>
      </c>
      <c r="U223" s="653">
        <v>1571583</v>
      </c>
    </row>
    <row r="224" spans="1:21" x14ac:dyDescent="0.25">
      <c r="A224" s="648">
        <v>92403</v>
      </c>
      <c r="B224" s="649" t="s">
        <v>2763</v>
      </c>
      <c r="C224" s="650">
        <v>9.7999999999999993E-6</v>
      </c>
      <c r="D224" s="650">
        <v>1.59E-5</v>
      </c>
      <c r="E224" s="651">
        <v>5969</v>
      </c>
      <c r="F224" s="651">
        <v>7136</v>
      </c>
      <c r="G224" s="651">
        <v>20799</v>
      </c>
      <c r="H224" s="651"/>
      <c r="I224" s="652">
        <v>390.77499999999998</v>
      </c>
      <c r="J224" s="652">
        <v>18226</v>
      </c>
      <c r="K224" s="652">
        <v>1425</v>
      </c>
      <c r="L224" s="651">
        <v>564</v>
      </c>
      <c r="M224" s="651"/>
      <c r="N224" s="652">
        <v>729</v>
      </c>
      <c r="O224" s="652">
        <v>6727</v>
      </c>
      <c r="P224" s="652">
        <v>0</v>
      </c>
      <c r="Q224" s="651">
        <v>1764</v>
      </c>
      <c r="R224" s="651"/>
      <c r="S224" s="652">
        <v>5559</v>
      </c>
      <c r="T224" s="653">
        <v>-243</v>
      </c>
      <c r="U224" s="653">
        <v>5317</v>
      </c>
    </row>
    <row r="225" spans="1:21" x14ac:dyDescent="0.25">
      <c r="A225" s="648">
        <v>92411</v>
      </c>
      <c r="B225" s="649" t="s">
        <v>2764</v>
      </c>
      <c r="C225" s="650">
        <v>4.8030000000000002E-4</v>
      </c>
      <c r="D225" s="650">
        <v>5.2820000000000005E-4</v>
      </c>
      <c r="E225" s="651">
        <v>173749.71</v>
      </c>
      <c r="F225" s="651">
        <v>237053</v>
      </c>
      <c r="G225" s="651">
        <v>1019358</v>
      </c>
      <c r="H225" s="651"/>
      <c r="I225" s="652">
        <v>19152</v>
      </c>
      <c r="J225" s="652">
        <v>893282</v>
      </c>
      <c r="K225" s="652">
        <v>69817</v>
      </c>
      <c r="L225" s="651">
        <v>572</v>
      </c>
      <c r="M225" s="651"/>
      <c r="N225" s="652">
        <v>35719</v>
      </c>
      <c r="O225" s="652">
        <v>329706</v>
      </c>
      <c r="P225" s="652">
        <v>0</v>
      </c>
      <c r="Q225" s="651">
        <v>54750</v>
      </c>
      <c r="R225" s="651"/>
      <c r="S225" s="652">
        <v>272459</v>
      </c>
      <c r="T225" s="653">
        <v>-16396</v>
      </c>
      <c r="U225" s="653">
        <v>256063</v>
      </c>
    </row>
    <row r="226" spans="1:21" x14ac:dyDescent="0.25">
      <c r="A226" s="648">
        <v>92414</v>
      </c>
      <c r="B226" s="649" t="s">
        <v>1364</v>
      </c>
      <c r="C226" s="650">
        <v>0</v>
      </c>
      <c r="D226" s="650">
        <v>9.7999999999999993E-6</v>
      </c>
      <c r="E226" s="651">
        <v>0</v>
      </c>
      <c r="F226" s="651">
        <v>4398</v>
      </c>
      <c r="G226" s="651">
        <v>0</v>
      </c>
      <c r="H226" s="651"/>
      <c r="I226" s="652">
        <v>0</v>
      </c>
      <c r="J226" s="652">
        <v>0</v>
      </c>
      <c r="K226" s="652">
        <v>0</v>
      </c>
      <c r="L226" s="651">
        <v>0</v>
      </c>
      <c r="M226" s="651"/>
      <c r="N226" s="652">
        <v>0</v>
      </c>
      <c r="O226" s="652">
        <v>0</v>
      </c>
      <c r="P226" s="652">
        <v>0</v>
      </c>
      <c r="Q226" s="651">
        <v>8157</v>
      </c>
      <c r="R226" s="651"/>
      <c r="S226" s="652">
        <v>0</v>
      </c>
      <c r="T226" s="653">
        <v>-2445</v>
      </c>
      <c r="U226" s="653">
        <v>-2445</v>
      </c>
    </row>
    <row r="227" spans="1:21" x14ac:dyDescent="0.25">
      <c r="A227" s="648">
        <v>92417</v>
      </c>
      <c r="B227" s="649" t="s">
        <v>2765</v>
      </c>
      <c r="C227" s="650">
        <v>1.77E-5</v>
      </c>
      <c r="D227" s="650">
        <v>1.6699999999999999E-5</v>
      </c>
      <c r="E227" s="651">
        <v>5354.85</v>
      </c>
      <c r="F227" s="651">
        <v>7495</v>
      </c>
      <c r="G227" s="651">
        <v>37565</v>
      </c>
      <c r="H227" s="651"/>
      <c r="I227" s="652">
        <v>705.78750000000002</v>
      </c>
      <c r="J227" s="652">
        <v>32919</v>
      </c>
      <c r="K227" s="652">
        <v>2573</v>
      </c>
      <c r="L227" s="651">
        <v>0</v>
      </c>
      <c r="M227" s="651"/>
      <c r="N227" s="652">
        <v>1316</v>
      </c>
      <c r="O227" s="652">
        <v>12150</v>
      </c>
      <c r="P227" s="652">
        <v>0</v>
      </c>
      <c r="Q227" s="651">
        <v>1694</v>
      </c>
      <c r="R227" s="651"/>
      <c r="S227" s="652">
        <v>10041</v>
      </c>
      <c r="T227" s="653">
        <v>-509</v>
      </c>
      <c r="U227" s="653">
        <v>9531</v>
      </c>
    </row>
    <row r="228" spans="1:21" x14ac:dyDescent="0.25">
      <c r="A228" s="648">
        <v>92421</v>
      </c>
      <c r="B228" s="649" t="s">
        <v>2766</v>
      </c>
      <c r="C228" s="650">
        <v>9.0000000000000002E-6</v>
      </c>
      <c r="D228" s="650">
        <v>1.98E-5</v>
      </c>
      <c r="E228" s="651">
        <v>9114.76</v>
      </c>
      <c r="F228" s="651">
        <v>8886</v>
      </c>
      <c r="G228" s="651">
        <v>19101</v>
      </c>
      <c r="H228" s="651"/>
      <c r="I228" s="652">
        <v>358.875</v>
      </c>
      <c r="J228" s="652">
        <v>16739</v>
      </c>
      <c r="K228" s="652">
        <v>1308</v>
      </c>
      <c r="L228" s="651">
        <v>1510</v>
      </c>
      <c r="M228" s="651"/>
      <c r="N228" s="652">
        <v>669</v>
      </c>
      <c r="O228" s="652">
        <v>6178</v>
      </c>
      <c r="P228" s="652">
        <v>0</v>
      </c>
      <c r="Q228" s="651">
        <v>1551</v>
      </c>
      <c r="R228" s="651"/>
      <c r="S228" s="652">
        <v>5105</v>
      </c>
      <c r="T228" s="653">
        <v>261</v>
      </c>
      <c r="U228" s="653">
        <v>5366</v>
      </c>
    </row>
    <row r="229" spans="1:21" x14ac:dyDescent="0.25">
      <c r="A229" s="648">
        <v>92427</v>
      </c>
      <c r="B229" s="649" t="s">
        <v>2767</v>
      </c>
      <c r="C229" s="650">
        <v>6.9999999999999997E-7</v>
      </c>
      <c r="D229" s="650">
        <v>8.9999999999999996E-7</v>
      </c>
      <c r="E229" s="651">
        <v>1425.53</v>
      </c>
      <c r="F229" s="651">
        <v>404</v>
      </c>
      <c r="G229" s="651">
        <v>1486</v>
      </c>
      <c r="H229" s="651"/>
      <c r="I229" s="652">
        <v>28</v>
      </c>
      <c r="J229" s="652">
        <v>1302</v>
      </c>
      <c r="K229" s="652">
        <v>102</v>
      </c>
      <c r="L229" s="651">
        <v>1812</v>
      </c>
      <c r="M229" s="651"/>
      <c r="N229" s="652">
        <v>52</v>
      </c>
      <c r="O229" s="652">
        <v>481</v>
      </c>
      <c r="P229" s="652">
        <v>0</v>
      </c>
      <c r="Q229" s="651">
        <v>0</v>
      </c>
      <c r="R229" s="651"/>
      <c r="S229" s="652">
        <v>397</v>
      </c>
      <c r="T229" s="653">
        <v>636</v>
      </c>
      <c r="U229" s="653">
        <v>1033</v>
      </c>
    </row>
    <row r="230" spans="1:21" x14ac:dyDescent="0.25">
      <c r="A230" s="648">
        <v>92431</v>
      </c>
      <c r="B230" s="649" t="s">
        <v>2768</v>
      </c>
      <c r="C230" s="650">
        <v>1.8499999999999999E-5</v>
      </c>
      <c r="D230" s="650">
        <v>4.0800000000000002E-5</v>
      </c>
      <c r="E230" s="651">
        <v>17502.95</v>
      </c>
      <c r="F230" s="651">
        <v>18311</v>
      </c>
      <c r="G230" s="651">
        <v>39263</v>
      </c>
      <c r="H230" s="651"/>
      <c r="I230" s="652">
        <v>737.6875</v>
      </c>
      <c r="J230" s="652">
        <v>34407</v>
      </c>
      <c r="K230" s="652">
        <v>2689</v>
      </c>
      <c r="L230" s="651">
        <v>6093</v>
      </c>
      <c r="M230" s="651"/>
      <c r="N230" s="652">
        <v>1376</v>
      </c>
      <c r="O230" s="652">
        <v>12699</v>
      </c>
      <c r="P230" s="652">
        <v>0</v>
      </c>
      <c r="Q230" s="651">
        <v>5505</v>
      </c>
      <c r="R230" s="651"/>
      <c r="S230" s="652">
        <v>10494</v>
      </c>
      <c r="T230" s="653">
        <v>422</v>
      </c>
      <c r="U230" s="653">
        <v>10917</v>
      </c>
    </row>
    <row r="231" spans="1:21" x14ac:dyDescent="0.25">
      <c r="A231" s="648">
        <v>92441</v>
      </c>
      <c r="B231" s="649" t="s">
        <v>2769</v>
      </c>
      <c r="C231" s="650">
        <v>9.2299999999999994E-5</v>
      </c>
      <c r="D231" s="650">
        <v>1.0170000000000001E-4</v>
      </c>
      <c r="E231" s="651">
        <v>38127.360000000001</v>
      </c>
      <c r="F231" s="651">
        <v>45642</v>
      </c>
      <c r="G231" s="651">
        <v>195892</v>
      </c>
      <c r="H231" s="651"/>
      <c r="I231" s="652">
        <v>3680</v>
      </c>
      <c r="J231" s="652">
        <v>171663</v>
      </c>
      <c r="K231" s="652">
        <v>13417</v>
      </c>
      <c r="L231" s="651">
        <v>0</v>
      </c>
      <c r="M231" s="651"/>
      <c r="N231" s="652">
        <v>6864</v>
      </c>
      <c r="O231" s="652">
        <v>63360</v>
      </c>
      <c r="P231" s="652">
        <v>0</v>
      </c>
      <c r="Q231" s="651">
        <v>12688</v>
      </c>
      <c r="R231" s="651"/>
      <c r="S231" s="652">
        <v>52359</v>
      </c>
      <c r="T231" s="653">
        <v>-5069</v>
      </c>
      <c r="U231" s="653">
        <v>47290</v>
      </c>
    </row>
    <row r="232" spans="1:21" x14ac:dyDescent="0.25">
      <c r="A232" s="648">
        <v>92444</v>
      </c>
      <c r="B232" s="649" t="s">
        <v>2770</v>
      </c>
      <c r="C232" s="650">
        <v>1.9999999999999999E-6</v>
      </c>
      <c r="D232" s="650">
        <v>1.7999999999999999E-6</v>
      </c>
      <c r="E232" s="651">
        <v>1966</v>
      </c>
      <c r="F232" s="651">
        <v>808</v>
      </c>
      <c r="G232" s="651">
        <v>4244.67</v>
      </c>
      <c r="H232" s="651"/>
      <c r="I232" s="652">
        <v>79.75</v>
      </c>
      <c r="J232" s="652">
        <v>3720</v>
      </c>
      <c r="K232" s="652">
        <v>291</v>
      </c>
      <c r="L232" s="651">
        <v>2653</v>
      </c>
      <c r="M232" s="651"/>
      <c r="N232" s="652">
        <v>149</v>
      </c>
      <c r="O232" s="652">
        <v>1373</v>
      </c>
      <c r="P232" s="652">
        <v>0</v>
      </c>
      <c r="Q232" s="651">
        <v>0</v>
      </c>
      <c r="R232" s="651"/>
      <c r="S232" s="652">
        <v>1135</v>
      </c>
      <c r="T232" s="653">
        <v>971</v>
      </c>
      <c r="U232" s="653">
        <v>2106</v>
      </c>
    </row>
    <row r="233" spans="1:21" x14ac:dyDescent="0.25">
      <c r="A233" s="648">
        <v>92451</v>
      </c>
      <c r="B233" s="649" t="s">
        <v>2771</v>
      </c>
      <c r="C233" s="650">
        <v>1.4559999999999999E-4</v>
      </c>
      <c r="D233" s="650">
        <v>1.132E-4</v>
      </c>
      <c r="E233" s="651">
        <v>67281</v>
      </c>
      <c r="F233" s="651">
        <v>50803</v>
      </c>
      <c r="G233" s="651">
        <v>309012</v>
      </c>
      <c r="H233" s="651"/>
      <c r="I233" s="652">
        <v>5806</v>
      </c>
      <c r="J233" s="652">
        <v>270793</v>
      </c>
      <c r="K233" s="652">
        <v>21165</v>
      </c>
      <c r="L233" s="651">
        <v>36170</v>
      </c>
      <c r="M233" s="651"/>
      <c r="N233" s="652">
        <v>10828</v>
      </c>
      <c r="O233" s="652">
        <v>99948</v>
      </c>
      <c r="P233" s="652">
        <v>0</v>
      </c>
      <c r="Q233" s="651">
        <v>0</v>
      </c>
      <c r="R233" s="651"/>
      <c r="S233" s="652">
        <v>82594</v>
      </c>
      <c r="T233" s="653">
        <v>11273</v>
      </c>
      <c r="U233" s="653">
        <v>93868</v>
      </c>
    </row>
    <row r="234" spans="1:21" x14ac:dyDescent="0.25">
      <c r="A234" s="648">
        <v>92461</v>
      </c>
      <c r="B234" s="649" t="s">
        <v>2772</v>
      </c>
      <c r="C234" s="650">
        <v>7.2999999999999999E-5</v>
      </c>
      <c r="D234" s="650">
        <v>6.3499999999999999E-5</v>
      </c>
      <c r="E234" s="651">
        <v>36576</v>
      </c>
      <c r="F234" s="651">
        <v>28498</v>
      </c>
      <c r="G234" s="651">
        <v>154930</v>
      </c>
      <c r="H234" s="651"/>
      <c r="I234" s="652">
        <v>2910.875</v>
      </c>
      <c r="J234" s="652">
        <v>135768</v>
      </c>
      <c r="K234" s="652">
        <v>10611</v>
      </c>
      <c r="L234" s="651">
        <v>10353</v>
      </c>
      <c r="M234" s="651"/>
      <c r="N234" s="652">
        <v>5429</v>
      </c>
      <c r="O234" s="652">
        <v>50111</v>
      </c>
      <c r="P234" s="652">
        <v>0</v>
      </c>
      <c r="Q234" s="651">
        <v>7817</v>
      </c>
      <c r="R234" s="651"/>
      <c r="S234" s="652">
        <v>41411</v>
      </c>
      <c r="T234" s="653">
        <v>-170</v>
      </c>
      <c r="U234" s="653">
        <v>41240</v>
      </c>
    </row>
    <row r="235" spans="1:21" x14ac:dyDescent="0.25">
      <c r="A235" s="648">
        <v>92501</v>
      </c>
      <c r="B235" s="649" t="s">
        <v>2773</v>
      </c>
      <c r="C235" s="650">
        <v>3.8141E-3</v>
      </c>
      <c r="D235" s="650">
        <v>3.8955999999999999E-3</v>
      </c>
      <c r="E235" s="651">
        <v>1660692.83</v>
      </c>
      <c r="F235" s="651">
        <v>1748322</v>
      </c>
      <c r="G235" s="651">
        <v>8094798</v>
      </c>
      <c r="H235" s="651"/>
      <c r="I235" s="652">
        <v>152087</v>
      </c>
      <c r="J235" s="652">
        <v>7093623</v>
      </c>
      <c r="K235" s="652">
        <v>554421</v>
      </c>
      <c r="L235" s="651">
        <v>65347</v>
      </c>
      <c r="M235" s="651"/>
      <c r="N235" s="652">
        <v>283651</v>
      </c>
      <c r="O235" s="652">
        <v>2618219</v>
      </c>
      <c r="P235" s="652">
        <v>0</v>
      </c>
      <c r="Q235" s="651">
        <v>13995</v>
      </c>
      <c r="R235" s="651"/>
      <c r="S235" s="652">
        <v>2163621</v>
      </c>
      <c r="T235" s="653">
        <v>20802</v>
      </c>
      <c r="U235" s="653">
        <v>2184422</v>
      </c>
    </row>
    <row r="236" spans="1:21" x14ac:dyDescent="0.25">
      <c r="A236" s="648">
        <v>92502</v>
      </c>
      <c r="B236" s="649" t="s">
        <v>2774</v>
      </c>
      <c r="C236" s="650">
        <v>2.8799999999999999E-5</v>
      </c>
      <c r="D236" s="650">
        <v>2.1399999999999998E-5</v>
      </c>
      <c r="E236" s="651">
        <v>12881</v>
      </c>
      <c r="F236" s="651">
        <v>9604</v>
      </c>
      <c r="G236" s="651">
        <v>61123</v>
      </c>
      <c r="H236" s="651"/>
      <c r="I236" s="652">
        <v>1148</v>
      </c>
      <c r="J236" s="652">
        <v>53563</v>
      </c>
      <c r="K236" s="652">
        <v>4186</v>
      </c>
      <c r="L236" s="651">
        <v>4833</v>
      </c>
      <c r="M236" s="651"/>
      <c r="N236" s="652">
        <v>2142</v>
      </c>
      <c r="O236" s="652">
        <v>19770</v>
      </c>
      <c r="P236" s="652">
        <v>0</v>
      </c>
      <c r="Q236" s="651">
        <v>3509</v>
      </c>
      <c r="R236" s="651"/>
      <c r="S236" s="652">
        <v>16337</v>
      </c>
      <c r="T236" s="653">
        <v>-103</v>
      </c>
      <c r="U236" s="653">
        <v>16234</v>
      </c>
    </row>
    <row r="237" spans="1:21" x14ac:dyDescent="0.25">
      <c r="A237" s="648">
        <v>92504</v>
      </c>
      <c r="B237" s="649" t="s">
        <v>2775</v>
      </c>
      <c r="C237" s="650">
        <v>7.2799999999999994E-5</v>
      </c>
      <c r="D237" s="650">
        <v>7.3499999999999998E-5</v>
      </c>
      <c r="E237" s="651">
        <v>38689</v>
      </c>
      <c r="F237" s="651">
        <v>32986</v>
      </c>
      <c r="G237" s="651">
        <v>154506</v>
      </c>
      <c r="H237" s="651"/>
      <c r="I237" s="652">
        <v>2903</v>
      </c>
      <c r="J237" s="652">
        <v>135396</v>
      </c>
      <c r="K237" s="652">
        <v>10582</v>
      </c>
      <c r="L237" s="651">
        <v>18501</v>
      </c>
      <c r="M237" s="651"/>
      <c r="N237" s="652">
        <v>5414</v>
      </c>
      <c r="O237" s="652">
        <v>49974</v>
      </c>
      <c r="P237" s="652">
        <v>0</v>
      </c>
      <c r="Q237" s="651">
        <v>54</v>
      </c>
      <c r="R237" s="651"/>
      <c r="S237" s="652">
        <v>41297</v>
      </c>
      <c r="T237" s="653">
        <v>5906</v>
      </c>
      <c r="U237" s="653">
        <v>47203</v>
      </c>
    </row>
    <row r="238" spans="1:21" x14ac:dyDescent="0.25">
      <c r="A238" s="648">
        <v>92505</v>
      </c>
      <c r="B238" s="649" t="s">
        <v>2776</v>
      </c>
      <c r="C238" s="650">
        <v>1.8709999999999999E-4</v>
      </c>
      <c r="D238" s="650">
        <v>1.9699999999999999E-4</v>
      </c>
      <c r="E238" s="651">
        <v>106739.73</v>
      </c>
      <c r="F238" s="651">
        <v>88412</v>
      </c>
      <c r="G238" s="651">
        <v>397089</v>
      </c>
      <c r="H238" s="651"/>
      <c r="I238" s="652">
        <v>7461</v>
      </c>
      <c r="J238" s="652">
        <v>347976</v>
      </c>
      <c r="K238" s="652">
        <v>27197</v>
      </c>
      <c r="L238" s="651">
        <v>47178</v>
      </c>
      <c r="M238" s="651"/>
      <c r="N238" s="652">
        <v>13914</v>
      </c>
      <c r="O238" s="652">
        <v>128436</v>
      </c>
      <c r="P238" s="652">
        <v>0</v>
      </c>
      <c r="Q238" s="651">
        <v>0</v>
      </c>
      <c r="R238" s="651"/>
      <c r="S238" s="652">
        <v>106136</v>
      </c>
      <c r="T238" s="653">
        <v>16270</v>
      </c>
      <c r="U238" s="653">
        <v>122406</v>
      </c>
    </row>
    <row r="239" spans="1:21" x14ac:dyDescent="0.25">
      <c r="A239" s="648">
        <v>92506</v>
      </c>
      <c r="B239" s="649" t="s">
        <v>2777</v>
      </c>
      <c r="C239" s="650">
        <v>4.3699999999999998E-5</v>
      </c>
      <c r="D239" s="650">
        <v>3.8999999999999999E-5</v>
      </c>
      <c r="E239" s="651">
        <v>23626</v>
      </c>
      <c r="F239" s="651">
        <v>17503</v>
      </c>
      <c r="G239" s="651">
        <v>92746</v>
      </c>
      <c r="H239" s="651"/>
      <c r="I239" s="652">
        <v>1743</v>
      </c>
      <c r="J239" s="652">
        <v>81275</v>
      </c>
      <c r="K239" s="652">
        <v>6352</v>
      </c>
      <c r="L239" s="651">
        <v>17344</v>
      </c>
      <c r="M239" s="651"/>
      <c r="N239" s="652">
        <v>3250</v>
      </c>
      <c r="O239" s="652">
        <v>29998</v>
      </c>
      <c r="P239" s="652">
        <v>0</v>
      </c>
      <c r="Q239" s="651">
        <v>0</v>
      </c>
      <c r="R239" s="651"/>
      <c r="S239" s="652">
        <v>24790</v>
      </c>
      <c r="T239" s="653">
        <v>5809</v>
      </c>
      <c r="U239" s="653">
        <v>30599</v>
      </c>
    </row>
    <row r="240" spans="1:21" x14ac:dyDescent="0.25">
      <c r="A240" s="648">
        <v>92507</v>
      </c>
      <c r="B240" s="649" t="s">
        <v>2778</v>
      </c>
      <c r="C240" s="650">
        <v>7.6799999999999997E-5</v>
      </c>
      <c r="D240" s="650">
        <v>1.032E-4</v>
      </c>
      <c r="E240" s="651">
        <v>33480.47</v>
      </c>
      <c r="F240" s="651">
        <v>46316</v>
      </c>
      <c r="G240" s="651">
        <v>162995</v>
      </c>
      <c r="H240" s="651"/>
      <c r="I240" s="652">
        <v>3062</v>
      </c>
      <c r="J240" s="652">
        <v>142836</v>
      </c>
      <c r="K240" s="652">
        <v>11164</v>
      </c>
      <c r="L240" s="651">
        <v>348</v>
      </c>
      <c r="M240" s="651"/>
      <c r="N240" s="652">
        <v>5712</v>
      </c>
      <c r="O240" s="652">
        <v>52720</v>
      </c>
      <c r="P240" s="652">
        <v>0</v>
      </c>
      <c r="Q240" s="651">
        <v>22450</v>
      </c>
      <c r="R240" s="651"/>
      <c r="S240" s="652">
        <v>43566</v>
      </c>
      <c r="T240" s="653">
        <v>-8043</v>
      </c>
      <c r="U240" s="653">
        <v>35523</v>
      </c>
    </row>
    <row r="241" spans="1:21" x14ac:dyDescent="0.25">
      <c r="A241" s="648">
        <v>92508</v>
      </c>
      <c r="B241" s="649" t="s">
        <v>2779</v>
      </c>
      <c r="C241" s="650">
        <v>3.1930000000000001E-4</v>
      </c>
      <c r="D241" s="650">
        <v>3.2959999999999999E-4</v>
      </c>
      <c r="E241" s="651">
        <v>135945</v>
      </c>
      <c r="F241" s="651">
        <v>147923</v>
      </c>
      <c r="G241" s="651">
        <v>677662</v>
      </c>
      <c r="H241" s="651"/>
      <c r="I241" s="652">
        <v>12732</v>
      </c>
      <c r="J241" s="652">
        <v>593848</v>
      </c>
      <c r="K241" s="652">
        <v>46414</v>
      </c>
      <c r="L241" s="651">
        <v>7876</v>
      </c>
      <c r="M241" s="651"/>
      <c r="N241" s="652">
        <v>23746</v>
      </c>
      <c r="O241" s="652">
        <v>219186</v>
      </c>
      <c r="P241" s="652">
        <v>0</v>
      </c>
      <c r="Q241" s="651">
        <v>1898</v>
      </c>
      <c r="R241" s="651"/>
      <c r="S241" s="652">
        <v>181129</v>
      </c>
      <c r="T241" s="653">
        <v>3029</v>
      </c>
      <c r="U241" s="653">
        <v>184158</v>
      </c>
    </row>
    <row r="242" spans="1:21" x14ac:dyDescent="0.25">
      <c r="A242" s="648">
        <v>92509</v>
      </c>
      <c r="B242" s="649" t="s">
        <v>2780</v>
      </c>
      <c r="C242" s="650">
        <v>0</v>
      </c>
      <c r="D242" s="650">
        <v>2.1614E-3</v>
      </c>
      <c r="E242" s="651">
        <v>0</v>
      </c>
      <c r="F242" s="651">
        <v>970023</v>
      </c>
      <c r="G242" s="651">
        <v>0</v>
      </c>
      <c r="H242" s="651"/>
      <c r="I242" s="652">
        <v>0</v>
      </c>
      <c r="J242" s="652">
        <v>0</v>
      </c>
      <c r="K242" s="652">
        <v>0</v>
      </c>
      <c r="L242" s="651">
        <v>166634</v>
      </c>
      <c r="M242" s="651"/>
      <c r="N242" s="652">
        <v>0</v>
      </c>
      <c r="O242" s="652">
        <v>0</v>
      </c>
      <c r="P242" s="652">
        <v>0</v>
      </c>
      <c r="Q242" s="651">
        <v>1170867</v>
      </c>
      <c r="R242" s="651"/>
      <c r="S242" s="652">
        <v>0</v>
      </c>
      <c r="T242" s="653">
        <v>-223763</v>
      </c>
      <c r="U242" s="653">
        <v>-223763</v>
      </c>
    </row>
    <row r="243" spans="1:21" x14ac:dyDescent="0.25">
      <c r="A243" s="648">
        <v>92511</v>
      </c>
      <c r="B243" s="649" t="s">
        <v>2781</v>
      </c>
      <c r="C243" s="650">
        <v>3.4164E-3</v>
      </c>
      <c r="D243" s="650">
        <v>3.6713000000000002E-3</v>
      </c>
      <c r="E243" s="651">
        <v>1353009</v>
      </c>
      <c r="F243" s="651">
        <v>1647657</v>
      </c>
      <c r="G243" s="651">
        <v>7250745</v>
      </c>
      <c r="H243" s="651"/>
      <c r="I243" s="652">
        <v>136229</v>
      </c>
      <c r="J243" s="652">
        <v>6353964</v>
      </c>
      <c r="K243" s="652">
        <v>496611</v>
      </c>
      <c r="L243" s="651">
        <v>24415.31</v>
      </c>
      <c r="M243" s="651"/>
      <c r="N243" s="652">
        <v>254074</v>
      </c>
      <c r="O243" s="652">
        <v>2345215</v>
      </c>
      <c r="P243" s="652">
        <v>0</v>
      </c>
      <c r="Q243" s="651">
        <v>243809</v>
      </c>
      <c r="R243" s="651"/>
      <c r="S243" s="652">
        <v>1938018</v>
      </c>
      <c r="T243" s="653">
        <v>-57052</v>
      </c>
      <c r="U243" s="653">
        <v>1880965</v>
      </c>
    </row>
    <row r="244" spans="1:21" x14ac:dyDescent="0.25">
      <c r="A244" s="648">
        <v>92513</v>
      </c>
      <c r="B244" s="649" t="s">
        <v>2782</v>
      </c>
      <c r="C244" s="650">
        <v>3.9753000000000002E-3</v>
      </c>
      <c r="D244" s="650">
        <v>0</v>
      </c>
      <c r="E244" s="651">
        <v>1441013</v>
      </c>
      <c r="F244" s="651">
        <v>0</v>
      </c>
      <c r="G244" s="651">
        <v>8436918</v>
      </c>
      <c r="H244" s="651"/>
      <c r="I244" s="652">
        <v>158515</v>
      </c>
      <c r="J244" s="652">
        <v>7393430</v>
      </c>
      <c r="K244" s="652">
        <v>577854</v>
      </c>
      <c r="L244" s="651">
        <v>1999562</v>
      </c>
      <c r="M244" s="651"/>
      <c r="N244" s="652">
        <v>295639</v>
      </c>
      <c r="O244" s="652">
        <v>2728876</v>
      </c>
      <c r="P244" s="652">
        <v>0</v>
      </c>
      <c r="Q244" s="651">
        <v>0</v>
      </c>
      <c r="R244" s="651"/>
      <c r="S244" s="652">
        <v>2255064</v>
      </c>
      <c r="T244" s="653">
        <v>518021</v>
      </c>
      <c r="U244" s="653">
        <v>2773086</v>
      </c>
    </row>
    <row r="245" spans="1:21" x14ac:dyDescent="0.25">
      <c r="A245" s="648">
        <v>92521</v>
      </c>
      <c r="B245" s="649" t="s">
        <v>2783</v>
      </c>
      <c r="C245" s="650">
        <v>8.9800000000000001E-5</v>
      </c>
      <c r="D245" s="650">
        <v>9.59E-5</v>
      </c>
      <c r="E245" s="651">
        <v>32294.23</v>
      </c>
      <c r="F245" s="651">
        <v>43039</v>
      </c>
      <c r="G245" s="651">
        <v>190586</v>
      </c>
      <c r="H245" s="651"/>
      <c r="I245" s="652">
        <v>3581</v>
      </c>
      <c r="J245" s="652">
        <v>167014</v>
      </c>
      <c r="K245" s="652">
        <v>13053</v>
      </c>
      <c r="L245" s="651">
        <v>4908</v>
      </c>
      <c r="M245" s="651"/>
      <c r="N245" s="652">
        <v>6678</v>
      </c>
      <c r="O245" s="652">
        <v>61644</v>
      </c>
      <c r="P245" s="652">
        <v>0</v>
      </c>
      <c r="Q245" s="651">
        <v>9965</v>
      </c>
      <c r="R245" s="651"/>
      <c r="S245" s="652">
        <v>50941</v>
      </c>
      <c r="T245" s="653">
        <v>-1566</v>
      </c>
      <c r="U245" s="653">
        <v>49374</v>
      </c>
    </row>
    <row r="246" spans="1:21" x14ac:dyDescent="0.25">
      <c r="A246" s="648">
        <v>92531</v>
      </c>
      <c r="B246" s="649" t="s">
        <v>2784</v>
      </c>
      <c r="C246" s="650">
        <v>8.3779999999999998E-4</v>
      </c>
      <c r="D246" s="650">
        <v>9.3610000000000004E-4</v>
      </c>
      <c r="E246" s="651">
        <v>310253</v>
      </c>
      <c r="F246" s="651">
        <v>420116</v>
      </c>
      <c r="G246" s="651">
        <v>1778092</v>
      </c>
      <c r="H246" s="651"/>
      <c r="I246" s="652">
        <v>33407</v>
      </c>
      <c r="J246" s="652">
        <v>1558176</v>
      </c>
      <c r="K246" s="652">
        <v>121783</v>
      </c>
      <c r="L246" s="651">
        <v>0</v>
      </c>
      <c r="M246" s="651"/>
      <c r="N246" s="652">
        <v>62306</v>
      </c>
      <c r="O246" s="652">
        <v>575115</v>
      </c>
      <c r="P246" s="652">
        <v>0</v>
      </c>
      <c r="Q246" s="651">
        <v>169554</v>
      </c>
      <c r="R246" s="651"/>
      <c r="S246" s="652">
        <v>475258</v>
      </c>
      <c r="T246" s="653">
        <v>-58220</v>
      </c>
      <c r="U246" s="653">
        <v>417038</v>
      </c>
    </row>
    <row r="247" spans="1:21" x14ac:dyDescent="0.25">
      <c r="A247" s="648">
        <v>92541</v>
      </c>
      <c r="B247" s="649" t="s">
        <v>2785</v>
      </c>
      <c r="C247" s="650">
        <v>1.4300000000000001E-4</v>
      </c>
      <c r="D247" s="650">
        <v>1.2679999999999999E-4</v>
      </c>
      <c r="E247" s="651">
        <v>54919</v>
      </c>
      <c r="F247" s="651">
        <v>56907</v>
      </c>
      <c r="G247" s="651">
        <v>303494</v>
      </c>
      <c r="H247" s="651"/>
      <c r="I247" s="652">
        <v>5702.125</v>
      </c>
      <c r="J247" s="652">
        <v>265957</v>
      </c>
      <c r="K247" s="652">
        <v>20787</v>
      </c>
      <c r="L247" s="651">
        <v>11874</v>
      </c>
      <c r="M247" s="651"/>
      <c r="N247" s="652">
        <v>10635</v>
      </c>
      <c r="O247" s="652">
        <v>98163</v>
      </c>
      <c r="P247" s="652">
        <v>0</v>
      </c>
      <c r="Q247" s="651">
        <v>3822</v>
      </c>
      <c r="R247" s="651"/>
      <c r="S247" s="652">
        <v>81119</v>
      </c>
      <c r="T247" s="653">
        <v>3227</v>
      </c>
      <c r="U247" s="653">
        <v>84346</v>
      </c>
    </row>
    <row r="248" spans="1:21" x14ac:dyDescent="0.25">
      <c r="A248" s="648">
        <v>92551</v>
      </c>
      <c r="B248" s="649" t="s">
        <v>2786</v>
      </c>
      <c r="C248" s="650">
        <v>4.18E-5</v>
      </c>
      <c r="D248" s="650">
        <v>5.4799999999999997E-5</v>
      </c>
      <c r="E248" s="651">
        <v>16805.93</v>
      </c>
      <c r="F248" s="651">
        <v>24594</v>
      </c>
      <c r="G248" s="651">
        <v>88714</v>
      </c>
      <c r="H248" s="651"/>
      <c r="I248" s="652">
        <v>1666.7750000000001</v>
      </c>
      <c r="J248" s="652">
        <v>77741</v>
      </c>
      <c r="K248" s="652">
        <v>6076</v>
      </c>
      <c r="L248" s="651">
        <v>6834</v>
      </c>
      <c r="M248" s="651"/>
      <c r="N248" s="652">
        <v>3109</v>
      </c>
      <c r="O248" s="652">
        <v>28694</v>
      </c>
      <c r="P248" s="652">
        <v>0</v>
      </c>
      <c r="Q248" s="651">
        <v>11864</v>
      </c>
      <c r="R248" s="651"/>
      <c r="S248" s="652">
        <v>23712</v>
      </c>
      <c r="T248" s="653">
        <v>-71</v>
      </c>
      <c r="U248" s="653">
        <v>23641</v>
      </c>
    </row>
    <row r="249" spans="1:21" x14ac:dyDescent="0.25">
      <c r="A249" s="648">
        <v>92561</v>
      </c>
      <c r="B249" s="649" t="s">
        <v>2787</v>
      </c>
      <c r="C249" s="650">
        <v>2.2900000000000001E-5</v>
      </c>
      <c r="D249" s="650">
        <v>2.1800000000000001E-5</v>
      </c>
      <c r="E249" s="651">
        <v>12865.05</v>
      </c>
      <c r="F249" s="651">
        <v>9784</v>
      </c>
      <c r="G249" s="651">
        <v>48601</v>
      </c>
      <c r="H249" s="651"/>
      <c r="I249" s="652">
        <v>913.13750000000005</v>
      </c>
      <c r="J249" s="652">
        <v>42590</v>
      </c>
      <c r="K249" s="652">
        <v>3329</v>
      </c>
      <c r="L249" s="651">
        <v>7071</v>
      </c>
      <c r="M249" s="651"/>
      <c r="N249" s="652">
        <v>1703</v>
      </c>
      <c r="O249" s="652">
        <v>15720</v>
      </c>
      <c r="P249" s="652">
        <v>0</v>
      </c>
      <c r="Q249" s="651">
        <v>0</v>
      </c>
      <c r="R249" s="651"/>
      <c r="S249" s="652">
        <v>12990</v>
      </c>
      <c r="T249" s="653">
        <v>2451</v>
      </c>
      <c r="U249" s="653">
        <v>15442</v>
      </c>
    </row>
    <row r="250" spans="1:21" x14ac:dyDescent="0.25">
      <c r="A250" s="648">
        <v>92571</v>
      </c>
      <c r="B250" s="649" t="s">
        <v>2788</v>
      </c>
      <c r="C250" s="650">
        <v>3.1E-6</v>
      </c>
      <c r="D250" s="650">
        <v>3.8E-6</v>
      </c>
      <c r="E250" s="651">
        <v>6093</v>
      </c>
      <c r="F250" s="651">
        <v>1705</v>
      </c>
      <c r="G250" s="651">
        <v>6579</v>
      </c>
      <c r="H250" s="651"/>
      <c r="I250" s="652">
        <v>123.6125</v>
      </c>
      <c r="J250" s="652">
        <v>5766</v>
      </c>
      <c r="K250" s="652">
        <v>451</v>
      </c>
      <c r="L250" s="651">
        <v>4439</v>
      </c>
      <c r="M250" s="651"/>
      <c r="N250" s="652">
        <v>231</v>
      </c>
      <c r="O250" s="652">
        <v>2128</v>
      </c>
      <c r="P250" s="652">
        <v>0</v>
      </c>
      <c r="Q250" s="651">
        <v>200.99</v>
      </c>
      <c r="R250" s="651"/>
      <c r="S250" s="652">
        <v>1759</v>
      </c>
      <c r="T250" s="653">
        <v>1144</v>
      </c>
      <c r="U250" s="653">
        <v>2902</v>
      </c>
    </row>
    <row r="251" spans="1:21" x14ac:dyDescent="0.25">
      <c r="A251" s="648">
        <v>92601</v>
      </c>
      <c r="B251" s="649" t="s">
        <v>2789</v>
      </c>
      <c r="C251" s="650">
        <v>1.54185E-2</v>
      </c>
      <c r="D251" s="650">
        <v>1.5052899999999999E-2</v>
      </c>
      <c r="E251" s="651">
        <v>6115436</v>
      </c>
      <c r="F251" s="651">
        <v>6755651</v>
      </c>
      <c r="G251" s="651">
        <v>32723222</v>
      </c>
      <c r="H251" s="651"/>
      <c r="I251" s="652">
        <v>614813</v>
      </c>
      <c r="J251" s="652">
        <v>28675974</v>
      </c>
      <c r="K251" s="652">
        <v>2241249</v>
      </c>
      <c r="L251" s="651">
        <v>258399</v>
      </c>
      <c r="M251" s="651"/>
      <c r="N251" s="652">
        <v>1146658</v>
      </c>
      <c r="O251" s="652">
        <v>10584153</v>
      </c>
      <c r="P251" s="652">
        <v>0</v>
      </c>
      <c r="Q251" s="651">
        <v>0</v>
      </c>
      <c r="R251" s="651"/>
      <c r="S251" s="652">
        <v>8746437</v>
      </c>
      <c r="T251" s="653">
        <v>123589</v>
      </c>
      <c r="U251" s="653">
        <v>8870026</v>
      </c>
    </row>
    <row r="252" spans="1:21" x14ac:dyDescent="0.25">
      <c r="A252" s="648">
        <v>92602</v>
      </c>
      <c r="B252" s="649" t="s">
        <v>2790</v>
      </c>
      <c r="C252" s="650">
        <v>8.1999999999999994E-6</v>
      </c>
      <c r="D252" s="650">
        <v>8.3999999999999992E-6</v>
      </c>
      <c r="E252" s="651">
        <v>3297.75</v>
      </c>
      <c r="F252" s="651">
        <v>3770</v>
      </c>
      <c r="G252" s="651">
        <v>17403</v>
      </c>
      <c r="H252" s="651"/>
      <c r="I252" s="652">
        <v>327</v>
      </c>
      <c r="J252" s="652">
        <v>15251</v>
      </c>
      <c r="K252" s="652">
        <v>1192</v>
      </c>
      <c r="L252" s="651">
        <v>708.44</v>
      </c>
      <c r="M252" s="651"/>
      <c r="N252" s="652">
        <v>610</v>
      </c>
      <c r="O252" s="652">
        <v>5629</v>
      </c>
      <c r="P252" s="652">
        <v>0</v>
      </c>
      <c r="Q252" s="651">
        <v>1260</v>
      </c>
      <c r="R252" s="651"/>
      <c r="S252" s="652">
        <v>4652</v>
      </c>
      <c r="T252" s="653">
        <v>-75</v>
      </c>
      <c r="U252" s="653">
        <v>4577</v>
      </c>
    </row>
    <row r="253" spans="1:21" x14ac:dyDescent="0.25">
      <c r="A253" s="648">
        <v>92604</v>
      </c>
      <c r="B253" s="649" t="s">
        <v>2791</v>
      </c>
      <c r="C253" s="650">
        <v>3.4380000000000001E-4</v>
      </c>
      <c r="D253" s="650">
        <v>3.2019999999999998E-4</v>
      </c>
      <c r="E253" s="651">
        <v>164086</v>
      </c>
      <c r="F253" s="651">
        <v>143704</v>
      </c>
      <c r="G253" s="651">
        <v>729659</v>
      </c>
      <c r="H253" s="651"/>
      <c r="I253" s="652">
        <v>13709</v>
      </c>
      <c r="J253" s="652">
        <v>639414</v>
      </c>
      <c r="K253" s="652">
        <v>49975</v>
      </c>
      <c r="L253" s="651">
        <v>56939</v>
      </c>
      <c r="M253" s="651"/>
      <c r="N253" s="652">
        <v>25568</v>
      </c>
      <c r="O253" s="652">
        <v>236004</v>
      </c>
      <c r="P253" s="652">
        <v>0</v>
      </c>
      <c r="Q253" s="651">
        <v>0</v>
      </c>
      <c r="R253" s="651"/>
      <c r="S253" s="652">
        <v>195027</v>
      </c>
      <c r="T253" s="653">
        <v>20016</v>
      </c>
      <c r="U253" s="653">
        <v>215043</v>
      </c>
    </row>
    <row r="254" spans="1:21" x14ac:dyDescent="0.25">
      <c r="A254" s="648">
        <v>92607</v>
      </c>
      <c r="B254" s="649" t="s">
        <v>2792</v>
      </c>
      <c r="C254" s="650">
        <v>7.0400000000000004E-5</v>
      </c>
      <c r="D254" s="650">
        <v>7.4099999999999999E-5</v>
      </c>
      <c r="E254" s="651">
        <v>34300</v>
      </c>
      <c r="F254" s="651">
        <v>33256</v>
      </c>
      <c r="G254" s="651">
        <v>149412</v>
      </c>
      <c r="H254" s="651"/>
      <c r="I254" s="652">
        <v>2807</v>
      </c>
      <c r="J254" s="652">
        <v>130933</v>
      </c>
      <c r="K254" s="652">
        <v>10233</v>
      </c>
      <c r="L254" s="651">
        <v>9606</v>
      </c>
      <c r="M254" s="651"/>
      <c r="N254" s="652">
        <v>5236</v>
      </c>
      <c r="O254" s="652">
        <v>48327</v>
      </c>
      <c r="P254" s="652">
        <v>0</v>
      </c>
      <c r="Q254" s="651">
        <v>0</v>
      </c>
      <c r="R254" s="651"/>
      <c r="S254" s="652">
        <v>39936</v>
      </c>
      <c r="T254" s="653">
        <v>3862</v>
      </c>
      <c r="U254" s="653">
        <v>43798</v>
      </c>
    </row>
    <row r="255" spans="1:21" x14ac:dyDescent="0.25">
      <c r="A255" s="648">
        <v>92608</v>
      </c>
      <c r="B255" s="649" t="s">
        <v>2793</v>
      </c>
      <c r="C255" s="650">
        <v>0</v>
      </c>
      <c r="D255" s="650">
        <v>0</v>
      </c>
      <c r="E255" s="651">
        <v>0</v>
      </c>
      <c r="F255" s="651">
        <v>0</v>
      </c>
      <c r="G255" s="651">
        <v>0</v>
      </c>
      <c r="H255" s="651"/>
      <c r="I255" s="652">
        <v>0</v>
      </c>
      <c r="J255" s="652">
        <v>0</v>
      </c>
      <c r="K255" s="652">
        <v>0</v>
      </c>
      <c r="L255" s="651">
        <v>0</v>
      </c>
      <c r="M255" s="651"/>
      <c r="N255" s="652">
        <v>0</v>
      </c>
      <c r="O255" s="652">
        <v>0</v>
      </c>
      <c r="P255" s="652">
        <v>0</v>
      </c>
      <c r="Q255" s="651">
        <v>139807</v>
      </c>
      <c r="R255" s="651"/>
      <c r="S255" s="652">
        <v>0</v>
      </c>
      <c r="T255" s="653">
        <v>-69872</v>
      </c>
      <c r="U255" s="653">
        <v>-69872</v>
      </c>
    </row>
    <row r="256" spans="1:21" x14ac:dyDescent="0.25">
      <c r="A256" s="648">
        <v>92611</v>
      </c>
      <c r="B256" s="649" t="s">
        <v>2794</v>
      </c>
      <c r="C256" s="650">
        <v>1.3650799999999999E-2</v>
      </c>
      <c r="D256" s="650">
        <v>1.3731999999999999E-2</v>
      </c>
      <c r="E256" s="651">
        <v>5062641</v>
      </c>
      <c r="F256" s="651">
        <v>6162839</v>
      </c>
      <c r="G256" s="651">
        <v>28971571</v>
      </c>
      <c r="H256" s="651"/>
      <c r="I256" s="652">
        <v>544325.65</v>
      </c>
      <c r="J256" s="652">
        <v>25388331</v>
      </c>
      <c r="K256" s="652">
        <v>1984294</v>
      </c>
      <c r="L256" s="651">
        <v>20320</v>
      </c>
      <c r="M256" s="651"/>
      <c r="N256" s="652">
        <v>1015196</v>
      </c>
      <c r="O256" s="652">
        <v>9370701</v>
      </c>
      <c r="P256" s="652">
        <v>0</v>
      </c>
      <c r="Q256" s="651">
        <v>707501</v>
      </c>
      <c r="R256" s="651"/>
      <c r="S256" s="652">
        <v>7743676</v>
      </c>
      <c r="T256" s="653">
        <v>-194650</v>
      </c>
      <c r="U256" s="653">
        <v>7549026</v>
      </c>
    </row>
    <row r="257" spans="1:21" x14ac:dyDescent="0.25">
      <c r="A257" s="648">
        <v>92613</v>
      </c>
      <c r="B257" s="649" t="s">
        <v>2795</v>
      </c>
      <c r="C257" s="650">
        <v>2.81E-4</v>
      </c>
      <c r="D257" s="650">
        <v>2.9250000000000001E-4</v>
      </c>
      <c r="E257" s="651">
        <v>141183</v>
      </c>
      <c r="F257" s="651">
        <v>131272</v>
      </c>
      <c r="G257" s="651">
        <v>596376</v>
      </c>
      <c r="H257" s="651"/>
      <c r="I257" s="652">
        <v>11204.875</v>
      </c>
      <c r="J257" s="652">
        <v>522616</v>
      </c>
      <c r="K257" s="652">
        <v>40846</v>
      </c>
      <c r="L257" s="651">
        <v>119119</v>
      </c>
      <c r="M257" s="651"/>
      <c r="N257" s="652">
        <v>20898</v>
      </c>
      <c r="O257" s="652">
        <v>192895</v>
      </c>
      <c r="P257" s="652">
        <v>0</v>
      </c>
      <c r="Q257" s="651">
        <v>1892</v>
      </c>
      <c r="R257" s="651"/>
      <c r="S257" s="652">
        <v>159403</v>
      </c>
      <c r="T257" s="653">
        <v>39940</v>
      </c>
      <c r="U257" s="653">
        <v>199343</v>
      </c>
    </row>
    <row r="258" spans="1:21" x14ac:dyDescent="0.25">
      <c r="A258" s="648">
        <v>92614</v>
      </c>
      <c r="B258" s="649" t="s">
        <v>2796</v>
      </c>
      <c r="C258" s="650">
        <v>5.6468000000000004E-3</v>
      </c>
      <c r="D258" s="650">
        <v>5.6173999999999998E-3</v>
      </c>
      <c r="E258" s="651">
        <v>4370417</v>
      </c>
      <c r="F258" s="651">
        <v>2521055</v>
      </c>
      <c r="G258" s="651">
        <v>11984401</v>
      </c>
      <c r="H258" s="651"/>
      <c r="I258" s="652">
        <v>225166</v>
      </c>
      <c r="J258" s="652">
        <v>10502156</v>
      </c>
      <c r="K258" s="652">
        <v>820824</v>
      </c>
      <c r="L258" s="651">
        <v>3097959</v>
      </c>
      <c r="M258" s="651"/>
      <c r="N258" s="652">
        <v>419947</v>
      </c>
      <c r="O258" s="652">
        <v>3876291</v>
      </c>
      <c r="P258" s="652">
        <v>0</v>
      </c>
      <c r="Q258" s="651">
        <v>0</v>
      </c>
      <c r="R258" s="651"/>
      <c r="S258" s="652">
        <v>3203255</v>
      </c>
      <c r="T258" s="653">
        <v>970834</v>
      </c>
      <c r="U258" s="653">
        <v>4174089</v>
      </c>
    </row>
    <row r="259" spans="1:21" x14ac:dyDescent="0.25">
      <c r="A259" s="648">
        <v>92621</v>
      </c>
      <c r="B259" s="649" t="s">
        <v>2797</v>
      </c>
      <c r="C259" s="650">
        <v>3.2799999999999998E-5</v>
      </c>
      <c r="D259" s="650">
        <v>3.3099999999999998E-5</v>
      </c>
      <c r="E259" s="651">
        <v>12384</v>
      </c>
      <c r="F259" s="651">
        <v>14855</v>
      </c>
      <c r="G259" s="651">
        <v>69613</v>
      </c>
      <c r="H259" s="651"/>
      <c r="I259" s="652">
        <v>1308</v>
      </c>
      <c r="J259" s="652">
        <v>61003</v>
      </c>
      <c r="K259" s="652">
        <v>4768</v>
      </c>
      <c r="L259" s="651">
        <v>1351</v>
      </c>
      <c r="M259" s="651"/>
      <c r="N259" s="652">
        <v>2439</v>
      </c>
      <c r="O259" s="652">
        <v>22516</v>
      </c>
      <c r="P259" s="652">
        <v>0</v>
      </c>
      <c r="Q259" s="651">
        <v>3050</v>
      </c>
      <c r="R259" s="651"/>
      <c r="S259" s="652">
        <v>18606</v>
      </c>
      <c r="T259" s="653">
        <v>-800</v>
      </c>
      <c r="U259" s="653">
        <v>17806</v>
      </c>
    </row>
    <row r="260" spans="1:21" x14ac:dyDescent="0.25">
      <c r="A260" s="648">
        <v>92631</v>
      </c>
      <c r="B260" s="649" t="s">
        <v>2798</v>
      </c>
      <c r="C260" s="650">
        <v>1.0068E-3</v>
      </c>
      <c r="D260" s="650">
        <v>1.0248E-3</v>
      </c>
      <c r="E260" s="651">
        <v>343817.77</v>
      </c>
      <c r="F260" s="651">
        <v>459924</v>
      </c>
      <c r="G260" s="651">
        <v>2136767</v>
      </c>
      <c r="H260" s="651"/>
      <c r="I260" s="652">
        <v>40146.15</v>
      </c>
      <c r="J260" s="652">
        <v>1872489</v>
      </c>
      <c r="K260" s="652">
        <v>146349</v>
      </c>
      <c r="L260" s="651">
        <v>0</v>
      </c>
      <c r="M260" s="651"/>
      <c r="N260" s="652">
        <v>74875</v>
      </c>
      <c r="O260" s="652">
        <v>691126</v>
      </c>
      <c r="P260" s="652">
        <v>0</v>
      </c>
      <c r="Q260" s="651">
        <v>101284</v>
      </c>
      <c r="R260" s="651"/>
      <c r="S260" s="652">
        <v>571126</v>
      </c>
      <c r="T260" s="653">
        <v>-30677</v>
      </c>
      <c r="U260" s="653">
        <v>540449</v>
      </c>
    </row>
    <row r="261" spans="1:21" x14ac:dyDescent="0.25">
      <c r="A261" s="648">
        <v>92641</v>
      </c>
      <c r="B261" s="649" t="s">
        <v>2799</v>
      </c>
      <c r="C261" s="650">
        <v>1.03E-5</v>
      </c>
      <c r="D261" s="650">
        <v>1.0699999999999999E-5</v>
      </c>
      <c r="E261" s="651">
        <v>4921.7</v>
      </c>
      <c r="F261" s="651">
        <v>4802</v>
      </c>
      <c r="G261" s="651">
        <v>21860</v>
      </c>
      <c r="H261" s="651"/>
      <c r="I261" s="652">
        <v>410.71249999999998</v>
      </c>
      <c r="J261" s="652">
        <v>19156</v>
      </c>
      <c r="K261" s="652">
        <v>1497</v>
      </c>
      <c r="L261" s="651">
        <v>2730</v>
      </c>
      <c r="M261" s="651"/>
      <c r="N261" s="652">
        <v>766</v>
      </c>
      <c r="O261" s="652">
        <v>7071</v>
      </c>
      <c r="P261" s="652">
        <v>0</v>
      </c>
      <c r="Q261" s="651">
        <v>1900</v>
      </c>
      <c r="R261" s="651"/>
      <c r="S261" s="652">
        <v>5843</v>
      </c>
      <c r="T261" s="653">
        <v>-18</v>
      </c>
      <c r="U261" s="653">
        <v>5825</v>
      </c>
    </row>
    <row r="262" spans="1:21" x14ac:dyDescent="0.25">
      <c r="A262" s="648">
        <v>92651</v>
      </c>
      <c r="B262" s="649" t="s">
        <v>2800</v>
      </c>
      <c r="C262" s="650">
        <v>2.6000000000000001E-6</v>
      </c>
      <c r="D262" s="650">
        <v>2.3999999999999999E-6</v>
      </c>
      <c r="E262" s="651">
        <v>2706.64</v>
      </c>
      <c r="F262" s="651">
        <v>1077</v>
      </c>
      <c r="G262" s="651">
        <v>5518</v>
      </c>
      <c r="H262" s="651"/>
      <c r="I262" s="652">
        <v>103.675</v>
      </c>
      <c r="J262" s="652">
        <v>4836</v>
      </c>
      <c r="K262" s="652">
        <v>378</v>
      </c>
      <c r="L262" s="651">
        <v>2819</v>
      </c>
      <c r="M262" s="651"/>
      <c r="N262" s="652">
        <v>193</v>
      </c>
      <c r="O262" s="652">
        <v>1785</v>
      </c>
      <c r="P262" s="652">
        <v>0</v>
      </c>
      <c r="Q262" s="651">
        <v>0</v>
      </c>
      <c r="R262" s="651"/>
      <c r="S262" s="652">
        <v>1475</v>
      </c>
      <c r="T262" s="653">
        <v>953</v>
      </c>
      <c r="U262" s="653">
        <v>2428</v>
      </c>
    </row>
    <row r="263" spans="1:21" x14ac:dyDescent="0.25">
      <c r="A263" s="648">
        <v>92661</v>
      </c>
      <c r="B263" s="649" t="s">
        <v>2801</v>
      </c>
      <c r="C263" s="650">
        <v>6.6299999999999996E-4</v>
      </c>
      <c r="D263" s="650">
        <v>6.7860000000000001E-4</v>
      </c>
      <c r="E263" s="651">
        <v>505438</v>
      </c>
      <c r="F263" s="651">
        <v>304552</v>
      </c>
      <c r="G263" s="651">
        <v>1407108</v>
      </c>
      <c r="H263" s="651"/>
      <c r="I263" s="652">
        <v>26437.125</v>
      </c>
      <c r="J263" s="652">
        <v>1233075</v>
      </c>
      <c r="K263" s="652">
        <v>96374</v>
      </c>
      <c r="L263" s="651">
        <v>293360</v>
      </c>
      <c r="M263" s="651"/>
      <c r="N263" s="652">
        <v>49307</v>
      </c>
      <c r="O263" s="652">
        <v>455122</v>
      </c>
      <c r="P263" s="652">
        <v>0</v>
      </c>
      <c r="Q263" s="651">
        <v>33924</v>
      </c>
      <c r="R263" s="651"/>
      <c r="S263" s="652">
        <v>376099</v>
      </c>
      <c r="T263" s="653">
        <v>70124</v>
      </c>
      <c r="U263" s="653">
        <v>446224</v>
      </c>
    </row>
    <row r="264" spans="1:21" x14ac:dyDescent="0.25">
      <c r="A264" s="648">
        <v>92671</v>
      </c>
      <c r="B264" s="649" t="s">
        <v>2802</v>
      </c>
      <c r="C264" s="650">
        <v>2.9000000000000002E-6</v>
      </c>
      <c r="D264" s="650">
        <v>3.4999999999999999E-6</v>
      </c>
      <c r="E264" s="651">
        <v>4773.75</v>
      </c>
      <c r="F264" s="651">
        <v>1571</v>
      </c>
      <c r="G264" s="651">
        <v>6155</v>
      </c>
      <c r="H264" s="651"/>
      <c r="I264" s="652">
        <v>115.6375</v>
      </c>
      <c r="J264" s="652">
        <v>5394</v>
      </c>
      <c r="K264" s="652">
        <v>422</v>
      </c>
      <c r="L264" s="651">
        <v>4608</v>
      </c>
      <c r="M264" s="651"/>
      <c r="N264" s="652">
        <v>216</v>
      </c>
      <c r="O264" s="652">
        <v>1991</v>
      </c>
      <c r="P264" s="652">
        <v>0</v>
      </c>
      <c r="Q264" s="651">
        <v>0</v>
      </c>
      <c r="R264" s="651"/>
      <c r="S264" s="652">
        <v>1645</v>
      </c>
      <c r="T264" s="653">
        <v>1438</v>
      </c>
      <c r="U264" s="653">
        <v>3083</v>
      </c>
    </row>
    <row r="265" spans="1:21" x14ac:dyDescent="0.25">
      <c r="A265" s="648">
        <v>92681</v>
      </c>
      <c r="B265" s="649" t="s">
        <v>2803</v>
      </c>
      <c r="C265" s="650">
        <v>1.01E-5</v>
      </c>
      <c r="D265" s="650">
        <v>5.4E-6</v>
      </c>
      <c r="E265" s="651">
        <v>9614</v>
      </c>
      <c r="F265" s="651">
        <v>2423</v>
      </c>
      <c r="G265" s="651">
        <v>21436</v>
      </c>
      <c r="H265" s="651"/>
      <c r="I265" s="652">
        <v>402.73750000000001</v>
      </c>
      <c r="J265" s="652">
        <v>18784</v>
      </c>
      <c r="K265" s="652">
        <v>1468</v>
      </c>
      <c r="L265" s="651">
        <v>11040</v>
      </c>
      <c r="M265" s="651"/>
      <c r="N265" s="652">
        <v>751</v>
      </c>
      <c r="O265" s="652">
        <v>6933</v>
      </c>
      <c r="P265" s="652">
        <v>0</v>
      </c>
      <c r="Q265" s="651">
        <v>0</v>
      </c>
      <c r="R265" s="651"/>
      <c r="S265" s="652">
        <v>5729</v>
      </c>
      <c r="T265" s="653">
        <v>3452</v>
      </c>
      <c r="U265" s="653">
        <v>9181</v>
      </c>
    </row>
    <row r="266" spans="1:21" x14ac:dyDescent="0.25">
      <c r="A266" s="648">
        <v>92701</v>
      </c>
      <c r="B266" s="649" t="s">
        <v>2804</v>
      </c>
      <c r="C266" s="650">
        <v>2.9588000000000001E-3</v>
      </c>
      <c r="D266" s="650">
        <v>2.8249999999999998E-3</v>
      </c>
      <c r="E266" s="651">
        <v>1147170.26</v>
      </c>
      <c r="F266" s="651">
        <v>1267843</v>
      </c>
      <c r="G266" s="651">
        <v>6279565</v>
      </c>
      <c r="H266" s="651"/>
      <c r="I266" s="652">
        <v>117982</v>
      </c>
      <c r="J266" s="652">
        <v>5502901</v>
      </c>
      <c r="K266" s="652">
        <v>430094</v>
      </c>
      <c r="L266" s="651">
        <v>17190</v>
      </c>
      <c r="M266" s="651"/>
      <c r="N266" s="652">
        <v>220043</v>
      </c>
      <c r="O266" s="652">
        <v>2031092</v>
      </c>
      <c r="P266" s="652">
        <v>0</v>
      </c>
      <c r="Q266" s="651">
        <v>81579</v>
      </c>
      <c r="R266" s="651"/>
      <c r="S266" s="652">
        <v>1678436</v>
      </c>
      <c r="T266" s="653">
        <v>-34202</v>
      </c>
      <c r="U266" s="653">
        <v>1644234</v>
      </c>
    </row>
    <row r="267" spans="1:21" x14ac:dyDescent="0.25">
      <c r="A267" s="648">
        <v>92704</v>
      </c>
      <c r="B267" s="649" t="s">
        <v>2805</v>
      </c>
      <c r="C267" s="650">
        <v>4.7700000000000001E-5</v>
      </c>
      <c r="D267" s="650">
        <v>4.8000000000000001E-5</v>
      </c>
      <c r="E267" s="651">
        <v>17416.48</v>
      </c>
      <c r="F267" s="651">
        <v>21542</v>
      </c>
      <c r="G267" s="651">
        <v>101235</v>
      </c>
      <c r="H267" s="651"/>
      <c r="I267" s="652">
        <v>1902</v>
      </c>
      <c r="J267" s="652">
        <v>88714</v>
      </c>
      <c r="K267" s="652">
        <v>6934</v>
      </c>
      <c r="L267" s="651">
        <v>2418</v>
      </c>
      <c r="M267" s="651"/>
      <c r="N267" s="652">
        <v>3547</v>
      </c>
      <c r="O267" s="652">
        <v>32744</v>
      </c>
      <c r="P267" s="652">
        <v>0</v>
      </c>
      <c r="Q267" s="651">
        <v>1922</v>
      </c>
      <c r="R267" s="651"/>
      <c r="S267" s="652">
        <v>27059</v>
      </c>
      <c r="T267" s="653">
        <v>357</v>
      </c>
      <c r="U267" s="653">
        <v>27415</v>
      </c>
    </row>
    <row r="268" spans="1:21" x14ac:dyDescent="0.25">
      <c r="A268" s="648">
        <v>92801</v>
      </c>
      <c r="B268" s="649" t="s">
        <v>2806</v>
      </c>
      <c r="C268" s="650">
        <v>5.1701000000000004E-3</v>
      </c>
      <c r="D268" s="650">
        <v>5.1633E-3</v>
      </c>
      <c r="E268" s="651">
        <v>2172949.21</v>
      </c>
      <c r="F268" s="651">
        <v>2317258</v>
      </c>
      <c r="G268" s="651">
        <v>10972684</v>
      </c>
      <c r="H268" s="651"/>
      <c r="I268" s="652">
        <v>206158</v>
      </c>
      <c r="J268" s="652">
        <v>9615569</v>
      </c>
      <c r="K268" s="652">
        <v>751531</v>
      </c>
      <c r="L268" s="651">
        <v>219271</v>
      </c>
      <c r="M268" s="651"/>
      <c r="N268" s="652">
        <v>384495</v>
      </c>
      <c r="O268" s="652">
        <v>3549057</v>
      </c>
      <c r="P268" s="652">
        <v>0</v>
      </c>
      <c r="Q268" s="651">
        <v>0</v>
      </c>
      <c r="R268" s="651"/>
      <c r="S268" s="652">
        <v>2932837</v>
      </c>
      <c r="T268" s="653">
        <v>78433</v>
      </c>
      <c r="U268" s="653">
        <v>3011270</v>
      </c>
    </row>
    <row r="269" spans="1:21" x14ac:dyDescent="0.25">
      <c r="A269" s="648">
        <v>92802</v>
      </c>
      <c r="B269" s="649" t="s">
        <v>2807</v>
      </c>
      <c r="C269" s="650">
        <v>1.3410000000000001E-4</v>
      </c>
      <c r="D269" s="650">
        <v>1.4359999999999999E-4</v>
      </c>
      <c r="E269" s="651">
        <v>49243.25</v>
      </c>
      <c r="F269" s="651">
        <v>64447</v>
      </c>
      <c r="G269" s="651">
        <v>284605</v>
      </c>
      <c r="H269" s="651"/>
      <c r="I269" s="652">
        <v>5347</v>
      </c>
      <c r="J269" s="652">
        <v>249405</v>
      </c>
      <c r="K269" s="652">
        <v>19493</v>
      </c>
      <c r="L269" s="651">
        <v>0</v>
      </c>
      <c r="M269" s="651"/>
      <c r="N269" s="652">
        <v>9973</v>
      </c>
      <c r="O269" s="652">
        <v>92054</v>
      </c>
      <c r="P269" s="652">
        <v>0</v>
      </c>
      <c r="Q269" s="651">
        <v>17052</v>
      </c>
      <c r="R269" s="651"/>
      <c r="S269" s="652">
        <v>76071</v>
      </c>
      <c r="T269" s="653">
        <v>-5458</v>
      </c>
      <c r="U269" s="653">
        <v>70613</v>
      </c>
    </row>
    <row r="270" spans="1:21" x14ac:dyDescent="0.25">
      <c r="A270" s="648">
        <v>92804</v>
      </c>
      <c r="B270" s="649" t="s">
        <v>2808</v>
      </c>
      <c r="C270" s="650">
        <v>1.47E-4</v>
      </c>
      <c r="D270" s="650">
        <v>1.217E-4</v>
      </c>
      <c r="E270" s="651">
        <v>50468.480000000003</v>
      </c>
      <c r="F270" s="651">
        <v>54618</v>
      </c>
      <c r="G270" s="651">
        <v>311983</v>
      </c>
      <c r="H270" s="651"/>
      <c r="I270" s="652">
        <v>5861.625</v>
      </c>
      <c r="J270" s="652">
        <v>273397</v>
      </c>
      <c r="K270" s="652">
        <v>21368</v>
      </c>
      <c r="L270" s="651">
        <v>12672</v>
      </c>
      <c r="M270" s="651"/>
      <c r="N270" s="652">
        <v>10932</v>
      </c>
      <c r="O270" s="652">
        <v>100909</v>
      </c>
      <c r="P270" s="652">
        <v>0</v>
      </c>
      <c r="Q270" s="651">
        <v>2663</v>
      </c>
      <c r="R270" s="651"/>
      <c r="S270" s="652">
        <v>83389</v>
      </c>
      <c r="T270" s="653">
        <v>2604</v>
      </c>
      <c r="U270" s="653">
        <v>85992</v>
      </c>
    </row>
    <row r="271" spans="1:21" x14ac:dyDescent="0.25">
      <c r="A271" s="648">
        <v>92811</v>
      </c>
      <c r="B271" s="649" t="s">
        <v>2809</v>
      </c>
      <c r="C271" s="650">
        <v>9.8569999999999994E-4</v>
      </c>
      <c r="D271" s="650">
        <v>1.1405E-3</v>
      </c>
      <c r="E271" s="651">
        <v>390969</v>
      </c>
      <c r="F271" s="651">
        <v>511850</v>
      </c>
      <c r="G271" s="651">
        <v>2091986</v>
      </c>
      <c r="H271" s="651"/>
      <c r="I271" s="652">
        <v>39305</v>
      </c>
      <c r="J271" s="652">
        <v>1833246</v>
      </c>
      <c r="K271" s="652">
        <v>143282</v>
      </c>
      <c r="L271" s="651">
        <v>0</v>
      </c>
      <c r="M271" s="651"/>
      <c r="N271" s="652">
        <v>73306</v>
      </c>
      <c r="O271" s="652">
        <v>676642</v>
      </c>
      <c r="P271" s="652">
        <v>0</v>
      </c>
      <c r="Q271" s="651">
        <v>118839</v>
      </c>
      <c r="R271" s="651"/>
      <c r="S271" s="652">
        <v>559157</v>
      </c>
      <c r="T271" s="653">
        <v>-36047</v>
      </c>
      <c r="U271" s="653">
        <v>523110</v>
      </c>
    </row>
    <row r="272" spans="1:21" x14ac:dyDescent="0.25">
      <c r="A272" s="648">
        <v>92821</v>
      </c>
      <c r="B272" s="649" t="s">
        <v>2810</v>
      </c>
      <c r="C272" s="650">
        <v>1.0139999999999999E-3</v>
      </c>
      <c r="D272" s="650">
        <v>9.8010000000000002E-4</v>
      </c>
      <c r="E272" s="651">
        <v>411903</v>
      </c>
      <c r="F272" s="651">
        <v>439863</v>
      </c>
      <c r="G272" s="651">
        <v>2152047.69</v>
      </c>
      <c r="H272" s="651"/>
      <c r="I272" s="652">
        <v>40433.25</v>
      </c>
      <c r="J272" s="652">
        <v>1885880</v>
      </c>
      <c r="K272" s="652">
        <v>147396</v>
      </c>
      <c r="L272" s="651">
        <v>27408</v>
      </c>
      <c r="M272" s="651"/>
      <c r="N272" s="652">
        <v>75410</v>
      </c>
      <c r="O272" s="652">
        <v>696068</v>
      </c>
      <c r="P272" s="652">
        <v>0</v>
      </c>
      <c r="Q272" s="651">
        <v>0</v>
      </c>
      <c r="R272" s="651"/>
      <c r="S272" s="652">
        <v>575211</v>
      </c>
      <c r="T272" s="653">
        <v>8904</v>
      </c>
      <c r="U272" s="653">
        <v>584115</v>
      </c>
    </row>
    <row r="273" spans="1:21" x14ac:dyDescent="0.25">
      <c r="A273" s="648">
        <v>92831</v>
      </c>
      <c r="B273" s="649" t="s">
        <v>2811</v>
      </c>
      <c r="C273" s="650">
        <v>2.476E-4</v>
      </c>
      <c r="D273" s="650">
        <v>2.4049999999999999E-4</v>
      </c>
      <c r="E273" s="651">
        <v>117070.46</v>
      </c>
      <c r="F273" s="651">
        <v>107935</v>
      </c>
      <c r="G273" s="651">
        <v>525490</v>
      </c>
      <c r="H273" s="651"/>
      <c r="I273" s="652">
        <v>9873</v>
      </c>
      <c r="J273" s="652">
        <v>460497</v>
      </c>
      <c r="K273" s="652">
        <v>35991</v>
      </c>
      <c r="L273" s="651">
        <v>29199</v>
      </c>
      <c r="M273" s="651"/>
      <c r="N273" s="652">
        <v>18414</v>
      </c>
      <c r="O273" s="652">
        <v>169967</v>
      </c>
      <c r="P273" s="652">
        <v>0</v>
      </c>
      <c r="Q273" s="651">
        <v>0</v>
      </c>
      <c r="R273" s="651"/>
      <c r="S273" s="652">
        <v>140456</v>
      </c>
      <c r="T273" s="653">
        <v>10043</v>
      </c>
      <c r="U273" s="653">
        <v>150499</v>
      </c>
    </row>
    <row r="274" spans="1:21" x14ac:dyDescent="0.25">
      <c r="A274" s="648">
        <v>92841</v>
      </c>
      <c r="B274" s="649" t="s">
        <v>2812</v>
      </c>
      <c r="C274" s="650">
        <v>2.8160000000000001E-4</v>
      </c>
      <c r="D274" s="650">
        <v>2.7070000000000002E-4</v>
      </c>
      <c r="E274" s="651">
        <v>105224</v>
      </c>
      <c r="F274" s="651">
        <v>121489</v>
      </c>
      <c r="G274" s="651">
        <v>597650</v>
      </c>
      <c r="H274" s="651"/>
      <c r="I274" s="652">
        <v>11229</v>
      </c>
      <c r="J274" s="652">
        <v>523732</v>
      </c>
      <c r="K274" s="652">
        <v>40934</v>
      </c>
      <c r="L274" s="651">
        <v>11701.2</v>
      </c>
      <c r="M274" s="651"/>
      <c r="N274" s="652">
        <v>20942</v>
      </c>
      <c r="O274" s="652">
        <v>193307</v>
      </c>
      <c r="P274" s="652">
        <v>0</v>
      </c>
      <c r="Q274" s="651">
        <v>3120</v>
      </c>
      <c r="R274" s="651"/>
      <c r="S274" s="652">
        <v>159743</v>
      </c>
      <c r="T274" s="653">
        <v>5013</v>
      </c>
      <c r="U274" s="653">
        <v>164756</v>
      </c>
    </row>
    <row r="275" spans="1:21" x14ac:dyDescent="0.25">
      <c r="A275" s="648">
        <v>92851</v>
      </c>
      <c r="B275" s="649" t="s">
        <v>2813</v>
      </c>
      <c r="C275" s="650">
        <v>4.3909999999999999E-4</v>
      </c>
      <c r="D275" s="650">
        <v>4.6690000000000002E-4</v>
      </c>
      <c r="E275" s="651">
        <v>157592</v>
      </c>
      <c r="F275" s="651">
        <v>209542</v>
      </c>
      <c r="G275" s="651">
        <v>931917</v>
      </c>
      <c r="H275" s="651"/>
      <c r="I275" s="652">
        <v>17509</v>
      </c>
      <c r="J275" s="652">
        <v>816657</v>
      </c>
      <c r="K275" s="652">
        <v>63828</v>
      </c>
      <c r="L275" s="651">
        <v>0</v>
      </c>
      <c r="M275" s="651"/>
      <c r="N275" s="652">
        <v>32655</v>
      </c>
      <c r="O275" s="652">
        <v>301424</v>
      </c>
      <c r="P275" s="652">
        <v>0</v>
      </c>
      <c r="Q275" s="651">
        <v>92000</v>
      </c>
      <c r="R275" s="651"/>
      <c r="S275" s="652">
        <v>249088</v>
      </c>
      <c r="T275" s="653">
        <v>-34292</v>
      </c>
      <c r="U275" s="653">
        <v>214796</v>
      </c>
    </row>
    <row r="276" spans="1:21" x14ac:dyDescent="0.25">
      <c r="A276" s="648">
        <v>92861</v>
      </c>
      <c r="B276" s="649" t="s">
        <v>2814</v>
      </c>
      <c r="C276" s="650">
        <v>3.3629999999999999E-4</v>
      </c>
      <c r="D276" s="650">
        <v>3.7750000000000001E-4</v>
      </c>
      <c r="E276" s="651">
        <v>101705</v>
      </c>
      <c r="F276" s="651">
        <v>169420</v>
      </c>
      <c r="G276" s="651">
        <v>713741</v>
      </c>
      <c r="H276" s="651"/>
      <c r="I276" s="652">
        <v>13410</v>
      </c>
      <c r="J276" s="652">
        <v>625465</v>
      </c>
      <c r="K276" s="652">
        <v>48885</v>
      </c>
      <c r="L276" s="651">
        <v>0</v>
      </c>
      <c r="M276" s="651"/>
      <c r="N276" s="652">
        <v>25010</v>
      </c>
      <c r="O276" s="652">
        <v>230856</v>
      </c>
      <c r="P276" s="652">
        <v>0</v>
      </c>
      <c r="Q276" s="651">
        <v>96581</v>
      </c>
      <c r="R276" s="651"/>
      <c r="S276" s="652">
        <v>190773</v>
      </c>
      <c r="T276" s="653">
        <v>-32224</v>
      </c>
      <c r="U276" s="653">
        <v>158549</v>
      </c>
    </row>
    <row r="277" spans="1:21" x14ac:dyDescent="0.25">
      <c r="A277" s="648">
        <v>92901</v>
      </c>
      <c r="B277" s="649" t="s">
        <v>2815</v>
      </c>
      <c r="C277" s="650">
        <v>5.7581000000000004E-3</v>
      </c>
      <c r="D277" s="650">
        <v>5.7428999999999996E-3</v>
      </c>
      <c r="E277" s="651">
        <v>2270581</v>
      </c>
      <c r="F277" s="651">
        <v>2577379</v>
      </c>
      <c r="G277" s="651">
        <v>12220617</v>
      </c>
      <c r="H277" s="651"/>
      <c r="I277" s="652">
        <v>229604</v>
      </c>
      <c r="J277" s="652">
        <v>10709156</v>
      </c>
      <c r="K277" s="652">
        <v>837003</v>
      </c>
      <c r="L277" s="651">
        <v>108561</v>
      </c>
      <c r="M277" s="651"/>
      <c r="N277" s="652">
        <v>428224</v>
      </c>
      <c r="O277" s="652">
        <v>3952694</v>
      </c>
      <c r="P277" s="652">
        <v>0</v>
      </c>
      <c r="Q277" s="651">
        <v>69123</v>
      </c>
      <c r="R277" s="651"/>
      <c r="S277" s="652">
        <v>3266392</v>
      </c>
      <c r="T277" s="653">
        <v>24956</v>
      </c>
      <c r="U277" s="653">
        <v>3291348</v>
      </c>
    </row>
    <row r="278" spans="1:21" x14ac:dyDescent="0.25">
      <c r="A278" s="648">
        <v>92911</v>
      </c>
      <c r="B278" s="649" t="s">
        <v>2816</v>
      </c>
      <c r="C278" s="650">
        <v>1.9442999999999999E-3</v>
      </c>
      <c r="D278" s="650">
        <v>2.0665000000000002E-3</v>
      </c>
      <c r="E278" s="651">
        <v>811710.22</v>
      </c>
      <c r="F278" s="651">
        <v>927433</v>
      </c>
      <c r="G278" s="651">
        <v>4126456</v>
      </c>
      <c r="H278" s="651"/>
      <c r="I278" s="652">
        <v>77529</v>
      </c>
      <c r="J278" s="652">
        <v>3616091</v>
      </c>
      <c r="K278" s="652">
        <v>282625</v>
      </c>
      <c r="L278" s="651">
        <v>0</v>
      </c>
      <c r="M278" s="651"/>
      <c r="N278" s="652">
        <v>144596</v>
      </c>
      <c r="O278" s="652">
        <v>1334680</v>
      </c>
      <c r="P278" s="652">
        <v>0</v>
      </c>
      <c r="Q278" s="651">
        <v>175676</v>
      </c>
      <c r="R278" s="651"/>
      <c r="S278" s="652">
        <v>1102941</v>
      </c>
      <c r="T278" s="653">
        <v>-62151</v>
      </c>
      <c r="U278" s="653">
        <v>1040790</v>
      </c>
    </row>
    <row r="279" spans="1:21" x14ac:dyDescent="0.25">
      <c r="A279" s="648">
        <v>92913</v>
      </c>
      <c r="B279" s="649" t="s">
        <v>2817</v>
      </c>
      <c r="C279" s="650">
        <v>2.37E-5</v>
      </c>
      <c r="D279" s="650">
        <v>2.97E-5</v>
      </c>
      <c r="E279" s="651">
        <v>56296.04</v>
      </c>
      <c r="F279" s="651">
        <v>13329</v>
      </c>
      <c r="G279" s="651">
        <v>50299</v>
      </c>
      <c r="H279" s="651"/>
      <c r="I279" s="652">
        <v>945.03750000000002</v>
      </c>
      <c r="J279" s="652">
        <v>44078</v>
      </c>
      <c r="K279" s="652">
        <v>3445</v>
      </c>
      <c r="L279" s="651">
        <v>60788</v>
      </c>
      <c r="M279" s="651"/>
      <c r="N279" s="652">
        <v>1763</v>
      </c>
      <c r="O279" s="652">
        <v>16269</v>
      </c>
      <c r="P279" s="652">
        <v>0</v>
      </c>
      <c r="Q279" s="651">
        <v>4115</v>
      </c>
      <c r="R279" s="651"/>
      <c r="S279" s="652">
        <v>13444</v>
      </c>
      <c r="T279" s="653">
        <v>16266</v>
      </c>
      <c r="U279" s="653">
        <v>29711</v>
      </c>
    </row>
    <row r="280" spans="1:21" x14ac:dyDescent="0.25">
      <c r="A280" s="648">
        <v>92917</v>
      </c>
      <c r="B280" s="649" t="s">
        <v>2818</v>
      </c>
      <c r="C280" s="650">
        <v>2.0000000000000002E-5</v>
      </c>
      <c r="D280" s="650">
        <v>1.9599999999999999E-5</v>
      </c>
      <c r="E280" s="651">
        <v>15742</v>
      </c>
      <c r="F280" s="651">
        <v>8796</v>
      </c>
      <c r="G280" s="651">
        <v>42447</v>
      </c>
      <c r="H280" s="651"/>
      <c r="I280" s="652">
        <v>798</v>
      </c>
      <c r="J280" s="652">
        <v>37197</v>
      </c>
      <c r="K280" s="652">
        <v>2907</v>
      </c>
      <c r="L280" s="651">
        <v>14645</v>
      </c>
      <c r="M280" s="651"/>
      <c r="N280" s="652">
        <v>1487.38</v>
      </c>
      <c r="O280" s="652">
        <v>13729</v>
      </c>
      <c r="P280" s="652">
        <v>0</v>
      </c>
      <c r="Q280" s="651">
        <v>0</v>
      </c>
      <c r="R280" s="651"/>
      <c r="S280" s="652">
        <v>11345</v>
      </c>
      <c r="T280" s="653">
        <v>5366</v>
      </c>
      <c r="U280" s="653">
        <v>16711</v>
      </c>
    </row>
    <row r="281" spans="1:21" x14ac:dyDescent="0.25">
      <c r="A281" s="648">
        <v>92921</v>
      </c>
      <c r="B281" s="649" t="s">
        <v>2819</v>
      </c>
      <c r="C281" s="650">
        <v>6.2899999999999997E-5</v>
      </c>
      <c r="D281" s="650">
        <v>8.1500000000000002E-5</v>
      </c>
      <c r="E281" s="651">
        <v>34231</v>
      </c>
      <c r="F281" s="651">
        <v>36577</v>
      </c>
      <c r="G281" s="651">
        <v>133495</v>
      </c>
      <c r="H281" s="651"/>
      <c r="I281" s="652">
        <v>2508</v>
      </c>
      <c r="J281" s="652">
        <v>116984</v>
      </c>
      <c r="K281" s="652">
        <v>9143</v>
      </c>
      <c r="L281" s="651">
        <v>0</v>
      </c>
      <c r="M281" s="651"/>
      <c r="N281" s="652">
        <v>4678</v>
      </c>
      <c r="O281" s="652">
        <v>43178</v>
      </c>
      <c r="P281" s="652">
        <v>0</v>
      </c>
      <c r="Q281" s="651">
        <v>14056</v>
      </c>
      <c r="R281" s="651"/>
      <c r="S281" s="652">
        <v>35681</v>
      </c>
      <c r="T281" s="653">
        <v>-6225</v>
      </c>
      <c r="U281" s="653">
        <v>29456</v>
      </c>
    </row>
    <row r="282" spans="1:21" x14ac:dyDescent="0.25">
      <c r="A282" s="648">
        <v>92931</v>
      </c>
      <c r="B282" s="649" t="s">
        <v>2820</v>
      </c>
      <c r="C282" s="650">
        <v>2.5048000000000002E-3</v>
      </c>
      <c r="D282" s="650">
        <v>2.5463E-3</v>
      </c>
      <c r="E282" s="651">
        <v>948741</v>
      </c>
      <c r="F282" s="651">
        <v>1142764</v>
      </c>
      <c r="G282" s="651">
        <v>5316025</v>
      </c>
      <c r="H282" s="651"/>
      <c r="I282" s="652">
        <v>99879</v>
      </c>
      <c r="J282" s="652">
        <v>4658532</v>
      </c>
      <c r="K282" s="652">
        <v>364100</v>
      </c>
      <c r="L282" s="651">
        <v>15520</v>
      </c>
      <c r="M282" s="651"/>
      <c r="N282" s="652">
        <v>186279</v>
      </c>
      <c r="O282" s="652">
        <v>1719440</v>
      </c>
      <c r="P282" s="652">
        <v>0</v>
      </c>
      <c r="Q282" s="651">
        <v>116480</v>
      </c>
      <c r="R282" s="651"/>
      <c r="S282" s="652">
        <v>1420895</v>
      </c>
      <c r="T282" s="653">
        <v>-25186</v>
      </c>
      <c r="U282" s="653">
        <v>1395710</v>
      </c>
    </row>
    <row r="283" spans="1:21" x14ac:dyDescent="0.25">
      <c r="A283" s="648">
        <v>92941</v>
      </c>
      <c r="B283" s="649" t="s">
        <v>1420</v>
      </c>
      <c r="C283" s="650">
        <v>1.84E-5</v>
      </c>
      <c r="D283" s="650">
        <v>1.5999999999999999E-5</v>
      </c>
      <c r="E283" s="651">
        <v>7190</v>
      </c>
      <c r="F283" s="651">
        <v>7181</v>
      </c>
      <c r="G283" s="651">
        <v>39051</v>
      </c>
      <c r="H283" s="651"/>
      <c r="I283" s="652">
        <v>733.7</v>
      </c>
      <c r="J283" s="652">
        <v>34221</v>
      </c>
      <c r="K283" s="652">
        <v>2675</v>
      </c>
      <c r="L283" s="651">
        <v>10216</v>
      </c>
      <c r="M283" s="651"/>
      <c r="N283" s="652">
        <v>1368</v>
      </c>
      <c r="O283" s="652">
        <v>12631</v>
      </c>
      <c r="P283" s="652">
        <v>0</v>
      </c>
      <c r="Q283" s="651">
        <v>0</v>
      </c>
      <c r="R283" s="651"/>
      <c r="S283" s="652">
        <v>10438</v>
      </c>
      <c r="T283" s="653">
        <v>3605</v>
      </c>
      <c r="U283" s="653">
        <v>14042</v>
      </c>
    </row>
    <row r="284" spans="1:21" x14ac:dyDescent="0.25">
      <c r="A284" s="648">
        <v>93001</v>
      </c>
      <c r="B284" s="649" t="s">
        <v>2821</v>
      </c>
      <c r="C284" s="650">
        <v>2.2739000000000001E-3</v>
      </c>
      <c r="D284" s="650">
        <v>2.2177999999999998E-3</v>
      </c>
      <c r="E284" s="651">
        <v>863907.18</v>
      </c>
      <c r="F284" s="651">
        <v>995335</v>
      </c>
      <c r="G284" s="651">
        <v>4825978</v>
      </c>
      <c r="H284" s="651"/>
      <c r="I284" s="652">
        <v>90672</v>
      </c>
      <c r="J284" s="652">
        <v>4229095</v>
      </c>
      <c r="K284" s="652">
        <v>330536</v>
      </c>
      <c r="L284" s="651">
        <v>13531</v>
      </c>
      <c r="M284" s="651"/>
      <c r="N284" s="652">
        <v>169108</v>
      </c>
      <c r="O284" s="652">
        <v>1560937</v>
      </c>
      <c r="P284" s="652">
        <v>0</v>
      </c>
      <c r="Q284" s="651">
        <v>103635</v>
      </c>
      <c r="R284" s="651"/>
      <c r="S284" s="652">
        <v>1289913</v>
      </c>
      <c r="T284" s="653">
        <v>-40908</v>
      </c>
      <c r="U284" s="653">
        <v>1249005</v>
      </c>
    </row>
    <row r="285" spans="1:21" x14ac:dyDescent="0.25">
      <c r="A285" s="648">
        <v>93009</v>
      </c>
      <c r="B285" s="649" t="s">
        <v>2822</v>
      </c>
      <c r="C285" s="650">
        <v>1.5400000000000002E-5</v>
      </c>
      <c r="D285" s="650">
        <v>1.6399999999999999E-5</v>
      </c>
      <c r="E285" s="651">
        <v>4865</v>
      </c>
      <c r="F285" s="651">
        <v>7360</v>
      </c>
      <c r="G285" s="651">
        <v>32684</v>
      </c>
      <c r="H285" s="651"/>
      <c r="I285" s="652">
        <v>614</v>
      </c>
      <c r="J285" s="652">
        <v>28642</v>
      </c>
      <c r="K285" s="652">
        <v>2239</v>
      </c>
      <c r="L285" s="651">
        <v>0</v>
      </c>
      <c r="M285" s="651"/>
      <c r="N285" s="652">
        <v>1145</v>
      </c>
      <c r="O285" s="652">
        <v>10571</v>
      </c>
      <c r="P285" s="652">
        <v>0</v>
      </c>
      <c r="Q285" s="651">
        <v>4210</v>
      </c>
      <c r="R285" s="651"/>
      <c r="S285" s="652">
        <v>8736</v>
      </c>
      <c r="T285" s="653">
        <v>-1521</v>
      </c>
      <c r="U285" s="653">
        <v>7215</v>
      </c>
    </row>
    <row r="286" spans="1:21" x14ac:dyDescent="0.25">
      <c r="A286" s="648">
        <v>93011</v>
      </c>
      <c r="B286" s="649" t="s">
        <v>2823</v>
      </c>
      <c r="C286" s="650">
        <v>2.6160000000000002E-4</v>
      </c>
      <c r="D286" s="650">
        <v>2.9179999999999999E-4</v>
      </c>
      <c r="E286" s="651">
        <v>124242</v>
      </c>
      <c r="F286" s="651">
        <v>130958</v>
      </c>
      <c r="G286" s="651">
        <v>555203</v>
      </c>
      <c r="H286" s="651"/>
      <c r="I286" s="652">
        <v>10431</v>
      </c>
      <c r="J286" s="652">
        <v>486535</v>
      </c>
      <c r="K286" s="652">
        <v>38026</v>
      </c>
      <c r="L286" s="651">
        <v>2390</v>
      </c>
      <c r="M286" s="651"/>
      <c r="N286" s="652">
        <v>19455</v>
      </c>
      <c r="O286" s="652">
        <v>179577</v>
      </c>
      <c r="P286" s="652">
        <v>0</v>
      </c>
      <c r="Q286" s="651">
        <v>5043</v>
      </c>
      <c r="R286" s="651"/>
      <c r="S286" s="652">
        <v>148398</v>
      </c>
      <c r="T286" s="653">
        <v>-926</v>
      </c>
      <c r="U286" s="653">
        <v>147472</v>
      </c>
    </row>
    <row r="287" spans="1:21" x14ac:dyDescent="0.25">
      <c r="A287" s="648">
        <v>93021</v>
      </c>
      <c r="B287" s="649" t="s">
        <v>2824</v>
      </c>
      <c r="C287" s="650">
        <v>2.8900000000000001E-5</v>
      </c>
      <c r="D287" s="650">
        <v>3.7200000000000003E-5</v>
      </c>
      <c r="E287" s="651">
        <v>9086</v>
      </c>
      <c r="F287" s="651">
        <v>16695</v>
      </c>
      <c r="G287" s="651">
        <v>61335</v>
      </c>
      <c r="H287" s="651"/>
      <c r="I287" s="652">
        <v>1152.3875</v>
      </c>
      <c r="J287" s="652">
        <v>53749</v>
      </c>
      <c r="K287" s="652">
        <v>4201</v>
      </c>
      <c r="L287" s="651">
        <v>4054</v>
      </c>
      <c r="M287" s="651"/>
      <c r="N287" s="652">
        <v>2149</v>
      </c>
      <c r="O287" s="652">
        <v>19839</v>
      </c>
      <c r="P287" s="652">
        <v>0</v>
      </c>
      <c r="Q287" s="651">
        <v>6719</v>
      </c>
      <c r="R287" s="651"/>
      <c r="S287" s="652">
        <v>16394</v>
      </c>
      <c r="T287" s="653">
        <v>-87</v>
      </c>
      <c r="U287" s="653">
        <v>16307</v>
      </c>
    </row>
    <row r="288" spans="1:21" x14ac:dyDescent="0.25">
      <c r="A288" s="648">
        <v>93027</v>
      </c>
      <c r="B288" s="649" t="s">
        <v>2825</v>
      </c>
      <c r="C288" s="650">
        <v>1.6699999999999999E-5</v>
      </c>
      <c r="D288" s="650">
        <v>1.49E-5</v>
      </c>
      <c r="E288" s="651">
        <v>6777</v>
      </c>
      <c r="F288" s="651">
        <v>6687</v>
      </c>
      <c r="G288" s="651">
        <v>35443</v>
      </c>
      <c r="H288" s="651"/>
      <c r="I288" s="652">
        <v>665.91250000000002</v>
      </c>
      <c r="J288" s="652">
        <v>31059</v>
      </c>
      <c r="K288" s="652">
        <v>2428</v>
      </c>
      <c r="L288" s="651">
        <v>903</v>
      </c>
      <c r="M288" s="651"/>
      <c r="N288" s="652">
        <v>1242</v>
      </c>
      <c r="O288" s="652">
        <v>11464</v>
      </c>
      <c r="P288" s="652">
        <v>0</v>
      </c>
      <c r="Q288" s="651">
        <v>1496</v>
      </c>
      <c r="R288" s="651"/>
      <c r="S288" s="652">
        <v>9473</v>
      </c>
      <c r="T288" s="653">
        <v>-429</v>
      </c>
      <c r="U288" s="653">
        <v>9045</v>
      </c>
    </row>
    <row r="289" spans="1:21" x14ac:dyDescent="0.25">
      <c r="A289" s="648">
        <v>93031</v>
      </c>
      <c r="B289" s="649" t="s">
        <v>2826</v>
      </c>
      <c r="C289" s="650">
        <v>2.2399999999999999E-5</v>
      </c>
      <c r="D289" s="650">
        <v>1.4399999999999999E-5</v>
      </c>
      <c r="E289" s="651">
        <v>20149</v>
      </c>
      <c r="F289" s="651">
        <v>6463</v>
      </c>
      <c r="G289" s="651">
        <v>47540</v>
      </c>
      <c r="H289" s="651"/>
      <c r="I289" s="652">
        <v>893</v>
      </c>
      <c r="J289" s="652">
        <v>41660</v>
      </c>
      <c r="K289" s="652">
        <v>3256</v>
      </c>
      <c r="L289" s="651">
        <v>15165</v>
      </c>
      <c r="M289" s="651"/>
      <c r="N289" s="652">
        <v>1666</v>
      </c>
      <c r="O289" s="652">
        <v>15377</v>
      </c>
      <c r="P289" s="652">
        <v>0</v>
      </c>
      <c r="Q289" s="651">
        <v>444</v>
      </c>
      <c r="R289" s="651"/>
      <c r="S289" s="652">
        <v>12707</v>
      </c>
      <c r="T289" s="653">
        <v>3911</v>
      </c>
      <c r="U289" s="653">
        <v>16617</v>
      </c>
    </row>
    <row r="290" spans="1:21" x14ac:dyDescent="0.25">
      <c r="A290" s="648">
        <v>93101</v>
      </c>
      <c r="B290" s="649" t="s">
        <v>2827</v>
      </c>
      <c r="C290" s="650">
        <v>3.5771000000000002E-3</v>
      </c>
      <c r="D290" s="650">
        <v>3.2972000000000001E-3</v>
      </c>
      <c r="E290" s="651">
        <v>1332692</v>
      </c>
      <c r="F290" s="651">
        <v>1479764</v>
      </c>
      <c r="G290" s="651">
        <v>7591805</v>
      </c>
      <c r="H290" s="651"/>
      <c r="I290" s="652">
        <v>142637</v>
      </c>
      <c r="J290" s="652">
        <v>6652841</v>
      </c>
      <c r="K290" s="652">
        <v>519971</v>
      </c>
      <c r="L290" s="651">
        <v>172542</v>
      </c>
      <c r="M290" s="651"/>
      <c r="N290" s="652">
        <v>266025</v>
      </c>
      <c r="O290" s="652">
        <v>2455529</v>
      </c>
      <c r="P290" s="652">
        <v>0</v>
      </c>
      <c r="Q290" s="651">
        <v>0</v>
      </c>
      <c r="R290" s="651"/>
      <c r="S290" s="652">
        <v>2029178</v>
      </c>
      <c r="T290" s="653">
        <v>68285</v>
      </c>
      <c r="U290" s="653">
        <v>2097463</v>
      </c>
    </row>
    <row r="291" spans="1:21" x14ac:dyDescent="0.25">
      <c r="A291" s="648">
        <v>93103</v>
      </c>
      <c r="B291" s="649" t="s">
        <v>2096</v>
      </c>
      <c r="C291" s="650">
        <v>1.7200000000000001E-5</v>
      </c>
      <c r="D291" s="650">
        <v>0</v>
      </c>
      <c r="E291" s="651">
        <v>5178.82</v>
      </c>
      <c r="F291" s="651">
        <v>0</v>
      </c>
      <c r="G291" s="651">
        <v>36504</v>
      </c>
      <c r="H291" s="651"/>
      <c r="I291" s="652">
        <v>685.85</v>
      </c>
      <c r="J291" s="652">
        <v>31989</v>
      </c>
      <c r="K291" s="652">
        <v>2500</v>
      </c>
      <c r="L291" s="651">
        <v>9253</v>
      </c>
      <c r="M291" s="651"/>
      <c r="N291" s="652">
        <v>1279</v>
      </c>
      <c r="O291" s="652">
        <v>11807</v>
      </c>
      <c r="P291" s="652">
        <v>0</v>
      </c>
      <c r="Q291" s="651">
        <v>0</v>
      </c>
      <c r="R291" s="651"/>
      <c r="S291" s="652">
        <v>9757</v>
      </c>
      <c r="T291" s="653">
        <v>2535</v>
      </c>
      <c r="U291" s="653">
        <v>12292</v>
      </c>
    </row>
    <row r="292" spans="1:21" x14ac:dyDescent="0.25">
      <c r="A292" s="648">
        <v>93108</v>
      </c>
      <c r="B292" s="649" t="s">
        <v>2828</v>
      </c>
      <c r="C292" s="650">
        <v>2.5661999999999998E-3</v>
      </c>
      <c r="D292" s="650">
        <v>2.4540999999999999E-3</v>
      </c>
      <c r="E292" s="651">
        <v>1060595</v>
      </c>
      <c r="F292" s="651">
        <v>1101385</v>
      </c>
      <c r="G292" s="651">
        <v>5446336</v>
      </c>
      <c r="H292" s="651"/>
      <c r="I292" s="652">
        <v>102327</v>
      </c>
      <c r="J292" s="652">
        <v>4772727</v>
      </c>
      <c r="K292" s="652">
        <v>373025</v>
      </c>
      <c r="L292" s="651">
        <v>417043</v>
      </c>
      <c r="M292" s="651"/>
      <c r="N292" s="652">
        <v>190846</v>
      </c>
      <c r="O292" s="652">
        <v>1761589</v>
      </c>
      <c r="P292" s="652">
        <v>0</v>
      </c>
      <c r="Q292" s="651">
        <v>0</v>
      </c>
      <c r="R292" s="651"/>
      <c r="S292" s="652">
        <v>1455726</v>
      </c>
      <c r="T292" s="653">
        <v>180256</v>
      </c>
      <c r="U292" s="653">
        <v>1635982</v>
      </c>
    </row>
    <row r="293" spans="1:21" x14ac:dyDescent="0.25">
      <c r="A293" s="648">
        <v>93111</v>
      </c>
      <c r="B293" s="649" t="s">
        <v>2829</v>
      </c>
      <c r="C293" s="650">
        <v>7.08E-5</v>
      </c>
      <c r="D293" s="650">
        <v>7.3700000000000002E-5</v>
      </c>
      <c r="E293" s="651">
        <v>24671.1</v>
      </c>
      <c r="F293" s="651">
        <v>33076</v>
      </c>
      <c r="G293" s="651">
        <v>150261</v>
      </c>
      <c r="H293" s="651"/>
      <c r="I293" s="652">
        <v>2823.15</v>
      </c>
      <c r="J293" s="652">
        <v>131677</v>
      </c>
      <c r="K293" s="652">
        <v>10292</v>
      </c>
      <c r="L293" s="651">
        <v>0</v>
      </c>
      <c r="M293" s="651"/>
      <c r="N293" s="652">
        <v>5265</v>
      </c>
      <c r="O293" s="652">
        <v>48601</v>
      </c>
      <c r="P293" s="652">
        <v>0</v>
      </c>
      <c r="Q293" s="651">
        <v>10981</v>
      </c>
      <c r="R293" s="651"/>
      <c r="S293" s="652">
        <v>40163</v>
      </c>
      <c r="T293" s="653">
        <v>-3536</v>
      </c>
      <c r="U293" s="653">
        <v>36626</v>
      </c>
    </row>
    <row r="294" spans="1:21" x14ac:dyDescent="0.25">
      <c r="A294" s="648">
        <v>93121</v>
      </c>
      <c r="B294" s="649" t="s">
        <v>2830</v>
      </c>
      <c r="C294" s="650">
        <v>5.8900000000000002E-5</v>
      </c>
      <c r="D294" s="650">
        <v>7.4900000000000005E-5</v>
      </c>
      <c r="E294" s="651">
        <v>22115</v>
      </c>
      <c r="F294" s="651">
        <v>33615</v>
      </c>
      <c r="G294" s="651">
        <v>125006</v>
      </c>
      <c r="H294" s="651"/>
      <c r="I294" s="652">
        <v>2349</v>
      </c>
      <c r="J294" s="652">
        <v>109545</v>
      </c>
      <c r="K294" s="652">
        <v>8562</v>
      </c>
      <c r="L294" s="651">
        <v>0</v>
      </c>
      <c r="M294" s="651"/>
      <c r="N294" s="652">
        <v>4380</v>
      </c>
      <c r="O294" s="652">
        <v>40432</v>
      </c>
      <c r="P294" s="652">
        <v>0</v>
      </c>
      <c r="Q294" s="651">
        <v>13122</v>
      </c>
      <c r="R294" s="651"/>
      <c r="S294" s="652">
        <v>33412</v>
      </c>
      <c r="T294" s="653">
        <v>-4063</v>
      </c>
      <c r="U294" s="653">
        <v>29349</v>
      </c>
    </row>
    <row r="295" spans="1:21" x14ac:dyDescent="0.25">
      <c r="A295" s="648">
        <v>93127</v>
      </c>
      <c r="B295" s="649" t="s">
        <v>2831</v>
      </c>
      <c r="C295" s="650">
        <v>6.8000000000000001E-6</v>
      </c>
      <c r="D295" s="650">
        <v>7.7999999999999999E-6</v>
      </c>
      <c r="E295" s="651">
        <v>2815</v>
      </c>
      <c r="F295" s="651">
        <v>3501</v>
      </c>
      <c r="G295" s="651">
        <v>14432</v>
      </c>
      <c r="H295" s="651"/>
      <c r="I295" s="652">
        <v>271</v>
      </c>
      <c r="J295" s="652">
        <v>12647</v>
      </c>
      <c r="K295" s="652">
        <v>988</v>
      </c>
      <c r="L295" s="651">
        <v>0</v>
      </c>
      <c r="M295" s="651"/>
      <c r="N295" s="652">
        <v>506</v>
      </c>
      <c r="O295" s="652">
        <v>4668</v>
      </c>
      <c r="P295" s="652">
        <v>0</v>
      </c>
      <c r="Q295" s="651">
        <v>1132</v>
      </c>
      <c r="R295" s="651"/>
      <c r="S295" s="652">
        <v>3857</v>
      </c>
      <c r="T295" s="653">
        <v>-400</v>
      </c>
      <c r="U295" s="653">
        <v>3457</v>
      </c>
    </row>
    <row r="296" spans="1:21" x14ac:dyDescent="0.25">
      <c r="A296" s="648">
        <v>93131</v>
      </c>
      <c r="B296" s="649" t="s">
        <v>2832</v>
      </c>
      <c r="C296" s="650">
        <v>2.3939999999999999E-4</v>
      </c>
      <c r="D296" s="650">
        <v>2.3680000000000001E-4</v>
      </c>
      <c r="E296" s="651">
        <v>88660</v>
      </c>
      <c r="F296" s="651">
        <v>106274</v>
      </c>
      <c r="G296" s="651">
        <v>508087</v>
      </c>
      <c r="H296" s="651"/>
      <c r="I296" s="652">
        <v>9546</v>
      </c>
      <c r="J296" s="652">
        <v>445246</v>
      </c>
      <c r="K296" s="652">
        <v>34799</v>
      </c>
      <c r="L296" s="651">
        <v>13305</v>
      </c>
      <c r="M296" s="651"/>
      <c r="N296" s="652">
        <v>17804</v>
      </c>
      <c r="O296" s="652">
        <v>164338</v>
      </c>
      <c r="P296" s="652">
        <v>0</v>
      </c>
      <c r="Q296" s="651">
        <v>6369</v>
      </c>
      <c r="R296" s="651"/>
      <c r="S296" s="652">
        <v>135804</v>
      </c>
      <c r="T296" s="653">
        <v>3767</v>
      </c>
      <c r="U296" s="653">
        <v>139571</v>
      </c>
    </row>
    <row r="297" spans="1:21" x14ac:dyDescent="0.25">
      <c r="A297" s="648">
        <v>93137</v>
      </c>
      <c r="B297" s="649" t="s">
        <v>2833</v>
      </c>
      <c r="C297" s="650">
        <v>1.9E-6</v>
      </c>
      <c r="D297" s="650">
        <v>2.0999999999999998E-6</v>
      </c>
      <c r="E297" s="651">
        <v>1987</v>
      </c>
      <c r="F297" s="651">
        <v>942</v>
      </c>
      <c r="G297" s="651">
        <v>4032</v>
      </c>
      <c r="H297" s="651"/>
      <c r="I297" s="652">
        <v>75.762500000000003</v>
      </c>
      <c r="J297" s="652">
        <v>3534</v>
      </c>
      <c r="K297" s="652">
        <v>276</v>
      </c>
      <c r="L297" s="651">
        <v>1359</v>
      </c>
      <c r="M297" s="651"/>
      <c r="N297" s="652">
        <v>141</v>
      </c>
      <c r="O297" s="652">
        <v>1304</v>
      </c>
      <c r="P297" s="652">
        <v>0</v>
      </c>
      <c r="Q297" s="651">
        <v>0</v>
      </c>
      <c r="R297" s="651"/>
      <c r="S297" s="652">
        <v>1078</v>
      </c>
      <c r="T297" s="653">
        <v>401</v>
      </c>
      <c r="U297" s="653">
        <v>1479</v>
      </c>
    </row>
    <row r="298" spans="1:21" x14ac:dyDescent="0.25">
      <c r="A298" s="648">
        <v>93141</v>
      </c>
      <c r="B298" s="649" t="s">
        <v>2834</v>
      </c>
      <c r="C298" s="650">
        <v>4.5500000000000001E-5</v>
      </c>
      <c r="D298" s="650">
        <v>4.3399999999999998E-5</v>
      </c>
      <c r="E298" s="651">
        <v>16495.23</v>
      </c>
      <c r="F298" s="651">
        <v>19478</v>
      </c>
      <c r="G298" s="651">
        <v>96566</v>
      </c>
      <c r="H298" s="651"/>
      <c r="I298" s="652">
        <v>1814.3125</v>
      </c>
      <c r="J298" s="652">
        <v>84623</v>
      </c>
      <c r="K298" s="652">
        <v>6614</v>
      </c>
      <c r="L298" s="651">
        <v>4186.96</v>
      </c>
      <c r="M298" s="651"/>
      <c r="N298" s="652">
        <v>3384</v>
      </c>
      <c r="O298" s="652">
        <v>31234</v>
      </c>
      <c r="P298" s="652">
        <v>0</v>
      </c>
      <c r="Q298" s="651">
        <v>3505</v>
      </c>
      <c r="R298" s="651"/>
      <c r="S298" s="652">
        <v>25811</v>
      </c>
      <c r="T298" s="653">
        <v>920</v>
      </c>
      <c r="U298" s="653">
        <v>26731</v>
      </c>
    </row>
    <row r="299" spans="1:21" x14ac:dyDescent="0.25">
      <c r="A299" s="648">
        <v>93151</v>
      </c>
      <c r="B299" s="649" t="s">
        <v>2835</v>
      </c>
      <c r="C299" s="650">
        <v>3.6539999999999999E-4</v>
      </c>
      <c r="D299" s="650">
        <v>3.524E-4</v>
      </c>
      <c r="E299" s="651">
        <v>137522.13</v>
      </c>
      <c r="F299" s="651">
        <v>158155</v>
      </c>
      <c r="G299" s="651">
        <v>775501</v>
      </c>
      <c r="H299" s="651"/>
      <c r="I299" s="652">
        <v>14570</v>
      </c>
      <c r="J299" s="652">
        <v>679586</v>
      </c>
      <c r="K299" s="652">
        <v>53115</v>
      </c>
      <c r="L299" s="651">
        <v>5881</v>
      </c>
      <c r="M299" s="651"/>
      <c r="N299" s="652">
        <v>27174</v>
      </c>
      <c r="O299" s="652">
        <v>250832</v>
      </c>
      <c r="P299" s="652">
        <v>0</v>
      </c>
      <c r="Q299" s="651">
        <v>6297</v>
      </c>
      <c r="R299" s="651"/>
      <c r="S299" s="652">
        <v>207280</v>
      </c>
      <c r="T299" s="653">
        <v>-329</v>
      </c>
      <c r="U299" s="653">
        <v>206951</v>
      </c>
    </row>
    <row r="300" spans="1:21" x14ac:dyDescent="0.25">
      <c r="A300" s="648">
        <v>93157</v>
      </c>
      <c r="B300" s="649" t="s">
        <v>2836</v>
      </c>
      <c r="C300" s="650">
        <v>3.8E-6</v>
      </c>
      <c r="D300" s="650">
        <v>2.3999999999999999E-6</v>
      </c>
      <c r="E300" s="651">
        <v>4368.87</v>
      </c>
      <c r="F300" s="651">
        <v>1077</v>
      </c>
      <c r="G300" s="651">
        <v>8065</v>
      </c>
      <c r="H300" s="651"/>
      <c r="I300" s="652">
        <v>151.52500000000001</v>
      </c>
      <c r="J300" s="652">
        <v>7067</v>
      </c>
      <c r="K300" s="652">
        <v>552</v>
      </c>
      <c r="L300" s="651">
        <v>5676</v>
      </c>
      <c r="M300" s="651"/>
      <c r="N300" s="652">
        <v>283</v>
      </c>
      <c r="O300" s="652">
        <v>2609</v>
      </c>
      <c r="P300" s="652">
        <v>0</v>
      </c>
      <c r="Q300" s="651">
        <v>526</v>
      </c>
      <c r="R300" s="651"/>
      <c r="S300" s="652">
        <v>2156</v>
      </c>
      <c r="T300" s="653">
        <v>1938</v>
      </c>
      <c r="U300" s="653">
        <v>4094</v>
      </c>
    </row>
    <row r="301" spans="1:21" x14ac:dyDescent="0.25">
      <c r="A301" s="648">
        <v>93161</v>
      </c>
      <c r="B301" s="649" t="s">
        <v>2837</v>
      </c>
      <c r="C301" s="650">
        <v>6.2500000000000001E-5</v>
      </c>
      <c r="D301" s="650">
        <v>7.4400000000000006E-5</v>
      </c>
      <c r="E301" s="651">
        <v>37835</v>
      </c>
      <c r="F301" s="651">
        <v>33390</v>
      </c>
      <c r="G301" s="651">
        <v>132646</v>
      </c>
      <c r="H301" s="651"/>
      <c r="I301" s="652">
        <v>2492.1875</v>
      </c>
      <c r="J301" s="652">
        <v>116240</v>
      </c>
      <c r="K301" s="652">
        <v>9085.0625</v>
      </c>
      <c r="L301" s="651">
        <v>14075</v>
      </c>
      <c r="M301" s="651"/>
      <c r="N301" s="652">
        <v>4648.0625</v>
      </c>
      <c r="O301" s="652">
        <v>42903.625</v>
      </c>
      <c r="P301" s="652">
        <v>0</v>
      </c>
      <c r="Q301" s="651">
        <v>0</v>
      </c>
      <c r="R301" s="651"/>
      <c r="S301" s="652">
        <v>35454</v>
      </c>
      <c r="T301" s="653">
        <v>6018</v>
      </c>
      <c r="U301" s="653">
        <v>41472</v>
      </c>
    </row>
    <row r="302" spans="1:21" x14ac:dyDescent="0.25">
      <c r="A302" s="648">
        <v>93171</v>
      </c>
      <c r="B302" s="649" t="s">
        <v>2838</v>
      </c>
      <c r="C302" s="650">
        <v>5.8000000000000004E-6</v>
      </c>
      <c r="D302" s="650">
        <v>6.1999999999999999E-6</v>
      </c>
      <c r="E302" s="651">
        <v>3824</v>
      </c>
      <c r="F302" s="651">
        <v>2783</v>
      </c>
      <c r="G302" s="651">
        <v>12310</v>
      </c>
      <c r="H302" s="651"/>
      <c r="I302" s="652">
        <v>231.27500000000001</v>
      </c>
      <c r="J302" s="652">
        <v>10787</v>
      </c>
      <c r="K302" s="652">
        <v>843</v>
      </c>
      <c r="L302" s="651">
        <v>1752</v>
      </c>
      <c r="M302" s="651"/>
      <c r="N302" s="652">
        <v>431</v>
      </c>
      <c r="O302" s="652">
        <v>3981</v>
      </c>
      <c r="P302" s="652">
        <v>0</v>
      </c>
      <c r="Q302" s="651">
        <v>0</v>
      </c>
      <c r="R302" s="651"/>
      <c r="S302" s="652">
        <v>3290</v>
      </c>
      <c r="T302" s="653">
        <v>591</v>
      </c>
      <c r="U302" s="653">
        <v>3881</v>
      </c>
    </row>
    <row r="303" spans="1:21" x14ac:dyDescent="0.25">
      <c r="A303" s="648">
        <v>93181</v>
      </c>
      <c r="B303" s="649" t="s">
        <v>2839</v>
      </c>
      <c r="C303" s="650">
        <v>1.1E-5</v>
      </c>
      <c r="D303" s="650">
        <v>1.0499999999999999E-5</v>
      </c>
      <c r="E303" s="651">
        <v>4374</v>
      </c>
      <c r="F303" s="651">
        <v>4712</v>
      </c>
      <c r="G303" s="651">
        <v>23346</v>
      </c>
      <c r="H303" s="651"/>
      <c r="I303" s="652">
        <v>438.625</v>
      </c>
      <c r="J303" s="652">
        <v>20458</v>
      </c>
      <c r="K303" s="652">
        <v>1599</v>
      </c>
      <c r="L303" s="651">
        <v>743</v>
      </c>
      <c r="M303" s="651"/>
      <c r="N303" s="652">
        <v>818</v>
      </c>
      <c r="O303" s="652">
        <v>7551</v>
      </c>
      <c r="P303" s="652">
        <v>0</v>
      </c>
      <c r="Q303" s="651">
        <v>44</v>
      </c>
      <c r="R303" s="651"/>
      <c r="S303" s="652">
        <v>6240</v>
      </c>
      <c r="T303" s="653">
        <v>321</v>
      </c>
      <c r="U303" s="653">
        <v>6561</v>
      </c>
    </row>
    <row r="304" spans="1:21" x14ac:dyDescent="0.25">
      <c r="A304" s="648">
        <v>93191</v>
      </c>
      <c r="B304" s="649" t="s">
        <v>2840</v>
      </c>
      <c r="C304" s="650">
        <v>3.3000000000000003E-5</v>
      </c>
      <c r="D304" s="650">
        <v>3.65E-5</v>
      </c>
      <c r="E304" s="651">
        <v>16020</v>
      </c>
      <c r="F304" s="651">
        <v>16381</v>
      </c>
      <c r="G304" s="651">
        <v>70037</v>
      </c>
      <c r="H304" s="651"/>
      <c r="I304" s="652">
        <v>1315.875</v>
      </c>
      <c r="J304" s="652">
        <v>61375</v>
      </c>
      <c r="K304" s="652">
        <v>4797</v>
      </c>
      <c r="L304" s="651">
        <v>2648</v>
      </c>
      <c r="M304" s="651"/>
      <c r="N304" s="652">
        <v>2454</v>
      </c>
      <c r="O304" s="652">
        <v>22653</v>
      </c>
      <c r="P304" s="652">
        <v>0</v>
      </c>
      <c r="Q304" s="651">
        <v>1301.46</v>
      </c>
      <c r="R304" s="651"/>
      <c r="S304" s="652">
        <v>18720</v>
      </c>
      <c r="T304" s="653">
        <v>280</v>
      </c>
      <c r="U304" s="653">
        <v>19000</v>
      </c>
    </row>
    <row r="305" spans="1:21" x14ac:dyDescent="0.25">
      <c r="A305" s="648">
        <v>93201</v>
      </c>
      <c r="B305" s="649" t="s">
        <v>2841</v>
      </c>
      <c r="C305" s="650">
        <v>1.5819699999999999E-2</v>
      </c>
      <c r="D305" s="650">
        <v>1.50364E-2</v>
      </c>
      <c r="E305" s="651">
        <v>6525567</v>
      </c>
      <c r="F305" s="651">
        <v>6748246</v>
      </c>
      <c r="G305" s="651">
        <v>33574703</v>
      </c>
      <c r="H305" s="651"/>
      <c r="I305" s="652">
        <v>630811</v>
      </c>
      <c r="J305" s="652">
        <v>29422142</v>
      </c>
      <c r="K305" s="652">
        <v>2299567</v>
      </c>
      <c r="L305" s="651">
        <v>1259115</v>
      </c>
      <c r="M305" s="651"/>
      <c r="N305" s="652">
        <v>1176495</v>
      </c>
      <c r="O305" s="652">
        <v>10859560</v>
      </c>
      <c r="P305" s="652">
        <v>0</v>
      </c>
      <c r="Q305" s="651">
        <v>0</v>
      </c>
      <c r="R305" s="651"/>
      <c r="S305" s="652">
        <v>8974025</v>
      </c>
      <c r="T305" s="653">
        <v>449569</v>
      </c>
      <c r="U305" s="653">
        <v>9423595</v>
      </c>
    </row>
    <row r="306" spans="1:21" x14ac:dyDescent="0.25">
      <c r="A306" s="648">
        <v>93202</v>
      </c>
      <c r="B306" s="649" t="s">
        <v>2842</v>
      </c>
      <c r="C306" s="650">
        <v>0</v>
      </c>
      <c r="D306" s="650">
        <v>2.076E-4</v>
      </c>
      <c r="E306" s="651">
        <v>0</v>
      </c>
      <c r="F306" s="651">
        <v>93170</v>
      </c>
      <c r="G306" s="651">
        <v>0</v>
      </c>
      <c r="H306" s="651"/>
      <c r="I306" s="652">
        <v>0</v>
      </c>
      <c r="J306" s="652">
        <v>0</v>
      </c>
      <c r="K306" s="652">
        <v>0</v>
      </c>
      <c r="L306" s="651">
        <v>0</v>
      </c>
      <c r="M306" s="651"/>
      <c r="N306" s="652">
        <v>0</v>
      </c>
      <c r="O306" s="652">
        <v>0</v>
      </c>
      <c r="P306" s="652">
        <v>0</v>
      </c>
      <c r="Q306" s="651">
        <v>322063</v>
      </c>
      <c r="R306" s="651"/>
      <c r="S306" s="652">
        <v>0</v>
      </c>
      <c r="T306" s="653">
        <v>-109544</v>
      </c>
      <c r="U306" s="653">
        <v>-109544</v>
      </c>
    </row>
    <row r="307" spans="1:21" x14ac:dyDescent="0.25">
      <c r="A307" s="648">
        <v>93204</v>
      </c>
      <c r="B307" s="649" t="s">
        <v>2843</v>
      </c>
      <c r="C307" s="650">
        <v>2.9480000000000001E-4</v>
      </c>
      <c r="D307" s="650">
        <v>3.168E-4</v>
      </c>
      <c r="E307" s="651">
        <v>128269</v>
      </c>
      <c r="F307" s="651">
        <v>142178</v>
      </c>
      <c r="G307" s="651">
        <v>625664</v>
      </c>
      <c r="H307" s="651"/>
      <c r="I307" s="652">
        <v>11755.15</v>
      </c>
      <c r="J307" s="652">
        <v>548281</v>
      </c>
      <c r="K307" s="652">
        <v>42852</v>
      </c>
      <c r="L307" s="651">
        <v>6159</v>
      </c>
      <c r="M307" s="651"/>
      <c r="N307" s="652">
        <v>21924</v>
      </c>
      <c r="O307" s="652">
        <v>202368</v>
      </c>
      <c r="P307" s="652">
        <v>0</v>
      </c>
      <c r="Q307" s="651">
        <v>15903</v>
      </c>
      <c r="R307" s="651"/>
      <c r="S307" s="652">
        <v>167231</v>
      </c>
      <c r="T307" s="653">
        <v>-4266</v>
      </c>
      <c r="U307" s="653">
        <v>162965</v>
      </c>
    </row>
    <row r="308" spans="1:21" x14ac:dyDescent="0.25">
      <c r="A308" s="648">
        <v>93209</v>
      </c>
      <c r="B308" s="649" t="s">
        <v>2844</v>
      </c>
      <c r="C308" s="650">
        <v>4.5113999999999996E-3</v>
      </c>
      <c r="D308" s="650">
        <v>3.4578999999999999E-3</v>
      </c>
      <c r="E308" s="651">
        <v>1625225.44</v>
      </c>
      <c r="F308" s="651">
        <v>1551885</v>
      </c>
      <c r="G308" s="651">
        <v>9574702</v>
      </c>
      <c r="H308" s="651"/>
      <c r="I308" s="652">
        <v>179892</v>
      </c>
      <c r="J308" s="652">
        <v>8390491</v>
      </c>
      <c r="K308" s="652">
        <v>655782</v>
      </c>
      <c r="L308" s="651">
        <v>1306118</v>
      </c>
      <c r="M308" s="651"/>
      <c r="N308" s="652">
        <v>335508</v>
      </c>
      <c r="O308" s="652">
        <v>3096887</v>
      </c>
      <c r="P308" s="652">
        <v>0</v>
      </c>
      <c r="Q308" s="651">
        <v>0</v>
      </c>
      <c r="R308" s="651"/>
      <c r="S308" s="652">
        <v>2559177</v>
      </c>
      <c r="T308" s="653">
        <v>534418</v>
      </c>
      <c r="U308" s="653">
        <v>3093596</v>
      </c>
    </row>
    <row r="309" spans="1:21" x14ac:dyDescent="0.25">
      <c r="A309" s="648">
        <v>93211</v>
      </c>
      <c r="B309" s="649" t="s">
        <v>2845</v>
      </c>
      <c r="C309" s="650">
        <v>2.0456800000000001E-2</v>
      </c>
      <c r="D309" s="650">
        <v>2.1372599999999999E-2</v>
      </c>
      <c r="E309" s="651">
        <v>8152807</v>
      </c>
      <c r="F309" s="651">
        <v>9591895</v>
      </c>
      <c r="G309" s="651">
        <v>43416183</v>
      </c>
      <c r="H309" s="651"/>
      <c r="I309" s="652">
        <v>815714.9</v>
      </c>
      <c r="J309" s="652">
        <v>38046416</v>
      </c>
      <c r="K309" s="652">
        <v>2973621</v>
      </c>
      <c r="L309" s="651">
        <v>0</v>
      </c>
      <c r="M309" s="651"/>
      <c r="N309" s="652">
        <v>1521352</v>
      </c>
      <c r="O309" s="652">
        <v>14042734</v>
      </c>
      <c r="P309" s="652">
        <v>0</v>
      </c>
      <c r="Q309" s="651">
        <v>1405603</v>
      </c>
      <c r="R309" s="651"/>
      <c r="S309" s="652">
        <v>11604508</v>
      </c>
      <c r="T309" s="653">
        <v>-488705</v>
      </c>
      <c r="U309" s="653">
        <v>11115804</v>
      </c>
    </row>
    <row r="310" spans="1:21" x14ac:dyDescent="0.25">
      <c r="A310" s="648">
        <v>93212</v>
      </c>
      <c r="B310" s="649" t="s">
        <v>2846</v>
      </c>
      <c r="C310" s="650">
        <v>2.052E-4</v>
      </c>
      <c r="D310" s="650">
        <v>2.129E-4</v>
      </c>
      <c r="E310" s="651">
        <v>169265.99</v>
      </c>
      <c r="F310" s="651">
        <v>95548</v>
      </c>
      <c r="G310" s="651">
        <v>435503</v>
      </c>
      <c r="H310" s="651"/>
      <c r="I310" s="652">
        <v>8182.35</v>
      </c>
      <c r="J310" s="652">
        <v>381640</v>
      </c>
      <c r="K310" s="652">
        <v>29828</v>
      </c>
      <c r="L310" s="651">
        <v>106395</v>
      </c>
      <c r="M310" s="651"/>
      <c r="N310" s="652">
        <v>15261</v>
      </c>
      <c r="O310" s="652">
        <v>140861</v>
      </c>
      <c r="P310" s="652">
        <v>0</v>
      </c>
      <c r="Q310" s="651">
        <v>0</v>
      </c>
      <c r="R310" s="651"/>
      <c r="S310" s="652">
        <v>116404</v>
      </c>
      <c r="T310" s="653">
        <v>32351</v>
      </c>
      <c r="U310" s="653">
        <v>148755</v>
      </c>
    </row>
    <row r="311" spans="1:21" x14ac:dyDescent="0.25">
      <c r="A311" s="648">
        <v>93219</v>
      </c>
      <c r="B311" s="649" t="s">
        <v>2847</v>
      </c>
      <c r="C311" s="650">
        <v>2.286E-4</v>
      </c>
      <c r="D311" s="650">
        <v>2.41E-4</v>
      </c>
      <c r="E311" s="651">
        <v>96646.59</v>
      </c>
      <c r="F311" s="651">
        <v>108159</v>
      </c>
      <c r="G311" s="651">
        <v>485166</v>
      </c>
      <c r="H311" s="651"/>
      <c r="I311" s="652">
        <v>9115</v>
      </c>
      <c r="J311" s="652">
        <v>425160</v>
      </c>
      <c r="K311" s="652">
        <v>33230</v>
      </c>
      <c r="L311" s="651">
        <v>243</v>
      </c>
      <c r="M311" s="651"/>
      <c r="N311" s="652">
        <v>17001</v>
      </c>
      <c r="O311" s="652">
        <v>156924</v>
      </c>
      <c r="P311" s="652">
        <v>0</v>
      </c>
      <c r="Q311" s="651">
        <v>13406</v>
      </c>
      <c r="R311" s="651"/>
      <c r="S311" s="652">
        <v>129678</v>
      </c>
      <c r="T311" s="653">
        <v>-4190</v>
      </c>
      <c r="U311" s="653">
        <v>125487</v>
      </c>
    </row>
    <row r="312" spans="1:21" x14ac:dyDescent="0.25">
      <c r="A312" s="648">
        <v>93301</v>
      </c>
      <c r="B312" s="649" t="s">
        <v>2848</v>
      </c>
      <c r="C312" s="650">
        <v>2.5330999999999999E-3</v>
      </c>
      <c r="D312" s="650">
        <v>2.4084000000000002E-3</v>
      </c>
      <c r="E312" s="651">
        <v>1037164.56</v>
      </c>
      <c r="F312" s="651">
        <v>1080875</v>
      </c>
      <c r="G312" s="651">
        <v>5376087</v>
      </c>
      <c r="H312" s="651"/>
      <c r="I312" s="652">
        <v>101007</v>
      </c>
      <c r="J312" s="652">
        <v>4711166</v>
      </c>
      <c r="K312" s="652">
        <v>368214</v>
      </c>
      <c r="L312" s="651">
        <v>63934</v>
      </c>
      <c r="M312" s="651"/>
      <c r="N312" s="652">
        <v>188384</v>
      </c>
      <c r="O312" s="652">
        <v>1738867</v>
      </c>
      <c r="P312" s="652">
        <v>0</v>
      </c>
      <c r="Q312" s="651">
        <v>85549</v>
      </c>
      <c r="R312" s="651"/>
      <c r="S312" s="652">
        <v>1436949</v>
      </c>
      <c r="T312" s="653">
        <v>-17290</v>
      </c>
      <c r="U312" s="653">
        <v>1419659</v>
      </c>
    </row>
    <row r="313" spans="1:21" x14ac:dyDescent="0.25">
      <c r="A313" s="648">
        <v>93304</v>
      </c>
      <c r="B313" s="649" t="s">
        <v>2849</v>
      </c>
      <c r="C313" s="650">
        <v>3.4400000000000003E-5</v>
      </c>
      <c r="D313" s="650">
        <v>3.3399999999999999E-5</v>
      </c>
      <c r="E313" s="651">
        <v>16339</v>
      </c>
      <c r="F313" s="651">
        <v>14990</v>
      </c>
      <c r="G313" s="651">
        <v>73008</v>
      </c>
      <c r="H313" s="651"/>
      <c r="I313" s="652">
        <v>1371.7</v>
      </c>
      <c r="J313" s="652">
        <v>63979</v>
      </c>
      <c r="K313" s="652">
        <v>5000</v>
      </c>
      <c r="L313" s="651">
        <v>13604</v>
      </c>
      <c r="M313" s="651"/>
      <c r="N313" s="652">
        <v>2558</v>
      </c>
      <c r="O313" s="652">
        <v>23614</v>
      </c>
      <c r="P313" s="652">
        <v>0</v>
      </c>
      <c r="Q313" s="651">
        <v>0</v>
      </c>
      <c r="R313" s="651"/>
      <c r="S313" s="652">
        <v>19514</v>
      </c>
      <c r="T313" s="653">
        <v>4940</v>
      </c>
      <c r="U313" s="653">
        <v>24454</v>
      </c>
    </row>
    <row r="314" spans="1:21" x14ac:dyDescent="0.25">
      <c r="A314" s="648">
        <v>93305</v>
      </c>
      <c r="B314" s="649" t="s">
        <v>2850</v>
      </c>
      <c r="C314" s="650">
        <v>4.9400000000000001E-5</v>
      </c>
      <c r="D314" s="650">
        <v>5.13E-5</v>
      </c>
      <c r="E314" s="651">
        <v>18489</v>
      </c>
      <c r="F314" s="651">
        <v>23023</v>
      </c>
      <c r="G314" s="651">
        <v>104843</v>
      </c>
      <c r="H314" s="651"/>
      <c r="I314" s="652">
        <v>1969.825</v>
      </c>
      <c r="J314" s="652">
        <v>91876</v>
      </c>
      <c r="K314" s="652">
        <v>7181</v>
      </c>
      <c r="L314" s="651">
        <v>0</v>
      </c>
      <c r="M314" s="651"/>
      <c r="N314" s="652">
        <v>3674</v>
      </c>
      <c r="O314" s="652">
        <v>33911</v>
      </c>
      <c r="P314" s="652">
        <v>0</v>
      </c>
      <c r="Q314" s="651">
        <v>3536</v>
      </c>
      <c r="R314" s="651"/>
      <c r="S314" s="652">
        <v>28023</v>
      </c>
      <c r="T314" s="653">
        <v>-1124</v>
      </c>
      <c r="U314" s="653">
        <v>26899</v>
      </c>
    </row>
    <row r="315" spans="1:21" x14ac:dyDescent="0.25">
      <c r="A315" s="648">
        <v>93309</v>
      </c>
      <c r="B315" s="649" t="s">
        <v>2851</v>
      </c>
      <c r="C315" s="650">
        <v>1.716E-4</v>
      </c>
      <c r="D315" s="650">
        <v>1.5359999999999999E-4</v>
      </c>
      <c r="E315" s="651">
        <v>79731.47</v>
      </c>
      <c r="F315" s="651">
        <v>68935</v>
      </c>
      <c r="G315" s="651">
        <v>364193</v>
      </c>
      <c r="H315" s="651"/>
      <c r="I315" s="652">
        <v>6842.55</v>
      </c>
      <c r="J315" s="652">
        <v>319149</v>
      </c>
      <c r="K315" s="652">
        <v>24944</v>
      </c>
      <c r="L315" s="651">
        <v>23583</v>
      </c>
      <c r="M315" s="651"/>
      <c r="N315" s="652">
        <v>12762</v>
      </c>
      <c r="O315" s="652">
        <v>117796</v>
      </c>
      <c r="P315" s="652">
        <v>0</v>
      </c>
      <c r="Q315" s="651">
        <v>1972</v>
      </c>
      <c r="R315" s="651"/>
      <c r="S315" s="652">
        <v>97343</v>
      </c>
      <c r="T315" s="653">
        <v>5745</v>
      </c>
      <c r="U315" s="653">
        <v>103088</v>
      </c>
    </row>
    <row r="316" spans="1:21" x14ac:dyDescent="0.25">
      <c r="A316" s="648">
        <v>93311</v>
      </c>
      <c r="B316" s="649" t="s">
        <v>2852</v>
      </c>
      <c r="C316" s="650">
        <v>1.1567000000000001E-3</v>
      </c>
      <c r="D316" s="650">
        <v>1.2727000000000001E-3</v>
      </c>
      <c r="E316" s="651">
        <v>452858.55</v>
      </c>
      <c r="F316" s="651">
        <v>571180</v>
      </c>
      <c r="G316" s="651">
        <v>2454905</v>
      </c>
      <c r="H316" s="651"/>
      <c r="I316" s="652">
        <v>46123</v>
      </c>
      <c r="J316" s="652">
        <v>2151279</v>
      </c>
      <c r="K316" s="652">
        <v>168139</v>
      </c>
      <c r="L316" s="651">
        <v>0</v>
      </c>
      <c r="M316" s="651"/>
      <c r="N316" s="652">
        <v>86023</v>
      </c>
      <c r="O316" s="652">
        <v>794026</v>
      </c>
      <c r="P316" s="652">
        <v>0</v>
      </c>
      <c r="Q316" s="651">
        <v>121847</v>
      </c>
      <c r="R316" s="651"/>
      <c r="S316" s="652">
        <v>656160</v>
      </c>
      <c r="T316" s="653">
        <v>-38102</v>
      </c>
      <c r="U316" s="653">
        <v>618058</v>
      </c>
    </row>
    <row r="317" spans="1:21" x14ac:dyDescent="0.25">
      <c r="A317" s="648">
        <v>93317</v>
      </c>
      <c r="B317" s="649" t="s">
        <v>2853</v>
      </c>
      <c r="C317" s="650">
        <v>4.8099999999999997E-5</v>
      </c>
      <c r="D317" s="650">
        <v>4.6600000000000001E-5</v>
      </c>
      <c r="E317" s="651">
        <v>19409</v>
      </c>
      <c r="F317" s="651">
        <v>20914</v>
      </c>
      <c r="G317" s="651">
        <v>102084</v>
      </c>
      <c r="H317" s="651"/>
      <c r="I317" s="652">
        <v>1918</v>
      </c>
      <c r="J317" s="652">
        <v>89458</v>
      </c>
      <c r="K317" s="652">
        <v>6992</v>
      </c>
      <c r="L317" s="651">
        <v>606</v>
      </c>
      <c r="M317" s="651"/>
      <c r="N317" s="652">
        <v>3577</v>
      </c>
      <c r="O317" s="652">
        <v>33019</v>
      </c>
      <c r="P317" s="652">
        <v>0</v>
      </c>
      <c r="Q317" s="651">
        <v>557</v>
      </c>
      <c r="R317" s="651"/>
      <c r="S317" s="652">
        <v>27286</v>
      </c>
      <c r="T317" s="653">
        <v>-115</v>
      </c>
      <c r="U317" s="653">
        <v>27171</v>
      </c>
    </row>
    <row r="318" spans="1:21" x14ac:dyDescent="0.25">
      <c r="A318" s="648">
        <v>93321</v>
      </c>
      <c r="B318" s="649" t="s">
        <v>2854</v>
      </c>
      <c r="C318" s="650">
        <v>7.4706E-3</v>
      </c>
      <c r="D318" s="650">
        <v>7.7070000000000003E-3</v>
      </c>
      <c r="E318" s="651">
        <v>2840093.51</v>
      </c>
      <c r="F318" s="651">
        <v>3458855</v>
      </c>
      <c r="G318" s="651">
        <v>15855116</v>
      </c>
      <c r="H318" s="651"/>
      <c r="I318" s="652">
        <v>297890</v>
      </c>
      <c r="J318" s="652">
        <v>13894136</v>
      </c>
      <c r="K318" s="652">
        <v>1085934</v>
      </c>
      <c r="L318" s="651">
        <v>0</v>
      </c>
      <c r="M318" s="651"/>
      <c r="N318" s="652">
        <v>555581</v>
      </c>
      <c r="O318" s="652">
        <v>5128253</v>
      </c>
      <c r="P318" s="652">
        <v>0</v>
      </c>
      <c r="Q318" s="651">
        <v>746070</v>
      </c>
      <c r="R318" s="651"/>
      <c r="S318" s="652">
        <v>4237840</v>
      </c>
      <c r="T318" s="653">
        <v>-276901</v>
      </c>
      <c r="U318" s="653">
        <v>3960939</v>
      </c>
    </row>
    <row r="319" spans="1:21" x14ac:dyDescent="0.25">
      <c r="A319" s="648">
        <v>93323</v>
      </c>
      <c r="B319" s="649" t="s">
        <v>2855</v>
      </c>
      <c r="C319" s="650">
        <v>1.0200000000000001E-5</v>
      </c>
      <c r="D319" s="650">
        <v>1.4600000000000001E-5</v>
      </c>
      <c r="E319" s="651">
        <v>5325.71</v>
      </c>
      <c r="F319" s="651">
        <v>6552</v>
      </c>
      <c r="G319" s="651">
        <v>21648</v>
      </c>
      <c r="H319" s="651"/>
      <c r="I319" s="652">
        <v>406.72500000000002</v>
      </c>
      <c r="J319" s="652">
        <v>18970</v>
      </c>
      <c r="K319" s="652">
        <v>1483</v>
      </c>
      <c r="L319" s="651">
        <v>2836</v>
      </c>
      <c r="M319" s="651"/>
      <c r="N319" s="652">
        <v>759</v>
      </c>
      <c r="O319" s="652">
        <v>7002</v>
      </c>
      <c r="P319" s="652">
        <v>0</v>
      </c>
      <c r="Q319" s="651">
        <v>1485</v>
      </c>
      <c r="R319" s="651"/>
      <c r="S319" s="652">
        <v>5786</v>
      </c>
      <c r="T319" s="653">
        <v>784</v>
      </c>
      <c r="U319" s="653">
        <v>6570</v>
      </c>
    </row>
    <row r="320" spans="1:21" x14ac:dyDescent="0.25">
      <c r="A320" s="648">
        <v>93331</v>
      </c>
      <c r="B320" s="649" t="s">
        <v>2856</v>
      </c>
      <c r="C320" s="650">
        <v>1.3090000000000001E-4</v>
      </c>
      <c r="D320" s="650">
        <v>1.1909999999999999E-4</v>
      </c>
      <c r="E320" s="651">
        <v>46762.55</v>
      </c>
      <c r="F320" s="651">
        <v>53451</v>
      </c>
      <c r="G320" s="651">
        <v>277814</v>
      </c>
      <c r="H320" s="651"/>
      <c r="I320" s="652">
        <v>5220</v>
      </c>
      <c r="J320" s="652">
        <v>243453</v>
      </c>
      <c r="K320" s="652">
        <v>19028</v>
      </c>
      <c r="L320" s="651">
        <v>4668</v>
      </c>
      <c r="M320" s="651"/>
      <c r="N320" s="652">
        <v>9735</v>
      </c>
      <c r="O320" s="652">
        <v>89857</v>
      </c>
      <c r="P320" s="652">
        <v>0</v>
      </c>
      <c r="Q320" s="651">
        <v>9208</v>
      </c>
      <c r="R320" s="651"/>
      <c r="S320" s="652">
        <v>74256</v>
      </c>
      <c r="T320" s="653">
        <v>-1109</v>
      </c>
      <c r="U320" s="653">
        <v>73147</v>
      </c>
    </row>
    <row r="321" spans="1:21" x14ac:dyDescent="0.25">
      <c r="A321" s="648">
        <v>93333</v>
      </c>
      <c r="B321" s="649" t="s">
        <v>2857</v>
      </c>
      <c r="C321" s="650">
        <v>1.9990000000000001E-4</v>
      </c>
      <c r="D321" s="650">
        <v>2.1479999999999999E-4</v>
      </c>
      <c r="E321" s="651">
        <v>201284.12</v>
      </c>
      <c r="F321" s="651">
        <v>96401</v>
      </c>
      <c r="G321" s="651">
        <v>424255</v>
      </c>
      <c r="H321" s="651"/>
      <c r="I321" s="652">
        <v>7971</v>
      </c>
      <c r="J321" s="652">
        <v>371782</v>
      </c>
      <c r="K321" s="652">
        <v>29058</v>
      </c>
      <c r="L321" s="651">
        <v>178353</v>
      </c>
      <c r="M321" s="651"/>
      <c r="N321" s="652">
        <v>14866</v>
      </c>
      <c r="O321" s="652">
        <v>137223</v>
      </c>
      <c r="P321" s="652">
        <v>0</v>
      </c>
      <c r="Q321" s="651">
        <v>0</v>
      </c>
      <c r="R321" s="651"/>
      <c r="S321" s="652">
        <v>113397</v>
      </c>
      <c r="T321" s="653">
        <v>56479</v>
      </c>
      <c r="U321" s="653">
        <v>169876</v>
      </c>
    </row>
    <row r="322" spans="1:21" x14ac:dyDescent="0.25">
      <c r="A322" s="648">
        <v>93341</v>
      </c>
      <c r="B322" s="649" t="s">
        <v>2858</v>
      </c>
      <c r="C322" s="650">
        <v>2.73E-5</v>
      </c>
      <c r="D322" s="650">
        <v>2.6699999999999998E-5</v>
      </c>
      <c r="E322" s="651">
        <v>12881</v>
      </c>
      <c r="F322" s="651">
        <v>11983</v>
      </c>
      <c r="G322" s="651">
        <v>57940</v>
      </c>
      <c r="H322" s="651"/>
      <c r="I322" s="652">
        <v>1089</v>
      </c>
      <c r="J322" s="652">
        <v>50774</v>
      </c>
      <c r="K322" s="652">
        <v>3968</v>
      </c>
      <c r="L322" s="651">
        <v>2789</v>
      </c>
      <c r="M322" s="651"/>
      <c r="N322" s="652">
        <v>2030</v>
      </c>
      <c r="O322" s="652">
        <v>18740</v>
      </c>
      <c r="P322" s="652">
        <v>0</v>
      </c>
      <c r="Q322" s="651">
        <v>0</v>
      </c>
      <c r="R322" s="651"/>
      <c r="S322" s="652">
        <v>15486</v>
      </c>
      <c r="T322" s="653">
        <v>923</v>
      </c>
      <c r="U322" s="653">
        <v>16410</v>
      </c>
    </row>
    <row r="323" spans="1:21" x14ac:dyDescent="0.25">
      <c r="A323" s="648">
        <v>93351</v>
      </c>
      <c r="B323" s="649" t="s">
        <v>2859</v>
      </c>
      <c r="C323" s="650">
        <v>1.5999999999999999E-5</v>
      </c>
      <c r="D323" s="650">
        <v>5.4999999999999999E-6</v>
      </c>
      <c r="E323" s="651">
        <v>10006.02</v>
      </c>
      <c r="F323" s="651">
        <v>2468</v>
      </c>
      <c r="G323" s="651">
        <v>33957.360000000001</v>
      </c>
      <c r="H323" s="651"/>
      <c r="I323" s="652">
        <v>638</v>
      </c>
      <c r="J323" s="652">
        <v>29757</v>
      </c>
      <c r="K323" s="652">
        <v>2326</v>
      </c>
      <c r="L323" s="651">
        <v>8409</v>
      </c>
      <c r="M323" s="651"/>
      <c r="N323" s="652">
        <v>1190</v>
      </c>
      <c r="O323" s="652">
        <v>10983</v>
      </c>
      <c r="P323" s="652">
        <v>0</v>
      </c>
      <c r="Q323" s="651">
        <v>6601</v>
      </c>
      <c r="R323" s="651"/>
      <c r="S323" s="652">
        <v>9076</v>
      </c>
      <c r="T323" s="653">
        <v>-253</v>
      </c>
      <c r="U323" s="653">
        <v>8823</v>
      </c>
    </row>
    <row r="324" spans="1:21" x14ac:dyDescent="0.25">
      <c r="A324" s="648">
        <v>93401</v>
      </c>
      <c r="B324" s="649" t="s">
        <v>2860</v>
      </c>
      <c r="C324" s="650">
        <v>1.37997E-2</v>
      </c>
      <c r="D324" s="650">
        <v>1.4001899999999999E-2</v>
      </c>
      <c r="E324" s="651">
        <v>5646375</v>
      </c>
      <c r="F324" s="651">
        <v>6283969</v>
      </c>
      <c r="G324" s="651">
        <v>29287586</v>
      </c>
      <c r="H324" s="651"/>
      <c r="I324" s="652">
        <v>550263</v>
      </c>
      <c r="J324" s="652">
        <v>25665262</v>
      </c>
      <c r="K324" s="652">
        <v>2005938</v>
      </c>
      <c r="L324" s="651">
        <v>111475</v>
      </c>
      <c r="M324" s="651"/>
      <c r="N324" s="652">
        <v>1026270</v>
      </c>
      <c r="O324" s="652">
        <v>9472914</v>
      </c>
      <c r="P324" s="652">
        <v>0</v>
      </c>
      <c r="Q324" s="651">
        <v>309143</v>
      </c>
      <c r="R324" s="651"/>
      <c r="S324" s="652">
        <v>7828142</v>
      </c>
      <c r="T324" s="653">
        <v>-83612</v>
      </c>
      <c r="U324" s="653">
        <v>7744530</v>
      </c>
    </row>
    <row r="325" spans="1:21" x14ac:dyDescent="0.25">
      <c r="A325" s="648">
        <v>93402</v>
      </c>
      <c r="B325" s="649" t="s">
        <v>2861</v>
      </c>
      <c r="C325" s="650">
        <v>9.2999999999999997E-5</v>
      </c>
      <c r="D325" s="650">
        <v>9.4400000000000004E-5</v>
      </c>
      <c r="E325" s="651">
        <v>35918</v>
      </c>
      <c r="F325" s="651">
        <v>42366</v>
      </c>
      <c r="G325" s="651">
        <v>197377</v>
      </c>
      <c r="H325" s="651"/>
      <c r="I325" s="652">
        <v>3708.375</v>
      </c>
      <c r="J325" s="652">
        <v>172965</v>
      </c>
      <c r="K325" s="652">
        <v>13519</v>
      </c>
      <c r="L325" s="651">
        <v>9628</v>
      </c>
      <c r="M325" s="651"/>
      <c r="N325" s="652">
        <v>6916</v>
      </c>
      <c r="O325" s="652">
        <v>63841</v>
      </c>
      <c r="P325" s="652">
        <v>0</v>
      </c>
      <c r="Q325" s="651">
        <v>2607</v>
      </c>
      <c r="R325" s="651"/>
      <c r="S325" s="652">
        <v>52756</v>
      </c>
      <c r="T325" s="653">
        <v>3407</v>
      </c>
      <c r="U325" s="653">
        <v>56163</v>
      </c>
    </row>
    <row r="326" spans="1:21" x14ac:dyDescent="0.25">
      <c r="A326" s="648">
        <v>93406</v>
      </c>
      <c r="B326" s="649" t="s">
        <v>2862</v>
      </c>
      <c r="C326" s="650">
        <v>7.1170000000000001E-4</v>
      </c>
      <c r="D326" s="650">
        <v>7.0850000000000004E-4</v>
      </c>
      <c r="E326" s="651">
        <v>298926.93</v>
      </c>
      <c r="F326" s="651">
        <v>317971</v>
      </c>
      <c r="G326" s="651">
        <v>1510466</v>
      </c>
      <c r="H326" s="651"/>
      <c r="I326" s="652">
        <v>28379</v>
      </c>
      <c r="J326" s="652">
        <v>1323650</v>
      </c>
      <c r="K326" s="652">
        <v>103453</v>
      </c>
      <c r="L326" s="651">
        <v>45100</v>
      </c>
      <c r="M326" s="651"/>
      <c r="N326" s="652">
        <v>52928</v>
      </c>
      <c r="O326" s="652">
        <v>488552</v>
      </c>
      <c r="P326" s="652">
        <v>0</v>
      </c>
      <c r="Q326" s="651">
        <v>0</v>
      </c>
      <c r="R326" s="651"/>
      <c r="S326" s="652">
        <v>403725</v>
      </c>
      <c r="T326" s="653">
        <v>19044</v>
      </c>
      <c r="U326" s="653">
        <v>422769</v>
      </c>
    </row>
    <row r="327" spans="1:21" x14ac:dyDescent="0.25">
      <c r="A327" s="648">
        <v>93408</v>
      </c>
      <c r="B327" s="649" t="s">
        <v>2863</v>
      </c>
      <c r="C327" s="650">
        <v>1.8967999999999999E-3</v>
      </c>
      <c r="D327" s="650">
        <v>1.7309000000000001E-3</v>
      </c>
      <c r="E327" s="651">
        <v>0</v>
      </c>
      <c r="F327" s="651">
        <v>776818</v>
      </c>
      <c r="G327" s="651">
        <v>4025645</v>
      </c>
      <c r="H327" s="651"/>
      <c r="I327" s="652">
        <v>75635</v>
      </c>
      <c r="J327" s="652">
        <v>3527748</v>
      </c>
      <c r="K327" s="652">
        <v>275721</v>
      </c>
      <c r="L327" s="651">
        <v>321789</v>
      </c>
      <c r="M327" s="651"/>
      <c r="N327" s="652">
        <v>141063</v>
      </c>
      <c r="O327" s="652">
        <v>1302074</v>
      </c>
      <c r="P327" s="652">
        <v>0</v>
      </c>
      <c r="Q327" s="651">
        <v>529672</v>
      </c>
      <c r="R327" s="651"/>
      <c r="S327" s="652">
        <v>1075996</v>
      </c>
      <c r="T327" s="653">
        <v>10994</v>
      </c>
      <c r="U327" s="653">
        <v>1086990</v>
      </c>
    </row>
    <row r="328" spans="1:21" x14ac:dyDescent="0.25">
      <c r="A328" s="648">
        <v>93411</v>
      </c>
      <c r="B328" s="649" t="s">
        <v>2864</v>
      </c>
      <c r="C328" s="650">
        <v>1.73309E-2</v>
      </c>
      <c r="D328" s="650">
        <v>1.8002500000000001E-2</v>
      </c>
      <c r="E328" s="651">
        <v>7066227</v>
      </c>
      <c r="F328" s="651">
        <v>8079414</v>
      </c>
      <c r="G328" s="651">
        <v>36781976</v>
      </c>
      <c r="H328" s="651"/>
      <c r="I328" s="652">
        <v>691070</v>
      </c>
      <c r="J328" s="652">
        <v>32232736</v>
      </c>
      <c r="K328" s="652">
        <v>2519237</v>
      </c>
      <c r="L328" s="651">
        <v>0</v>
      </c>
      <c r="M328" s="651"/>
      <c r="N328" s="652">
        <v>1288882</v>
      </c>
      <c r="O328" s="652">
        <v>11896935</v>
      </c>
      <c r="P328" s="652">
        <v>0</v>
      </c>
      <c r="Q328" s="651">
        <v>963900</v>
      </c>
      <c r="R328" s="651"/>
      <c r="S328" s="652">
        <v>9831282</v>
      </c>
      <c r="T328" s="653">
        <v>-369146</v>
      </c>
      <c r="U328" s="653">
        <v>9462137</v>
      </c>
    </row>
    <row r="329" spans="1:21" x14ac:dyDescent="0.25">
      <c r="A329" s="648">
        <v>93413</v>
      </c>
      <c r="B329" s="649" t="s">
        <v>2865</v>
      </c>
      <c r="C329" s="650">
        <v>8.0130000000000002E-4</v>
      </c>
      <c r="D329" s="650">
        <v>8.6039999999999999E-4</v>
      </c>
      <c r="E329" s="651">
        <v>344103.62</v>
      </c>
      <c r="F329" s="651">
        <v>386142</v>
      </c>
      <c r="G329" s="651">
        <v>1700627</v>
      </c>
      <c r="H329" s="651"/>
      <c r="I329" s="652">
        <v>31952</v>
      </c>
      <c r="J329" s="652">
        <v>1490291</v>
      </c>
      <c r="K329" s="652">
        <v>116478</v>
      </c>
      <c r="L329" s="651">
        <v>0</v>
      </c>
      <c r="M329" s="651"/>
      <c r="N329" s="652">
        <v>59592</v>
      </c>
      <c r="O329" s="652">
        <v>550059</v>
      </c>
      <c r="P329" s="652">
        <v>0</v>
      </c>
      <c r="Q329" s="651">
        <v>52213</v>
      </c>
      <c r="R329" s="651"/>
      <c r="S329" s="652">
        <v>454553</v>
      </c>
      <c r="T329" s="653">
        <v>-17374</v>
      </c>
      <c r="U329" s="653">
        <v>437179</v>
      </c>
    </row>
    <row r="330" spans="1:21" x14ac:dyDescent="0.25">
      <c r="A330" s="648">
        <v>93417</v>
      </c>
      <c r="B330" s="649" t="s">
        <v>2866</v>
      </c>
      <c r="C330" s="650">
        <v>4.1130000000000002E-4</v>
      </c>
      <c r="D330" s="650">
        <v>4.2470000000000002E-4</v>
      </c>
      <c r="E330" s="651">
        <v>180699</v>
      </c>
      <c r="F330" s="651">
        <v>190603</v>
      </c>
      <c r="G330" s="651">
        <v>872916</v>
      </c>
      <c r="H330" s="651"/>
      <c r="I330" s="652">
        <v>16401</v>
      </c>
      <c r="J330" s="652">
        <v>764953</v>
      </c>
      <c r="K330" s="652">
        <v>59787</v>
      </c>
      <c r="L330" s="651">
        <v>29582</v>
      </c>
      <c r="M330" s="651"/>
      <c r="N330" s="652">
        <v>30588</v>
      </c>
      <c r="O330" s="652">
        <v>282340</v>
      </c>
      <c r="P330" s="652">
        <v>0</v>
      </c>
      <c r="Q330" s="651">
        <v>0</v>
      </c>
      <c r="R330" s="651"/>
      <c r="S330" s="652">
        <v>233318</v>
      </c>
      <c r="T330" s="653">
        <v>14150</v>
      </c>
      <c r="U330" s="653">
        <v>247468</v>
      </c>
    </row>
    <row r="331" spans="1:21" x14ac:dyDescent="0.25">
      <c r="A331" s="648">
        <v>93421</v>
      </c>
      <c r="B331" s="649" t="s">
        <v>2867</v>
      </c>
      <c r="C331" s="650">
        <v>2.1646E-3</v>
      </c>
      <c r="D331" s="650">
        <v>2.2629E-3</v>
      </c>
      <c r="E331" s="651">
        <v>806586</v>
      </c>
      <c r="F331" s="651">
        <v>1015576</v>
      </c>
      <c r="G331" s="651">
        <v>4594006</v>
      </c>
      <c r="H331" s="651"/>
      <c r="I331" s="652">
        <v>86313</v>
      </c>
      <c r="J331" s="652">
        <v>4025814</v>
      </c>
      <c r="K331" s="652">
        <v>314648</v>
      </c>
      <c r="L331" s="651">
        <v>0</v>
      </c>
      <c r="M331" s="651"/>
      <c r="N331" s="652">
        <v>160979</v>
      </c>
      <c r="O331" s="652">
        <v>1485907</v>
      </c>
      <c r="P331" s="652">
        <v>0</v>
      </c>
      <c r="Q331" s="651">
        <v>286111</v>
      </c>
      <c r="R331" s="651"/>
      <c r="S331" s="652">
        <v>1227910</v>
      </c>
      <c r="T331" s="653">
        <v>-103829</v>
      </c>
      <c r="U331" s="653">
        <v>1124081</v>
      </c>
    </row>
    <row r="332" spans="1:21" x14ac:dyDescent="0.25">
      <c r="A332" s="648">
        <v>93431</v>
      </c>
      <c r="B332" s="649" t="s">
        <v>2868</v>
      </c>
      <c r="C332" s="650">
        <v>1.127E-4</v>
      </c>
      <c r="D332" s="650">
        <v>1.3469999999999999E-4</v>
      </c>
      <c r="E332" s="651">
        <v>53588</v>
      </c>
      <c r="F332" s="651">
        <v>60453</v>
      </c>
      <c r="G332" s="651">
        <v>239187</v>
      </c>
      <c r="H332" s="651"/>
      <c r="I332" s="652">
        <v>4494</v>
      </c>
      <c r="J332" s="652">
        <v>209604</v>
      </c>
      <c r="K332" s="652">
        <v>16382</v>
      </c>
      <c r="L332" s="651">
        <v>1676</v>
      </c>
      <c r="M332" s="651"/>
      <c r="N332" s="652">
        <v>8381</v>
      </c>
      <c r="O332" s="652">
        <v>77364</v>
      </c>
      <c r="P332" s="652">
        <v>0</v>
      </c>
      <c r="Q332" s="651">
        <v>7450</v>
      </c>
      <c r="R332" s="651"/>
      <c r="S332" s="652">
        <v>63931</v>
      </c>
      <c r="T332" s="653">
        <v>-1211</v>
      </c>
      <c r="U332" s="653">
        <v>62721</v>
      </c>
    </row>
    <row r="333" spans="1:21" x14ac:dyDescent="0.25">
      <c r="A333" s="648">
        <v>93441</v>
      </c>
      <c r="B333" s="649" t="s">
        <v>2869</v>
      </c>
      <c r="C333" s="650">
        <v>1.4970000000000001E-4</v>
      </c>
      <c r="D333" s="650">
        <v>1.3239999999999999E-4</v>
      </c>
      <c r="E333" s="651">
        <v>71653</v>
      </c>
      <c r="F333" s="651">
        <v>59420</v>
      </c>
      <c r="G333" s="651">
        <v>317714</v>
      </c>
      <c r="H333" s="651"/>
      <c r="I333" s="652">
        <v>5969</v>
      </c>
      <c r="J333" s="652">
        <v>278418</v>
      </c>
      <c r="K333" s="652">
        <v>21761</v>
      </c>
      <c r="L333" s="651">
        <v>34771</v>
      </c>
      <c r="M333" s="651"/>
      <c r="N333" s="652">
        <v>11133</v>
      </c>
      <c r="O333" s="652">
        <v>102763</v>
      </c>
      <c r="P333" s="652">
        <v>0</v>
      </c>
      <c r="Q333" s="651">
        <v>0</v>
      </c>
      <c r="R333" s="651"/>
      <c r="S333" s="652">
        <v>84920</v>
      </c>
      <c r="T333" s="653">
        <v>12654</v>
      </c>
      <c r="U333" s="653">
        <v>97574</v>
      </c>
    </row>
    <row r="334" spans="1:21" x14ac:dyDescent="0.25">
      <c r="A334" s="648">
        <v>93442</v>
      </c>
      <c r="B334" s="649" t="s">
        <v>2870</v>
      </c>
      <c r="C334" s="650">
        <v>1.3540000000000001E-4</v>
      </c>
      <c r="D334" s="650">
        <v>1.7799999999999999E-4</v>
      </c>
      <c r="E334" s="651">
        <v>53217.95</v>
      </c>
      <c r="F334" s="651">
        <v>79885</v>
      </c>
      <c r="G334" s="651">
        <v>287364</v>
      </c>
      <c r="H334" s="651"/>
      <c r="I334" s="652">
        <v>5399</v>
      </c>
      <c r="J334" s="652">
        <v>251823</v>
      </c>
      <c r="K334" s="652">
        <v>19682</v>
      </c>
      <c r="L334" s="651">
        <v>6718</v>
      </c>
      <c r="M334" s="651"/>
      <c r="N334" s="652">
        <v>10070</v>
      </c>
      <c r="O334" s="652">
        <v>92946</v>
      </c>
      <c r="P334" s="652">
        <v>0</v>
      </c>
      <c r="Q334" s="651">
        <v>29938</v>
      </c>
      <c r="R334" s="651"/>
      <c r="S334" s="652">
        <v>76808</v>
      </c>
      <c r="T334" s="653">
        <v>-6567</v>
      </c>
      <c r="U334" s="653">
        <v>70241</v>
      </c>
    </row>
    <row r="335" spans="1:21" x14ac:dyDescent="0.25">
      <c r="A335" s="648">
        <v>93451</v>
      </c>
      <c r="B335" s="649" t="s">
        <v>2871</v>
      </c>
      <c r="C335" s="650">
        <v>7.6899999999999999E-5</v>
      </c>
      <c r="D335" s="650">
        <v>7.6699999999999994E-5</v>
      </c>
      <c r="E335" s="651">
        <v>41952.18</v>
      </c>
      <c r="F335" s="651">
        <v>34422</v>
      </c>
      <c r="G335" s="651">
        <v>163208</v>
      </c>
      <c r="H335" s="651"/>
      <c r="I335" s="652">
        <v>3066</v>
      </c>
      <c r="J335" s="652">
        <v>143022</v>
      </c>
      <c r="K335" s="652">
        <v>11178</v>
      </c>
      <c r="L335" s="651">
        <v>18732</v>
      </c>
      <c r="M335" s="651"/>
      <c r="N335" s="652">
        <v>5719</v>
      </c>
      <c r="O335" s="652">
        <v>52789</v>
      </c>
      <c r="P335" s="652">
        <v>0</v>
      </c>
      <c r="Q335" s="651">
        <v>2999</v>
      </c>
      <c r="R335" s="651"/>
      <c r="S335" s="652">
        <v>43623</v>
      </c>
      <c r="T335" s="653">
        <v>4342</v>
      </c>
      <c r="U335" s="653">
        <v>47965</v>
      </c>
    </row>
    <row r="336" spans="1:21" x14ac:dyDescent="0.25">
      <c r="A336" s="648">
        <v>93461</v>
      </c>
      <c r="B336" s="649" t="s">
        <v>2872</v>
      </c>
      <c r="C336" s="650">
        <v>1.7200000000000001E-5</v>
      </c>
      <c r="D336" s="650">
        <v>1.7200000000000001E-5</v>
      </c>
      <c r="E336" s="651">
        <v>7471</v>
      </c>
      <c r="F336" s="651">
        <v>7719</v>
      </c>
      <c r="G336" s="651">
        <v>36504</v>
      </c>
      <c r="H336" s="651"/>
      <c r="I336" s="652">
        <v>685.85</v>
      </c>
      <c r="J336" s="652">
        <v>31989</v>
      </c>
      <c r="K336" s="652">
        <v>2500</v>
      </c>
      <c r="L336" s="651">
        <v>695</v>
      </c>
      <c r="M336" s="651"/>
      <c r="N336" s="652">
        <v>1279</v>
      </c>
      <c r="O336" s="652">
        <v>11807</v>
      </c>
      <c r="P336" s="652">
        <v>0</v>
      </c>
      <c r="Q336" s="651">
        <v>0</v>
      </c>
      <c r="R336" s="651"/>
      <c r="S336" s="652">
        <v>9757</v>
      </c>
      <c r="T336" s="653">
        <v>226</v>
      </c>
      <c r="U336" s="653">
        <v>9983</v>
      </c>
    </row>
    <row r="337" spans="1:21" x14ac:dyDescent="0.25">
      <c r="A337" s="648">
        <v>93471</v>
      </c>
      <c r="B337" s="649" t="s">
        <v>2873</v>
      </c>
      <c r="C337" s="650">
        <v>1.1800000000000001E-5</v>
      </c>
      <c r="D337" s="650">
        <v>1.34E-5</v>
      </c>
      <c r="E337" s="651">
        <v>7905</v>
      </c>
      <c r="F337" s="651">
        <v>6014</v>
      </c>
      <c r="G337" s="651">
        <v>25044</v>
      </c>
      <c r="H337" s="651"/>
      <c r="I337" s="652">
        <v>471</v>
      </c>
      <c r="J337" s="652">
        <v>21946</v>
      </c>
      <c r="K337" s="652">
        <v>1715</v>
      </c>
      <c r="L337" s="651">
        <v>2187</v>
      </c>
      <c r="M337" s="651"/>
      <c r="N337" s="652">
        <v>878</v>
      </c>
      <c r="O337" s="652">
        <v>8100</v>
      </c>
      <c r="P337" s="652">
        <v>0</v>
      </c>
      <c r="Q337" s="651">
        <v>127</v>
      </c>
      <c r="R337" s="651"/>
      <c r="S337" s="652">
        <v>6694</v>
      </c>
      <c r="T337" s="653">
        <v>563</v>
      </c>
      <c r="U337" s="653">
        <v>7256</v>
      </c>
    </row>
    <row r="338" spans="1:21" x14ac:dyDescent="0.25">
      <c r="A338" s="648">
        <v>93501</v>
      </c>
      <c r="B338" s="649" t="s">
        <v>2874</v>
      </c>
      <c r="C338" s="650">
        <v>3.4039000000000001E-3</v>
      </c>
      <c r="D338" s="650">
        <v>3.4708E-3</v>
      </c>
      <c r="E338" s="651">
        <v>1347598.72</v>
      </c>
      <c r="F338" s="651">
        <v>1557674</v>
      </c>
      <c r="G338" s="651">
        <v>7224216</v>
      </c>
      <c r="H338" s="651"/>
      <c r="I338" s="652">
        <v>135731</v>
      </c>
      <c r="J338" s="652">
        <v>6330716</v>
      </c>
      <c r="K338" s="652">
        <v>494794</v>
      </c>
      <c r="L338" s="651">
        <v>165283</v>
      </c>
      <c r="M338" s="651"/>
      <c r="N338" s="652">
        <v>253145</v>
      </c>
      <c r="O338" s="652">
        <v>2336634</v>
      </c>
      <c r="P338" s="652">
        <v>0</v>
      </c>
      <c r="Q338" s="651">
        <v>77725</v>
      </c>
      <c r="R338" s="651"/>
      <c r="S338" s="652">
        <v>1930927</v>
      </c>
      <c r="T338" s="653">
        <v>52932</v>
      </c>
      <c r="U338" s="653">
        <v>1983859</v>
      </c>
    </row>
    <row r="339" spans="1:21" x14ac:dyDescent="0.25">
      <c r="A339" s="648">
        <v>93511</v>
      </c>
      <c r="B339" s="649" t="s">
        <v>2875</v>
      </c>
      <c r="C339" s="650">
        <v>9.8999999999999994E-5</v>
      </c>
      <c r="D339" s="650">
        <v>1.142E-4</v>
      </c>
      <c r="E339" s="651">
        <v>40720.79</v>
      </c>
      <c r="F339" s="651">
        <v>51252</v>
      </c>
      <c r="G339" s="651">
        <v>210111</v>
      </c>
      <c r="H339" s="651"/>
      <c r="I339" s="652">
        <v>3948</v>
      </c>
      <c r="J339" s="652">
        <v>184124</v>
      </c>
      <c r="K339" s="652">
        <v>14391</v>
      </c>
      <c r="L339" s="651">
        <v>5204</v>
      </c>
      <c r="M339" s="651"/>
      <c r="N339" s="652">
        <v>7363</v>
      </c>
      <c r="O339" s="652">
        <v>67959</v>
      </c>
      <c r="P339" s="652">
        <v>0</v>
      </c>
      <c r="Q339" s="651">
        <v>14645</v>
      </c>
      <c r="R339" s="651"/>
      <c r="S339" s="652">
        <v>56160</v>
      </c>
      <c r="T339" s="653">
        <v>-1792</v>
      </c>
      <c r="U339" s="653">
        <v>54368</v>
      </c>
    </row>
    <row r="340" spans="1:21" x14ac:dyDescent="0.25">
      <c r="A340" s="648">
        <v>93517</v>
      </c>
      <c r="B340" s="649" t="s">
        <v>2876</v>
      </c>
      <c r="C340" s="650">
        <v>6.4999999999999996E-6</v>
      </c>
      <c r="D340" s="650">
        <v>6.6000000000000003E-6</v>
      </c>
      <c r="E340" s="651">
        <v>4035.72</v>
      </c>
      <c r="F340" s="651">
        <v>2962</v>
      </c>
      <c r="G340" s="651">
        <v>13795</v>
      </c>
      <c r="H340" s="651"/>
      <c r="I340" s="652">
        <v>259.1875</v>
      </c>
      <c r="J340" s="652">
        <v>12089</v>
      </c>
      <c r="K340" s="652">
        <v>945</v>
      </c>
      <c r="L340" s="651">
        <v>3198</v>
      </c>
      <c r="M340" s="651"/>
      <c r="N340" s="652">
        <v>483</v>
      </c>
      <c r="O340" s="652">
        <v>4462</v>
      </c>
      <c r="P340" s="652">
        <v>0</v>
      </c>
      <c r="Q340" s="651">
        <v>1011</v>
      </c>
      <c r="R340" s="651"/>
      <c r="S340" s="652">
        <v>3687</v>
      </c>
      <c r="T340" s="653">
        <v>528</v>
      </c>
      <c r="U340" s="653">
        <v>4215</v>
      </c>
    </row>
    <row r="341" spans="1:21" x14ac:dyDescent="0.25">
      <c r="A341" s="648">
        <v>93521</v>
      </c>
      <c r="B341" s="649" t="s">
        <v>2877</v>
      </c>
      <c r="C341" s="650">
        <v>5.6389999999999999E-4</v>
      </c>
      <c r="D341" s="650">
        <v>4.75E-4</v>
      </c>
      <c r="E341" s="651">
        <v>183431</v>
      </c>
      <c r="F341" s="651">
        <v>213177.15</v>
      </c>
      <c r="G341" s="651">
        <v>1196785</v>
      </c>
      <c r="H341" s="651"/>
      <c r="I341" s="652">
        <v>22486</v>
      </c>
      <c r="J341" s="652">
        <v>1048765</v>
      </c>
      <c r="K341" s="652">
        <v>81969</v>
      </c>
      <c r="L341" s="651">
        <v>9662</v>
      </c>
      <c r="M341" s="651"/>
      <c r="N341" s="652">
        <v>41937</v>
      </c>
      <c r="O341" s="652">
        <v>387094</v>
      </c>
      <c r="P341" s="652">
        <v>0</v>
      </c>
      <c r="Q341" s="651">
        <v>10656</v>
      </c>
      <c r="R341" s="651"/>
      <c r="S341" s="652">
        <v>319883</v>
      </c>
      <c r="T341" s="653">
        <v>-2591</v>
      </c>
      <c r="U341" s="653">
        <v>317292</v>
      </c>
    </row>
    <row r="342" spans="1:21" x14ac:dyDescent="0.25">
      <c r="A342" s="648">
        <v>93527</v>
      </c>
      <c r="B342" s="649" t="s">
        <v>2878</v>
      </c>
      <c r="C342" s="650">
        <v>5.4E-6</v>
      </c>
      <c r="D342" s="650">
        <v>5.4E-6</v>
      </c>
      <c r="E342" s="651">
        <v>8301</v>
      </c>
      <c r="F342" s="651">
        <v>2423</v>
      </c>
      <c r="G342" s="651">
        <v>11461</v>
      </c>
      <c r="H342" s="651"/>
      <c r="I342" s="652">
        <v>215.32499999999999</v>
      </c>
      <c r="J342" s="652">
        <v>10043</v>
      </c>
      <c r="K342" s="652">
        <v>785</v>
      </c>
      <c r="L342" s="651">
        <v>11237</v>
      </c>
      <c r="M342" s="651"/>
      <c r="N342" s="652">
        <v>402</v>
      </c>
      <c r="O342" s="652">
        <v>3707</v>
      </c>
      <c r="P342" s="652">
        <v>0</v>
      </c>
      <c r="Q342" s="651">
        <v>0</v>
      </c>
      <c r="R342" s="651"/>
      <c r="S342" s="652">
        <v>3063</v>
      </c>
      <c r="T342" s="653">
        <v>3941</v>
      </c>
      <c r="U342" s="653">
        <v>7005</v>
      </c>
    </row>
    <row r="343" spans="1:21" x14ac:dyDescent="0.25">
      <c r="A343" s="648">
        <v>93531</v>
      </c>
      <c r="B343" s="649" t="s">
        <v>2879</v>
      </c>
      <c r="C343" s="650">
        <v>2.4000000000000001E-5</v>
      </c>
      <c r="D343" s="650">
        <v>2.4700000000000001E-5</v>
      </c>
      <c r="E343" s="651">
        <v>11692.23</v>
      </c>
      <c r="F343" s="651">
        <v>11085</v>
      </c>
      <c r="G343" s="651">
        <v>50936.04</v>
      </c>
      <c r="H343" s="651"/>
      <c r="I343" s="652">
        <v>957</v>
      </c>
      <c r="J343" s="652">
        <v>44636</v>
      </c>
      <c r="K343" s="652">
        <v>3489</v>
      </c>
      <c r="L343" s="651">
        <v>1068</v>
      </c>
      <c r="M343" s="651"/>
      <c r="N343" s="652">
        <v>1785</v>
      </c>
      <c r="O343" s="652">
        <v>16475</v>
      </c>
      <c r="P343" s="652">
        <v>0</v>
      </c>
      <c r="Q343" s="651">
        <v>2182</v>
      </c>
      <c r="R343" s="651"/>
      <c r="S343" s="652">
        <v>13614</v>
      </c>
      <c r="T343" s="653">
        <v>-801</v>
      </c>
      <c r="U343" s="653">
        <v>12814</v>
      </c>
    </row>
    <row r="344" spans="1:21" x14ac:dyDescent="0.25">
      <c r="A344" s="648">
        <v>93537</v>
      </c>
      <c r="B344" s="649" t="s">
        <v>2880</v>
      </c>
      <c r="C344" s="650">
        <v>1.17E-5</v>
      </c>
      <c r="D344" s="650">
        <v>1.13E-5</v>
      </c>
      <c r="E344" s="651">
        <v>3539</v>
      </c>
      <c r="F344" s="651">
        <v>5071</v>
      </c>
      <c r="G344" s="651">
        <v>24831</v>
      </c>
      <c r="H344" s="651"/>
      <c r="I344" s="652">
        <v>467</v>
      </c>
      <c r="J344" s="652">
        <v>21760</v>
      </c>
      <c r="K344" s="652">
        <v>1701</v>
      </c>
      <c r="L344" s="651">
        <v>0</v>
      </c>
      <c r="M344" s="651"/>
      <c r="N344" s="652">
        <v>870</v>
      </c>
      <c r="O344" s="652">
        <v>8032</v>
      </c>
      <c r="P344" s="652">
        <v>0</v>
      </c>
      <c r="Q344" s="651">
        <v>976</v>
      </c>
      <c r="R344" s="651"/>
      <c r="S344" s="652">
        <v>6637</v>
      </c>
      <c r="T344" s="653">
        <v>-276</v>
      </c>
      <c r="U344" s="653">
        <v>6361</v>
      </c>
    </row>
    <row r="345" spans="1:21" x14ac:dyDescent="0.25">
      <c r="A345" s="648">
        <v>93541</v>
      </c>
      <c r="B345" s="649" t="s">
        <v>2881</v>
      </c>
      <c r="C345" s="650">
        <v>1.061E-4</v>
      </c>
      <c r="D345" s="650">
        <v>1.069E-4</v>
      </c>
      <c r="E345" s="651">
        <v>43706</v>
      </c>
      <c r="F345" s="651">
        <v>47976</v>
      </c>
      <c r="G345" s="651">
        <v>225180</v>
      </c>
      <c r="H345" s="651"/>
      <c r="I345" s="652">
        <v>4231</v>
      </c>
      <c r="J345" s="652">
        <v>197329</v>
      </c>
      <c r="K345" s="652">
        <v>15423</v>
      </c>
      <c r="L345" s="651">
        <v>8559</v>
      </c>
      <c r="M345" s="651"/>
      <c r="N345" s="652">
        <v>7891</v>
      </c>
      <c r="O345" s="652">
        <v>72833</v>
      </c>
      <c r="P345" s="652">
        <v>0</v>
      </c>
      <c r="Q345" s="651">
        <v>1155</v>
      </c>
      <c r="R345" s="651"/>
      <c r="S345" s="652">
        <v>60187</v>
      </c>
      <c r="T345" s="653">
        <v>3927</v>
      </c>
      <c r="U345" s="653">
        <v>64114</v>
      </c>
    </row>
    <row r="346" spans="1:21" x14ac:dyDescent="0.25">
      <c r="A346" s="648">
        <v>93601</v>
      </c>
      <c r="B346" s="649" t="s">
        <v>2882</v>
      </c>
      <c r="C346" s="650">
        <v>1.1139899999999999E-2</v>
      </c>
      <c r="D346" s="650">
        <v>1.09906E-2</v>
      </c>
      <c r="E346" s="651">
        <v>4591072.71</v>
      </c>
      <c r="F346" s="651">
        <v>4932515</v>
      </c>
      <c r="G346" s="651">
        <v>23642600</v>
      </c>
      <c r="H346" s="651"/>
      <c r="I346" s="652">
        <v>444204</v>
      </c>
      <c r="J346" s="652">
        <v>20718454</v>
      </c>
      <c r="K346" s="652">
        <v>1619307</v>
      </c>
      <c r="L346" s="651">
        <v>88715</v>
      </c>
      <c r="M346" s="651"/>
      <c r="N346" s="652">
        <v>828463</v>
      </c>
      <c r="O346" s="652">
        <v>7647073</v>
      </c>
      <c r="P346" s="652">
        <v>0</v>
      </c>
      <c r="Q346" s="651">
        <v>158818</v>
      </c>
      <c r="R346" s="651"/>
      <c r="S346" s="652">
        <v>6319320</v>
      </c>
      <c r="T346" s="653">
        <v>-40519</v>
      </c>
      <c r="U346" s="653">
        <v>6278801</v>
      </c>
    </row>
    <row r="347" spans="1:21" x14ac:dyDescent="0.25">
      <c r="A347" s="648">
        <v>93602</v>
      </c>
      <c r="B347" s="649" t="s">
        <v>2883</v>
      </c>
      <c r="C347" s="650">
        <v>1.7200000000000001E-4</v>
      </c>
      <c r="D347" s="650">
        <v>1.873E-4</v>
      </c>
      <c r="E347" s="651">
        <v>65294.78</v>
      </c>
      <c r="F347" s="651">
        <v>84059</v>
      </c>
      <c r="G347" s="651">
        <v>365041.62</v>
      </c>
      <c r="H347" s="651"/>
      <c r="I347" s="652">
        <v>6858.5</v>
      </c>
      <c r="J347" s="652">
        <v>319893</v>
      </c>
      <c r="K347" s="652">
        <v>25002</v>
      </c>
      <c r="L347" s="651">
        <v>1192</v>
      </c>
      <c r="M347" s="651"/>
      <c r="N347" s="652">
        <v>12791</v>
      </c>
      <c r="O347" s="652">
        <v>118071</v>
      </c>
      <c r="P347" s="652">
        <v>0</v>
      </c>
      <c r="Q347" s="651">
        <v>14459</v>
      </c>
      <c r="R347" s="651"/>
      <c r="S347" s="652">
        <v>97570</v>
      </c>
      <c r="T347" s="653">
        <v>-3774</v>
      </c>
      <c r="U347" s="653">
        <v>93797</v>
      </c>
    </row>
    <row r="348" spans="1:21" x14ac:dyDescent="0.25">
      <c r="A348" s="648">
        <v>93609</v>
      </c>
      <c r="B348" s="649" t="s">
        <v>2884</v>
      </c>
      <c r="C348" s="650">
        <v>3.0569E-3</v>
      </c>
      <c r="D348" s="650">
        <v>2.777E-3</v>
      </c>
      <c r="E348" s="651">
        <v>1250738</v>
      </c>
      <c r="F348" s="651">
        <v>1246301</v>
      </c>
      <c r="G348" s="651">
        <v>6487766</v>
      </c>
      <c r="H348" s="651"/>
      <c r="I348" s="652">
        <v>121894</v>
      </c>
      <c r="J348" s="652">
        <v>5685351</v>
      </c>
      <c r="K348" s="652">
        <v>444354</v>
      </c>
      <c r="L348" s="651">
        <v>575194</v>
      </c>
      <c r="M348" s="651"/>
      <c r="N348" s="652">
        <v>227339</v>
      </c>
      <c r="O348" s="652">
        <v>2098433</v>
      </c>
      <c r="P348" s="652">
        <v>0</v>
      </c>
      <c r="Q348" s="651">
        <v>0</v>
      </c>
      <c r="R348" s="651"/>
      <c r="S348" s="652">
        <v>1734085</v>
      </c>
      <c r="T348" s="653">
        <v>238417</v>
      </c>
      <c r="U348" s="653">
        <v>1972502</v>
      </c>
    </row>
    <row r="349" spans="1:21" x14ac:dyDescent="0.25">
      <c r="A349" s="648">
        <v>93610</v>
      </c>
      <c r="B349" s="649" t="s">
        <v>2885</v>
      </c>
      <c r="C349" s="650">
        <v>6.4999999999999996E-6</v>
      </c>
      <c r="D349" s="650">
        <v>1.84E-5</v>
      </c>
      <c r="E349" s="651">
        <v>5057</v>
      </c>
      <c r="F349" s="651">
        <v>8258</v>
      </c>
      <c r="G349" s="651">
        <v>13795</v>
      </c>
      <c r="H349" s="651"/>
      <c r="I349" s="652">
        <v>259.1875</v>
      </c>
      <c r="J349" s="652">
        <v>12089</v>
      </c>
      <c r="K349" s="652">
        <v>945</v>
      </c>
      <c r="L349" s="651">
        <v>3285</v>
      </c>
      <c r="M349" s="651"/>
      <c r="N349" s="652">
        <v>483</v>
      </c>
      <c r="O349" s="652">
        <v>4462</v>
      </c>
      <c r="P349" s="652">
        <v>0</v>
      </c>
      <c r="Q349" s="651">
        <v>4553</v>
      </c>
      <c r="R349" s="651"/>
      <c r="S349" s="652">
        <v>3687</v>
      </c>
      <c r="T349" s="653">
        <v>154</v>
      </c>
      <c r="U349" s="653">
        <v>3842</v>
      </c>
    </row>
    <row r="350" spans="1:21" x14ac:dyDescent="0.25">
      <c r="A350" s="648">
        <v>93611</v>
      </c>
      <c r="B350" s="649" t="s">
        <v>2886</v>
      </c>
      <c r="C350" s="650">
        <v>6.9325000000000003E-3</v>
      </c>
      <c r="D350" s="650">
        <v>6.9034999999999999E-3</v>
      </c>
      <c r="E350" s="651">
        <v>2795516.27</v>
      </c>
      <c r="F350" s="651">
        <v>3098249</v>
      </c>
      <c r="G350" s="651">
        <v>14713087</v>
      </c>
      <c r="H350" s="651"/>
      <c r="I350" s="652">
        <v>276433</v>
      </c>
      <c r="J350" s="652">
        <v>12893355</v>
      </c>
      <c r="K350" s="652">
        <v>1007715</v>
      </c>
      <c r="L350" s="651">
        <v>0</v>
      </c>
      <c r="M350" s="651"/>
      <c r="N350" s="652">
        <v>515563</v>
      </c>
      <c r="O350" s="652">
        <v>4758870</v>
      </c>
      <c r="P350" s="652">
        <v>0</v>
      </c>
      <c r="Q350" s="651">
        <v>266414</v>
      </c>
      <c r="R350" s="651"/>
      <c r="S350" s="652">
        <v>3932592</v>
      </c>
      <c r="T350" s="653">
        <v>-113352</v>
      </c>
      <c r="U350" s="653">
        <v>3819240</v>
      </c>
    </row>
    <row r="351" spans="1:21" x14ac:dyDescent="0.25">
      <c r="A351" s="648">
        <v>93617</v>
      </c>
      <c r="B351" s="649" t="s">
        <v>2887</v>
      </c>
      <c r="C351" s="650">
        <v>9.5000000000000005E-5</v>
      </c>
      <c r="D351" s="650">
        <v>7.9200000000000001E-5</v>
      </c>
      <c r="E351" s="651">
        <v>46064</v>
      </c>
      <c r="F351" s="651">
        <v>35544</v>
      </c>
      <c r="G351" s="651">
        <v>201622</v>
      </c>
      <c r="H351" s="651"/>
      <c r="I351" s="652">
        <v>3788.125</v>
      </c>
      <c r="J351" s="652">
        <v>176685</v>
      </c>
      <c r="K351" s="652">
        <v>13809</v>
      </c>
      <c r="L351" s="651">
        <v>28939</v>
      </c>
      <c r="M351" s="651"/>
      <c r="N351" s="652">
        <v>7065</v>
      </c>
      <c r="O351" s="652">
        <v>65213.51</v>
      </c>
      <c r="P351" s="652">
        <v>0</v>
      </c>
      <c r="Q351" s="651">
        <v>0</v>
      </c>
      <c r="R351" s="651"/>
      <c r="S351" s="652">
        <v>53891</v>
      </c>
      <c r="T351" s="653">
        <v>10007</v>
      </c>
      <c r="U351" s="653">
        <v>63898</v>
      </c>
    </row>
    <row r="352" spans="1:21" x14ac:dyDescent="0.25">
      <c r="A352" s="648">
        <v>93618</v>
      </c>
      <c r="B352" s="649" t="s">
        <v>2888</v>
      </c>
      <c r="C352" s="650">
        <v>1.17E-5</v>
      </c>
      <c r="D352" s="650">
        <v>1.0200000000000001E-5</v>
      </c>
      <c r="E352" s="651">
        <v>22629</v>
      </c>
      <c r="F352" s="651">
        <v>4578</v>
      </c>
      <c r="G352" s="651">
        <v>24831</v>
      </c>
      <c r="H352" s="651"/>
      <c r="I352" s="652">
        <v>467</v>
      </c>
      <c r="J352" s="652">
        <v>21760</v>
      </c>
      <c r="K352" s="652">
        <v>1701</v>
      </c>
      <c r="L352" s="651">
        <v>27424</v>
      </c>
      <c r="M352" s="651"/>
      <c r="N352" s="652">
        <v>870</v>
      </c>
      <c r="O352" s="652">
        <v>8032</v>
      </c>
      <c r="P352" s="652">
        <v>0</v>
      </c>
      <c r="Q352" s="651">
        <v>0</v>
      </c>
      <c r="R352" s="651"/>
      <c r="S352" s="652">
        <v>6637</v>
      </c>
      <c r="T352" s="653">
        <v>8505</v>
      </c>
      <c r="U352" s="653">
        <v>15142</v>
      </c>
    </row>
    <row r="353" spans="1:21" x14ac:dyDescent="0.25">
      <c r="A353" s="648">
        <v>93621</v>
      </c>
      <c r="B353" s="649" t="s">
        <v>2889</v>
      </c>
      <c r="C353" s="650">
        <v>8.5320000000000003E-4</v>
      </c>
      <c r="D353" s="650">
        <v>9.5949999999999996E-4</v>
      </c>
      <c r="E353" s="651">
        <v>330203.31</v>
      </c>
      <c r="F353" s="651">
        <v>430618</v>
      </c>
      <c r="G353" s="651">
        <v>1810776</v>
      </c>
      <c r="H353" s="651"/>
      <c r="I353" s="652">
        <v>34021.35</v>
      </c>
      <c r="J353" s="652">
        <v>1586817</v>
      </c>
      <c r="K353" s="652">
        <v>124022</v>
      </c>
      <c r="L353" s="651">
        <v>0</v>
      </c>
      <c r="M353" s="651"/>
      <c r="N353" s="652">
        <v>63452</v>
      </c>
      <c r="O353" s="652">
        <v>585686</v>
      </c>
      <c r="P353" s="652">
        <v>0</v>
      </c>
      <c r="Q353" s="651">
        <v>118410</v>
      </c>
      <c r="R353" s="651"/>
      <c r="S353" s="652">
        <v>483994</v>
      </c>
      <c r="T353" s="653">
        <v>-38643</v>
      </c>
      <c r="U353" s="653">
        <v>445351</v>
      </c>
    </row>
    <row r="354" spans="1:21" x14ac:dyDescent="0.25">
      <c r="A354" s="648">
        <v>93623</v>
      </c>
      <c r="B354" s="649" t="s">
        <v>2890</v>
      </c>
      <c r="C354" s="650">
        <v>1.2500000000000001E-5</v>
      </c>
      <c r="D354" s="650">
        <v>1.24E-5</v>
      </c>
      <c r="E354" s="651">
        <v>8241</v>
      </c>
      <c r="F354" s="651">
        <v>5565</v>
      </c>
      <c r="G354" s="651">
        <v>26529.1875</v>
      </c>
      <c r="H354" s="651"/>
      <c r="I354" s="652">
        <v>498.4375</v>
      </c>
      <c r="J354" s="652">
        <v>23248</v>
      </c>
      <c r="K354" s="652">
        <v>1817</v>
      </c>
      <c r="L354" s="651">
        <v>4315</v>
      </c>
      <c r="M354" s="651"/>
      <c r="N354" s="652">
        <v>930</v>
      </c>
      <c r="O354" s="652">
        <v>8581</v>
      </c>
      <c r="P354" s="652">
        <v>0</v>
      </c>
      <c r="Q354" s="651">
        <v>2</v>
      </c>
      <c r="R354" s="651"/>
      <c r="S354" s="652">
        <v>7091</v>
      </c>
      <c r="T354" s="653">
        <v>1289</v>
      </c>
      <c r="U354" s="653">
        <v>8380</v>
      </c>
    </row>
    <row r="355" spans="1:21" x14ac:dyDescent="0.25">
      <c r="A355" s="648">
        <v>93631</v>
      </c>
      <c r="B355" s="649" t="s">
        <v>2891</v>
      </c>
      <c r="C355" s="650">
        <v>2.3440000000000001E-4</v>
      </c>
      <c r="D355" s="650">
        <v>2.3680000000000001E-4</v>
      </c>
      <c r="E355" s="651">
        <v>87285</v>
      </c>
      <c r="F355" s="651">
        <v>106274</v>
      </c>
      <c r="G355" s="651">
        <v>497475</v>
      </c>
      <c r="H355" s="651"/>
      <c r="I355" s="652">
        <v>9347</v>
      </c>
      <c r="J355" s="652">
        <v>435947</v>
      </c>
      <c r="K355" s="652">
        <v>34073</v>
      </c>
      <c r="L355" s="651">
        <v>874</v>
      </c>
      <c r="M355" s="651"/>
      <c r="N355" s="652">
        <v>17432</v>
      </c>
      <c r="O355" s="652">
        <v>160906</v>
      </c>
      <c r="P355" s="652">
        <v>0</v>
      </c>
      <c r="Q355" s="651">
        <v>17303</v>
      </c>
      <c r="R355" s="651"/>
      <c r="S355" s="652">
        <v>132968</v>
      </c>
      <c r="T355" s="653">
        <v>-4881</v>
      </c>
      <c r="U355" s="653">
        <v>128086</v>
      </c>
    </row>
    <row r="356" spans="1:21" x14ac:dyDescent="0.25">
      <c r="A356" s="648">
        <v>93641</v>
      </c>
      <c r="B356" s="649" t="s">
        <v>2892</v>
      </c>
      <c r="C356" s="650">
        <v>4.3550000000000001E-4</v>
      </c>
      <c r="D356" s="650">
        <v>4.3100000000000001E-4</v>
      </c>
      <c r="E356" s="651">
        <v>182885.7</v>
      </c>
      <c r="F356" s="651">
        <v>193430</v>
      </c>
      <c r="G356" s="651">
        <v>924277</v>
      </c>
      <c r="H356" s="651"/>
      <c r="I356" s="652">
        <v>17365.5625</v>
      </c>
      <c r="J356" s="652">
        <v>809961</v>
      </c>
      <c r="K356" s="652">
        <v>63305</v>
      </c>
      <c r="L356" s="651">
        <v>21571</v>
      </c>
      <c r="M356" s="651"/>
      <c r="N356" s="652">
        <v>32388</v>
      </c>
      <c r="O356" s="652">
        <v>298952</v>
      </c>
      <c r="P356" s="652">
        <v>0</v>
      </c>
      <c r="Q356" s="651">
        <v>0</v>
      </c>
      <c r="R356" s="651"/>
      <c r="S356" s="652">
        <v>247046</v>
      </c>
      <c r="T356" s="653">
        <v>7537</v>
      </c>
      <c r="U356" s="653">
        <v>254583</v>
      </c>
    </row>
    <row r="357" spans="1:21" x14ac:dyDescent="0.25">
      <c r="A357" s="648">
        <v>93647</v>
      </c>
      <c r="B357" s="649" t="s">
        <v>2893</v>
      </c>
      <c r="C357" s="650">
        <v>6.1E-6</v>
      </c>
      <c r="D357" s="650">
        <v>6.0000000000000002E-6</v>
      </c>
      <c r="E357" s="651">
        <v>7779</v>
      </c>
      <c r="F357" s="651">
        <v>2693</v>
      </c>
      <c r="G357" s="651">
        <v>12946</v>
      </c>
      <c r="H357" s="651"/>
      <c r="I357" s="652">
        <v>243.23750000000001</v>
      </c>
      <c r="J357" s="652">
        <v>11345</v>
      </c>
      <c r="K357" s="652">
        <v>887</v>
      </c>
      <c r="L357" s="651">
        <v>10457</v>
      </c>
      <c r="M357" s="651"/>
      <c r="N357" s="652">
        <v>454</v>
      </c>
      <c r="O357" s="652">
        <v>4187</v>
      </c>
      <c r="P357" s="652">
        <v>0</v>
      </c>
      <c r="Q357" s="651">
        <v>0</v>
      </c>
      <c r="R357" s="651"/>
      <c r="S357" s="652">
        <v>3460</v>
      </c>
      <c r="T357" s="653">
        <v>3397</v>
      </c>
      <c r="U357" s="653">
        <v>6857</v>
      </c>
    </row>
    <row r="358" spans="1:21" x14ac:dyDescent="0.25">
      <c r="A358" s="648">
        <v>93651</v>
      </c>
      <c r="B358" s="649" t="s">
        <v>2894</v>
      </c>
      <c r="C358" s="650">
        <v>4.282E-4</v>
      </c>
      <c r="D358" s="650">
        <v>4.216E-4</v>
      </c>
      <c r="E358" s="651">
        <v>158412.88</v>
      </c>
      <c r="F358" s="651">
        <v>189212</v>
      </c>
      <c r="G358" s="651">
        <v>908784</v>
      </c>
      <c r="H358" s="651"/>
      <c r="I358" s="652">
        <v>17074</v>
      </c>
      <c r="J358" s="652">
        <v>796384</v>
      </c>
      <c r="K358" s="652">
        <v>62244</v>
      </c>
      <c r="L358" s="651">
        <v>9033</v>
      </c>
      <c r="M358" s="651"/>
      <c r="N358" s="652">
        <v>31845</v>
      </c>
      <c r="O358" s="652">
        <v>293941</v>
      </c>
      <c r="P358" s="652">
        <v>0</v>
      </c>
      <c r="Q358" s="651">
        <v>11722</v>
      </c>
      <c r="R358" s="651"/>
      <c r="S358" s="652">
        <v>242905</v>
      </c>
      <c r="T358" s="653">
        <v>-139</v>
      </c>
      <c r="U358" s="653">
        <v>242766</v>
      </c>
    </row>
    <row r="359" spans="1:21" x14ac:dyDescent="0.25">
      <c r="A359" s="648">
        <v>93661</v>
      </c>
      <c r="B359" s="649" t="s">
        <v>2895</v>
      </c>
      <c r="C359" s="650">
        <v>1.3420000000000001E-4</v>
      </c>
      <c r="D359" s="650">
        <v>1.2750000000000001E-4</v>
      </c>
      <c r="E359" s="651">
        <v>60285</v>
      </c>
      <c r="F359" s="651">
        <v>57221</v>
      </c>
      <c r="G359" s="651">
        <v>284817</v>
      </c>
      <c r="H359" s="651"/>
      <c r="I359" s="652">
        <v>5351</v>
      </c>
      <c r="J359" s="652">
        <v>249591</v>
      </c>
      <c r="K359" s="652">
        <v>19507</v>
      </c>
      <c r="L359" s="651">
        <v>12174</v>
      </c>
      <c r="M359" s="651"/>
      <c r="N359" s="652">
        <v>9980</v>
      </c>
      <c r="O359" s="652">
        <v>92123</v>
      </c>
      <c r="P359" s="652">
        <v>0</v>
      </c>
      <c r="Q359" s="651">
        <v>0</v>
      </c>
      <c r="R359" s="651"/>
      <c r="S359" s="652">
        <v>76127</v>
      </c>
      <c r="T359" s="653">
        <v>3955</v>
      </c>
      <c r="U359" s="653">
        <v>80082</v>
      </c>
    </row>
    <row r="360" spans="1:21" x14ac:dyDescent="0.25">
      <c r="A360" s="648">
        <v>93671</v>
      </c>
      <c r="B360" s="649" t="s">
        <v>2896</v>
      </c>
      <c r="C360" s="650">
        <v>3.6900000000000002E-4</v>
      </c>
      <c r="D360" s="650">
        <v>3.5710000000000001E-4</v>
      </c>
      <c r="E360" s="651">
        <v>141320.09</v>
      </c>
      <c r="F360" s="651">
        <v>160264</v>
      </c>
      <c r="G360" s="651">
        <v>783142</v>
      </c>
      <c r="H360" s="651"/>
      <c r="I360" s="652">
        <v>14714</v>
      </c>
      <c r="J360" s="652">
        <v>686282</v>
      </c>
      <c r="K360" s="652">
        <v>53638</v>
      </c>
      <c r="L360" s="651">
        <v>67993</v>
      </c>
      <c r="M360" s="651"/>
      <c r="N360" s="652">
        <v>27442</v>
      </c>
      <c r="O360" s="652">
        <v>253303</v>
      </c>
      <c r="P360" s="652">
        <v>0</v>
      </c>
      <c r="Q360" s="651">
        <v>1836</v>
      </c>
      <c r="R360" s="651"/>
      <c r="S360" s="652">
        <v>209322</v>
      </c>
      <c r="T360" s="653">
        <v>28852</v>
      </c>
      <c r="U360" s="653">
        <v>238174</v>
      </c>
    </row>
    <row r="361" spans="1:21" x14ac:dyDescent="0.25">
      <c r="A361" s="648">
        <v>93677</v>
      </c>
      <c r="B361" s="649" t="s">
        <v>1497</v>
      </c>
      <c r="C361" s="650">
        <v>0</v>
      </c>
      <c r="D361" s="650">
        <v>0</v>
      </c>
      <c r="E361" s="651">
        <v>0</v>
      </c>
      <c r="F361" s="651">
        <v>0</v>
      </c>
      <c r="G361" s="651">
        <v>0</v>
      </c>
      <c r="H361" s="651"/>
      <c r="I361" s="652">
        <v>0</v>
      </c>
      <c r="J361" s="652">
        <v>0</v>
      </c>
      <c r="K361" s="652">
        <v>0</v>
      </c>
      <c r="L361" s="651">
        <v>0</v>
      </c>
      <c r="M361" s="651"/>
      <c r="N361" s="652">
        <v>0</v>
      </c>
      <c r="O361" s="652">
        <v>0</v>
      </c>
      <c r="P361" s="652">
        <v>0</v>
      </c>
      <c r="Q361" s="651">
        <v>1443</v>
      </c>
      <c r="R361" s="651"/>
      <c r="S361" s="652">
        <v>0</v>
      </c>
      <c r="T361" s="653">
        <v>-725</v>
      </c>
      <c r="U361" s="653">
        <v>-725</v>
      </c>
    </row>
    <row r="362" spans="1:21" x14ac:dyDescent="0.25">
      <c r="A362" s="648">
        <v>93681</v>
      </c>
      <c r="B362" s="649" t="s">
        <v>2897</v>
      </c>
      <c r="C362" s="650">
        <v>1.1010000000000001E-4</v>
      </c>
      <c r="D362" s="650">
        <v>1.2769999999999999E-4</v>
      </c>
      <c r="E362" s="651">
        <v>44347.75</v>
      </c>
      <c r="F362" s="651">
        <v>57311</v>
      </c>
      <c r="G362" s="651">
        <v>233669</v>
      </c>
      <c r="H362" s="651"/>
      <c r="I362" s="652">
        <v>4390</v>
      </c>
      <c r="J362" s="652">
        <v>204769</v>
      </c>
      <c r="K362" s="652">
        <v>16004</v>
      </c>
      <c r="L362" s="651">
        <v>409</v>
      </c>
      <c r="M362" s="651"/>
      <c r="N362" s="652">
        <v>8188</v>
      </c>
      <c r="O362" s="652">
        <v>75579</v>
      </c>
      <c r="P362" s="652">
        <v>0</v>
      </c>
      <c r="Q362" s="651">
        <v>17487</v>
      </c>
      <c r="R362" s="651"/>
      <c r="S362" s="652">
        <v>62456</v>
      </c>
      <c r="T362" s="653">
        <v>-6141</v>
      </c>
      <c r="U362" s="653">
        <v>56315</v>
      </c>
    </row>
    <row r="363" spans="1:21" x14ac:dyDescent="0.25">
      <c r="A363" s="648">
        <v>93691</v>
      </c>
      <c r="B363" s="649" t="s">
        <v>2898</v>
      </c>
      <c r="C363" s="650">
        <v>1.1251E-3</v>
      </c>
      <c r="D363" s="650">
        <v>1.1314999999999999E-3</v>
      </c>
      <c r="E363" s="651">
        <v>407119.95</v>
      </c>
      <c r="F363" s="651">
        <v>507810</v>
      </c>
      <c r="G363" s="651">
        <v>2387839</v>
      </c>
      <c r="H363" s="651"/>
      <c r="I363" s="652">
        <v>44863</v>
      </c>
      <c r="J363" s="652">
        <v>2092508</v>
      </c>
      <c r="K363" s="652">
        <v>163546</v>
      </c>
      <c r="L363" s="651">
        <v>0</v>
      </c>
      <c r="M363" s="651"/>
      <c r="N363" s="652">
        <v>83673</v>
      </c>
      <c r="O363" s="652">
        <v>772334</v>
      </c>
      <c r="P363" s="652">
        <v>0</v>
      </c>
      <c r="Q363" s="651">
        <v>90621</v>
      </c>
      <c r="R363" s="651"/>
      <c r="S363" s="652">
        <v>638234</v>
      </c>
      <c r="T363" s="653">
        <v>-28965</v>
      </c>
      <c r="U363" s="653">
        <v>609269</v>
      </c>
    </row>
    <row r="364" spans="1:21" x14ac:dyDescent="0.25">
      <c r="A364" s="648">
        <v>93701</v>
      </c>
      <c r="B364" s="649" t="s">
        <v>2899</v>
      </c>
      <c r="C364" s="650">
        <v>4.6200000000000001E-4</v>
      </c>
      <c r="D364" s="650">
        <v>4.7169999999999997E-4</v>
      </c>
      <c r="E364" s="651">
        <v>182681.63</v>
      </c>
      <c r="F364" s="651">
        <v>211696</v>
      </c>
      <c r="G364" s="651">
        <v>980518.77</v>
      </c>
      <c r="H364" s="651"/>
      <c r="I364" s="652">
        <v>18422.25</v>
      </c>
      <c r="J364" s="652">
        <v>859247</v>
      </c>
      <c r="K364" s="652">
        <v>67157</v>
      </c>
      <c r="L364" s="651">
        <v>13714</v>
      </c>
      <c r="M364" s="651"/>
      <c r="N364" s="652">
        <v>34358</v>
      </c>
      <c r="O364" s="652">
        <v>317144</v>
      </c>
      <c r="P364" s="652">
        <v>0</v>
      </c>
      <c r="Q364" s="651">
        <v>11063</v>
      </c>
      <c r="R364" s="651"/>
      <c r="S364" s="652">
        <v>262078</v>
      </c>
      <c r="T364" s="653">
        <v>2925</v>
      </c>
      <c r="U364" s="653">
        <v>265003</v>
      </c>
    </row>
    <row r="365" spans="1:21" x14ac:dyDescent="0.25">
      <c r="A365" s="648">
        <v>93704</v>
      </c>
      <c r="B365" s="649" t="s">
        <v>2900</v>
      </c>
      <c r="C365" s="650">
        <v>3.3000000000000002E-6</v>
      </c>
      <c r="D365" s="650">
        <v>3.3000000000000002E-6</v>
      </c>
      <c r="E365" s="651">
        <v>1805</v>
      </c>
      <c r="F365" s="651">
        <v>1481</v>
      </c>
      <c r="G365" s="651">
        <v>7004</v>
      </c>
      <c r="H365" s="651"/>
      <c r="I365" s="652">
        <v>131.58750000000001</v>
      </c>
      <c r="J365" s="652">
        <v>6137</v>
      </c>
      <c r="K365" s="652">
        <v>480</v>
      </c>
      <c r="L365" s="651">
        <v>430</v>
      </c>
      <c r="M365" s="651"/>
      <c r="N365" s="652">
        <v>245</v>
      </c>
      <c r="O365" s="652">
        <v>2265</v>
      </c>
      <c r="P365" s="652">
        <v>0</v>
      </c>
      <c r="Q365" s="651">
        <v>97.51</v>
      </c>
      <c r="R365" s="651"/>
      <c r="S365" s="652">
        <v>1872</v>
      </c>
      <c r="T365" s="653">
        <v>69</v>
      </c>
      <c r="U365" s="653">
        <v>1941</v>
      </c>
    </row>
    <row r="366" spans="1:21" x14ac:dyDescent="0.25">
      <c r="A366" s="648">
        <v>93801</v>
      </c>
      <c r="B366" s="649" t="s">
        <v>2901</v>
      </c>
      <c r="C366" s="650">
        <v>5.4180000000000005E-4</v>
      </c>
      <c r="D366" s="650">
        <v>4.4959999999999998E-4</v>
      </c>
      <c r="E366" s="651">
        <v>326497.91999999998</v>
      </c>
      <c r="F366" s="651">
        <v>201778</v>
      </c>
      <c r="G366" s="651">
        <v>1149881</v>
      </c>
      <c r="H366" s="651"/>
      <c r="I366" s="652">
        <v>21604</v>
      </c>
      <c r="J366" s="652">
        <v>1007662</v>
      </c>
      <c r="K366" s="652">
        <v>78757</v>
      </c>
      <c r="L366" s="651">
        <v>156479</v>
      </c>
      <c r="M366" s="651"/>
      <c r="N366" s="652">
        <v>40293</v>
      </c>
      <c r="O366" s="652">
        <v>371923</v>
      </c>
      <c r="P366" s="652">
        <v>0</v>
      </c>
      <c r="Q366" s="651">
        <v>2943</v>
      </c>
      <c r="R366" s="651"/>
      <c r="S366" s="652">
        <v>307346</v>
      </c>
      <c r="T366" s="653">
        <v>41370</v>
      </c>
      <c r="U366" s="653">
        <v>348716</v>
      </c>
    </row>
    <row r="367" spans="1:21" x14ac:dyDescent="0.25">
      <c r="A367" s="648">
        <v>93803</v>
      </c>
      <c r="B367" s="649" t="s">
        <v>2902</v>
      </c>
      <c r="C367" s="650">
        <v>1.4469999999999999E-4</v>
      </c>
      <c r="D367" s="650">
        <v>1.582E-4</v>
      </c>
      <c r="E367" s="651">
        <v>49766</v>
      </c>
      <c r="F367" s="651">
        <v>70999</v>
      </c>
      <c r="G367" s="651">
        <v>307102</v>
      </c>
      <c r="H367" s="651"/>
      <c r="I367" s="652">
        <v>5770</v>
      </c>
      <c r="J367" s="652">
        <v>269119</v>
      </c>
      <c r="K367" s="652">
        <v>21034</v>
      </c>
      <c r="L367" s="651">
        <v>0</v>
      </c>
      <c r="M367" s="651"/>
      <c r="N367" s="652">
        <v>10761</v>
      </c>
      <c r="O367" s="652">
        <v>99330</v>
      </c>
      <c r="P367" s="652">
        <v>0</v>
      </c>
      <c r="Q367" s="651">
        <v>34507</v>
      </c>
      <c r="R367" s="651"/>
      <c r="S367" s="652">
        <v>82084</v>
      </c>
      <c r="T367" s="653">
        <v>-12391</v>
      </c>
      <c r="U367" s="653">
        <v>69693</v>
      </c>
    </row>
    <row r="368" spans="1:21" x14ac:dyDescent="0.25">
      <c r="A368" s="648">
        <v>93806</v>
      </c>
      <c r="B368" s="649" t="s">
        <v>2903</v>
      </c>
      <c r="C368" s="650">
        <v>7.3700000000000002E-5</v>
      </c>
      <c r="D368" s="650">
        <v>7.7899999999999996E-5</v>
      </c>
      <c r="E368" s="651">
        <v>32242.28</v>
      </c>
      <c r="F368" s="651">
        <v>34961</v>
      </c>
      <c r="G368" s="651">
        <v>156416</v>
      </c>
      <c r="H368" s="651"/>
      <c r="I368" s="652">
        <v>2939</v>
      </c>
      <c r="J368" s="652">
        <v>137070</v>
      </c>
      <c r="K368" s="652">
        <v>10713</v>
      </c>
      <c r="L368" s="651">
        <v>1793</v>
      </c>
      <c r="M368" s="651"/>
      <c r="N368" s="652">
        <v>5481</v>
      </c>
      <c r="O368" s="652">
        <v>50592</v>
      </c>
      <c r="P368" s="652">
        <v>0</v>
      </c>
      <c r="Q368" s="651">
        <v>19837</v>
      </c>
      <c r="R368" s="651"/>
      <c r="S368" s="652">
        <v>41808</v>
      </c>
      <c r="T368" s="653">
        <v>-9153</v>
      </c>
      <c r="U368" s="653">
        <v>32655</v>
      </c>
    </row>
    <row r="369" spans="1:21" x14ac:dyDescent="0.25">
      <c r="A369" s="648">
        <v>93821</v>
      </c>
      <c r="B369" s="649" t="s">
        <v>2904</v>
      </c>
      <c r="C369" s="650">
        <v>5.7200000000000001E-5</v>
      </c>
      <c r="D369" s="650">
        <v>5.2899999999999998E-5</v>
      </c>
      <c r="E369" s="651">
        <v>45354.71</v>
      </c>
      <c r="F369" s="651">
        <v>23741</v>
      </c>
      <c r="G369" s="651">
        <v>121398</v>
      </c>
      <c r="H369" s="651"/>
      <c r="I369" s="652">
        <v>2280.85</v>
      </c>
      <c r="J369" s="652">
        <v>106383</v>
      </c>
      <c r="K369" s="652">
        <v>8315</v>
      </c>
      <c r="L369" s="651">
        <v>26142</v>
      </c>
      <c r="M369" s="651"/>
      <c r="N369" s="652">
        <v>4254</v>
      </c>
      <c r="O369" s="652">
        <v>39265</v>
      </c>
      <c r="P369" s="652">
        <v>0</v>
      </c>
      <c r="Q369" s="651">
        <v>0</v>
      </c>
      <c r="R369" s="651"/>
      <c r="S369" s="652">
        <v>32448</v>
      </c>
      <c r="T369" s="653">
        <v>7718</v>
      </c>
      <c r="U369" s="653">
        <v>40166</v>
      </c>
    </row>
    <row r="370" spans="1:21" x14ac:dyDescent="0.25">
      <c r="A370" s="648">
        <v>93901</v>
      </c>
      <c r="B370" s="649" t="s">
        <v>2905</v>
      </c>
      <c r="C370" s="650">
        <v>1.8059E-3</v>
      </c>
      <c r="D370" s="650">
        <v>1.7983999999999999E-3</v>
      </c>
      <c r="E370" s="651">
        <v>780735.88</v>
      </c>
      <c r="F370" s="651">
        <v>807111</v>
      </c>
      <c r="G370" s="651">
        <v>3832725</v>
      </c>
      <c r="H370" s="651"/>
      <c r="I370" s="652">
        <v>72010</v>
      </c>
      <c r="J370" s="652">
        <v>3358689</v>
      </c>
      <c r="K370" s="652">
        <v>262507</v>
      </c>
      <c r="L370" s="651">
        <v>66837</v>
      </c>
      <c r="M370" s="651"/>
      <c r="N370" s="652">
        <v>134303</v>
      </c>
      <c r="O370" s="652">
        <v>1239675</v>
      </c>
      <c r="P370" s="652">
        <v>0</v>
      </c>
      <c r="Q370" s="651">
        <v>0</v>
      </c>
      <c r="R370" s="651"/>
      <c r="S370" s="652">
        <v>1024431</v>
      </c>
      <c r="T370" s="653">
        <v>21679</v>
      </c>
      <c r="U370" s="653">
        <v>1046110</v>
      </c>
    </row>
    <row r="371" spans="1:21" x14ac:dyDescent="0.25">
      <c r="A371" s="648">
        <v>93904</v>
      </c>
      <c r="B371" s="649" t="s">
        <v>2906</v>
      </c>
      <c r="C371" s="650">
        <v>2.4700000000000001E-5</v>
      </c>
      <c r="D371" s="650">
        <v>2.5700000000000001E-5</v>
      </c>
      <c r="E371" s="651">
        <v>12993.06</v>
      </c>
      <c r="F371" s="651">
        <v>11534</v>
      </c>
      <c r="G371" s="651">
        <v>52422</v>
      </c>
      <c r="H371" s="651"/>
      <c r="I371" s="652">
        <v>984.91250000000002</v>
      </c>
      <c r="J371" s="652">
        <v>45938</v>
      </c>
      <c r="K371" s="652">
        <v>3590</v>
      </c>
      <c r="L371" s="651">
        <v>4911</v>
      </c>
      <c r="M371" s="651"/>
      <c r="N371" s="652">
        <v>1837</v>
      </c>
      <c r="O371" s="652">
        <v>16956</v>
      </c>
      <c r="P371" s="652">
        <v>0</v>
      </c>
      <c r="Q371" s="651">
        <v>56</v>
      </c>
      <c r="R371" s="651"/>
      <c r="S371" s="652">
        <v>14012</v>
      </c>
      <c r="T371" s="653">
        <v>1550</v>
      </c>
      <c r="U371" s="653">
        <v>15562</v>
      </c>
    </row>
    <row r="372" spans="1:21" x14ac:dyDescent="0.25">
      <c r="A372" s="648">
        <v>93906</v>
      </c>
      <c r="B372" s="649" t="s">
        <v>2907</v>
      </c>
      <c r="C372" s="650">
        <v>3.4513E-3</v>
      </c>
      <c r="D372" s="650">
        <v>3.4020000000000001E-3</v>
      </c>
      <c r="E372" s="651">
        <v>1324474.51</v>
      </c>
      <c r="F372" s="651">
        <v>1526797</v>
      </c>
      <c r="G372" s="651">
        <v>7324815</v>
      </c>
      <c r="H372" s="651"/>
      <c r="I372" s="652">
        <v>137621</v>
      </c>
      <c r="J372" s="652">
        <v>6418873</v>
      </c>
      <c r="K372" s="652">
        <v>501684</v>
      </c>
      <c r="L372" s="651">
        <v>30117</v>
      </c>
      <c r="M372" s="651"/>
      <c r="N372" s="652">
        <v>256670</v>
      </c>
      <c r="O372" s="652">
        <v>2369172</v>
      </c>
      <c r="P372" s="652">
        <v>0</v>
      </c>
      <c r="Q372" s="651">
        <v>185682</v>
      </c>
      <c r="R372" s="651"/>
      <c r="S372" s="652">
        <v>1957815</v>
      </c>
      <c r="T372" s="653">
        <v>-46065</v>
      </c>
      <c r="U372" s="653">
        <v>1911751</v>
      </c>
    </row>
    <row r="373" spans="1:21" x14ac:dyDescent="0.25">
      <c r="A373" s="648">
        <v>93908</v>
      </c>
      <c r="B373" s="649" t="s">
        <v>2908</v>
      </c>
      <c r="C373" s="650">
        <v>5.0239999999999996E-4</v>
      </c>
      <c r="D373" s="650">
        <v>5.1309999999999995E-4</v>
      </c>
      <c r="E373" s="651">
        <v>209823</v>
      </c>
      <c r="F373" s="651">
        <v>230276</v>
      </c>
      <c r="G373" s="651">
        <v>1066261</v>
      </c>
      <c r="H373" s="651"/>
      <c r="I373" s="652">
        <v>20033</v>
      </c>
      <c r="J373" s="652">
        <v>934385</v>
      </c>
      <c r="K373" s="652">
        <v>73029</v>
      </c>
      <c r="L373" s="651">
        <v>8428</v>
      </c>
      <c r="M373" s="651"/>
      <c r="N373" s="652">
        <v>37363</v>
      </c>
      <c r="O373" s="652">
        <v>344876</v>
      </c>
      <c r="P373" s="652">
        <v>0</v>
      </c>
      <c r="Q373" s="651">
        <v>25053</v>
      </c>
      <c r="R373" s="651"/>
      <c r="S373" s="652">
        <v>284996</v>
      </c>
      <c r="T373" s="653">
        <v>-4339</v>
      </c>
      <c r="U373" s="653">
        <v>280657</v>
      </c>
    </row>
    <row r="374" spans="1:21" x14ac:dyDescent="0.25">
      <c r="A374" s="648">
        <v>93910</v>
      </c>
      <c r="B374" s="649" t="s">
        <v>2909</v>
      </c>
      <c r="C374" s="650">
        <v>2.9129999999999998E-4</v>
      </c>
      <c r="D374" s="650">
        <v>2.8830000000000001E-4</v>
      </c>
      <c r="E374" s="651">
        <v>105004</v>
      </c>
      <c r="F374" s="651">
        <v>129387</v>
      </c>
      <c r="G374" s="651">
        <v>618236</v>
      </c>
      <c r="H374" s="651"/>
      <c r="I374" s="652">
        <v>11616</v>
      </c>
      <c r="J374" s="652">
        <v>541772</v>
      </c>
      <c r="K374" s="652">
        <v>42344</v>
      </c>
      <c r="L374" s="651">
        <v>0</v>
      </c>
      <c r="M374" s="651"/>
      <c r="N374" s="652">
        <v>21664</v>
      </c>
      <c r="O374" s="652">
        <v>199965</v>
      </c>
      <c r="P374" s="652">
        <v>0</v>
      </c>
      <c r="Q374" s="651">
        <v>27549</v>
      </c>
      <c r="R374" s="651"/>
      <c r="S374" s="652">
        <v>165245</v>
      </c>
      <c r="T374" s="653">
        <v>-10320</v>
      </c>
      <c r="U374" s="653">
        <v>154925</v>
      </c>
    </row>
    <row r="375" spans="1:21" x14ac:dyDescent="0.25">
      <c r="A375" s="648">
        <v>93911</v>
      </c>
      <c r="B375" s="649" t="s">
        <v>2910</v>
      </c>
      <c r="C375" s="650">
        <v>6.9890000000000002E-4</v>
      </c>
      <c r="D375" s="650">
        <v>7.1869999999999996E-4</v>
      </c>
      <c r="E375" s="651">
        <v>267489</v>
      </c>
      <c r="F375" s="651">
        <v>322548</v>
      </c>
      <c r="G375" s="651">
        <v>1483300</v>
      </c>
      <c r="H375" s="651"/>
      <c r="I375" s="652">
        <v>27869</v>
      </c>
      <c r="J375" s="652">
        <v>1299844</v>
      </c>
      <c r="K375" s="652">
        <v>101593</v>
      </c>
      <c r="L375" s="651">
        <v>21802</v>
      </c>
      <c r="M375" s="651"/>
      <c r="N375" s="652">
        <v>51976</v>
      </c>
      <c r="O375" s="652">
        <v>479765</v>
      </c>
      <c r="P375" s="652">
        <v>0</v>
      </c>
      <c r="Q375" s="651">
        <v>26554</v>
      </c>
      <c r="R375" s="651"/>
      <c r="S375" s="652">
        <v>396464</v>
      </c>
      <c r="T375" s="653">
        <v>1748</v>
      </c>
      <c r="U375" s="653">
        <v>398212</v>
      </c>
    </row>
    <row r="376" spans="1:21" x14ac:dyDescent="0.25">
      <c r="A376" s="648">
        <v>93913</v>
      </c>
      <c r="B376" s="649" t="s">
        <v>2911</v>
      </c>
      <c r="C376" s="650">
        <v>6.2600000000000004E-5</v>
      </c>
      <c r="D376" s="650">
        <v>5.5699999999999999E-5</v>
      </c>
      <c r="E376" s="651">
        <v>25969.759999999998</v>
      </c>
      <c r="F376" s="651">
        <v>24998</v>
      </c>
      <c r="G376" s="651">
        <v>132858</v>
      </c>
      <c r="H376" s="651"/>
      <c r="I376" s="652">
        <v>2496</v>
      </c>
      <c r="J376" s="652">
        <v>116426</v>
      </c>
      <c r="K376" s="652">
        <v>9100</v>
      </c>
      <c r="L376" s="651">
        <v>3917</v>
      </c>
      <c r="M376" s="651"/>
      <c r="N376" s="652">
        <v>4655</v>
      </c>
      <c r="O376" s="652">
        <v>42972</v>
      </c>
      <c r="P376" s="652">
        <v>0</v>
      </c>
      <c r="Q376" s="651">
        <v>1335</v>
      </c>
      <c r="R376" s="651"/>
      <c r="S376" s="652">
        <v>35511</v>
      </c>
      <c r="T376" s="653">
        <v>530</v>
      </c>
      <c r="U376" s="653">
        <v>36041</v>
      </c>
    </row>
    <row r="377" spans="1:21" x14ac:dyDescent="0.25">
      <c r="A377" s="648">
        <v>93914</v>
      </c>
      <c r="B377" s="649" t="s">
        <v>2912</v>
      </c>
      <c r="C377" s="650">
        <v>9.0999999999999993E-6</v>
      </c>
      <c r="D377" s="650">
        <v>1.0000000000000001E-5</v>
      </c>
      <c r="E377" s="651">
        <v>5837.72</v>
      </c>
      <c r="F377" s="651">
        <v>4488</v>
      </c>
      <c r="G377" s="651">
        <v>19313</v>
      </c>
      <c r="H377" s="651"/>
      <c r="I377" s="652">
        <v>363</v>
      </c>
      <c r="J377" s="652">
        <v>16925</v>
      </c>
      <c r="K377" s="652">
        <v>1323</v>
      </c>
      <c r="L377" s="651">
        <v>3108</v>
      </c>
      <c r="M377" s="651"/>
      <c r="N377" s="652">
        <v>677</v>
      </c>
      <c r="O377" s="652">
        <v>6247</v>
      </c>
      <c r="P377" s="652">
        <v>0</v>
      </c>
      <c r="Q377" s="651">
        <v>0</v>
      </c>
      <c r="R377" s="651"/>
      <c r="S377" s="652">
        <v>5162</v>
      </c>
      <c r="T377" s="653">
        <v>1124</v>
      </c>
      <c r="U377" s="653">
        <v>6287</v>
      </c>
    </row>
    <row r="378" spans="1:21" x14ac:dyDescent="0.25">
      <c r="A378" s="648">
        <v>93921</v>
      </c>
      <c r="B378" s="649" t="s">
        <v>2913</v>
      </c>
      <c r="C378" s="650">
        <v>2.7139999999999998E-4</v>
      </c>
      <c r="D378" s="650">
        <v>2.8130000000000001E-4</v>
      </c>
      <c r="E378" s="651">
        <v>109806.1</v>
      </c>
      <c r="F378" s="651">
        <v>126246</v>
      </c>
      <c r="G378" s="651">
        <v>576002</v>
      </c>
      <c r="H378" s="651"/>
      <c r="I378" s="652">
        <v>10822</v>
      </c>
      <c r="J378" s="652">
        <v>504761</v>
      </c>
      <c r="K378" s="652">
        <v>39451</v>
      </c>
      <c r="L378" s="651">
        <v>14895</v>
      </c>
      <c r="M378" s="651"/>
      <c r="N378" s="652">
        <v>20184</v>
      </c>
      <c r="O378" s="652">
        <v>186305</v>
      </c>
      <c r="P378" s="652">
        <v>0</v>
      </c>
      <c r="Q378" s="651">
        <v>6797</v>
      </c>
      <c r="R378" s="651"/>
      <c r="S378" s="652">
        <v>153957</v>
      </c>
      <c r="T378" s="653">
        <v>4443</v>
      </c>
      <c r="U378" s="653">
        <v>158400</v>
      </c>
    </row>
    <row r="379" spans="1:21" x14ac:dyDescent="0.25">
      <c r="A379" s="648">
        <v>93931</v>
      </c>
      <c r="B379" s="649" t="s">
        <v>2914</v>
      </c>
      <c r="C379" s="650">
        <v>5.2260000000000002E-4</v>
      </c>
      <c r="D379" s="650">
        <v>5.1309999999999995E-4</v>
      </c>
      <c r="E379" s="651">
        <v>190729</v>
      </c>
      <c r="F379" s="651">
        <v>230276</v>
      </c>
      <c r="G379" s="651">
        <v>1109132</v>
      </c>
      <c r="H379" s="651"/>
      <c r="I379" s="652">
        <v>20839</v>
      </c>
      <c r="J379" s="652">
        <v>971953</v>
      </c>
      <c r="K379" s="652">
        <v>75966</v>
      </c>
      <c r="L379" s="651">
        <v>197494</v>
      </c>
      <c r="M379" s="651"/>
      <c r="N379" s="652">
        <v>38865</v>
      </c>
      <c r="O379" s="652">
        <v>358743</v>
      </c>
      <c r="P379" s="652">
        <v>0</v>
      </c>
      <c r="Q379" s="651">
        <v>14064</v>
      </c>
      <c r="R379" s="651"/>
      <c r="S379" s="652">
        <v>296455</v>
      </c>
      <c r="T379" s="653">
        <v>86279</v>
      </c>
      <c r="U379" s="653">
        <v>382733</v>
      </c>
    </row>
    <row r="380" spans="1:21" x14ac:dyDescent="0.25">
      <c r="A380" s="648">
        <v>94001</v>
      </c>
      <c r="B380" s="649" t="s">
        <v>2915</v>
      </c>
      <c r="C380" s="650">
        <v>9.0240000000000003E-4</v>
      </c>
      <c r="D380" s="650">
        <v>8.1820000000000005E-4</v>
      </c>
      <c r="E380" s="651">
        <v>359460</v>
      </c>
      <c r="F380" s="651">
        <v>367203</v>
      </c>
      <c r="G380" s="651">
        <v>1915195</v>
      </c>
      <c r="H380" s="651"/>
      <c r="I380" s="652">
        <v>35983</v>
      </c>
      <c r="J380" s="652">
        <v>1678321</v>
      </c>
      <c r="K380" s="652">
        <v>131174</v>
      </c>
      <c r="L380" s="651">
        <v>36363</v>
      </c>
      <c r="M380" s="651"/>
      <c r="N380" s="652">
        <v>67111</v>
      </c>
      <c r="O380" s="652">
        <v>619460</v>
      </c>
      <c r="P380" s="652">
        <v>0</v>
      </c>
      <c r="Q380" s="651">
        <v>53646</v>
      </c>
      <c r="R380" s="651"/>
      <c r="S380" s="652">
        <v>511904</v>
      </c>
      <c r="T380" s="653">
        <v>-17058</v>
      </c>
      <c r="U380" s="653">
        <v>494846</v>
      </c>
    </row>
    <row r="381" spans="1:21" x14ac:dyDescent="0.25">
      <c r="A381" s="648">
        <v>94002</v>
      </c>
      <c r="B381" s="649" t="s">
        <v>2916</v>
      </c>
      <c r="C381" s="650">
        <v>7.6000000000000001E-6</v>
      </c>
      <c r="D381" s="650">
        <v>8.3000000000000002E-6</v>
      </c>
      <c r="E381" s="651">
        <v>4360</v>
      </c>
      <c r="F381" s="651">
        <v>3725</v>
      </c>
      <c r="G381" s="651">
        <v>16130</v>
      </c>
      <c r="H381" s="651"/>
      <c r="I381" s="652">
        <v>303.05</v>
      </c>
      <c r="J381" s="652">
        <v>14135</v>
      </c>
      <c r="K381" s="652">
        <v>1105</v>
      </c>
      <c r="L381" s="651">
        <v>867</v>
      </c>
      <c r="M381" s="651"/>
      <c r="N381" s="652">
        <v>565</v>
      </c>
      <c r="O381" s="652">
        <v>5217</v>
      </c>
      <c r="P381" s="652">
        <v>0</v>
      </c>
      <c r="Q381" s="651">
        <v>430</v>
      </c>
      <c r="R381" s="651"/>
      <c r="S381" s="652">
        <v>4311</v>
      </c>
      <c r="T381" s="653">
        <v>34</v>
      </c>
      <c r="U381" s="653">
        <v>4345</v>
      </c>
    </row>
    <row r="382" spans="1:21" x14ac:dyDescent="0.25">
      <c r="A382" s="648">
        <v>94004</v>
      </c>
      <c r="B382" s="649" t="s">
        <v>2917</v>
      </c>
      <c r="C382" s="650">
        <v>2.7999999999999999E-6</v>
      </c>
      <c r="D382" s="650">
        <v>2.2000000000000001E-6</v>
      </c>
      <c r="E382" s="651">
        <v>2638.89</v>
      </c>
      <c r="F382" s="651">
        <v>987</v>
      </c>
      <c r="G382" s="651">
        <v>5943</v>
      </c>
      <c r="H382" s="651"/>
      <c r="I382" s="652">
        <v>112</v>
      </c>
      <c r="J382" s="652">
        <v>5208</v>
      </c>
      <c r="K382" s="652">
        <v>407</v>
      </c>
      <c r="L382" s="651">
        <v>1506</v>
      </c>
      <c r="M382" s="651"/>
      <c r="N382" s="652">
        <v>208</v>
      </c>
      <c r="O382" s="652">
        <v>1922</v>
      </c>
      <c r="P382" s="652">
        <v>0</v>
      </c>
      <c r="Q382" s="651">
        <v>1224</v>
      </c>
      <c r="R382" s="651"/>
      <c r="S382" s="652">
        <v>1588</v>
      </c>
      <c r="T382" s="653">
        <v>-207</v>
      </c>
      <c r="U382" s="653">
        <v>1381</v>
      </c>
    </row>
    <row r="383" spans="1:21" x14ac:dyDescent="0.25">
      <c r="A383" s="648">
        <v>94005</v>
      </c>
      <c r="B383" s="649" t="s">
        <v>2918</v>
      </c>
      <c r="C383" s="650">
        <v>5.4999999999999999E-6</v>
      </c>
      <c r="D383" s="650">
        <v>6.2999999999999998E-6</v>
      </c>
      <c r="E383" s="651">
        <v>0</v>
      </c>
      <c r="F383" s="651">
        <v>2827</v>
      </c>
      <c r="G383" s="651">
        <v>11673</v>
      </c>
      <c r="H383" s="651"/>
      <c r="I383" s="652">
        <v>219.3125</v>
      </c>
      <c r="J383" s="652">
        <v>10229</v>
      </c>
      <c r="K383" s="652">
        <v>799</v>
      </c>
      <c r="L383" s="651">
        <v>0</v>
      </c>
      <c r="M383" s="651"/>
      <c r="N383" s="652">
        <v>409</v>
      </c>
      <c r="O383" s="652">
        <v>3776</v>
      </c>
      <c r="P383" s="652">
        <v>0</v>
      </c>
      <c r="Q383" s="651">
        <v>3798</v>
      </c>
      <c r="R383" s="651"/>
      <c r="S383" s="652">
        <v>3120</v>
      </c>
      <c r="T383" s="653">
        <v>-1174</v>
      </c>
      <c r="U383" s="653">
        <v>1946</v>
      </c>
    </row>
    <row r="384" spans="1:21" x14ac:dyDescent="0.25">
      <c r="A384" s="648">
        <v>94011</v>
      </c>
      <c r="B384" s="649" t="s">
        <v>2919</v>
      </c>
      <c r="C384" s="650">
        <v>2.5599999999999999E-5</v>
      </c>
      <c r="D384" s="650">
        <v>1.3900000000000001E-5</v>
      </c>
      <c r="E384" s="651">
        <v>8013.12</v>
      </c>
      <c r="F384" s="651">
        <v>6238</v>
      </c>
      <c r="G384" s="651">
        <v>54332</v>
      </c>
      <c r="H384" s="651"/>
      <c r="I384" s="652">
        <v>1020.8</v>
      </c>
      <c r="J384" s="652">
        <v>47612</v>
      </c>
      <c r="K384" s="652">
        <v>3721</v>
      </c>
      <c r="L384" s="651">
        <v>4341</v>
      </c>
      <c r="M384" s="651"/>
      <c r="N384" s="652">
        <v>1904</v>
      </c>
      <c r="O384" s="652">
        <v>17573</v>
      </c>
      <c r="P384" s="652">
        <v>0</v>
      </c>
      <c r="Q384" s="651">
        <v>1019</v>
      </c>
      <c r="R384" s="651"/>
      <c r="S384" s="652">
        <v>14522</v>
      </c>
      <c r="T384" s="653">
        <v>639</v>
      </c>
      <c r="U384" s="653">
        <v>15161</v>
      </c>
    </row>
    <row r="385" spans="1:21" x14ac:dyDescent="0.25">
      <c r="A385" s="648">
        <v>94021</v>
      </c>
      <c r="B385" s="649" t="s">
        <v>2920</v>
      </c>
      <c r="C385" s="650">
        <v>8.1699999999999994E-5</v>
      </c>
      <c r="D385" s="650">
        <v>7.6899999999999999E-5</v>
      </c>
      <c r="E385" s="651">
        <v>34891</v>
      </c>
      <c r="F385" s="651">
        <v>34512</v>
      </c>
      <c r="G385" s="651">
        <v>173395</v>
      </c>
      <c r="H385" s="651"/>
      <c r="I385" s="652">
        <v>3258</v>
      </c>
      <c r="J385" s="652">
        <v>151949</v>
      </c>
      <c r="K385" s="652">
        <v>11876</v>
      </c>
      <c r="L385" s="651">
        <v>14318</v>
      </c>
      <c r="M385" s="651"/>
      <c r="N385" s="652">
        <v>6076</v>
      </c>
      <c r="O385" s="652">
        <v>56084</v>
      </c>
      <c r="P385" s="652">
        <v>0</v>
      </c>
      <c r="Q385" s="651">
        <v>0</v>
      </c>
      <c r="R385" s="651"/>
      <c r="S385" s="652">
        <v>46346</v>
      </c>
      <c r="T385" s="653">
        <v>5712</v>
      </c>
      <c r="U385" s="653">
        <v>52058</v>
      </c>
    </row>
    <row r="386" spans="1:21" x14ac:dyDescent="0.25">
      <c r="A386" s="648">
        <v>94031</v>
      </c>
      <c r="B386" s="649" t="s">
        <v>2921</v>
      </c>
      <c r="C386" s="650">
        <v>8.1000000000000004E-6</v>
      </c>
      <c r="D386" s="650">
        <v>6.9E-6</v>
      </c>
      <c r="E386" s="651">
        <v>7705.65</v>
      </c>
      <c r="F386" s="651">
        <v>3097</v>
      </c>
      <c r="G386" s="651">
        <v>17191</v>
      </c>
      <c r="H386" s="651"/>
      <c r="I386" s="652">
        <v>322.98750000000001</v>
      </c>
      <c r="J386" s="652">
        <v>15065</v>
      </c>
      <c r="K386" s="652">
        <v>1177</v>
      </c>
      <c r="L386" s="651">
        <v>8044</v>
      </c>
      <c r="M386" s="651"/>
      <c r="N386" s="652">
        <v>602</v>
      </c>
      <c r="O386" s="652">
        <v>5560</v>
      </c>
      <c r="P386" s="652">
        <v>0</v>
      </c>
      <c r="Q386" s="651">
        <v>81.59</v>
      </c>
      <c r="R386" s="651"/>
      <c r="S386" s="652">
        <v>4595</v>
      </c>
      <c r="T386" s="653">
        <v>2417</v>
      </c>
      <c r="U386" s="653">
        <v>7012</v>
      </c>
    </row>
    <row r="387" spans="1:21" x14ac:dyDescent="0.25">
      <c r="A387" s="648">
        <v>94101</v>
      </c>
      <c r="B387" s="649" t="s">
        <v>2922</v>
      </c>
      <c r="C387" s="650">
        <v>1.85028E-2</v>
      </c>
      <c r="D387" s="650">
        <v>1.9464599999999999E-2</v>
      </c>
      <c r="E387" s="651">
        <v>7542806</v>
      </c>
      <c r="F387" s="651">
        <v>8735596</v>
      </c>
      <c r="G387" s="651">
        <v>39269140</v>
      </c>
      <c r="H387" s="651"/>
      <c r="I387" s="652">
        <v>737799.15</v>
      </c>
      <c r="J387" s="652">
        <v>34412285</v>
      </c>
      <c r="K387" s="652">
        <v>2689586</v>
      </c>
      <c r="L387" s="651">
        <v>420795</v>
      </c>
      <c r="M387" s="651"/>
      <c r="N387" s="652">
        <v>1376035</v>
      </c>
      <c r="O387" s="652">
        <v>12701395</v>
      </c>
      <c r="P387" s="652">
        <v>0</v>
      </c>
      <c r="Q387" s="651">
        <v>1094802</v>
      </c>
      <c r="R387" s="651"/>
      <c r="S387" s="652">
        <v>10496065</v>
      </c>
      <c r="T387" s="653">
        <v>-261265</v>
      </c>
      <c r="U387" s="653">
        <v>10234799</v>
      </c>
    </row>
    <row r="388" spans="1:21" x14ac:dyDescent="0.25">
      <c r="A388" s="648">
        <v>94102</v>
      </c>
      <c r="B388" s="649" t="s">
        <v>2923</v>
      </c>
      <c r="C388" s="650">
        <v>2.7569999999999998E-4</v>
      </c>
      <c r="D388" s="650">
        <v>2.7809999999999998E-4</v>
      </c>
      <c r="E388" s="651">
        <v>89848.97</v>
      </c>
      <c r="F388" s="651">
        <v>124810</v>
      </c>
      <c r="G388" s="651">
        <v>585128</v>
      </c>
      <c r="H388" s="651"/>
      <c r="I388" s="652">
        <v>10994</v>
      </c>
      <c r="J388" s="652">
        <v>512758</v>
      </c>
      <c r="K388" s="652">
        <v>40076</v>
      </c>
      <c r="L388" s="651">
        <v>5166</v>
      </c>
      <c r="M388" s="651"/>
      <c r="N388" s="652">
        <v>20504</v>
      </c>
      <c r="O388" s="652">
        <v>189256</v>
      </c>
      <c r="P388" s="652">
        <v>0</v>
      </c>
      <c r="Q388" s="651">
        <v>36634</v>
      </c>
      <c r="R388" s="651"/>
      <c r="S388" s="652">
        <v>156396</v>
      </c>
      <c r="T388" s="653">
        <v>-8485</v>
      </c>
      <c r="U388" s="653">
        <v>147911</v>
      </c>
    </row>
    <row r="389" spans="1:21" x14ac:dyDescent="0.25">
      <c r="A389" s="648">
        <v>94108</v>
      </c>
      <c r="B389" s="649" t="s">
        <v>2924</v>
      </c>
      <c r="C389" s="650">
        <v>3.1809999999999998E-4</v>
      </c>
      <c r="D389" s="650">
        <v>3.991E-4</v>
      </c>
      <c r="E389" s="651">
        <v>100948</v>
      </c>
      <c r="F389" s="651">
        <v>179114</v>
      </c>
      <c r="G389" s="651">
        <v>675115</v>
      </c>
      <c r="H389" s="651"/>
      <c r="I389" s="652">
        <v>12684</v>
      </c>
      <c r="J389" s="652">
        <v>591616</v>
      </c>
      <c r="K389" s="652">
        <v>46239</v>
      </c>
      <c r="L389" s="651">
        <v>0</v>
      </c>
      <c r="M389" s="651"/>
      <c r="N389" s="652">
        <v>23657</v>
      </c>
      <c r="O389" s="652">
        <v>218362</v>
      </c>
      <c r="P389" s="652">
        <v>0</v>
      </c>
      <c r="Q389" s="651">
        <v>121376</v>
      </c>
      <c r="R389" s="651"/>
      <c r="S389" s="652">
        <v>180448</v>
      </c>
      <c r="T389" s="653">
        <v>-40521</v>
      </c>
      <c r="U389" s="653">
        <v>139927</v>
      </c>
    </row>
    <row r="390" spans="1:21" x14ac:dyDescent="0.25">
      <c r="A390" s="648">
        <v>94109</v>
      </c>
      <c r="B390" s="649" t="s">
        <v>2925</v>
      </c>
      <c r="C390" s="650">
        <v>1.0399999999999999E-4</v>
      </c>
      <c r="D390" s="650">
        <v>1.359E-4</v>
      </c>
      <c r="E390" s="651">
        <v>30807.5</v>
      </c>
      <c r="F390" s="651">
        <v>60991</v>
      </c>
      <c r="G390" s="651">
        <v>220722.84</v>
      </c>
      <c r="H390" s="651"/>
      <c r="I390" s="652">
        <v>4147</v>
      </c>
      <c r="J390" s="652">
        <v>193424</v>
      </c>
      <c r="K390" s="652">
        <v>15118</v>
      </c>
      <c r="L390" s="651">
        <v>1600</v>
      </c>
      <c r="M390" s="651"/>
      <c r="N390" s="652">
        <v>7734</v>
      </c>
      <c r="O390" s="652">
        <v>71392</v>
      </c>
      <c r="P390" s="652">
        <v>0</v>
      </c>
      <c r="Q390" s="651">
        <v>33989</v>
      </c>
      <c r="R390" s="651"/>
      <c r="S390" s="652">
        <v>58996</v>
      </c>
      <c r="T390" s="653">
        <v>-8690</v>
      </c>
      <c r="U390" s="653">
        <v>50306</v>
      </c>
    </row>
    <row r="391" spans="1:21" x14ac:dyDescent="0.25">
      <c r="A391" s="648">
        <v>94111</v>
      </c>
      <c r="B391" s="649" t="s">
        <v>2926</v>
      </c>
      <c r="C391" s="650">
        <v>2.5623300000000002E-2</v>
      </c>
      <c r="D391" s="650">
        <v>2.7054000000000002E-2</v>
      </c>
      <c r="E391" s="651">
        <v>10028319</v>
      </c>
      <c r="F391" s="651">
        <v>12141673</v>
      </c>
      <c r="G391" s="651">
        <v>54381226</v>
      </c>
      <c r="H391" s="651"/>
      <c r="I391" s="652">
        <v>1021729</v>
      </c>
      <c r="J391" s="652">
        <v>47655290</v>
      </c>
      <c r="K391" s="652">
        <v>3724629</v>
      </c>
      <c r="L391" s="651">
        <v>15132</v>
      </c>
      <c r="M391" s="651"/>
      <c r="N391" s="652">
        <v>1905579</v>
      </c>
      <c r="O391" s="652">
        <v>17589319</v>
      </c>
      <c r="P391" s="652">
        <v>0</v>
      </c>
      <c r="Q391" s="651">
        <v>1552982</v>
      </c>
      <c r="R391" s="651"/>
      <c r="S391" s="652">
        <v>14535304</v>
      </c>
      <c r="T391" s="653">
        <v>-430419</v>
      </c>
      <c r="U391" s="653">
        <v>14104885</v>
      </c>
    </row>
    <row r="392" spans="1:21" x14ac:dyDescent="0.25">
      <c r="A392" s="648">
        <v>94112</v>
      </c>
      <c r="B392" s="649" t="s">
        <v>2927</v>
      </c>
      <c r="C392" s="650">
        <v>1.6530000000000001E-4</v>
      </c>
      <c r="D392" s="650">
        <v>1.6909999999999999E-4</v>
      </c>
      <c r="E392" s="651">
        <v>58678.14</v>
      </c>
      <c r="F392" s="651">
        <v>75891</v>
      </c>
      <c r="G392" s="651">
        <v>350822</v>
      </c>
      <c r="H392" s="651"/>
      <c r="I392" s="652">
        <v>6591</v>
      </c>
      <c r="J392" s="652">
        <v>307432</v>
      </c>
      <c r="K392" s="652">
        <v>24028</v>
      </c>
      <c r="L392" s="651">
        <v>0</v>
      </c>
      <c r="M392" s="651"/>
      <c r="N392" s="652">
        <v>12293</v>
      </c>
      <c r="O392" s="652">
        <v>113472</v>
      </c>
      <c r="P392" s="652">
        <v>0</v>
      </c>
      <c r="Q392" s="651">
        <v>20904</v>
      </c>
      <c r="R392" s="651"/>
      <c r="S392" s="652">
        <v>93770</v>
      </c>
      <c r="T392" s="653">
        <v>-7213</v>
      </c>
      <c r="U392" s="653">
        <v>86557</v>
      </c>
    </row>
    <row r="393" spans="1:21" x14ac:dyDescent="0.25">
      <c r="A393" s="648">
        <v>94117</v>
      </c>
      <c r="B393" s="649" t="s">
        <v>2928</v>
      </c>
      <c r="C393" s="650">
        <v>4.0709999999999997E-4</v>
      </c>
      <c r="D393" s="650">
        <v>4.17E-4</v>
      </c>
      <c r="E393" s="651">
        <v>162038</v>
      </c>
      <c r="F393" s="651">
        <v>187147</v>
      </c>
      <c r="G393" s="651">
        <v>864003</v>
      </c>
      <c r="H393" s="651"/>
      <c r="I393" s="652">
        <v>16233</v>
      </c>
      <c r="J393" s="652">
        <v>757142</v>
      </c>
      <c r="K393" s="652">
        <v>59176</v>
      </c>
      <c r="L393" s="651">
        <v>12662</v>
      </c>
      <c r="M393" s="651"/>
      <c r="N393" s="652">
        <v>30276</v>
      </c>
      <c r="O393" s="652">
        <v>279457</v>
      </c>
      <c r="P393" s="652">
        <v>0</v>
      </c>
      <c r="Q393" s="651">
        <v>9635</v>
      </c>
      <c r="R393" s="651"/>
      <c r="S393" s="652">
        <v>230935</v>
      </c>
      <c r="T393" s="653">
        <v>2033</v>
      </c>
      <c r="U393" s="653">
        <v>232968</v>
      </c>
    </row>
    <row r="394" spans="1:21" x14ac:dyDescent="0.25">
      <c r="A394" s="648">
        <v>94118</v>
      </c>
      <c r="B394" s="649" t="s">
        <v>2929</v>
      </c>
      <c r="C394" s="650">
        <v>1.63E-4</v>
      </c>
      <c r="D394" s="650">
        <v>1.918E-4</v>
      </c>
      <c r="E394" s="651">
        <v>53076</v>
      </c>
      <c r="F394" s="651">
        <v>86079</v>
      </c>
      <c r="G394" s="651">
        <v>345941</v>
      </c>
      <c r="H394" s="651"/>
      <c r="I394" s="652">
        <v>6499.625</v>
      </c>
      <c r="J394" s="652">
        <v>303154</v>
      </c>
      <c r="K394" s="652">
        <v>23694</v>
      </c>
      <c r="L394" s="651">
        <v>0</v>
      </c>
      <c r="M394" s="651"/>
      <c r="N394" s="652">
        <v>12122</v>
      </c>
      <c r="O394" s="652">
        <v>111893</v>
      </c>
      <c r="P394" s="652">
        <v>0</v>
      </c>
      <c r="Q394" s="651">
        <v>58615</v>
      </c>
      <c r="R394" s="651"/>
      <c r="S394" s="652">
        <v>92465</v>
      </c>
      <c r="T394" s="653">
        <v>-20217</v>
      </c>
      <c r="U394" s="653">
        <v>72248</v>
      </c>
    </row>
    <row r="395" spans="1:21" x14ac:dyDescent="0.25">
      <c r="A395" s="648">
        <v>94121</v>
      </c>
      <c r="B395" s="649" t="s">
        <v>2930</v>
      </c>
      <c r="C395" s="650">
        <v>1.12823E-2</v>
      </c>
      <c r="D395" s="650">
        <v>1.20112E-2</v>
      </c>
      <c r="E395" s="651">
        <v>4810509.83</v>
      </c>
      <c r="F395" s="651">
        <v>5390554</v>
      </c>
      <c r="G395" s="651">
        <v>23944820</v>
      </c>
      <c r="H395" s="651"/>
      <c r="I395" s="652">
        <v>449882</v>
      </c>
      <c r="J395" s="652">
        <v>20983295</v>
      </c>
      <c r="K395" s="652">
        <v>1640006</v>
      </c>
      <c r="L395" s="651">
        <v>42878</v>
      </c>
      <c r="M395" s="651"/>
      <c r="N395" s="652">
        <v>839053</v>
      </c>
      <c r="O395" s="652">
        <v>7744825</v>
      </c>
      <c r="P395" s="652">
        <v>0</v>
      </c>
      <c r="Q395" s="651">
        <v>429585</v>
      </c>
      <c r="R395" s="651"/>
      <c r="S395" s="652">
        <v>6400099</v>
      </c>
      <c r="T395" s="653">
        <v>-137554</v>
      </c>
      <c r="U395" s="653">
        <v>6262545</v>
      </c>
    </row>
    <row r="396" spans="1:21" x14ac:dyDescent="0.25">
      <c r="A396" s="648">
        <v>94127</v>
      </c>
      <c r="B396" s="649" t="s">
        <v>2931</v>
      </c>
      <c r="C396" s="650">
        <v>1.528E-4</v>
      </c>
      <c r="D396" s="650">
        <v>1.4530000000000001E-4</v>
      </c>
      <c r="E396" s="651">
        <v>61108</v>
      </c>
      <c r="F396" s="651">
        <v>65210</v>
      </c>
      <c r="G396" s="651">
        <v>324293</v>
      </c>
      <c r="H396" s="651"/>
      <c r="I396" s="652">
        <v>6092.9</v>
      </c>
      <c r="J396" s="652">
        <v>284184</v>
      </c>
      <c r="K396" s="652">
        <v>22211</v>
      </c>
      <c r="L396" s="651">
        <v>3883</v>
      </c>
      <c r="M396" s="651"/>
      <c r="N396" s="652">
        <v>11364</v>
      </c>
      <c r="O396" s="652">
        <v>104891</v>
      </c>
      <c r="P396" s="652">
        <v>0</v>
      </c>
      <c r="Q396" s="651">
        <v>617</v>
      </c>
      <c r="R396" s="651"/>
      <c r="S396" s="652">
        <v>86679</v>
      </c>
      <c r="T396" s="653">
        <v>1078</v>
      </c>
      <c r="U396" s="653">
        <v>87756</v>
      </c>
    </row>
    <row r="397" spans="1:21" x14ac:dyDescent="0.25">
      <c r="A397" s="648">
        <v>94131</v>
      </c>
      <c r="B397" s="649" t="s">
        <v>2932</v>
      </c>
      <c r="C397" s="650">
        <v>2.0049999999999999E-4</v>
      </c>
      <c r="D397" s="650">
        <v>2.0120000000000001E-4</v>
      </c>
      <c r="E397" s="651">
        <v>83859.38</v>
      </c>
      <c r="F397" s="651">
        <v>90297</v>
      </c>
      <c r="G397" s="651">
        <v>425528</v>
      </c>
      <c r="H397" s="651"/>
      <c r="I397" s="652">
        <v>7994.9375</v>
      </c>
      <c r="J397" s="652">
        <v>372898</v>
      </c>
      <c r="K397" s="652">
        <v>29145</v>
      </c>
      <c r="L397" s="651">
        <v>4546</v>
      </c>
      <c r="M397" s="651"/>
      <c r="N397" s="652">
        <v>14911</v>
      </c>
      <c r="O397" s="652">
        <v>137635</v>
      </c>
      <c r="P397" s="652">
        <v>0</v>
      </c>
      <c r="Q397" s="651">
        <v>1120</v>
      </c>
      <c r="R397" s="651"/>
      <c r="S397" s="652">
        <v>113737</v>
      </c>
      <c r="T397" s="653">
        <v>979</v>
      </c>
      <c r="U397" s="653">
        <v>114716</v>
      </c>
    </row>
    <row r="398" spans="1:21" x14ac:dyDescent="0.25">
      <c r="A398" s="648">
        <v>94151</v>
      </c>
      <c r="B398" s="649" t="s">
        <v>2933</v>
      </c>
      <c r="C398" s="650">
        <v>4.2870000000000001E-4</v>
      </c>
      <c r="D398" s="650">
        <v>4.0200000000000001E-4</v>
      </c>
      <c r="E398" s="651">
        <v>148093.01</v>
      </c>
      <c r="F398" s="651">
        <v>180415</v>
      </c>
      <c r="G398" s="651">
        <v>909845</v>
      </c>
      <c r="H398" s="651"/>
      <c r="I398" s="652">
        <v>17094</v>
      </c>
      <c r="J398" s="652">
        <v>797314</v>
      </c>
      <c r="K398" s="652">
        <v>62316</v>
      </c>
      <c r="L398" s="651">
        <v>0</v>
      </c>
      <c r="M398" s="651"/>
      <c r="N398" s="652">
        <v>31882</v>
      </c>
      <c r="O398" s="652">
        <v>294285</v>
      </c>
      <c r="P398" s="652">
        <v>0</v>
      </c>
      <c r="Q398" s="651">
        <v>19133</v>
      </c>
      <c r="R398" s="651"/>
      <c r="S398" s="652">
        <v>243188</v>
      </c>
      <c r="T398" s="653">
        <v>-6795</v>
      </c>
      <c r="U398" s="653">
        <v>236393</v>
      </c>
    </row>
    <row r="399" spans="1:21" x14ac:dyDescent="0.25">
      <c r="A399" s="648">
        <v>94157</v>
      </c>
      <c r="B399" s="649" t="s">
        <v>2934</v>
      </c>
      <c r="C399" s="650">
        <v>9.3999999999999998E-6</v>
      </c>
      <c r="D399" s="650">
        <v>8.1999999999999994E-6</v>
      </c>
      <c r="E399" s="651">
        <v>4973</v>
      </c>
      <c r="F399" s="651">
        <v>3680</v>
      </c>
      <c r="G399" s="651">
        <v>19950</v>
      </c>
      <c r="H399" s="651"/>
      <c r="I399" s="652">
        <v>374.82499999999999</v>
      </c>
      <c r="J399" s="652">
        <v>17483</v>
      </c>
      <c r="K399" s="652">
        <v>1366</v>
      </c>
      <c r="L399" s="651">
        <v>5150</v>
      </c>
      <c r="M399" s="651"/>
      <c r="N399" s="652">
        <v>699</v>
      </c>
      <c r="O399" s="652">
        <v>6453</v>
      </c>
      <c r="P399" s="652">
        <v>0</v>
      </c>
      <c r="Q399" s="651">
        <v>0</v>
      </c>
      <c r="R399" s="651"/>
      <c r="S399" s="652">
        <v>5332</v>
      </c>
      <c r="T399" s="653">
        <v>1947</v>
      </c>
      <c r="U399" s="653">
        <v>7280</v>
      </c>
    </row>
    <row r="400" spans="1:21" x14ac:dyDescent="0.25">
      <c r="A400" s="648">
        <v>94161</v>
      </c>
      <c r="B400" s="649" t="s">
        <v>2935</v>
      </c>
      <c r="C400" s="650">
        <v>5.7899999999999998E-5</v>
      </c>
      <c r="D400" s="650">
        <v>5.3000000000000001E-5</v>
      </c>
      <c r="E400" s="651">
        <v>21890.33</v>
      </c>
      <c r="F400" s="651">
        <v>23786</v>
      </c>
      <c r="G400" s="651">
        <v>122883</v>
      </c>
      <c r="H400" s="651"/>
      <c r="I400" s="652">
        <v>2309</v>
      </c>
      <c r="J400" s="652">
        <v>107685</v>
      </c>
      <c r="K400" s="652">
        <v>8416</v>
      </c>
      <c r="L400" s="651">
        <v>8543</v>
      </c>
      <c r="M400" s="651"/>
      <c r="N400" s="652">
        <v>4306</v>
      </c>
      <c r="O400" s="652">
        <v>39746</v>
      </c>
      <c r="P400" s="652">
        <v>0</v>
      </c>
      <c r="Q400" s="651">
        <v>0</v>
      </c>
      <c r="R400" s="651"/>
      <c r="S400" s="652">
        <v>32845</v>
      </c>
      <c r="T400" s="653">
        <v>3088</v>
      </c>
      <c r="U400" s="653">
        <v>35933</v>
      </c>
    </row>
    <row r="401" spans="1:21" x14ac:dyDescent="0.25">
      <c r="A401" s="648">
        <v>94168</v>
      </c>
      <c r="B401" s="649" t="s">
        <v>2936</v>
      </c>
      <c r="C401" s="650">
        <v>3.4E-5</v>
      </c>
      <c r="D401" s="650">
        <v>4.18E-5</v>
      </c>
      <c r="E401" s="651">
        <v>12127.4</v>
      </c>
      <c r="F401" s="651">
        <v>18760</v>
      </c>
      <c r="G401" s="651">
        <v>72159.39</v>
      </c>
      <c r="H401" s="651"/>
      <c r="I401" s="652">
        <v>1355.75</v>
      </c>
      <c r="J401" s="652">
        <v>63235</v>
      </c>
      <c r="K401" s="652">
        <v>4942</v>
      </c>
      <c r="L401" s="651">
        <v>0</v>
      </c>
      <c r="M401" s="651"/>
      <c r="N401" s="652">
        <v>2529</v>
      </c>
      <c r="O401" s="652">
        <v>23340</v>
      </c>
      <c r="P401" s="652">
        <v>0</v>
      </c>
      <c r="Q401" s="651">
        <v>13113</v>
      </c>
      <c r="R401" s="651"/>
      <c r="S401" s="652">
        <v>19287</v>
      </c>
      <c r="T401" s="653">
        <v>-4643</v>
      </c>
      <c r="U401" s="653">
        <v>14644</v>
      </c>
    </row>
    <row r="402" spans="1:21" x14ac:dyDescent="0.25">
      <c r="A402" s="648">
        <v>94171</v>
      </c>
      <c r="B402" s="649" t="s">
        <v>2937</v>
      </c>
      <c r="C402" s="650">
        <v>5.5000000000000002E-5</v>
      </c>
      <c r="D402" s="650">
        <v>5.1100000000000002E-5</v>
      </c>
      <c r="E402" s="651">
        <v>21113.95</v>
      </c>
      <c r="F402" s="651">
        <v>22933</v>
      </c>
      <c r="G402" s="651">
        <v>116728</v>
      </c>
      <c r="H402" s="651"/>
      <c r="I402" s="652">
        <v>2193.125</v>
      </c>
      <c r="J402" s="652">
        <v>102291.31</v>
      </c>
      <c r="K402" s="652">
        <v>7995</v>
      </c>
      <c r="L402" s="651">
        <v>6490</v>
      </c>
      <c r="M402" s="651"/>
      <c r="N402" s="652">
        <v>4090</v>
      </c>
      <c r="O402" s="652">
        <v>37755.19</v>
      </c>
      <c r="P402" s="652">
        <v>0</v>
      </c>
      <c r="Q402" s="651">
        <v>1733</v>
      </c>
      <c r="R402" s="651"/>
      <c r="S402" s="652">
        <v>31200</v>
      </c>
      <c r="T402" s="653">
        <v>1343</v>
      </c>
      <c r="U402" s="653">
        <v>32542</v>
      </c>
    </row>
    <row r="403" spans="1:21" x14ac:dyDescent="0.25">
      <c r="A403" s="648">
        <v>94172</v>
      </c>
      <c r="B403" s="649" t="s">
        <v>2938</v>
      </c>
      <c r="C403" s="650">
        <v>2.6699999999999998E-4</v>
      </c>
      <c r="D403" s="650">
        <v>3.1379999999999998E-4</v>
      </c>
      <c r="E403" s="651">
        <v>80979</v>
      </c>
      <c r="F403" s="651">
        <v>140832</v>
      </c>
      <c r="G403" s="651">
        <v>566663</v>
      </c>
      <c r="H403" s="651"/>
      <c r="I403" s="652">
        <v>10646.625</v>
      </c>
      <c r="J403" s="652">
        <v>496578</v>
      </c>
      <c r="K403" s="652">
        <v>38811</v>
      </c>
      <c r="L403" s="651">
        <v>0</v>
      </c>
      <c r="M403" s="651"/>
      <c r="N403" s="652">
        <v>19857</v>
      </c>
      <c r="O403" s="652">
        <v>183284</v>
      </c>
      <c r="P403" s="652">
        <v>0</v>
      </c>
      <c r="Q403" s="651">
        <v>98660</v>
      </c>
      <c r="R403" s="651"/>
      <c r="S403" s="652">
        <v>151461</v>
      </c>
      <c r="T403" s="653">
        <v>-34663</v>
      </c>
      <c r="U403" s="653">
        <v>116798</v>
      </c>
    </row>
    <row r="404" spans="1:21" x14ac:dyDescent="0.25">
      <c r="A404" s="648">
        <v>94201</v>
      </c>
      <c r="B404" s="649" t="s">
        <v>2939</v>
      </c>
      <c r="C404" s="650">
        <v>3.4813000000000001E-3</v>
      </c>
      <c r="D404" s="650">
        <v>3.4115E-3</v>
      </c>
      <c r="E404" s="651">
        <v>1407554</v>
      </c>
      <c r="F404" s="651">
        <v>1531061</v>
      </c>
      <c r="G404" s="651">
        <v>7388485</v>
      </c>
      <c r="H404" s="651"/>
      <c r="I404" s="652">
        <v>138817</v>
      </c>
      <c r="J404" s="652">
        <v>6474668</v>
      </c>
      <c r="K404" s="652">
        <v>506045</v>
      </c>
      <c r="L404" s="651">
        <v>56033</v>
      </c>
      <c r="M404" s="651"/>
      <c r="N404" s="652">
        <v>258901</v>
      </c>
      <c r="O404" s="652">
        <v>2389766</v>
      </c>
      <c r="P404" s="652">
        <v>0</v>
      </c>
      <c r="Q404" s="651">
        <v>3701</v>
      </c>
      <c r="R404" s="651"/>
      <c r="S404" s="652">
        <v>1974834</v>
      </c>
      <c r="T404" s="653">
        <v>16227</v>
      </c>
      <c r="U404" s="653">
        <v>1991060</v>
      </c>
    </row>
    <row r="405" spans="1:21" x14ac:dyDescent="0.25">
      <c r="A405" s="648">
        <v>94204</v>
      </c>
      <c r="B405" s="649" t="s">
        <v>2940</v>
      </c>
      <c r="C405" s="650">
        <v>2.4899999999999999E-5</v>
      </c>
      <c r="D405" s="650">
        <v>2.41E-5</v>
      </c>
      <c r="E405" s="651">
        <v>15446</v>
      </c>
      <c r="F405" s="651">
        <v>10816</v>
      </c>
      <c r="G405" s="651">
        <v>52846</v>
      </c>
      <c r="H405" s="651"/>
      <c r="I405" s="652">
        <v>993</v>
      </c>
      <c r="J405" s="652">
        <v>46310</v>
      </c>
      <c r="K405" s="652">
        <v>3619</v>
      </c>
      <c r="L405" s="651">
        <v>10811</v>
      </c>
      <c r="M405" s="651"/>
      <c r="N405" s="652">
        <v>1852</v>
      </c>
      <c r="O405" s="652">
        <v>17093</v>
      </c>
      <c r="P405" s="652">
        <v>0</v>
      </c>
      <c r="Q405" s="651">
        <v>0</v>
      </c>
      <c r="R405" s="651"/>
      <c r="S405" s="652">
        <v>14125</v>
      </c>
      <c r="T405" s="653">
        <v>3721</v>
      </c>
      <c r="U405" s="653">
        <v>17846</v>
      </c>
    </row>
    <row r="406" spans="1:21" x14ac:dyDescent="0.25">
      <c r="A406" s="648">
        <v>94205</v>
      </c>
      <c r="B406" s="649" t="s">
        <v>2941</v>
      </c>
      <c r="C406" s="650">
        <v>2.6100000000000001E-5</v>
      </c>
      <c r="D406" s="650">
        <v>2.6999999999999999E-5</v>
      </c>
      <c r="E406" s="651">
        <v>12435.88</v>
      </c>
      <c r="F406" s="651">
        <v>12117</v>
      </c>
      <c r="G406" s="651">
        <v>55393</v>
      </c>
      <c r="H406" s="651"/>
      <c r="I406" s="652">
        <v>1040.7375</v>
      </c>
      <c r="J406" s="652">
        <v>48542</v>
      </c>
      <c r="K406" s="652">
        <v>3794</v>
      </c>
      <c r="L406" s="651">
        <v>2432</v>
      </c>
      <c r="M406" s="651"/>
      <c r="N406" s="652">
        <v>1941</v>
      </c>
      <c r="O406" s="652">
        <v>17917</v>
      </c>
      <c r="P406" s="652">
        <v>0</v>
      </c>
      <c r="Q406" s="651">
        <v>6726</v>
      </c>
      <c r="R406" s="651"/>
      <c r="S406" s="652">
        <v>14806</v>
      </c>
      <c r="T406" s="653">
        <v>-2600</v>
      </c>
      <c r="U406" s="653">
        <v>12205</v>
      </c>
    </row>
    <row r="407" spans="1:21" x14ac:dyDescent="0.25">
      <c r="A407" s="648">
        <v>94209</v>
      </c>
      <c r="B407" s="649" t="s">
        <v>2942</v>
      </c>
      <c r="C407" s="650">
        <v>3.2909999999999998E-4</v>
      </c>
      <c r="D407" s="650">
        <v>3.5540000000000002E-4</v>
      </c>
      <c r="E407" s="651">
        <v>141050</v>
      </c>
      <c r="F407" s="651">
        <v>159501</v>
      </c>
      <c r="G407" s="651">
        <v>698460</v>
      </c>
      <c r="H407" s="651"/>
      <c r="I407" s="652">
        <v>13123</v>
      </c>
      <c r="J407" s="652">
        <v>612074</v>
      </c>
      <c r="K407" s="652">
        <v>47838</v>
      </c>
      <c r="L407" s="651">
        <v>24306</v>
      </c>
      <c r="M407" s="651"/>
      <c r="N407" s="652">
        <v>24475</v>
      </c>
      <c r="O407" s="652">
        <v>225913</v>
      </c>
      <c r="P407" s="652">
        <v>0</v>
      </c>
      <c r="Q407" s="651">
        <v>9712</v>
      </c>
      <c r="R407" s="651"/>
      <c r="S407" s="652">
        <v>186688</v>
      </c>
      <c r="T407" s="653">
        <v>6974</v>
      </c>
      <c r="U407" s="653">
        <v>193663</v>
      </c>
    </row>
    <row r="408" spans="1:21" x14ac:dyDescent="0.25">
      <c r="A408" s="648">
        <v>94211</v>
      </c>
      <c r="B408" s="649" t="s">
        <v>2943</v>
      </c>
      <c r="C408" s="650">
        <v>1.2400000000000001E-4</v>
      </c>
      <c r="D408" s="650">
        <v>1.217E-4</v>
      </c>
      <c r="E408" s="651">
        <v>49845.440000000002</v>
      </c>
      <c r="F408" s="651">
        <v>54618</v>
      </c>
      <c r="G408" s="651">
        <v>263170</v>
      </c>
      <c r="H408" s="651"/>
      <c r="I408" s="652">
        <v>4944.5</v>
      </c>
      <c r="J408" s="652">
        <v>230620</v>
      </c>
      <c r="K408" s="652">
        <v>18025</v>
      </c>
      <c r="L408" s="651">
        <v>334</v>
      </c>
      <c r="M408" s="651"/>
      <c r="N408" s="652">
        <v>9222</v>
      </c>
      <c r="O408" s="652">
        <v>85121</v>
      </c>
      <c r="P408" s="652">
        <v>0</v>
      </c>
      <c r="Q408" s="651">
        <v>30868</v>
      </c>
      <c r="R408" s="651"/>
      <c r="S408" s="652">
        <v>70341</v>
      </c>
      <c r="T408" s="653">
        <v>-13456</v>
      </c>
      <c r="U408" s="653">
        <v>56885</v>
      </c>
    </row>
    <row r="409" spans="1:21" x14ac:dyDescent="0.25">
      <c r="A409" s="648">
        <v>94221</v>
      </c>
      <c r="B409" s="649" t="s">
        <v>2944</v>
      </c>
      <c r="C409" s="650">
        <v>1.0705999999999999E-3</v>
      </c>
      <c r="D409" s="650">
        <v>1.1294E-3</v>
      </c>
      <c r="E409" s="651">
        <v>386218.22</v>
      </c>
      <c r="F409" s="651">
        <v>506868</v>
      </c>
      <c r="G409" s="651">
        <v>2272172</v>
      </c>
      <c r="H409" s="651"/>
      <c r="I409" s="652">
        <v>42690</v>
      </c>
      <c r="J409" s="652">
        <v>1991147</v>
      </c>
      <c r="K409" s="652">
        <v>155623</v>
      </c>
      <c r="L409" s="651">
        <v>98739</v>
      </c>
      <c r="M409" s="651"/>
      <c r="N409" s="652">
        <v>79619</v>
      </c>
      <c r="O409" s="652">
        <v>734922</v>
      </c>
      <c r="P409" s="652">
        <v>0</v>
      </c>
      <c r="Q409" s="651">
        <v>138383</v>
      </c>
      <c r="R409" s="651"/>
      <c r="S409" s="652">
        <v>607318</v>
      </c>
      <c r="T409" s="653">
        <v>-16318</v>
      </c>
      <c r="U409" s="653">
        <v>591000</v>
      </c>
    </row>
    <row r="410" spans="1:21" x14ac:dyDescent="0.25">
      <c r="A410" s="648">
        <v>94231</v>
      </c>
      <c r="B410" s="649" t="s">
        <v>2945</v>
      </c>
      <c r="C410" s="650">
        <v>2.1269999999999999E-4</v>
      </c>
      <c r="D410" s="650">
        <v>1.9469999999999999E-4</v>
      </c>
      <c r="E410" s="651">
        <v>77695.47</v>
      </c>
      <c r="F410" s="651">
        <v>87380</v>
      </c>
      <c r="G410" s="651">
        <v>451421</v>
      </c>
      <c r="H410" s="651"/>
      <c r="I410" s="652">
        <v>8481</v>
      </c>
      <c r="J410" s="652">
        <v>395588</v>
      </c>
      <c r="K410" s="652">
        <v>30918</v>
      </c>
      <c r="L410" s="651">
        <v>1986</v>
      </c>
      <c r="M410" s="651"/>
      <c r="N410" s="652">
        <v>15818</v>
      </c>
      <c r="O410" s="652">
        <v>146010</v>
      </c>
      <c r="P410" s="652">
        <v>0</v>
      </c>
      <c r="Q410" s="651">
        <v>11747</v>
      </c>
      <c r="R410" s="651"/>
      <c r="S410" s="652">
        <v>120658</v>
      </c>
      <c r="T410" s="653">
        <v>-4519</v>
      </c>
      <c r="U410" s="653">
        <v>116139</v>
      </c>
    </row>
    <row r="411" spans="1:21" x14ac:dyDescent="0.25">
      <c r="A411" s="648">
        <v>94241</v>
      </c>
      <c r="B411" s="649" t="s">
        <v>2946</v>
      </c>
      <c r="C411" s="650">
        <v>8.4099999999999998E-5</v>
      </c>
      <c r="D411" s="650">
        <v>8.4800000000000001E-5</v>
      </c>
      <c r="E411" s="651">
        <v>37415.33</v>
      </c>
      <c r="F411" s="651">
        <v>38058</v>
      </c>
      <c r="G411" s="651">
        <v>178488</v>
      </c>
      <c r="H411" s="651"/>
      <c r="I411" s="652">
        <v>3353</v>
      </c>
      <c r="J411" s="652">
        <v>156413</v>
      </c>
      <c r="K411" s="652">
        <v>12225</v>
      </c>
      <c r="L411" s="651">
        <v>3164</v>
      </c>
      <c r="M411" s="651"/>
      <c r="N411" s="652">
        <v>6254</v>
      </c>
      <c r="O411" s="652">
        <v>57731</v>
      </c>
      <c r="P411" s="652">
        <v>0</v>
      </c>
      <c r="Q411" s="651">
        <v>1327</v>
      </c>
      <c r="R411" s="651"/>
      <c r="S411" s="652">
        <v>47707</v>
      </c>
      <c r="T411" s="653">
        <v>664</v>
      </c>
      <c r="U411" s="653">
        <v>48372</v>
      </c>
    </row>
    <row r="412" spans="1:21" x14ac:dyDescent="0.25">
      <c r="A412" s="648">
        <v>94251</v>
      </c>
      <c r="B412" s="649" t="s">
        <v>2947</v>
      </c>
      <c r="C412" s="650">
        <v>1.4E-5</v>
      </c>
      <c r="D412" s="650">
        <v>2.37E-5</v>
      </c>
      <c r="E412" s="651">
        <v>7105.57</v>
      </c>
      <c r="F412" s="651">
        <v>10636</v>
      </c>
      <c r="G412" s="651">
        <v>29712.69</v>
      </c>
      <c r="H412" s="651"/>
      <c r="I412" s="652">
        <v>558.25</v>
      </c>
      <c r="J412" s="652">
        <v>26038</v>
      </c>
      <c r="K412" s="652">
        <v>2035</v>
      </c>
      <c r="L412" s="651">
        <v>0</v>
      </c>
      <c r="M412" s="651"/>
      <c r="N412" s="652">
        <v>1041</v>
      </c>
      <c r="O412" s="652">
        <v>9610</v>
      </c>
      <c r="P412" s="652">
        <v>0</v>
      </c>
      <c r="Q412" s="651">
        <v>9627</v>
      </c>
      <c r="R412" s="651"/>
      <c r="S412" s="652">
        <v>7942</v>
      </c>
      <c r="T412" s="653">
        <v>-3119</v>
      </c>
      <c r="U412" s="653">
        <v>4823</v>
      </c>
    </row>
    <row r="413" spans="1:21" x14ac:dyDescent="0.25">
      <c r="A413" s="648">
        <v>94261</v>
      </c>
      <c r="B413" s="649" t="s">
        <v>2948</v>
      </c>
      <c r="C413" s="650">
        <v>2.9499999999999999E-5</v>
      </c>
      <c r="D413" s="650">
        <v>1.66E-5</v>
      </c>
      <c r="E413" s="651">
        <v>13527</v>
      </c>
      <c r="F413" s="651">
        <v>7450</v>
      </c>
      <c r="G413" s="651">
        <v>62609</v>
      </c>
      <c r="H413" s="651"/>
      <c r="I413" s="652">
        <v>1176.3125</v>
      </c>
      <c r="J413" s="652">
        <v>54865</v>
      </c>
      <c r="K413" s="652">
        <v>4288</v>
      </c>
      <c r="L413" s="651">
        <v>12167</v>
      </c>
      <c r="M413" s="651"/>
      <c r="N413" s="652">
        <v>2194</v>
      </c>
      <c r="O413" s="652">
        <v>20251</v>
      </c>
      <c r="P413" s="652">
        <v>0</v>
      </c>
      <c r="Q413" s="651">
        <v>0</v>
      </c>
      <c r="R413" s="651"/>
      <c r="S413" s="652">
        <v>16734</v>
      </c>
      <c r="T413" s="653">
        <v>3736</v>
      </c>
      <c r="U413" s="653">
        <v>20471</v>
      </c>
    </row>
    <row r="414" spans="1:21" x14ac:dyDescent="0.25">
      <c r="A414" s="648">
        <v>94301</v>
      </c>
      <c r="B414" s="649" t="s">
        <v>2949</v>
      </c>
      <c r="C414" s="650">
        <v>6.0746999999999997E-3</v>
      </c>
      <c r="D414" s="650">
        <v>6.0625999999999996E-3</v>
      </c>
      <c r="E414" s="651">
        <v>2375298</v>
      </c>
      <c r="F414" s="651">
        <v>2720859</v>
      </c>
      <c r="G414" s="651">
        <v>12892548</v>
      </c>
      <c r="H414" s="651"/>
      <c r="I414" s="652">
        <v>242229</v>
      </c>
      <c r="J414" s="652">
        <v>11297982</v>
      </c>
      <c r="K414" s="652">
        <v>883024</v>
      </c>
      <c r="L414" s="651">
        <v>18885</v>
      </c>
      <c r="M414" s="651"/>
      <c r="N414" s="652">
        <v>451769</v>
      </c>
      <c r="O414" s="652">
        <v>4170026</v>
      </c>
      <c r="P414" s="652">
        <v>0</v>
      </c>
      <c r="Q414" s="651">
        <v>169326</v>
      </c>
      <c r="R414" s="651"/>
      <c r="S414" s="652">
        <v>3445989</v>
      </c>
      <c r="T414" s="653">
        <v>-41856</v>
      </c>
      <c r="U414" s="653">
        <v>3404133</v>
      </c>
    </row>
    <row r="415" spans="1:21" x14ac:dyDescent="0.25">
      <c r="A415" s="648">
        <v>94311</v>
      </c>
      <c r="B415" s="649" t="s">
        <v>2950</v>
      </c>
      <c r="C415" s="650">
        <v>7.4399999999999998E-4</v>
      </c>
      <c r="D415" s="650">
        <v>8.4360000000000001E-4</v>
      </c>
      <c r="E415" s="651">
        <v>317608</v>
      </c>
      <c r="F415" s="651">
        <v>378603</v>
      </c>
      <c r="G415" s="651">
        <v>1579017.24</v>
      </c>
      <c r="H415" s="651"/>
      <c r="I415" s="652">
        <v>29667</v>
      </c>
      <c r="J415" s="652">
        <v>1383722</v>
      </c>
      <c r="K415" s="652">
        <v>108149</v>
      </c>
      <c r="L415" s="651">
        <v>5590</v>
      </c>
      <c r="M415" s="651"/>
      <c r="N415" s="652">
        <v>55331</v>
      </c>
      <c r="O415" s="652">
        <v>510725</v>
      </c>
      <c r="P415" s="652">
        <v>0</v>
      </c>
      <c r="Q415" s="651">
        <v>74131</v>
      </c>
      <c r="R415" s="651"/>
      <c r="S415" s="652">
        <v>422048</v>
      </c>
      <c r="T415" s="653">
        <v>-19207</v>
      </c>
      <c r="U415" s="653">
        <v>402841</v>
      </c>
    </row>
    <row r="416" spans="1:21" x14ac:dyDescent="0.25">
      <c r="A416" s="648">
        <v>94313</v>
      </c>
      <c r="B416" s="649" t="s">
        <v>2951</v>
      </c>
      <c r="C416" s="650">
        <v>2.0299999999999999E-5</v>
      </c>
      <c r="D416" s="650">
        <v>1.8099999999999999E-5</v>
      </c>
      <c r="E416" s="651">
        <v>12274.81</v>
      </c>
      <c r="F416" s="651">
        <v>8123</v>
      </c>
      <c r="G416" s="651">
        <v>43083</v>
      </c>
      <c r="H416" s="651"/>
      <c r="I416" s="652">
        <v>809.46249999999998</v>
      </c>
      <c r="J416" s="652">
        <v>37755</v>
      </c>
      <c r="K416" s="652">
        <v>2951</v>
      </c>
      <c r="L416" s="651">
        <v>7808</v>
      </c>
      <c r="M416" s="651"/>
      <c r="N416" s="652">
        <v>1510</v>
      </c>
      <c r="O416" s="652">
        <v>13935</v>
      </c>
      <c r="P416" s="652">
        <v>0</v>
      </c>
      <c r="Q416" s="651">
        <v>0</v>
      </c>
      <c r="R416" s="651"/>
      <c r="S416" s="652">
        <v>11516</v>
      </c>
      <c r="T416" s="653">
        <v>2576</v>
      </c>
      <c r="U416" s="653">
        <v>14092</v>
      </c>
    </row>
    <row r="417" spans="1:21" x14ac:dyDescent="0.25">
      <c r="A417" s="648">
        <v>94317</v>
      </c>
      <c r="B417" s="649" t="s">
        <v>2952</v>
      </c>
      <c r="C417" s="650">
        <v>1.2099999999999999E-5</v>
      </c>
      <c r="D417" s="650">
        <v>1.15E-5</v>
      </c>
      <c r="E417" s="651">
        <v>8376.6</v>
      </c>
      <c r="F417" s="651">
        <v>5161</v>
      </c>
      <c r="G417" s="651">
        <v>25680</v>
      </c>
      <c r="H417" s="651"/>
      <c r="I417" s="652">
        <v>482</v>
      </c>
      <c r="J417" s="652">
        <v>22504</v>
      </c>
      <c r="K417" s="652">
        <v>1759</v>
      </c>
      <c r="L417" s="651">
        <v>6768</v>
      </c>
      <c r="M417" s="651"/>
      <c r="N417" s="652">
        <v>900</v>
      </c>
      <c r="O417" s="652">
        <v>8306</v>
      </c>
      <c r="P417" s="652">
        <v>0</v>
      </c>
      <c r="Q417" s="651">
        <v>0</v>
      </c>
      <c r="R417" s="651"/>
      <c r="S417" s="652">
        <v>6864</v>
      </c>
      <c r="T417" s="653">
        <v>2325</v>
      </c>
      <c r="U417" s="653">
        <v>9189</v>
      </c>
    </row>
    <row r="418" spans="1:21" x14ac:dyDescent="0.25">
      <c r="A418" s="648">
        <v>94321</v>
      </c>
      <c r="B418" s="649" t="s">
        <v>2953</v>
      </c>
      <c r="C418" s="650">
        <v>2.7070000000000002E-4</v>
      </c>
      <c r="D418" s="650">
        <v>2.7270000000000001E-4</v>
      </c>
      <c r="E418" s="651">
        <v>94893.09</v>
      </c>
      <c r="F418" s="651">
        <v>122386</v>
      </c>
      <c r="G418" s="651">
        <v>574516</v>
      </c>
      <c r="H418" s="651"/>
      <c r="I418" s="652">
        <v>10794</v>
      </c>
      <c r="J418" s="652">
        <v>503459</v>
      </c>
      <c r="K418" s="652">
        <v>39349</v>
      </c>
      <c r="L418" s="651">
        <v>3401</v>
      </c>
      <c r="M418" s="651"/>
      <c r="N418" s="652">
        <v>20132</v>
      </c>
      <c r="O418" s="652">
        <v>185824</v>
      </c>
      <c r="P418" s="652">
        <v>0</v>
      </c>
      <c r="Q418" s="651">
        <v>21015</v>
      </c>
      <c r="R418" s="651"/>
      <c r="S418" s="652">
        <v>153560</v>
      </c>
      <c r="T418" s="653">
        <v>-4393</v>
      </c>
      <c r="U418" s="653">
        <v>149167</v>
      </c>
    </row>
    <row r="419" spans="1:21" x14ac:dyDescent="0.25">
      <c r="A419" s="648">
        <v>94331</v>
      </c>
      <c r="B419" s="649" t="s">
        <v>2954</v>
      </c>
      <c r="C419" s="650">
        <v>1.517E-4</v>
      </c>
      <c r="D419" s="650">
        <v>1.7420000000000001E-4</v>
      </c>
      <c r="E419" s="651">
        <v>69883.19</v>
      </c>
      <c r="F419" s="651">
        <v>78180</v>
      </c>
      <c r="G419" s="651">
        <v>321958</v>
      </c>
      <c r="H419" s="651"/>
      <c r="I419" s="652">
        <v>6049</v>
      </c>
      <c r="J419" s="652">
        <v>282138</v>
      </c>
      <c r="K419" s="652">
        <v>22051</v>
      </c>
      <c r="L419" s="651">
        <v>13796</v>
      </c>
      <c r="M419" s="651"/>
      <c r="N419" s="652">
        <v>11282</v>
      </c>
      <c r="O419" s="652">
        <v>104136</v>
      </c>
      <c r="P419" s="652">
        <v>0</v>
      </c>
      <c r="Q419" s="651">
        <v>6234</v>
      </c>
      <c r="R419" s="651"/>
      <c r="S419" s="652">
        <v>86055</v>
      </c>
      <c r="T419" s="653">
        <v>4466</v>
      </c>
      <c r="U419" s="653">
        <v>90520</v>
      </c>
    </row>
    <row r="420" spans="1:21" x14ac:dyDescent="0.25">
      <c r="A420" s="648">
        <v>94341</v>
      </c>
      <c r="B420" s="649" t="s">
        <v>2955</v>
      </c>
      <c r="C420" s="650">
        <v>8.1000000000000004E-5</v>
      </c>
      <c r="D420" s="650">
        <v>8.8399999999999994E-5</v>
      </c>
      <c r="E420" s="651">
        <v>31929.82</v>
      </c>
      <c r="F420" s="651">
        <v>39673</v>
      </c>
      <c r="G420" s="651">
        <v>171909</v>
      </c>
      <c r="H420" s="651"/>
      <c r="I420" s="652">
        <v>3229.875</v>
      </c>
      <c r="J420" s="652">
        <v>150647</v>
      </c>
      <c r="K420" s="652">
        <v>11774</v>
      </c>
      <c r="L420" s="651">
        <v>513</v>
      </c>
      <c r="M420" s="651"/>
      <c r="N420" s="652">
        <v>6024</v>
      </c>
      <c r="O420" s="652">
        <v>55603</v>
      </c>
      <c r="P420" s="652">
        <v>0</v>
      </c>
      <c r="Q420" s="651">
        <v>8986</v>
      </c>
      <c r="R420" s="651"/>
      <c r="S420" s="652">
        <v>45949</v>
      </c>
      <c r="T420" s="653">
        <v>-3091</v>
      </c>
      <c r="U420" s="653">
        <v>42858</v>
      </c>
    </row>
    <row r="421" spans="1:21" x14ac:dyDescent="0.25">
      <c r="A421" s="648">
        <v>94347</v>
      </c>
      <c r="B421" s="649" t="s">
        <v>2956</v>
      </c>
      <c r="C421" s="650">
        <v>1.2300000000000001E-5</v>
      </c>
      <c r="D421" s="650">
        <v>1.31E-5</v>
      </c>
      <c r="E421" s="651">
        <v>6975</v>
      </c>
      <c r="F421" s="651">
        <v>5879</v>
      </c>
      <c r="G421" s="651">
        <v>26105</v>
      </c>
      <c r="H421" s="651"/>
      <c r="I421" s="652">
        <v>490</v>
      </c>
      <c r="J421" s="652">
        <v>22876</v>
      </c>
      <c r="K421" s="652">
        <v>1788</v>
      </c>
      <c r="L421" s="651">
        <v>3157</v>
      </c>
      <c r="M421" s="651"/>
      <c r="N421" s="652">
        <v>915</v>
      </c>
      <c r="O421" s="652">
        <v>8443</v>
      </c>
      <c r="P421" s="652">
        <v>0</v>
      </c>
      <c r="Q421" s="651">
        <v>0</v>
      </c>
      <c r="R421" s="651"/>
      <c r="S421" s="652">
        <v>6977</v>
      </c>
      <c r="T421" s="653">
        <v>1291</v>
      </c>
      <c r="U421" s="653">
        <v>8268</v>
      </c>
    </row>
    <row r="422" spans="1:21" x14ac:dyDescent="0.25">
      <c r="A422" s="648">
        <v>94351</v>
      </c>
      <c r="B422" s="649" t="s">
        <v>2957</v>
      </c>
      <c r="C422" s="650">
        <v>2.377E-4</v>
      </c>
      <c r="D422" s="650">
        <v>2.3049999999999999E-4</v>
      </c>
      <c r="E422" s="651">
        <v>90845.03</v>
      </c>
      <c r="F422" s="651">
        <v>103447</v>
      </c>
      <c r="G422" s="651">
        <v>504479</v>
      </c>
      <c r="H422" s="651"/>
      <c r="I422" s="652">
        <v>9478</v>
      </c>
      <c r="J422" s="652">
        <v>442084</v>
      </c>
      <c r="K422" s="652">
        <v>34552</v>
      </c>
      <c r="L422" s="651">
        <v>2466</v>
      </c>
      <c r="M422" s="651"/>
      <c r="N422" s="652">
        <v>17678</v>
      </c>
      <c r="O422" s="652">
        <v>163171</v>
      </c>
      <c r="P422" s="652">
        <v>0</v>
      </c>
      <c r="Q422" s="651">
        <v>4917</v>
      </c>
      <c r="R422" s="651"/>
      <c r="S422" s="652">
        <v>134840</v>
      </c>
      <c r="T422" s="653">
        <v>-1210</v>
      </c>
      <c r="U422" s="653">
        <v>133630</v>
      </c>
    </row>
    <row r="423" spans="1:21" x14ac:dyDescent="0.25">
      <c r="A423" s="648">
        <v>94401</v>
      </c>
      <c r="B423" s="649" t="s">
        <v>2958</v>
      </c>
      <c r="C423" s="650">
        <v>3.4548999999999999E-3</v>
      </c>
      <c r="D423" s="650">
        <v>3.3264000000000002E-3</v>
      </c>
      <c r="E423" s="651">
        <v>1346130.7</v>
      </c>
      <c r="F423" s="651">
        <v>1492868</v>
      </c>
      <c r="G423" s="651">
        <v>7332455</v>
      </c>
      <c r="H423" s="651"/>
      <c r="I423" s="652">
        <v>137764</v>
      </c>
      <c r="J423" s="652">
        <v>6425568</v>
      </c>
      <c r="K423" s="652">
        <v>502208</v>
      </c>
      <c r="L423" s="651">
        <v>30696</v>
      </c>
      <c r="M423" s="651"/>
      <c r="N423" s="652">
        <v>256937</v>
      </c>
      <c r="O423" s="652">
        <v>2371644</v>
      </c>
      <c r="P423" s="652">
        <v>0</v>
      </c>
      <c r="Q423" s="651">
        <v>635</v>
      </c>
      <c r="R423" s="651"/>
      <c r="S423" s="652">
        <v>1959858</v>
      </c>
      <c r="T423" s="653">
        <v>9582</v>
      </c>
      <c r="U423" s="653">
        <v>1969439</v>
      </c>
    </row>
    <row r="424" spans="1:21" x14ac:dyDescent="0.25">
      <c r="A424" s="648">
        <v>94402</v>
      </c>
      <c r="B424" s="649" t="s">
        <v>2959</v>
      </c>
      <c r="C424" s="650">
        <v>0</v>
      </c>
      <c r="D424" s="650">
        <v>0</v>
      </c>
      <c r="E424" s="651">
        <v>0</v>
      </c>
      <c r="F424" s="651">
        <v>0</v>
      </c>
      <c r="G424" s="651">
        <v>0</v>
      </c>
      <c r="H424" s="651"/>
      <c r="I424" s="652">
        <v>0</v>
      </c>
      <c r="J424" s="652">
        <v>0</v>
      </c>
      <c r="K424" s="652">
        <v>0</v>
      </c>
      <c r="L424" s="651">
        <v>0</v>
      </c>
      <c r="M424" s="651"/>
      <c r="N424" s="652">
        <v>0</v>
      </c>
      <c r="O424" s="652">
        <v>0</v>
      </c>
      <c r="P424" s="652">
        <v>0</v>
      </c>
      <c r="Q424" s="651">
        <v>2781798</v>
      </c>
      <c r="R424" s="651"/>
      <c r="S424" s="652">
        <v>0</v>
      </c>
      <c r="T424" s="653">
        <v>-1007431</v>
      </c>
      <c r="U424" s="653">
        <v>-1007431</v>
      </c>
    </row>
    <row r="425" spans="1:21" x14ac:dyDescent="0.25">
      <c r="A425" s="648">
        <v>94408</v>
      </c>
      <c r="B425" s="649" t="s">
        <v>2960</v>
      </c>
      <c r="C425" s="650">
        <v>4.0099999999999999E-5</v>
      </c>
      <c r="D425" s="650">
        <v>1.9000000000000001E-5</v>
      </c>
      <c r="E425" s="651">
        <v>13760</v>
      </c>
      <c r="F425" s="651">
        <v>8527</v>
      </c>
      <c r="G425" s="651">
        <v>85106</v>
      </c>
      <c r="H425" s="651"/>
      <c r="I425" s="652">
        <v>1599</v>
      </c>
      <c r="J425" s="652">
        <v>74580</v>
      </c>
      <c r="K425" s="652">
        <v>5829</v>
      </c>
      <c r="L425" s="651">
        <v>10369</v>
      </c>
      <c r="M425" s="651"/>
      <c r="N425" s="652">
        <v>2982</v>
      </c>
      <c r="O425" s="652">
        <v>27527</v>
      </c>
      <c r="P425" s="652">
        <v>0</v>
      </c>
      <c r="Q425" s="651">
        <v>3687</v>
      </c>
      <c r="R425" s="651"/>
      <c r="S425" s="652">
        <v>22747</v>
      </c>
      <c r="T425" s="653">
        <v>939</v>
      </c>
      <c r="U425" s="653">
        <v>23687</v>
      </c>
    </row>
    <row r="426" spans="1:21" x14ac:dyDescent="0.25">
      <c r="A426" s="648">
        <v>94411</v>
      </c>
      <c r="B426" s="649" t="s">
        <v>2961</v>
      </c>
      <c r="C426" s="650">
        <v>1.1592E-3</v>
      </c>
      <c r="D426" s="650">
        <v>1.1820999999999999E-3</v>
      </c>
      <c r="E426" s="651">
        <v>485425</v>
      </c>
      <c r="F426" s="651">
        <v>530519</v>
      </c>
      <c r="G426" s="651">
        <v>2460211</v>
      </c>
      <c r="H426" s="651"/>
      <c r="I426" s="652">
        <v>46223.1</v>
      </c>
      <c r="J426" s="652">
        <v>2155929</v>
      </c>
      <c r="K426" s="652">
        <v>168502</v>
      </c>
      <c r="L426" s="651">
        <v>19239</v>
      </c>
      <c r="M426" s="651"/>
      <c r="N426" s="652">
        <v>86209</v>
      </c>
      <c r="O426" s="652">
        <v>795742</v>
      </c>
      <c r="P426" s="652">
        <v>0</v>
      </c>
      <c r="Q426" s="651">
        <v>5607</v>
      </c>
      <c r="R426" s="651"/>
      <c r="S426" s="652">
        <v>657578</v>
      </c>
      <c r="T426" s="653">
        <v>5340</v>
      </c>
      <c r="U426" s="653">
        <v>662918</v>
      </c>
    </row>
    <row r="427" spans="1:21" x14ac:dyDescent="0.25">
      <c r="A427" s="648">
        <v>94412</v>
      </c>
      <c r="B427" s="649" t="s">
        <v>2962</v>
      </c>
      <c r="C427" s="650">
        <v>1.63E-5</v>
      </c>
      <c r="D427" s="650">
        <v>1.7200000000000001E-5</v>
      </c>
      <c r="E427" s="651">
        <v>13713</v>
      </c>
      <c r="F427" s="651">
        <v>7719</v>
      </c>
      <c r="G427" s="651">
        <v>34594</v>
      </c>
      <c r="H427" s="651"/>
      <c r="I427" s="652">
        <v>649.96249999999998</v>
      </c>
      <c r="J427" s="652">
        <v>30315</v>
      </c>
      <c r="K427" s="652">
        <v>2369</v>
      </c>
      <c r="L427" s="651">
        <v>13305</v>
      </c>
      <c r="M427" s="651"/>
      <c r="N427" s="652">
        <v>1212</v>
      </c>
      <c r="O427" s="652">
        <v>11189</v>
      </c>
      <c r="P427" s="652">
        <v>0</v>
      </c>
      <c r="Q427" s="651">
        <v>0</v>
      </c>
      <c r="R427" s="651"/>
      <c r="S427" s="652">
        <v>9246</v>
      </c>
      <c r="T427" s="653">
        <v>4869</v>
      </c>
      <c r="U427" s="653">
        <v>14116</v>
      </c>
    </row>
    <row r="428" spans="1:21" x14ac:dyDescent="0.25">
      <c r="A428" s="648">
        <v>94421</v>
      </c>
      <c r="B428" s="649" t="s">
        <v>2963</v>
      </c>
      <c r="C428" s="650">
        <v>1.6899999999999999E-4</v>
      </c>
      <c r="D428" s="650">
        <v>1.7149999999999999E-4</v>
      </c>
      <c r="E428" s="651">
        <v>68013</v>
      </c>
      <c r="F428" s="651">
        <v>76968</v>
      </c>
      <c r="G428" s="651">
        <v>358675</v>
      </c>
      <c r="H428" s="651"/>
      <c r="I428" s="652">
        <v>6739</v>
      </c>
      <c r="J428" s="652">
        <v>314313</v>
      </c>
      <c r="K428" s="652">
        <v>24566</v>
      </c>
      <c r="L428" s="651">
        <v>3528</v>
      </c>
      <c r="M428" s="651"/>
      <c r="N428" s="652">
        <v>12568</v>
      </c>
      <c r="O428" s="652">
        <v>116011</v>
      </c>
      <c r="P428" s="652">
        <v>0</v>
      </c>
      <c r="Q428" s="651">
        <v>12354</v>
      </c>
      <c r="R428" s="651"/>
      <c r="S428" s="652">
        <v>95868</v>
      </c>
      <c r="T428" s="653">
        <v>-4340</v>
      </c>
      <c r="U428" s="653">
        <v>91529</v>
      </c>
    </row>
    <row r="429" spans="1:21" x14ac:dyDescent="0.25">
      <c r="A429" s="648">
        <v>94427</v>
      </c>
      <c r="B429" s="649" t="s">
        <v>2964</v>
      </c>
      <c r="C429" s="650">
        <v>1.29E-5</v>
      </c>
      <c r="D429" s="650">
        <v>1.56E-5</v>
      </c>
      <c r="E429" s="651">
        <v>6501.51</v>
      </c>
      <c r="F429" s="651">
        <v>7001</v>
      </c>
      <c r="G429" s="651">
        <v>27378</v>
      </c>
      <c r="H429" s="651"/>
      <c r="I429" s="652">
        <v>514</v>
      </c>
      <c r="J429" s="652">
        <v>23992</v>
      </c>
      <c r="K429" s="652">
        <v>1875</v>
      </c>
      <c r="L429" s="651">
        <v>785</v>
      </c>
      <c r="M429" s="651"/>
      <c r="N429" s="652">
        <v>959</v>
      </c>
      <c r="O429" s="652">
        <v>8855</v>
      </c>
      <c r="P429" s="652">
        <v>0</v>
      </c>
      <c r="Q429" s="651">
        <v>709</v>
      </c>
      <c r="R429" s="651"/>
      <c r="S429" s="652">
        <v>7318</v>
      </c>
      <c r="T429" s="653">
        <v>47</v>
      </c>
      <c r="U429" s="653">
        <v>7365</v>
      </c>
    </row>
    <row r="430" spans="1:21" x14ac:dyDescent="0.25">
      <c r="A430" s="648">
        <v>94428</v>
      </c>
      <c r="B430" s="649" t="s">
        <v>2965</v>
      </c>
      <c r="C430" s="650">
        <v>7.4400000000000006E-5</v>
      </c>
      <c r="D430" s="650">
        <v>7.7799999999999994E-5</v>
      </c>
      <c r="E430" s="651">
        <v>33919</v>
      </c>
      <c r="F430" s="651">
        <v>34916</v>
      </c>
      <c r="G430" s="651">
        <v>157902</v>
      </c>
      <c r="H430" s="651"/>
      <c r="I430" s="652">
        <v>2967</v>
      </c>
      <c r="J430" s="652">
        <v>138372</v>
      </c>
      <c r="K430" s="652">
        <v>10815</v>
      </c>
      <c r="L430" s="651">
        <v>3518</v>
      </c>
      <c r="M430" s="651"/>
      <c r="N430" s="652">
        <v>5533</v>
      </c>
      <c r="O430" s="652">
        <v>51072</v>
      </c>
      <c r="P430" s="652">
        <v>0</v>
      </c>
      <c r="Q430" s="651">
        <v>0</v>
      </c>
      <c r="R430" s="651"/>
      <c r="S430" s="652">
        <v>42205</v>
      </c>
      <c r="T430" s="653">
        <v>1203</v>
      </c>
      <c r="U430" s="653">
        <v>43408</v>
      </c>
    </row>
    <row r="431" spans="1:21" x14ac:dyDescent="0.25">
      <c r="A431" s="648">
        <v>94431</v>
      </c>
      <c r="B431" s="649" t="s">
        <v>2966</v>
      </c>
      <c r="C431" s="650">
        <v>3.7589999999999998E-4</v>
      </c>
      <c r="D431" s="650">
        <v>3.6390000000000001E-4</v>
      </c>
      <c r="E431" s="651">
        <v>261746</v>
      </c>
      <c r="F431" s="651">
        <v>163316</v>
      </c>
      <c r="G431" s="651">
        <v>797786</v>
      </c>
      <c r="H431" s="651"/>
      <c r="I431" s="652">
        <v>14989</v>
      </c>
      <c r="J431" s="652">
        <v>699115</v>
      </c>
      <c r="K431" s="652">
        <v>54641</v>
      </c>
      <c r="L431" s="651">
        <v>140656</v>
      </c>
      <c r="M431" s="651"/>
      <c r="N431" s="652">
        <v>27955</v>
      </c>
      <c r="O431" s="652">
        <v>258040</v>
      </c>
      <c r="P431" s="652">
        <v>0</v>
      </c>
      <c r="Q431" s="651">
        <v>1228</v>
      </c>
      <c r="R431" s="651"/>
      <c r="S431" s="652">
        <v>213236</v>
      </c>
      <c r="T431" s="653">
        <v>40508</v>
      </c>
      <c r="U431" s="653">
        <v>253745</v>
      </c>
    </row>
    <row r="432" spans="1:21" x14ac:dyDescent="0.25">
      <c r="A432" s="648">
        <v>94437</v>
      </c>
      <c r="B432" s="649" t="s">
        <v>2967</v>
      </c>
      <c r="C432" s="650">
        <v>1.34E-5</v>
      </c>
      <c r="D432" s="650">
        <v>1.1600000000000001E-5</v>
      </c>
      <c r="E432" s="651">
        <v>11266</v>
      </c>
      <c r="F432" s="651">
        <v>5206</v>
      </c>
      <c r="G432" s="651">
        <v>28439</v>
      </c>
      <c r="H432" s="651"/>
      <c r="I432" s="652">
        <v>534</v>
      </c>
      <c r="J432" s="652">
        <v>24922</v>
      </c>
      <c r="K432" s="652">
        <v>1948</v>
      </c>
      <c r="L432" s="651">
        <v>12092</v>
      </c>
      <c r="M432" s="651"/>
      <c r="N432" s="652">
        <v>997</v>
      </c>
      <c r="O432" s="652">
        <v>9199</v>
      </c>
      <c r="P432" s="652">
        <v>0</v>
      </c>
      <c r="Q432" s="651">
        <v>0</v>
      </c>
      <c r="R432" s="651"/>
      <c r="S432" s="652">
        <v>7601</v>
      </c>
      <c r="T432" s="653">
        <v>4157</v>
      </c>
      <c r="U432" s="653">
        <v>11759</v>
      </c>
    </row>
    <row r="433" spans="1:21" x14ac:dyDescent="0.25">
      <c r="A433" s="648">
        <v>94501</v>
      </c>
      <c r="B433" s="649" t="s">
        <v>2968</v>
      </c>
      <c r="C433" s="650">
        <v>5.8474E-3</v>
      </c>
      <c r="D433" s="650">
        <v>5.5922999999999997E-3</v>
      </c>
      <c r="E433" s="651">
        <v>2261129.31</v>
      </c>
      <c r="F433" s="651">
        <v>2509791</v>
      </c>
      <c r="G433" s="651">
        <v>12410142</v>
      </c>
      <c r="H433" s="651"/>
      <c r="I433" s="652">
        <v>233165</v>
      </c>
      <c r="J433" s="652">
        <v>10875240</v>
      </c>
      <c r="K433" s="652">
        <v>849984</v>
      </c>
      <c r="L433" s="651">
        <v>248127</v>
      </c>
      <c r="M433" s="651"/>
      <c r="N433" s="652">
        <v>434865</v>
      </c>
      <c r="O433" s="652">
        <v>4013995</v>
      </c>
      <c r="P433" s="652">
        <v>0</v>
      </c>
      <c r="Q433" s="651">
        <v>0</v>
      </c>
      <c r="R433" s="651"/>
      <c r="S433" s="652">
        <v>3317049</v>
      </c>
      <c r="T433" s="653">
        <v>102688</v>
      </c>
      <c r="U433" s="653">
        <v>3419736</v>
      </c>
    </row>
    <row r="434" spans="1:21" x14ac:dyDescent="0.25">
      <c r="A434" s="648">
        <v>94511</v>
      </c>
      <c r="B434" s="649" t="s">
        <v>2969</v>
      </c>
      <c r="C434" s="650">
        <v>1.7432000000000001E-3</v>
      </c>
      <c r="D434" s="650">
        <v>1.7692999999999999E-3</v>
      </c>
      <c r="E434" s="651">
        <v>680925.99</v>
      </c>
      <c r="F434" s="651">
        <v>794051</v>
      </c>
      <c r="G434" s="651">
        <v>3699654</v>
      </c>
      <c r="H434" s="651"/>
      <c r="I434" s="652">
        <v>69510</v>
      </c>
      <c r="J434" s="652">
        <v>3242077</v>
      </c>
      <c r="K434" s="652">
        <v>253393</v>
      </c>
      <c r="L434" s="651">
        <v>224818</v>
      </c>
      <c r="M434" s="651"/>
      <c r="N434" s="652">
        <v>129640</v>
      </c>
      <c r="O434" s="652">
        <v>1196634</v>
      </c>
      <c r="P434" s="652">
        <v>0</v>
      </c>
      <c r="Q434" s="651">
        <v>42694</v>
      </c>
      <c r="R434" s="651"/>
      <c r="S434" s="652">
        <v>988863</v>
      </c>
      <c r="T434" s="653">
        <v>69976</v>
      </c>
      <c r="U434" s="653">
        <v>1058839</v>
      </c>
    </row>
    <row r="435" spans="1:21" x14ac:dyDescent="0.25">
      <c r="A435" s="648">
        <v>94512</v>
      </c>
      <c r="B435" s="649" t="s">
        <v>2970</v>
      </c>
      <c r="C435" s="650">
        <v>0</v>
      </c>
      <c r="D435" s="650">
        <v>0</v>
      </c>
      <c r="E435" s="651">
        <v>0</v>
      </c>
      <c r="F435" s="651">
        <v>0</v>
      </c>
      <c r="G435" s="651">
        <v>0</v>
      </c>
      <c r="H435" s="651"/>
      <c r="I435" s="652">
        <v>0</v>
      </c>
      <c r="J435" s="652">
        <v>0</v>
      </c>
      <c r="K435" s="652">
        <v>0</v>
      </c>
      <c r="L435" s="651">
        <v>0</v>
      </c>
      <c r="M435" s="651"/>
      <c r="N435" s="652">
        <v>0</v>
      </c>
      <c r="O435" s="652">
        <v>0</v>
      </c>
      <c r="P435" s="652">
        <v>0</v>
      </c>
      <c r="Q435" s="651">
        <v>217292</v>
      </c>
      <c r="R435" s="651"/>
      <c r="S435" s="652">
        <v>0</v>
      </c>
      <c r="T435" s="653">
        <v>-78713</v>
      </c>
      <c r="U435" s="653">
        <v>-78713</v>
      </c>
    </row>
    <row r="436" spans="1:21" x14ac:dyDescent="0.25">
      <c r="A436" s="648">
        <v>94517</v>
      </c>
      <c r="B436" s="649" t="s">
        <v>2971</v>
      </c>
      <c r="C436" s="650">
        <v>4.9599999999999999E-5</v>
      </c>
      <c r="D436" s="650">
        <v>4.9100000000000001E-5</v>
      </c>
      <c r="E436" s="651">
        <v>28272.959999999999</v>
      </c>
      <c r="F436" s="651">
        <v>22036</v>
      </c>
      <c r="G436" s="651">
        <v>105268</v>
      </c>
      <c r="H436" s="651"/>
      <c r="I436" s="652">
        <v>1977.8</v>
      </c>
      <c r="J436" s="652">
        <v>92248</v>
      </c>
      <c r="K436" s="652">
        <v>7210</v>
      </c>
      <c r="L436" s="651">
        <v>19501</v>
      </c>
      <c r="M436" s="651"/>
      <c r="N436" s="652">
        <v>3689</v>
      </c>
      <c r="O436" s="652">
        <v>34048</v>
      </c>
      <c r="P436" s="652">
        <v>0</v>
      </c>
      <c r="Q436" s="651">
        <v>0</v>
      </c>
      <c r="R436" s="651"/>
      <c r="S436" s="652">
        <v>28137</v>
      </c>
      <c r="T436" s="653">
        <v>7376</v>
      </c>
      <c r="U436" s="653">
        <v>35513</v>
      </c>
    </row>
    <row r="437" spans="1:21" x14ac:dyDescent="0.25">
      <c r="A437" s="648">
        <v>94521</v>
      </c>
      <c r="B437" s="649" t="s">
        <v>2972</v>
      </c>
      <c r="C437" s="650">
        <v>1.2410000000000001E-4</v>
      </c>
      <c r="D437" s="650">
        <v>1.6320000000000001E-4</v>
      </c>
      <c r="E437" s="651">
        <v>54157.59</v>
      </c>
      <c r="F437" s="651">
        <v>73243</v>
      </c>
      <c r="G437" s="651">
        <v>263382</v>
      </c>
      <c r="H437" s="651"/>
      <c r="I437" s="652">
        <v>4948</v>
      </c>
      <c r="J437" s="652">
        <v>230806</v>
      </c>
      <c r="K437" s="652">
        <v>18039</v>
      </c>
      <c r="L437" s="651">
        <v>5851</v>
      </c>
      <c r="M437" s="651"/>
      <c r="N437" s="652">
        <v>9229</v>
      </c>
      <c r="O437" s="652">
        <v>85189</v>
      </c>
      <c r="P437" s="652">
        <v>0</v>
      </c>
      <c r="Q437" s="651">
        <v>18701</v>
      </c>
      <c r="R437" s="651"/>
      <c r="S437" s="652">
        <v>70398</v>
      </c>
      <c r="T437" s="653">
        <v>-2526</v>
      </c>
      <c r="U437" s="653">
        <v>67872</v>
      </c>
    </row>
    <row r="438" spans="1:21" x14ac:dyDescent="0.25">
      <c r="A438" s="648">
        <v>94527</v>
      </c>
      <c r="B438" s="649" t="s">
        <v>2973</v>
      </c>
      <c r="C438" s="650">
        <v>6.3999999999999997E-6</v>
      </c>
      <c r="D438" s="650">
        <v>9.0000000000000002E-6</v>
      </c>
      <c r="E438" s="651">
        <v>0</v>
      </c>
      <c r="F438" s="651">
        <v>4039</v>
      </c>
      <c r="G438" s="651">
        <v>13583</v>
      </c>
      <c r="H438" s="651"/>
      <c r="I438" s="652">
        <v>255.2</v>
      </c>
      <c r="J438" s="652">
        <v>11903</v>
      </c>
      <c r="K438" s="652">
        <v>930</v>
      </c>
      <c r="L438" s="651">
        <v>477</v>
      </c>
      <c r="M438" s="651"/>
      <c r="N438" s="652">
        <v>476</v>
      </c>
      <c r="O438" s="652">
        <v>4393</v>
      </c>
      <c r="P438" s="652">
        <v>0</v>
      </c>
      <c r="Q438" s="651">
        <v>3557</v>
      </c>
      <c r="R438" s="651"/>
      <c r="S438" s="652">
        <v>3631</v>
      </c>
      <c r="T438" s="653">
        <v>-766</v>
      </c>
      <c r="U438" s="653">
        <v>2864</v>
      </c>
    </row>
    <row r="439" spans="1:21" x14ac:dyDescent="0.25">
      <c r="A439" s="648">
        <v>94531</v>
      </c>
      <c r="B439" s="649" t="s">
        <v>2974</v>
      </c>
      <c r="C439" s="650">
        <v>1.5500000000000001E-5</v>
      </c>
      <c r="D439" s="650">
        <v>1.66E-5</v>
      </c>
      <c r="E439" s="651">
        <v>9989</v>
      </c>
      <c r="F439" s="651">
        <v>7450</v>
      </c>
      <c r="G439" s="651">
        <v>32896</v>
      </c>
      <c r="H439" s="651"/>
      <c r="I439" s="652">
        <v>618.0625</v>
      </c>
      <c r="J439" s="652">
        <v>28828</v>
      </c>
      <c r="K439" s="652">
        <v>2253</v>
      </c>
      <c r="L439" s="651">
        <v>5256</v>
      </c>
      <c r="M439" s="651"/>
      <c r="N439" s="652">
        <v>1153</v>
      </c>
      <c r="O439" s="652">
        <v>10640</v>
      </c>
      <c r="P439" s="652">
        <v>0</v>
      </c>
      <c r="Q439" s="651">
        <v>0</v>
      </c>
      <c r="R439" s="651"/>
      <c r="S439" s="652">
        <v>8793</v>
      </c>
      <c r="T439" s="653">
        <v>1863</v>
      </c>
      <c r="U439" s="653">
        <v>10656</v>
      </c>
    </row>
    <row r="440" spans="1:21" x14ac:dyDescent="0.25">
      <c r="A440" s="648">
        <v>94532</v>
      </c>
      <c r="B440" s="649" t="s">
        <v>2975</v>
      </c>
      <c r="C440" s="650">
        <v>9.4099999999999997E-5</v>
      </c>
      <c r="D440" s="650">
        <v>1.155E-4</v>
      </c>
      <c r="E440" s="651">
        <v>41786.75</v>
      </c>
      <c r="F440" s="651">
        <v>51836</v>
      </c>
      <c r="G440" s="651">
        <v>199712</v>
      </c>
      <c r="H440" s="651"/>
      <c r="I440" s="652">
        <v>3752</v>
      </c>
      <c r="J440" s="652">
        <v>175011</v>
      </c>
      <c r="K440" s="652">
        <v>13678</v>
      </c>
      <c r="L440" s="651">
        <v>0</v>
      </c>
      <c r="M440" s="651"/>
      <c r="N440" s="652">
        <v>6998</v>
      </c>
      <c r="O440" s="652">
        <v>64596</v>
      </c>
      <c r="P440" s="652">
        <v>0</v>
      </c>
      <c r="Q440" s="651">
        <v>15319</v>
      </c>
      <c r="R440" s="651"/>
      <c r="S440" s="652">
        <v>53380</v>
      </c>
      <c r="T440" s="653">
        <v>-5410</v>
      </c>
      <c r="U440" s="653">
        <v>47970</v>
      </c>
    </row>
    <row r="441" spans="1:21" x14ac:dyDescent="0.25">
      <c r="A441" s="648">
        <v>94541</v>
      </c>
      <c r="B441" s="649" t="s">
        <v>2976</v>
      </c>
      <c r="C441" s="650">
        <v>2.9839999999999999E-4</v>
      </c>
      <c r="D441" s="650">
        <v>2.8739999999999999E-4</v>
      </c>
      <c r="E441" s="651">
        <v>104979.31</v>
      </c>
      <c r="F441" s="651">
        <v>128983</v>
      </c>
      <c r="G441" s="651">
        <v>633305</v>
      </c>
      <c r="H441" s="651"/>
      <c r="I441" s="652">
        <v>11899</v>
      </c>
      <c r="J441" s="652">
        <v>554977</v>
      </c>
      <c r="K441" s="652">
        <v>43376</v>
      </c>
      <c r="L441" s="651">
        <v>0</v>
      </c>
      <c r="M441" s="651"/>
      <c r="N441" s="652">
        <v>22192</v>
      </c>
      <c r="O441" s="652">
        <v>204839</v>
      </c>
      <c r="P441" s="652">
        <v>0</v>
      </c>
      <c r="Q441" s="651">
        <v>23573</v>
      </c>
      <c r="R441" s="651"/>
      <c r="S441" s="652">
        <v>169273</v>
      </c>
      <c r="T441" s="653">
        <v>-7692</v>
      </c>
      <c r="U441" s="653">
        <v>161581</v>
      </c>
    </row>
    <row r="442" spans="1:21" x14ac:dyDescent="0.25">
      <c r="A442" s="648">
        <v>94547</v>
      </c>
      <c r="B442" s="649" t="s">
        <v>2977</v>
      </c>
      <c r="C442" s="650">
        <v>1.24E-5</v>
      </c>
      <c r="D442" s="650">
        <v>1.3499999999999999E-5</v>
      </c>
      <c r="E442" s="651">
        <v>7369</v>
      </c>
      <c r="F442" s="651">
        <v>6059</v>
      </c>
      <c r="G442" s="651">
        <v>26317</v>
      </c>
      <c r="H442" s="651"/>
      <c r="I442" s="652">
        <v>494.45</v>
      </c>
      <c r="J442" s="652">
        <v>23062</v>
      </c>
      <c r="K442" s="652">
        <v>1802</v>
      </c>
      <c r="L442" s="651">
        <v>2133</v>
      </c>
      <c r="M442" s="651"/>
      <c r="N442" s="652">
        <v>922</v>
      </c>
      <c r="O442" s="652">
        <v>8512</v>
      </c>
      <c r="P442" s="652">
        <v>0</v>
      </c>
      <c r="Q442" s="651">
        <v>0</v>
      </c>
      <c r="R442" s="651"/>
      <c r="S442" s="652">
        <v>7034</v>
      </c>
      <c r="T442" s="653">
        <v>656</v>
      </c>
      <c r="U442" s="653">
        <v>7690</v>
      </c>
    </row>
    <row r="443" spans="1:21" x14ac:dyDescent="0.25">
      <c r="A443" s="648">
        <v>94551</v>
      </c>
      <c r="B443" s="649" t="s">
        <v>2978</v>
      </c>
      <c r="C443" s="650">
        <v>4.5899999999999998E-5</v>
      </c>
      <c r="D443" s="650">
        <v>3.0599999999999998E-5</v>
      </c>
      <c r="E443" s="651">
        <v>22107</v>
      </c>
      <c r="F443" s="651">
        <v>13733</v>
      </c>
      <c r="G443" s="651">
        <v>97415</v>
      </c>
      <c r="H443" s="651"/>
      <c r="I443" s="652">
        <v>1830</v>
      </c>
      <c r="J443" s="652">
        <v>85367</v>
      </c>
      <c r="K443" s="652">
        <v>6672</v>
      </c>
      <c r="L443" s="651">
        <v>14242</v>
      </c>
      <c r="M443" s="651"/>
      <c r="N443" s="652">
        <v>3414</v>
      </c>
      <c r="O443" s="652">
        <v>31508</v>
      </c>
      <c r="P443" s="652">
        <v>0</v>
      </c>
      <c r="Q443" s="651">
        <v>2442</v>
      </c>
      <c r="R443" s="651"/>
      <c r="S443" s="652">
        <v>26038</v>
      </c>
      <c r="T443" s="653">
        <v>3648</v>
      </c>
      <c r="U443" s="653">
        <v>29686</v>
      </c>
    </row>
    <row r="444" spans="1:21" x14ac:dyDescent="0.25">
      <c r="A444" s="648">
        <v>94601</v>
      </c>
      <c r="B444" s="649" t="s">
        <v>2979</v>
      </c>
      <c r="C444" s="650">
        <v>1.0011E-3</v>
      </c>
      <c r="D444" s="650">
        <v>9.7179999999999999E-4</v>
      </c>
      <c r="E444" s="651">
        <v>433754</v>
      </c>
      <c r="F444" s="651">
        <v>436138</v>
      </c>
      <c r="G444" s="651">
        <v>2124670</v>
      </c>
      <c r="H444" s="651"/>
      <c r="I444" s="652">
        <v>39919</v>
      </c>
      <c r="J444" s="652">
        <v>1861888</v>
      </c>
      <c r="K444" s="652">
        <v>145521</v>
      </c>
      <c r="L444" s="651">
        <v>36047</v>
      </c>
      <c r="M444" s="651"/>
      <c r="N444" s="652">
        <v>74451</v>
      </c>
      <c r="O444" s="652">
        <v>687213</v>
      </c>
      <c r="P444" s="652">
        <v>0</v>
      </c>
      <c r="Q444" s="651">
        <v>3381</v>
      </c>
      <c r="R444" s="651"/>
      <c r="S444" s="652">
        <v>567893</v>
      </c>
      <c r="T444" s="653">
        <v>8786</v>
      </c>
      <c r="U444" s="653">
        <v>576679</v>
      </c>
    </row>
    <row r="445" spans="1:21" x14ac:dyDescent="0.25">
      <c r="A445" s="648">
        <v>94604</v>
      </c>
      <c r="B445" s="649" t="s">
        <v>2980</v>
      </c>
      <c r="C445" s="650">
        <v>2.65E-5</v>
      </c>
      <c r="D445" s="650">
        <v>2.76E-5</v>
      </c>
      <c r="E445" s="651">
        <v>12705</v>
      </c>
      <c r="F445" s="651">
        <v>12387</v>
      </c>
      <c r="G445" s="651">
        <v>56242</v>
      </c>
      <c r="H445" s="651"/>
      <c r="I445" s="652">
        <v>1056.6875</v>
      </c>
      <c r="J445" s="652">
        <v>49286</v>
      </c>
      <c r="K445" s="652">
        <v>3852</v>
      </c>
      <c r="L445" s="651">
        <v>1065</v>
      </c>
      <c r="M445" s="651"/>
      <c r="N445" s="652">
        <v>1971</v>
      </c>
      <c r="O445" s="652">
        <v>18191</v>
      </c>
      <c r="P445" s="652">
        <v>0</v>
      </c>
      <c r="Q445" s="651">
        <v>52</v>
      </c>
      <c r="R445" s="651"/>
      <c r="S445" s="652">
        <v>15033</v>
      </c>
      <c r="T445" s="653">
        <v>272</v>
      </c>
      <c r="U445" s="653">
        <v>15304</v>
      </c>
    </row>
    <row r="446" spans="1:21" x14ac:dyDescent="0.25">
      <c r="A446" s="648">
        <v>94606</v>
      </c>
      <c r="B446" s="649" t="s">
        <v>2981</v>
      </c>
      <c r="C446" s="650">
        <v>2.6229999999999998E-4</v>
      </c>
      <c r="D446" s="650">
        <v>2.8610000000000002E-4</v>
      </c>
      <c r="E446" s="651">
        <v>101571</v>
      </c>
      <c r="F446" s="651">
        <v>128400</v>
      </c>
      <c r="G446" s="651">
        <v>556688</v>
      </c>
      <c r="H446" s="651"/>
      <c r="I446" s="652">
        <v>10459</v>
      </c>
      <c r="J446" s="652">
        <v>487837</v>
      </c>
      <c r="K446" s="652">
        <v>38128</v>
      </c>
      <c r="L446" s="651">
        <v>0</v>
      </c>
      <c r="M446" s="651"/>
      <c r="N446" s="652">
        <v>19507</v>
      </c>
      <c r="O446" s="652">
        <v>180058</v>
      </c>
      <c r="P446" s="652">
        <v>0</v>
      </c>
      <c r="Q446" s="651">
        <v>52213</v>
      </c>
      <c r="R446" s="651"/>
      <c r="S446" s="652">
        <v>148795</v>
      </c>
      <c r="T446" s="653">
        <v>-19437</v>
      </c>
      <c r="U446" s="653">
        <v>129358</v>
      </c>
    </row>
    <row r="447" spans="1:21" x14ac:dyDescent="0.25">
      <c r="A447" s="648">
        <v>94611</v>
      </c>
      <c r="B447" s="649" t="s">
        <v>2982</v>
      </c>
      <c r="C447" s="650">
        <v>4.4450000000000002E-4</v>
      </c>
      <c r="D447" s="650">
        <v>4.5360000000000002E-4</v>
      </c>
      <c r="E447" s="651">
        <v>189159.12</v>
      </c>
      <c r="F447" s="651">
        <v>203573</v>
      </c>
      <c r="G447" s="651">
        <v>943378</v>
      </c>
      <c r="H447" s="651"/>
      <c r="I447" s="652">
        <v>17724.4375</v>
      </c>
      <c r="J447" s="652">
        <v>826700</v>
      </c>
      <c r="K447" s="652">
        <v>64613</v>
      </c>
      <c r="L447" s="651">
        <v>3960</v>
      </c>
      <c r="M447" s="651"/>
      <c r="N447" s="652">
        <v>33057</v>
      </c>
      <c r="O447" s="652">
        <v>305131</v>
      </c>
      <c r="P447" s="652">
        <v>0</v>
      </c>
      <c r="Q447" s="651">
        <v>4915.3</v>
      </c>
      <c r="R447" s="651"/>
      <c r="S447" s="652">
        <v>252151</v>
      </c>
      <c r="T447" s="653">
        <v>-1078</v>
      </c>
      <c r="U447" s="653">
        <v>251074</v>
      </c>
    </row>
    <row r="448" spans="1:21" x14ac:dyDescent="0.25">
      <c r="A448" s="648">
        <v>94621</v>
      </c>
      <c r="B448" s="649" t="s">
        <v>2983</v>
      </c>
      <c r="C448" s="650">
        <v>1.3119999999999999E-4</v>
      </c>
      <c r="D448" s="650">
        <v>1.5200000000000001E-4</v>
      </c>
      <c r="E448" s="651">
        <v>64393.31</v>
      </c>
      <c r="F448" s="651">
        <v>68217</v>
      </c>
      <c r="G448" s="651">
        <v>278450</v>
      </c>
      <c r="H448" s="651"/>
      <c r="I448" s="652">
        <v>5232</v>
      </c>
      <c r="J448" s="652">
        <v>244011</v>
      </c>
      <c r="K448" s="652">
        <v>19071</v>
      </c>
      <c r="L448" s="651">
        <v>13237</v>
      </c>
      <c r="M448" s="651"/>
      <c r="N448" s="652">
        <v>9757</v>
      </c>
      <c r="O448" s="652">
        <v>90063</v>
      </c>
      <c r="P448" s="652">
        <v>0</v>
      </c>
      <c r="Q448" s="651">
        <v>19570</v>
      </c>
      <c r="R448" s="651"/>
      <c r="S448" s="652">
        <v>74426</v>
      </c>
      <c r="T448" s="653">
        <v>-3</v>
      </c>
      <c r="U448" s="653">
        <v>74422</v>
      </c>
    </row>
    <row r="449" spans="1:21" x14ac:dyDescent="0.25">
      <c r="A449" s="648">
        <v>94631</v>
      </c>
      <c r="B449" s="649" t="s">
        <v>2984</v>
      </c>
      <c r="C449" s="650">
        <v>3.9799999999999998E-5</v>
      </c>
      <c r="D449" s="650">
        <v>4.0299999999999997E-5</v>
      </c>
      <c r="E449" s="651">
        <v>19878.57</v>
      </c>
      <c r="F449" s="651">
        <v>18086</v>
      </c>
      <c r="G449" s="651">
        <v>84469</v>
      </c>
      <c r="H449" s="651"/>
      <c r="I449" s="652">
        <v>1587</v>
      </c>
      <c r="J449" s="652">
        <v>74022</v>
      </c>
      <c r="K449" s="652">
        <v>5785</v>
      </c>
      <c r="L449" s="651">
        <v>5170</v>
      </c>
      <c r="M449" s="651"/>
      <c r="N449" s="652">
        <v>2960</v>
      </c>
      <c r="O449" s="652">
        <v>27321</v>
      </c>
      <c r="P449" s="652">
        <v>0</v>
      </c>
      <c r="Q449" s="651">
        <v>0</v>
      </c>
      <c r="R449" s="651"/>
      <c r="S449" s="652">
        <v>22577</v>
      </c>
      <c r="T449" s="653">
        <v>1734</v>
      </c>
      <c r="U449" s="653">
        <v>24311</v>
      </c>
    </row>
    <row r="450" spans="1:21" x14ac:dyDescent="0.25">
      <c r="A450" s="648">
        <v>94641</v>
      </c>
      <c r="B450" s="649" t="s">
        <v>2985</v>
      </c>
      <c r="C450" s="650">
        <v>4.6999999999999999E-6</v>
      </c>
      <c r="D450" s="650">
        <v>4.6999999999999999E-6</v>
      </c>
      <c r="E450" s="651">
        <v>4524.25</v>
      </c>
      <c r="F450" s="651">
        <v>2109</v>
      </c>
      <c r="G450" s="651">
        <v>9975</v>
      </c>
      <c r="H450" s="651"/>
      <c r="I450" s="652">
        <v>187.41249999999999</v>
      </c>
      <c r="J450" s="652">
        <v>8741</v>
      </c>
      <c r="K450" s="652">
        <v>683</v>
      </c>
      <c r="L450" s="651">
        <v>4799</v>
      </c>
      <c r="M450" s="651"/>
      <c r="N450" s="652">
        <v>350</v>
      </c>
      <c r="O450" s="652">
        <v>3226</v>
      </c>
      <c r="P450" s="652">
        <v>0</v>
      </c>
      <c r="Q450" s="651">
        <v>0</v>
      </c>
      <c r="R450" s="651"/>
      <c r="S450" s="652">
        <v>2666</v>
      </c>
      <c r="T450" s="653">
        <v>1678</v>
      </c>
      <c r="U450" s="653">
        <v>4344</v>
      </c>
    </row>
    <row r="451" spans="1:21" x14ac:dyDescent="0.25">
      <c r="A451" s="648">
        <v>94701</v>
      </c>
      <c r="B451" s="649" t="s">
        <v>2986</v>
      </c>
      <c r="C451" s="650">
        <v>2.5636000000000001E-3</v>
      </c>
      <c r="D451" s="650">
        <v>2.6064999999999999E-3</v>
      </c>
      <c r="E451" s="651">
        <v>956457</v>
      </c>
      <c r="F451" s="651">
        <v>1169782</v>
      </c>
      <c r="G451" s="651">
        <v>5440818</v>
      </c>
      <c r="H451" s="651"/>
      <c r="I451" s="652">
        <v>102223.55</v>
      </c>
      <c r="J451" s="652">
        <v>4767891</v>
      </c>
      <c r="K451" s="652">
        <v>372647</v>
      </c>
      <c r="L451" s="651">
        <v>75767</v>
      </c>
      <c r="M451" s="651"/>
      <c r="N451" s="652">
        <v>190652</v>
      </c>
      <c r="O451" s="652">
        <v>1759804</v>
      </c>
      <c r="P451" s="652">
        <v>0</v>
      </c>
      <c r="Q451" s="651">
        <v>100921</v>
      </c>
      <c r="R451" s="651"/>
      <c r="S451" s="652">
        <v>1454251</v>
      </c>
      <c r="T451" s="653">
        <v>4371</v>
      </c>
      <c r="U451" s="653">
        <v>1458622</v>
      </c>
    </row>
    <row r="452" spans="1:21" x14ac:dyDescent="0.25">
      <c r="A452" s="648">
        <v>94704</v>
      </c>
      <c r="B452" s="649" t="s">
        <v>2987</v>
      </c>
      <c r="C452" s="650">
        <v>1.04E-5</v>
      </c>
      <c r="D452" s="650">
        <v>1.0900000000000001E-5</v>
      </c>
      <c r="E452" s="651">
        <v>4510</v>
      </c>
      <c r="F452" s="651">
        <v>4892</v>
      </c>
      <c r="G452" s="651">
        <v>22072</v>
      </c>
      <c r="H452" s="651"/>
      <c r="I452" s="652">
        <v>414.7</v>
      </c>
      <c r="J452" s="652">
        <v>19342</v>
      </c>
      <c r="K452" s="652">
        <v>1512</v>
      </c>
      <c r="L452" s="651">
        <v>147</v>
      </c>
      <c r="M452" s="651"/>
      <c r="N452" s="652">
        <v>773</v>
      </c>
      <c r="O452" s="652">
        <v>7139</v>
      </c>
      <c r="P452" s="652">
        <v>0</v>
      </c>
      <c r="Q452" s="651">
        <v>86</v>
      </c>
      <c r="R452" s="651"/>
      <c r="S452" s="652">
        <v>5900</v>
      </c>
      <c r="T452" s="653">
        <v>47</v>
      </c>
      <c r="U452" s="653">
        <v>5946</v>
      </c>
    </row>
    <row r="453" spans="1:21" x14ac:dyDescent="0.25">
      <c r="A453" s="648">
        <v>94711</v>
      </c>
      <c r="B453" s="649" t="s">
        <v>2988</v>
      </c>
      <c r="C453" s="650">
        <v>3.5110000000000002E-4</v>
      </c>
      <c r="D453" s="650">
        <v>3.5270000000000001E-4</v>
      </c>
      <c r="E453" s="651">
        <v>140447</v>
      </c>
      <c r="F453" s="651">
        <v>158290</v>
      </c>
      <c r="G453" s="651">
        <v>745152</v>
      </c>
      <c r="H453" s="651"/>
      <c r="I453" s="652">
        <v>14000</v>
      </c>
      <c r="J453" s="652">
        <v>652991</v>
      </c>
      <c r="K453" s="652">
        <v>51036</v>
      </c>
      <c r="L453" s="651">
        <v>14121</v>
      </c>
      <c r="M453" s="651"/>
      <c r="N453" s="652">
        <v>26111</v>
      </c>
      <c r="O453" s="652">
        <v>241015</v>
      </c>
      <c r="P453" s="652">
        <v>0</v>
      </c>
      <c r="Q453" s="651">
        <v>8957</v>
      </c>
      <c r="R453" s="651"/>
      <c r="S453" s="652">
        <v>199168</v>
      </c>
      <c r="T453" s="653">
        <v>1479</v>
      </c>
      <c r="U453" s="653">
        <v>200647</v>
      </c>
    </row>
    <row r="454" spans="1:21" x14ac:dyDescent="0.25">
      <c r="A454" s="648">
        <v>94801</v>
      </c>
      <c r="B454" s="649" t="s">
        <v>2989</v>
      </c>
      <c r="C454" s="650">
        <v>7.6539999999999996E-4</v>
      </c>
      <c r="D454" s="650">
        <v>7.425E-4</v>
      </c>
      <c r="E454" s="651">
        <v>315764</v>
      </c>
      <c r="F454" s="651">
        <v>333230</v>
      </c>
      <c r="G454" s="651">
        <v>1624435</v>
      </c>
      <c r="H454" s="651"/>
      <c r="I454" s="652">
        <v>30520</v>
      </c>
      <c r="J454" s="652">
        <v>1423523</v>
      </c>
      <c r="K454" s="652">
        <v>111259</v>
      </c>
      <c r="L454" s="651">
        <v>62992</v>
      </c>
      <c r="M454" s="651"/>
      <c r="N454" s="652">
        <v>56922</v>
      </c>
      <c r="O454" s="652">
        <v>525415</v>
      </c>
      <c r="P454" s="652">
        <v>0</v>
      </c>
      <c r="Q454" s="651">
        <v>0</v>
      </c>
      <c r="R454" s="651"/>
      <c r="S454" s="652">
        <v>434188</v>
      </c>
      <c r="T454" s="653">
        <v>22612</v>
      </c>
      <c r="U454" s="653">
        <v>456800</v>
      </c>
    </row>
    <row r="455" spans="1:21" x14ac:dyDescent="0.25">
      <c r="A455" s="648">
        <v>94804</v>
      </c>
      <c r="B455" s="649" t="s">
        <v>2990</v>
      </c>
      <c r="C455" s="650">
        <v>3.8E-6</v>
      </c>
      <c r="D455" s="650">
        <v>5.5999999999999997E-6</v>
      </c>
      <c r="E455" s="651">
        <v>2421</v>
      </c>
      <c r="F455" s="651">
        <v>2513</v>
      </c>
      <c r="G455" s="651">
        <v>8065</v>
      </c>
      <c r="H455" s="651"/>
      <c r="I455" s="652">
        <v>151.52500000000001</v>
      </c>
      <c r="J455" s="652">
        <v>7067</v>
      </c>
      <c r="K455" s="652">
        <v>552</v>
      </c>
      <c r="L455" s="651">
        <v>3516</v>
      </c>
      <c r="M455" s="651"/>
      <c r="N455" s="652">
        <v>283</v>
      </c>
      <c r="O455" s="652">
        <v>2609</v>
      </c>
      <c r="P455" s="652">
        <v>0</v>
      </c>
      <c r="Q455" s="651">
        <v>294</v>
      </c>
      <c r="R455" s="651"/>
      <c r="S455" s="652">
        <v>2156</v>
      </c>
      <c r="T455" s="653">
        <v>1680</v>
      </c>
      <c r="U455" s="653">
        <v>3836</v>
      </c>
    </row>
    <row r="456" spans="1:21" x14ac:dyDescent="0.25">
      <c r="A456" s="648">
        <v>94812</v>
      </c>
      <c r="B456" s="649" t="s">
        <v>2991</v>
      </c>
      <c r="C456" s="650">
        <v>3.3500000000000001E-5</v>
      </c>
      <c r="D456" s="650">
        <v>2.8200000000000001E-5</v>
      </c>
      <c r="E456" s="651">
        <v>17637</v>
      </c>
      <c r="F456" s="651">
        <v>12656</v>
      </c>
      <c r="G456" s="651">
        <v>71098</v>
      </c>
      <c r="H456" s="651"/>
      <c r="I456" s="652">
        <v>1335.8125</v>
      </c>
      <c r="J456" s="652">
        <v>62305</v>
      </c>
      <c r="K456" s="652">
        <v>4870</v>
      </c>
      <c r="L456" s="651">
        <v>10393</v>
      </c>
      <c r="M456" s="651"/>
      <c r="N456" s="652">
        <v>2491</v>
      </c>
      <c r="O456" s="652">
        <v>22996</v>
      </c>
      <c r="P456" s="652">
        <v>0</v>
      </c>
      <c r="Q456" s="651">
        <v>0</v>
      </c>
      <c r="R456" s="651"/>
      <c r="S456" s="652">
        <v>19004</v>
      </c>
      <c r="T456" s="653">
        <v>3222</v>
      </c>
      <c r="U456" s="653">
        <v>22225</v>
      </c>
    </row>
    <row r="457" spans="1:21" x14ac:dyDescent="0.25">
      <c r="A457" s="648">
        <v>94901</v>
      </c>
      <c r="B457" s="649" t="s">
        <v>2992</v>
      </c>
      <c r="C457" s="650">
        <v>7.0014999999999999E-3</v>
      </c>
      <c r="D457" s="650">
        <v>6.6921999999999997E-3</v>
      </c>
      <c r="E457" s="651">
        <v>2681224</v>
      </c>
      <c r="F457" s="651">
        <v>3003419</v>
      </c>
      <c r="G457" s="651">
        <v>14859529</v>
      </c>
      <c r="H457" s="651"/>
      <c r="I457" s="652">
        <v>279185</v>
      </c>
      <c r="J457" s="652">
        <v>13021684</v>
      </c>
      <c r="K457" s="652">
        <v>1017745</v>
      </c>
      <c r="L457" s="651">
        <v>28689</v>
      </c>
      <c r="M457" s="651"/>
      <c r="N457" s="652">
        <v>520695</v>
      </c>
      <c r="O457" s="652">
        <v>4806236</v>
      </c>
      <c r="P457" s="652">
        <v>0</v>
      </c>
      <c r="Q457" s="651">
        <v>82188</v>
      </c>
      <c r="R457" s="651"/>
      <c r="S457" s="652">
        <v>3971734</v>
      </c>
      <c r="T457" s="653">
        <v>-17216</v>
      </c>
      <c r="U457" s="653">
        <v>3954518</v>
      </c>
    </row>
    <row r="458" spans="1:21" x14ac:dyDescent="0.25">
      <c r="A458" s="648">
        <v>94908</v>
      </c>
      <c r="B458" s="649" t="s">
        <v>2993</v>
      </c>
      <c r="C458" s="650">
        <v>3.9799999999999998E-5</v>
      </c>
      <c r="D458" s="650">
        <v>4.2799999999999997E-5</v>
      </c>
      <c r="E458" s="651">
        <v>16384</v>
      </c>
      <c r="F458" s="651">
        <v>19208</v>
      </c>
      <c r="G458" s="651">
        <v>84469</v>
      </c>
      <c r="H458" s="651"/>
      <c r="I458" s="652">
        <v>1587</v>
      </c>
      <c r="J458" s="652">
        <v>74022</v>
      </c>
      <c r="K458" s="652">
        <v>5785</v>
      </c>
      <c r="L458" s="651">
        <v>0</v>
      </c>
      <c r="M458" s="651"/>
      <c r="N458" s="652">
        <v>2960</v>
      </c>
      <c r="O458" s="652">
        <v>27321</v>
      </c>
      <c r="P458" s="652">
        <v>0</v>
      </c>
      <c r="Q458" s="651">
        <v>5878</v>
      </c>
      <c r="R458" s="651"/>
      <c r="S458" s="652">
        <v>22577</v>
      </c>
      <c r="T458" s="653">
        <v>-2269</v>
      </c>
      <c r="U458" s="653">
        <v>20308</v>
      </c>
    </row>
    <row r="459" spans="1:21" x14ac:dyDescent="0.25">
      <c r="A459" s="648">
        <v>94911</v>
      </c>
      <c r="B459" s="649" t="s">
        <v>2994</v>
      </c>
      <c r="C459" s="650">
        <v>2.7745999999999999E-3</v>
      </c>
      <c r="D459" s="650">
        <v>2.8086000000000001E-3</v>
      </c>
      <c r="E459" s="651">
        <v>1108370.94</v>
      </c>
      <c r="F459" s="651">
        <v>1260483</v>
      </c>
      <c r="G459" s="651">
        <v>5888631</v>
      </c>
      <c r="H459" s="651"/>
      <c r="I459" s="652">
        <v>110637</v>
      </c>
      <c r="J459" s="652">
        <v>5160318</v>
      </c>
      <c r="K459" s="652">
        <v>403319</v>
      </c>
      <c r="L459" s="651">
        <v>7508</v>
      </c>
      <c r="M459" s="651"/>
      <c r="N459" s="652">
        <v>206344</v>
      </c>
      <c r="O459" s="652">
        <v>1904646</v>
      </c>
      <c r="P459" s="652">
        <v>0</v>
      </c>
      <c r="Q459" s="651">
        <v>58992</v>
      </c>
      <c r="R459" s="651"/>
      <c r="S459" s="652">
        <v>1573945</v>
      </c>
      <c r="T459" s="653">
        <v>-16182</v>
      </c>
      <c r="U459" s="653">
        <v>1557762</v>
      </c>
    </row>
    <row r="460" spans="1:21" x14ac:dyDescent="0.25">
      <c r="A460" s="648">
        <v>94917</v>
      </c>
      <c r="B460" s="649" t="s">
        <v>2995</v>
      </c>
      <c r="C460" s="650">
        <v>3.7400000000000001E-5</v>
      </c>
      <c r="D460" s="650">
        <v>4.0399999999999999E-5</v>
      </c>
      <c r="E460" s="651">
        <v>24113.03</v>
      </c>
      <c r="F460" s="651">
        <v>18131</v>
      </c>
      <c r="G460" s="651">
        <v>79375</v>
      </c>
      <c r="H460" s="651"/>
      <c r="I460" s="652">
        <v>1491.325</v>
      </c>
      <c r="J460" s="652">
        <v>69558</v>
      </c>
      <c r="K460" s="652">
        <v>5437</v>
      </c>
      <c r="L460" s="651">
        <v>14598</v>
      </c>
      <c r="M460" s="651"/>
      <c r="N460" s="652">
        <v>2781</v>
      </c>
      <c r="O460" s="652">
        <v>25674</v>
      </c>
      <c r="P460" s="652">
        <v>0</v>
      </c>
      <c r="Q460" s="651">
        <v>0</v>
      </c>
      <c r="R460" s="651"/>
      <c r="S460" s="652">
        <v>21216</v>
      </c>
      <c r="T460" s="653">
        <v>5296</v>
      </c>
      <c r="U460" s="653">
        <v>26512</v>
      </c>
    </row>
    <row r="461" spans="1:21" x14ac:dyDescent="0.25">
      <c r="A461" s="648">
        <v>94921</v>
      </c>
      <c r="B461" s="649" t="s">
        <v>2996</v>
      </c>
      <c r="C461" s="650">
        <v>3.7063E-3</v>
      </c>
      <c r="D461" s="650">
        <v>4.0699999999999998E-3</v>
      </c>
      <c r="E461" s="651">
        <v>1372917.85</v>
      </c>
      <c r="F461" s="651">
        <v>1826592</v>
      </c>
      <c r="G461" s="651">
        <v>7866010</v>
      </c>
      <c r="H461" s="651"/>
      <c r="I461" s="652">
        <v>147789</v>
      </c>
      <c r="J461" s="652">
        <v>6893132</v>
      </c>
      <c r="K461" s="652">
        <v>538751</v>
      </c>
      <c r="L461" s="651">
        <v>0</v>
      </c>
      <c r="M461" s="651"/>
      <c r="N461" s="652">
        <v>275634</v>
      </c>
      <c r="O461" s="652">
        <v>2544219</v>
      </c>
      <c r="P461" s="652">
        <v>0</v>
      </c>
      <c r="Q461" s="651">
        <v>505665</v>
      </c>
      <c r="R461" s="651"/>
      <c r="S461" s="652">
        <v>2102469</v>
      </c>
      <c r="T461" s="653">
        <v>-155426</v>
      </c>
      <c r="U461" s="653">
        <v>1947043</v>
      </c>
    </row>
    <row r="462" spans="1:21" x14ac:dyDescent="0.25">
      <c r="A462" s="648">
        <v>94923</v>
      </c>
      <c r="B462" s="649" t="s">
        <v>2997</v>
      </c>
      <c r="C462" s="650">
        <v>2.4499999999999999E-5</v>
      </c>
      <c r="D462" s="650">
        <v>2.9300000000000001E-5</v>
      </c>
      <c r="E462" s="651">
        <v>14094</v>
      </c>
      <c r="F462" s="651">
        <v>13150</v>
      </c>
      <c r="G462" s="651">
        <v>51997</v>
      </c>
      <c r="H462" s="651"/>
      <c r="I462" s="652">
        <v>976.9375</v>
      </c>
      <c r="J462" s="652">
        <v>45566</v>
      </c>
      <c r="K462" s="652">
        <v>3561</v>
      </c>
      <c r="L462" s="651">
        <v>1458</v>
      </c>
      <c r="M462" s="651"/>
      <c r="N462" s="652">
        <v>1822</v>
      </c>
      <c r="O462" s="652">
        <v>16818</v>
      </c>
      <c r="P462" s="652">
        <v>0</v>
      </c>
      <c r="Q462" s="651">
        <v>173</v>
      </c>
      <c r="R462" s="651"/>
      <c r="S462" s="652">
        <v>13898</v>
      </c>
      <c r="T462" s="653">
        <v>373</v>
      </c>
      <c r="U462" s="653">
        <v>14272</v>
      </c>
    </row>
    <row r="463" spans="1:21" x14ac:dyDescent="0.25">
      <c r="A463" s="648">
        <v>94927</v>
      </c>
      <c r="B463" s="649" t="s">
        <v>2998</v>
      </c>
      <c r="C463" s="650">
        <v>3.3899999999999997E-5</v>
      </c>
      <c r="D463" s="650">
        <v>3.2700000000000002E-5</v>
      </c>
      <c r="E463" s="651">
        <v>16597.12</v>
      </c>
      <c r="F463" s="651">
        <v>14676</v>
      </c>
      <c r="G463" s="651">
        <v>71947</v>
      </c>
      <c r="H463" s="651"/>
      <c r="I463" s="652">
        <v>1352</v>
      </c>
      <c r="J463" s="652">
        <v>63049</v>
      </c>
      <c r="K463" s="652">
        <v>4928</v>
      </c>
      <c r="L463" s="651">
        <v>3081</v>
      </c>
      <c r="M463" s="651"/>
      <c r="N463" s="652">
        <v>2521</v>
      </c>
      <c r="O463" s="652">
        <v>23271</v>
      </c>
      <c r="P463" s="652">
        <v>0</v>
      </c>
      <c r="Q463" s="651">
        <v>52</v>
      </c>
      <c r="R463" s="651"/>
      <c r="S463" s="652">
        <v>19230</v>
      </c>
      <c r="T463" s="653">
        <v>803</v>
      </c>
      <c r="U463" s="653">
        <v>20033</v>
      </c>
    </row>
    <row r="464" spans="1:21" x14ac:dyDescent="0.25">
      <c r="A464" s="648">
        <v>94931</v>
      </c>
      <c r="B464" s="649" t="s">
        <v>2999</v>
      </c>
      <c r="C464" s="650">
        <v>2.1130000000000001E-4</v>
      </c>
      <c r="D464" s="650">
        <v>2.4020000000000001E-4</v>
      </c>
      <c r="E464" s="651">
        <v>88195.43</v>
      </c>
      <c r="F464" s="651">
        <v>107800</v>
      </c>
      <c r="G464" s="651">
        <v>448449</v>
      </c>
      <c r="H464" s="651"/>
      <c r="I464" s="652">
        <v>8426</v>
      </c>
      <c r="J464" s="652">
        <v>392985</v>
      </c>
      <c r="K464" s="652">
        <v>30715</v>
      </c>
      <c r="L464" s="651">
        <v>0</v>
      </c>
      <c r="M464" s="651"/>
      <c r="N464" s="652">
        <v>15714</v>
      </c>
      <c r="O464" s="652">
        <v>145049</v>
      </c>
      <c r="P464" s="652">
        <v>0</v>
      </c>
      <c r="Q464" s="651">
        <v>23880</v>
      </c>
      <c r="R464" s="651"/>
      <c r="S464" s="652">
        <v>119864</v>
      </c>
      <c r="T464" s="653">
        <v>-8140</v>
      </c>
      <c r="U464" s="653">
        <v>111724</v>
      </c>
    </row>
    <row r="465" spans="1:21" x14ac:dyDescent="0.25">
      <c r="A465" s="648">
        <v>94941</v>
      </c>
      <c r="B465" s="649" t="s">
        <v>3000</v>
      </c>
      <c r="C465" s="650">
        <v>5.2959999999999997E-4</v>
      </c>
      <c r="D465" s="650">
        <v>5.0549999999999998E-4</v>
      </c>
      <c r="E465" s="651">
        <v>202001.05</v>
      </c>
      <c r="F465" s="651">
        <v>226865</v>
      </c>
      <c r="G465" s="651">
        <v>1123989</v>
      </c>
      <c r="H465" s="651"/>
      <c r="I465" s="652">
        <v>21117.8</v>
      </c>
      <c r="J465" s="652">
        <v>984972</v>
      </c>
      <c r="K465" s="652">
        <v>76983</v>
      </c>
      <c r="L465" s="651">
        <v>96457</v>
      </c>
      <c r="M465" s="651"/>
      <c r="N465" s="652">
        <v>39386</v>
      </c>
      <c r="O465" s="652">
        <v>363548</v>
      </c>
      <c r="P465" s="652">
        <v>0</v>
      </c>
      <c r="Q465" s="651">
        <v>0</v>
      </c>
      <c r="R465" s="651"/>
      <c r="S465" s="652">
        <v>300426</v>
      </c>
      <c r="T465" s="653">
        <v>42457</v>
      </c>
      <c r="U465" s="653">
        <v>342883</v>
      </c>
    </row>
    <row r="466" spans="1:21" x14ac:dyDescent="0.25">
      <c r="A466" s="648">
        <v>95001</v>
      </c>
      <c r="B466" s="649" t="s">
        <v>3001</v>
      </c>
      <c r="C466" s="650">
        <v>2.3779000000000001E-3</v>
      </c>
      <c r="D466" s="650">
        <v>2.3674E-3</v>
      </c>
      <c r="E466" s="651">
        <v>1026879.06</v>
      </c>
      <c r="F466" s="651">
        <v>1062475</v>
      </c>
      <c r="G466" s="651">
        <v>5046700</v>
      </c>
      <c r="H466" s="651"/>
      <c r="I466" s="652">
        <v>94819</v>
      </c>
      <c r="J466" s="652">
        <v>4422518</v>
      </c>
      <c r="K466" s="652">
        <v>345654</v>
      </c>
      <c r="L466" s="651">
        <v>86860</v>
      </c>
      <c r="M466" s="651"/>
      <c r="N466" s="652">
        <v>176842</v>
      </c>
      <c r="O466" s="652">
        <v>1632328</v>
      </c>
      <c r="P466" s="652">
        <v>0</v>
      </c>
      <c r="Q466" s="651">
        <v>8022</v>
      </c>
      <c r="R466" s="651"/>
      <c r="S466" s="652">
        <v>1348909</v>
      </c>
      <c r="T466" s="653">
        <v>22510</v>
      </c>
      <c r="U466" s="653">
        <v>1371419</v>
      </c>
    </row>
    <row r="467" spans="1:21" x14ac:dyDescent="0.25">
      <c r="A467" s="648">
        <v>95002</v>
      </c>
      <c r="B467" s="649" t="s">
        <v>3002</v>
      </c>
      <c r="C467" s="650">
        <v>2.0120000000000001E-4</v>
      </c>
      <c r="D467" s="650">
        <v>1.919E-4</v>
      </c>
      <c r="E467" s="651">
        <v>91760.39</v>
      </c>
      <c r="F467" s="651">
        <v>86124</v>
      </c>
      <c r="G467" s="651">
        <v>427014</v>
      </c>
      <c r="H467" s="651"/>
      <c r="I467" s="652">
        <v>8022.85</v>
      </c>
      <c r="J467" s="652">
        <v>374200</v>
      </c>
      <c r="K467" s="652">
        <v>29247</v>
      </c>
      <c r="L467" s="651">
        <v>17432</v>
      </c>
      <c r="M467" s="651"/>
      <c r="N467" s="652">
        <v>14963</v>
      </c>
      <c r="O467" s="652">
        <v>138115</v>
      </c>
      <c r="P467" s="652">
        <v>0</v>
      </c>
      <c r="Q467" s="651">
        <v>0</v>
      </c>
      <c r="R467" s="651"/>
      <c r="S467" s="652">
        <v>114135</v>
      </c>
      <c r="T467" s="653">
        <v>5391</v>
      </c>
      <c r="U467" s="653">
        <v>119526</v>
      </c>
    </row>
    <row r="468" spans="1:21" x14ac:dyDescent="0.25">
      <c r="A468" s="648">
        <v>95005</v>
      </c>
      <c r="B468" s="649" t="s">
        <v>3003</v>
      </c>
      <c r="C468" s="650">
        <v>2.3829999999999999E-4</v>
      </c>
      <c r="D468" s="650">
        <v>2.4499999999999999E-4</v>
      </c>
      <c r="E468" s="651">
        <v>102067</v>
      </c>
      <c r="F468" s="651">
        <v>109954.53</v>
      </c>
      <c r="G468" s="651">
        <v>505752</v>
      </c>
      <c r="H468" s="651"/>
      <c r="I468" s="652">
        <v>9502</v>
      </c>
      <c r="J468" s="652">
        <v>443200</v>
      </c>
      <c r="K468" s="652">
        <v>34640</v>
      </c>
      <c r="L468" s="651">
        <v>23207</v>
      </c>
      <c r="M468" s="651"/>
      <c r="N468" s="652">
        <v>17722</v>
      </c>
      <c r="O468" s="652">
        <v>163583</v>
      </c>
      <c r="P468" s="652">
        <v>0</v>
      </c>
      <c r="Q468" s="651">
        <v>399</v>
      </c>
      <c r="R468" s="651"/>
      <c r="S468" s="652">
        <v>135180</v>
      </c>
      <c r="T468" s="653">
        <v>9376</v>
      </c>
      <c r="U468" s="653">
        <v>144556</v>
      </c>
    </row>
    <row r="469" spans="1:21" x14ac:dyDescent="0.25">
      <c r="A469" s="648">
        <v>95008</v>
      </c>
      <c r="B469" s="649" t="s">
        <v>3004</v>
      </c>
      <c r="C469" s="650">
        <v>1.169E-4</v>
      </c>
      <c r="D469" s="650">
        <v>1.3669999999999999E-4</v>
      </c>
      <c r="E469" s="651">
        <v>50977.440000000002</v>
      </c>
      <c r="F469" s="651">
        <v>61350</v>
      </c>
      <c r="G469" s="651">
        <v>248101</v>
      </c>
      <c r="H469" s="651"/>
      <c r="I469" s="652">
        <v>4661</v>
      </c>
      <c r="J469" s="652">
        <v>217416</v>
      </c>
      <c r="K469" s="652">
        <v>16993</v>
      </c>
      <c r="L469" s="651">
        <v>21945</v>
      </c>
      <c r="M469" s="651"/>
      <c r="N469" s="652">
        <v>8694</v>
      </c>
      <c r="O469" s="652">
        <v>80247</v>
      </c>
      <c r="P469" s="652">
        <v>0</v>
      </c>
      <c r="Q469" s="651">
        <v>8420</v>
      </c>
      <c r="R469" s="651"/>
      <c r="S469" s="652">
        <v>66314</v>
      </c>
      <c r="T469" s="653">
        <v>7393</v>
      </c>
      <c r="U469" s="653">
        <v>73707</v>
      </c>
    </row>
    <row r="470" spans="1:21" x14ac:dyDescent="0.25">
      <c r="A470" s="648">
        <v>95009</v>
      </c>
      <c r="B470" s="649" t="s">
        <v>3005</v>
      </c>
      <c r="C470" s="650">
        <v>3.9902000000000002E-3</v>
      </c>
      <c r="D470" s="650">
        <v>3.614E-3</v>
      </c>
      <c r="E470" s="651">
        <v>1651705</v>
      </c>
      <c r="F470" s="651">
        <v>1621942</v>
      </c>
      <c r="G470" s="651">
        <v>8468541</v>
      </c>
      <c r="H470" s="651"/>
      <c r="I470" s="652">
        <v>159109</v>
      </c>
      <c r="J470" s="652">
        <v>7421142</v>
      </c>
      <c r="K470" s="652">
        <v>580019</v>
      </c>
      <c r="L470" s="651">
        <v>1306132</v>
      </c>
      <c r="M470" s="651"/>
      <c r="N470" s="652">
        <v>296747</v>
      </c>
      <c r="O470" s="652">
        <v>2739105</v>
      </c>
      <c r="P470" s="652">
        <v>0</v>
      </c>
      <c r="Q470" s="651">
        <v>0</v>
      </c>
      <c r="R470" s="651"/>
      <c r="S470" s="652">
        <v>2263517</v>
      </c>
      <c r="T470" s="653">
        <v>547444</v>
      </c>
      <c r="U470" s="653">
        <v>2810961</v>
      </c>
    </row>
    <row r="471" spans="1:21" x14ac:dyDescent="0.25">
      <c r="A471" s="648">
        <v>95011</v>
      </c>
      <c r="B471" s="649" t="s">
        <v>3006</v>
      </c>
      <c r="C471" s="650">
        <v>1.707E-4</v>
      </c>
      <c r="D471" s="650">
        <v>1.8760000000000001E-4</v>
      </c>
      <c r="E471" s="651">
        <v>71948</v>
      </c>
      <c r="F471" s="651">
        <v>84194</v>
      </c>
      <c r="G471" s="651">
        <v>362283</v>
      </c>
      <c r="H471" s="651"/>
      <c r="I471" s="652">
        <v>6807</v>
      </c>
      <c r="J471" s="652">
        <v>317475</v>
      </c>
      <c r="K471" s="652">
        <v>24813</v>
      </c>
      <c r="L471" s="651">
        <v>0</v>
      </c>
      <c r="M471" s="651"/>
      <c r="N471" s="652">
        <v>12695</v>
      </c>
      <c r="O471" s="652">
        <v>117178</v>
      </c>
      <c r="P471" s="652">
        <v>0</v>
      </c>
      <c r="Q471" s="651">
        <v>13568</v>
      </c>
      <c r="R471" s="651"/>
      <c r="S471" s="652">
        <v>96833</v>
      </c>
      <c r="T471" s="653">
        <v>-4659</v>
      </c>
      <c r="U471" s="653">
        <v>92174</v>
      </c>
    </row>
    <row r="472" spans="1:21" x14ac:dyDescent="0.25">
      <c r="A472" s="648">
        <v>95017</v>
      </c>
      <c r="B472" s="649" t="s">
        <v>3007</v>
      </c>
      <c r="C472" s="650">
        <v>3.5800000000000003E-5</v>
      </c>
      <c r="D472" s="650">
        <v>3.9900000000000001E-5</v>
      </c>
      <c r="E472" s="651">
        <v>21743.88</v>
      </c>
      <c r="F472" s="651">
        <v>17907</v>
      </c>
      <c r="G472" s="651">
        <v>75980</v>
      </c>
      <c r="H472" s="651"/>
      <c r="I472" s="652">
        <v>1427.5250000000001</v>
      </c>
      <c r="J472" s="652">
        <v>66582</v>
      </c>
      <c r="K472" s="652">
        <v>5204</v>
      </c>
      <c r="L472" s="651">
        <v>20942</v>
      </c>
      <c r="M472" s="651"/>
      <c r="N472" s="652">
        <v>2662</v>
      </c>
      <c r="O472" s="652">
        <v>24575</v>
      </c>
      <c r="P472" s="652">
        <v>0</v>
      </c>
      <c r="Q472" s="651">
        <v>0</v>
      </c>
      <c r="R472" s="651"/>
      <c r="S472" s="652">
        <v>20308</v>
      </c>
      <c r="T472" s="653">
        <v>7629</v>
      </c>
      <c r="U472" s="653">
        <v>27937</v>
      </c>
    </row>
    <row r="473" spans="1:21" x14ac:dyDescent="0.25">
      <c r="A473" s="648">
        <v>95101</v>
      </c>
      <c r="B473" s="649" t="s">
        <v>3008</v>
      </c>
      <c r="C473" s="650">
        <v>8.0955999999999997E-3</v>
      </c>
      <c r="D473" s="650">
        <v>7.8796000000000005E-3</v>
      </c>
      <c r="E473" s="651">
        <v>3063500.72</v>
      </c>
      <c r="F473" s="651">
        <v>3536317</v>
      </c>
      <c r="G473" s="651">
        <v>17181575</v>
      </c>
      <c r="H473" s="651"/>
      <c r="I473" s="652">
        <v>322812.05</v>
      </c>
      <c r="J473" s="652">
        <v>15056537</v>
      </c>
      <c r="K473" s="652">
        <v>1176785</v>
      </c>
      <c r="L473" s="651">
        <v>77016</v>
      </c>
      <c r="M473" s="651"/>
      <c r="N473" s="652">
        <v>602062</v>
      </c>
      <c r="O473" s="652">
        <v>5557289</v>
      </c>
      <c r="P473" s="652">
        <v>0</v>
      </c>
      <c r="Q473" s="651">
        <v>94065</v>
      </c>
      <c r="R473" s="651"/>
      <c r="S473" s="652">
        <v>4592383</v>
      </c>
      <c r="T473" s="653">
        <v>13084</v>
      </c>
      <c r="U473" s="653">
        <v>4605467</v>
      </c>
    </row>
    <row r="474" spans="1:21" x14ac:dyDescent="0.25">
      <c r="A474" s="648">
        <v>95103</v>
      </c>
      <c r="B474" s="649" t="s">
        <v>3009</v>
      </c>
      <c r="C474" s="650">
        <v>6.02E-5</v>
      </c>
      <c r="D474" s="650">
        <v>5.91E-5</v>
      </c>
      <c r="E474" s="651">
        <v>34084</v>
      </c>
      <c r="F474" s="651">
        <v>26524</v>
      </c>
      <c r="G474" s="651">
        <v>127765</v>
      </c>
      <c r="H474" s="651"/>
      <c r="I474" s="652">
        <v>2400.4749999999999</v>
      </c>
      <c r="J474" s="652">
        <v>111962</v>
      </c>
      <c r="K474" s="652">
        <v>8751</v>
      </c>
      <c r="L474" s="651">
        <v>41064</v>
      </c>
      <c r="M474" s="651"/>
      <c r="N474" s="652">
        <v>4477</v>
      </c>
      <c r="O474" s="652">
        <v>41325</v>
      </c>
      <c r="P474" s="652">
        <v>0</v>
      </c>
      <c r="Q474" s="651">
        <v>0</v>
      </c>
      <c r="R474" s="651"/>
      <c r="S474" s="652">
        <v>34150</v>
      </c>
      <c r="T474" s="653">
        <v>17815</v>
      </c>
      <c r="U474" s="653">
        <v>51965</v>
      </c>
    </row>
    <row r="475" spans="1:21" x14ac:dyDescent="0.25">
      <c r="A475" s="648">
        <v>95104</v>
      </c>
      <c r="B475" s="649" t="s">
        <v>3010</v>
      </c>
      <c r="C475" s="650">
        <v>1.011E-4</v>
      </c>
      <c r="D475" s="650">
        <v>1.022E-4</v>
      </c>
      <c r="E475" s="651">
        <v>48495.61</v>
      </c>
      <c r="F475" s="651">
        <v>45867</v>
      </c>
      <c r="G475" s="651">
        <v>214568</v>
      </c>
      <c r="H475" s="651"/>
      <c r="I475" s="652">
        <v>4031</v>
      </c>
      <c r="J475" s="652">
        <v>188030</v>
      </c>
      <c r="K475" s="652">
        <v>14696</v>
      </c>
      <c r="L475" s="651">
        <v>18344</v>
      </c>
      <c r="M475" s="651"/>
      <c r="N475" s="652">
        <v>7519</v>
      </c>
      <c r="O475" s="652">
        <v>69401</v>
      </c>
      <c r="P475" s="652">
        <v>0</v>
      </c>
      <c r="Q475" s="651">
        <v>0</v>
      </c>
      <c r="R475" s="651"/>
      <c r="S475" s="652">
        <v>57351</v>
      </c>
      <c r="T475" s="653">
        <v>6442</v>
      </c>
      <c r="U475" s="653">
        <v>63793</v>
      </c>
    </row>
    <row r="476" spans="1:21" x14ac:dyDescent="0.25">
      <c r="A476" s="648">
        <v>95105</v>
      </c>
      <c r="B476" s="649" t="s">
        <v>3011</v>
      </c>
      <c r="C476" s="650">
        <v>6.3700000000000003E-5</v>
      </c>
      <c r="D476" s="650">
        <v>6.2199999999999994E-5</v>
      </c>
      <c r="E476" s="651">
        <v>28734</v>
      </c>
      <c r="F476" s="651">
        <v>27915</v>
      </c>
      <c r="G476" s="651">
        <v>135193</v>
      </c>
      <c r="H476" s="651"/>
      <c r="I476" s="652">
        <v>2540</v>
      </c>
      <c r="J476" s="652">
        <v>118472</v>
      </c>
      <c r="K476" s="652">
        <v>9259</v>
      </c>
      <c r="L476" s="651">
        <v>9013</v>
      </c>
      <c r="M476" s="651"/>
      <c r="N476" s="652">
        <v>4737</v>
      </c>
      <c r="O476" s="652">
        <v>43727</v>
      </c>
      <c r="P476" s="652">
        <v>0</v>
      </c>
      <c r="Q476" s="651">
        <v>0</v>
      </c>
      <c r="R476" s="651"/>
      <c r="S476" s="652">
        <v>36135</v>
      </c>
      <c r="T476" s="653">
        <v>3391</v>
      </c>
      <c r="U476" s="653">
        <v>39526</v>
      </c>
    </row>
    <row r="477" spans="1:21" x14ac:dyDescent="0.25">
      <c r="A477" s="648">
        <v>95106</v>
      </c>
      <c r="B477" s="649" t="s">
        <v>3012</v>
      </c>
      <c r="C477" s="650">
        <v>1.3900000000000001E-5</v>
      </c>
      <c r="D477" s="650">
        <v>5.9000000000000003E-6</v>
      </c>
      <c r="E477" s="651">
        <v>4209.76</v>
      </c>
      <c r="F477" s="651">
        <v>2648</v>
      </c>
      <c r="G477" s="651">
        <v>29500</v>
      </c>
      <c r="H477" s="651"/>
      <c r="I477" s="652">
        <v>554</v>
      </c>
      <c r="J477" s="652">
        <v>25852</v>
      </c>
      <c r="K477" s="652">
        <v>2021</v>
      </c>
      <c r="L477" s="651">
        <v>7510</v>
      </c>
      <c r="M477" s="651"/>
      <c r="N477" s="652">
        <v>1034</v>
      </c>
      <c r="O477" s="652">
        <v>9542</v>
      </c>
      <c r="P477" s="652">
        <v>0</v>
      </c>
      <c r="Q477" s="651">
        <v>0</v>
      </c>
      <c r="R477" s="651"/>
      <c r="S477" s="652">
        <v>7885</v>
      </c>
      <c r="T477" s="653">
        <v>2593</v>
      </c>
      <c r="U477" s="653">
        <v>10478</v>
      </c>
    </row>
    <row r="478" spans="1:21" x14ac:dyDescent="0.25">
      <c r="A478" s="648">
        <v>95110</v>
      </c>
      <c r="B478" s="649" t="s">
        <v>3013</v>
      </c>
      <c r="C478" s="650">
        <v>4.4609000000000003E-3</v>
      </c>
      <c r="D478" s="650">
        <v>5.5170000000000002E-3</v>
      </c>
      <c r="E478" s="651">
        <v>1868606.24</v>
      </c>
      <c r="F478" s="651">
        <v>2475996</v>
      </c>
      <c r="G478" s="651">
        <v>9467524</v>
      </c>
      <c r="H478" s="651"/>
      <c r="I478" s="652">
        <v>177878</v>
      </c>
      <c r="J478" s="652">
        <v>8296569</v>
      </c>
      <c r="K478" s="652">
        <v>648441</v>
      </c>
      <c r="L478" s="651">
        <v>0</v>
      </c>
      <c r="M478" s="651"/>
      <c r="N478" s="652">
        <v>331753</v>
      </c>
      <c r="O478" s="652">
        <v>3062220</v>
      </c>
      <c r="P478" s="652">
        <v>0</v>
      </c>
      <c r="Q478" s="651">
        <v>1586204</v>
      </c>
      <c r="R478" s="651"/>
      <c r="S478" s="652">
        <v>2530530</v>
      </c>
      <c r="T478" s="653">
        <v>-606775</v>
      </c>
      <c r="U478" s="653">
        <v>1923756</v>
      </c>
    </row>
    <row r="479" spans="1:21" x14ac:dyDescent="0.25">
      <c r="A479" s="648">
        <v>95111</v>
      </c>
      <c r="B479" s="649" t="s">
        <v>3014</v>
      </c>
      <c r="C479" s="650">
        <v>1.0709000000000001E-3</v>
      </c>
      <c r="D479" s="650">
        <v>1.1418999999999999E-3</v>
      </c>
      <c r="E479" s="651">
        <v>392359.07</v>
      </c>
      <c r="F479" s="651">
        <v>512478</v>
      </c>
      <c r="G479" s="651">
        <v>2272809</v>
      </c>
      <c r="H479" s="651"/>
      <c r="I479" s="652">
        <v>42702</v>
      </c>
      <c r="J479" s="652">
        <v>1991705</v>
      </c>
      <c r="K479" s="652">
        <v>155667</v>
      </c>
      <c r="L479" s="651">
        <v>0</v>
      </c>
      <c r="M479" s="651"/>
      <c r="N479" s="652">
        <v>79642</v>
      </c>
      <c r="O479" s="652">
        <v>735128</v>
      </c>
      <c r="P479" s="652">
        <v>0</v>
      </c>
      <c r="Q479" s="651">
        <v>161003</v>
      </c>
      <c r="R479" s="651"/>
      <c r="S479" s="652">
        <v>607488</v>
      </c>
      <c r="T479" s="653">
        <v>-55722</v>
      </c>
      <c r="U479" s="653">
        <v>551766</v>
      </c>
    </row>
    <row r="480" spans="1:21" x14ac:dyDescent="0.25">
      <c r="A480" s="648">
        <v>95113</v>
      </c>
      <c r="B480" s="649" t="s">
        <v>3015</v>
      </c>
      <c r="C480" s="650">
        <v>4.7500000000000003E-5</v>
      </c>
      <c r="D480" s="650">
        <v>4.4299999999999999E-5</v>
      </c>
      <c r="E480" s="651">
        <v>62344</v>
      </c>
      <c r="F480" s="651">
        <v>19882</v>
      </c>
      <c r="G480" s="651">
        <v>100811</v>
      </c>
      <c r="H480" s="651"/>
      <c r="I480" s="652">
        <v>1894.0625</v>
      </c>
      <c r="J480" s="652">
        <v>88342</v>
      </c>
      <c r="K480" s="652">
        <v>6905</v>
      </c>
      <c r="L480" s="651">
        <v>69845</v>
      </c>
      <c r="M480" s="651"/>
      <c r="N480" s="652">
        <v>3533</v>
      </c>
      <c r="O480" s="652">
        <v>32607</v>
      </c>
      <c r="P480" s="652">
        <v>0</v>
      </c>
      <c r="Q480" s="651">
        <v>0</v>
      </c>
      <c r="R480" s="651"/>
      <c r="S480" s="652">
        <v>26945</v>
      </c>
      <c r="T480" s="653">
        <v>22543</v>
      </c>
      <c r="U480" s="653">
        <v>49489</v>
      </c>
    </row>
    <row r="481" spans="1:21" x14ac:dyDescent="0.25">
      <c r="A481" s="648">
        <v>95121</v>
      </c>
      <c r="B481" s="649" t="s">
        <v>3016</v>
      </c>
      <c r="C481" s="650">
        <v>4.9580000000000002E-4</v>
      </c>
      <c r="D481" s="650">
        <v>4.7540000000000001E-4</v>
      </c>
      <c r="E481" s="651">
        <v>201528.43</v>
      </c>
      <c r="F481" s="651">
        <v>213357</v>
      </c>
      <c r="G481" s="651">
        <v>1052254</v>
      </c>
      <c r="H481" s="651"/>
      <c r="I481" s="652">
        <v>19770</v>
      </c>
      <c r="J481" s="652">
        <v>922110</v>
      </c>
      <c r="K481" s="652">
        <v>72070</v>
      </c>
      <c r="L481" s="651">
        <v>18227</v>
      </c>
      <c r="M481" s="651"/>
      <c r="N481" s="652">
        <v>36872</v>
      </c>
      <c r="O481" s="652">
        <v>340346</v>
      </c>
      <c r="P481" s="652">
        <v>0</v>
      </c>
      <c r="Q481" s="651">
        <v>25446.13</v>
      </c>
      <c r="R481" s="651"/>
      <c r="S481" s="652">
        <v>281252</v>
      </c>
      <c r="T481" s="653">
        <v>-7200</v>
      </c>
      <c r="U481" s="653">
        <v>274052</v>
      </c>
    </row>
    <row r="482" spans="1:21" x14ac:dyDescent="0.25">
      <c r="A482" s="648">
        <v>95122</v>
      </c>
      <c r="B482" s="649" t="s">
        <v>3017</v>
      </c>
      <c r="C482" s="650">
        <v>2.7999999999999999E-6</v>
      </c>
      <c r="D482" s="650">
        <v>3.3000000000000002E-6</v>
      </c>
      <c r="E482" s="651">
        <v>2740.07</v>
      </c>
      <c r="F482" s="651">
        <v>1481</v>
      </c>
      <c r="G482" s="651">
        <v>5943</v>
      </c>
      <c r="H482" s="651"/>
      <c r="I482" s="652">
        <v>112</v>
      </c>
      <c r="J482" s="652">
        <v>5208</v>
      </c>
      <c r="K482" s="652">
        <v>407</v>
      </c>
      <c r="L482" s="651">
        <v>1558</v>
      </c>
      <c r="M482" s="651"/>
      <c r="N482" s="652">
        <v>208</v>
      </c>
      <c r="O482" s="652">
        <v>1922</v>
      </c>
      <c r="P482" s="652">
        <v>0</v>
      </c>
      <c r="Q482" s="651">
        <v>0</v>
      </c>
      <c r="R482" s="651"/>
      <c r="S482" s="652">
        <v>1588</v>
      </c>
      <c r="T482" s="653">
        <v>459</v>
      </c>
      <c r="U482" s="653">
        <v>2048</v>
      </c>
    </row>
    <row r="483" spans="1:21" x14ac:dyDescent="0.25">
      <c r="A483" s="648">
        <v>95123</v>
      </c>
      <c r="B483" s="649" t="s">
        <v>3018</v>
      </c>
      <c r="C483" s="650">
        <v>5.6700000000000003E-5</v>
      </c>
      <c r="D483" s="650">
        <v>5.1199999999999998E-5</v>
      </c>
      <c r="E483" s="651">
        <v>25666.18</v>
      </c>
      <c r="F483" s="651">
        <v>22978</v>
      </c>
      <c r="G483" s="651">
        <v>120336</v>
      </c>
      <c r="H483" s="651"/>
      <c r="I483" s="652">
        <v>2261</v>
      </c>
      <c r="J483" s="652">
        <v>105453</v>
      </c>
      <c r="K483" s="652">
        <v>8242</v>
      </c>
      <c r="L483" s="651">
        <v>8689</v>
      </c>
      <c r="M483" s="651"/>
      <c r="N483" s="652">
        <v>4217</v>
      </c>
      <c r="O483" s="652">
        <v>38922</v>
      </c>
      <c r="P483" s="652">
        <v>0</v>
      </c>
      <c r="Q483" s="651">
        <v>2933.26</v>
      </c>
      <c r="R483" s="651"/>
      <c r="S483" s="652">
        <v>32164</v>
      </c>
      <c r="T483" s="653">
        <v>1144</v>
      </c>
      <c r="U483" s="653">
        <v>33309</v>
      </c>
    </row>
    <row r="484" spans="1:21" x14ac:dyDescent="0.25">
      <c r="A484" s="648">
        <v>95131</v>
      </c>
      <c r="B484" s="649" t="s">
        <v>3019</v>
      </c>
      <c r="C484" s="650">
        <v>1.5451E-3</v>
      </c>
      <c r="D484" s="650">
        <v>1.4713E-3</v>
      </c>
      <c r="E484" s="651">
        <v>607661.46</v>
      </c>
      <c r="F484" s="651">
        <v>660311</v>
      </c>
      <c r="G484" s="651">
        <v>3279220</v>
      </c>
      <c r="H484" s="651"/>
      <c r="I484" s="652">
        <v>61611</v>
      </c>
      <c r="J484" s="652">
        <v>2873642</v>
      </c>
      <c r="K484" s="652">
        <v>224597</v>
      </c>
      <c r="L484" s="651">
        <v>53573</v>
      </c>
      <c r="M484" s="651"/>
      <c r="N484" s="652">
        <v>114908</v>
      </c>
      <c r="O484" s="652">
        <v>1060646</v>
      </c>
      <c r="P484" s="652">
        <v>0</v>
      </c>
      <c r="Q484" s="651">
        <v>1701</v>
      </c>
      <c r="R484" s="651"/>
      <c r="S484" s="652">
        <v>876487</v>
      </c>
      <c r="T484" s="653">
        <v>16429</v>
      </c>
      <c r="U484" s="653">
        <v>892916</v>
      </c>
    </row>
    <row r="485" spans="1:21" x14ac:dyDescent="0.25">
      <c r="A485" s="648">
        <v>95141</v>
      </c>
      <c r="B485" s="649" t="s">
        <v>3020</v>
      </c>
      <c r="C485" s="650">
        <v>3.1819999999999998E-4</v>
      </c>
      <c r="D485" s="650">
        <v>2.99E-4</v>
      </c>
      <c r="E485" s="651">
        <v>115455.16</v>
      </c>
      <c r="F485" s="651">
        <v>134189</v>
      </c>
      <c r="G485" s="651">
        <v>675327</v>
      </c>
      <c r="H485" s="651"/>
      <c r="I485" s="652">
        <v>12688</v>
      </c>
      <c r="J485" s="652">
        <v>591802</v>
      </c>
      <c r="K485" s="652">
        <v>46254</v>
      </c>
      <c r="L485" s="651">
        <v>2515.36</v>
      </c>
      <c r="M485" s="651"/>
      <c r="N485" s="652">
        <v>23664</v>
      </c>
      <c r="O485" s="652">
        <v>218431</v>
      </c>
      <c r="P485" s="652">
        <v>0</v>
      </c>
      <c r="Q485" s="651">
        <v>28114</v>
      </c>
      <c r="R485" s="651"/>
      <c r="S485" s="652">
        <v>180505</v>
      </c>
      <c r="T485" s="653">
        <v>-8530</v>
      </c>
      <c r="U485" s="653">
        <v>171975</v>
      </c>
    </row>
    <row r="486" spans="1:21" x14ac:dyDescent="0.25">
      <c r="A486" s="648">
        <v>95151</v>
      </c>
      <c r="B486" s="649" t="s">
        <v>3021</v>
      </c>
      <c r="C486" s="650">
        <v>1.158E-4</v>
      </c>
      <c r="D486" s="650">
        <v>1.05E-4</v>
      </c>
      <c r="E486" s="651">
        <v>39583.1</v>
      </c>
      <c r="F486" s="651">
        <v>47123.37</v>
      </c>
      <c r="G486" s="651">
        <v>245766</v>
      </c>
      <c r="H486" s="651"/>
      <c r="I486" s="652">
        <v>4618</v>
      </c>
      <c r="J486" s="652">
        <v>215370</v>
      </c>
      <c r="K486" s="652">
        <v>16833</v>
      </c>
      <c r="L486" s="651">
        <v>732.32</v>
      </c>
      <c r="M486" s="651"/>
      <c r="N486" s="652">
        <v>8612</v>
      </c>
      <c r="O486" s="652">
        <v>79492</v>
      </c>
      <c r="P486" s="652">
        <v>0</v>
      </c>
      <c r="Q486" s="651">
        <v>5502</v>
      </c>
      <c r="R486" s="651"/>
      <c r="S486" s="652">
        <v>65690</v>
      </c>
      <c r="T486" s="653">
        <v>-1532</v>
      </c>
      <c r="U486" s="653">
        <v>64158</v>
      </c>
    </row>
    <row r="487" spans="1:21" x14ac:dyDescent="0.25">
      <c r="A487" s="648">
        <v>95161</v>
      </c>
      <c r="B487" s="649" t="s">
        <v>3022</v>
      </c>
      <c r="C487" s="650">
        <v>7.4800000000000002E-5</v>
      </c>
      <c r="D487" s="650">
        <v>7.0599999999999995E-5</v>
      </c>
      <c r="E487" s="651">
        <v>34992</v>
      </c>
      <c r="F487" s="651">
        <v>31685</v>
      </c>
      <c r="G487" s="651">
        <v>158751</v>
      </c>
      <c r="H487" s="651"/>
      <c r="I487" s="652">
        <v>2982.65</v>
      </c>
      <c r="J487" s="652">
        <v>139116</v>
      </c>
      <c r="K487" s="652">
        <v>10873</v>
      </c>
      <c r="L487" s="651">
        <v>6290</v>
      </c>
      <c r="M487" s="651"/>
      <c r="N487" s="652">
        <v>5563</v>
      </c>
      <c r="O487" s="652">
        <v>51347</v>
      </c>
      <c r="P487" s="652">
        <v>0</v>
      </c>
      <c r="Q487" s="651">
        <v>2096</v>
      </c>
      <c r="R487" s="651"/>
      <c r="S487" s="652">
        <v>42432</v>
      </c>
      <c r="T487" s="653">
        <v>1046</v>
      </c>
      <c r="U487" s="653">
        <v>43477</v>
      </c>
    </row>
    <row r="488" spans="1:21" x14ac:dyDescent="0.25">
      <c r="A488" s="648">
        <v>95171</v>
      </c>
      <c r="B488" s="649" t="s">
        <v>3023</v>
      </c>
      <c r="C488" s="650">
        <v>1.2300000000000001E-4</v>
      </c>
      <c r="D488" s="650">
        <v>1.2740000000000001E-4</v>
      </c>
      <c r="E488" s="651">
        <v>48393.279999999999</v>
      </c>
      <c r="F488" s="651">
        <v>57176</v>
      </c>
      <c r="G488" s="651">
        <v>261047</v>
      </c>
      <c r="H488" s="651"/>
      <c r="I488" s="652">
        <v>4904.625</v>
      </c>
      <c r="J488" s="652">
        <v>228761</v>
      </c>
      <c r="K488" s="652">
        <v>17879</v>
      </c>
      <c r="L488" s="651">
        <v>10389</v>
      </c>
      <c r="M488" s="651"/>
      <c r="N488" s="652">
        <v>9147</v>
      </c>
      <c r="O488" s="652">
        <v>84434</v>
      </c>
      <c r="P488" s="652">
        <v>0</v>
      </c>
      <c r="Q488" s="651">
        <v>12793</v>
      </c>
      <c r="R488" s="651"/>
      <c r="S488" s="652">
        <v>69774</v>
      </c>
      <c r="T488" s="653">
        <v>-1741</v>
      </c>
      <c r="U488" s="653">
        <v>68033</v>
      </c>
    </row>
    <row r="489" spans="1:21" x14ac:dyDescent="0.25">
      <c r="A489" s="648">
        <v>95181</v>
      </c>
      <c r="B489" s="649" t="s">
        <v>3024</v>
      </c>
      <c r="C489" s="650">
        <v>7.7899999999999996E-5</v>
      </c>
      <c r="D489" s="650">
        <v>8.0400000000000003E-5</v>
      </c>
      <c r="E489" s="651">
        <v>26255</v>
      </c>
      <c r="F489" s="651">
        <v>36083</v>
      </c>
      <c r="G489" s="651">
        <v>165330</v>
      </c>
      <c r="H489" s="651"/>
      <c r="I489" s="652">
        <v>3106</v>
      </c>
      <c r="J489" s="652">
        <v>144882</v>
      </c>
      <c r="K489" s="652">
        <v>11324</v>
      </c>
      <c r="L489" s="651">
        <v>1657</v>
      </c>
      <c r="M489" s="651"/>
      <c r="N489" s="652">
        <v>5793</v>
      </c>
      <c r="O489" s="652">
        <v>53475</v>
      </c>
      <c r="P489" s="652">
        <v>0</v>
      </c>
      <c r="Q489" s="651">
        <v>6539</v>
      </c>
      <c r="R489" s="651"/>
      <c r="S489" s="652">
        <v>44190</v>
      </c>
      <c r="T489" s="653">
        <v>-1251</v>
      </c>
      <c r="U489" s="653">
        <v>42939</v>
      </c>
    </row>
    <row r="490" spans="1:21" x14ac:dyDescent="0.25">
      <c r="A490" s="648">
        <v>95191</v>
      </c>
      <c r="B490" s="649" t="s">
        <v>3025</v>
      </c>
      <c r="C490" s="650">
        <v>5.3999999999999998E-5</v>
      </c>
      <c r="D490" s="650">
        <v>7.9099999999999998E-5</v>
      </c>
      <c r="E490" s="651">
        <v>30331.53</v>
      </c>
      <c r="F490" s="651">
        <v>35500</v>
      </c>
      <c r="G490" s="651">
        <v>114606.09</v>
      </c>
      <c r="H490" s="651"/>
      <c r="I490" s="652">
        <v>2153.25</v>
      </c>
      <c r="J490" s="652">
        <v>100431</v>
      </c>
      <c r="K490" s="652">
        <v>7849</v>
      </c>
      <c r="L490" s="651">
        <v>12291</v>
      </c>
      <c r="M490" s="651"/>
      <c r="N490" s="652">
        <v>4016</v>
      </c>
      <c r="O490" s="652">
        <v>37069</v>
      </c>
      <c r="P490" s="652">
        <v>0</v>
      </c>
      <c r="Q490" s="651">
        <v>7144</v>
      </c>
      <c r="R490" s="651"/>
      <c r="S490" s="652">
        <v>30633</v>
      </c>
      <c r="T490" s="653">
        <v>3134</v>
      </c>
      <c r="U490" s="653">
        <v>33767</v>
      </c>
    </row>
    <row r="491" spans="1:21" x14ac:dyDescent="0.25">
      <c r="A491" s="648">
        <v>95201</v>
      </c>
      <c r="B491" s="649" t="s">
        <v>3026</v>
      </c>
      <c r="C491" s="650">
        <v>6.8329999999999997E-4</v>
      </c>
      <c r="D491" s="650">
        <v>6.3000000000000003E-4</v>
      </c>
      <c r="E491" s="651">
        <v>255294</v>
      </c>
      <c r="F491" s="651">
        <v>282740</v>
      </c>
      <c r="G491" s="651">
        <v>1450192</v>
      </c>
      <c r="H491" s="651"/>
      <c r="I491" s="652">
        <v>27247</v>
      </c>
      <c r="J491" s="652">
        <v>1270830</v>
      </c>
      <c r="K491" s="652">
        <v>99325</v>
      </c>
      <c r="L491" s="651">
        <v>8455</v>
      </c>
      <c r="M491" s="651"/>
      <c r="N491" s="652">
        <v>50816</v>
      </c>
      <c r="O491" s="652">
        <v>469057</v>
      </c>
      <c r="P491" s="652">
        <v>0</v>
      </c>
      <c r="Q491" s="651">
        <v>33064</v>
      </c>
      <c r="R491" s="651"/>
      <c r="S491" s="652">
        <v>387615</v>
      </c>
      <c r="T491" s="653">
        <v>-9716</v>
      </c>
      <c r="U491" s="653">
        <v>377899</v>
      </c>
    </row>
    <row r="492" spans="1:21" x14ac:dyDescent="0.25">
      <c r="A492" s="648">
        <v>95204</v>
      </c>
      <c r="B492" s="649" t="s">
        <v>3027</v>
      </c>
      <c r="C492" s="650">
        <v>1.1600000000000001E-5</v>
      </c>
      <c r="D492" s="650">
        <v>1.49E-5</v>
      </c>
      <c r="E492" s="651">
        <v>6020</v>
      </c>
      <c r="F492" s="651">
        <v>6687</v>
      </c>
      <c r="G492" s="651">
        <v>24619</v>
      </c>
      <c r="H492" s="651"/>
      <c r="I492" s="652">
        <v>462.55</v>
      </c>
      <c r="J492" s="652">
        <v>21574</v>
      </c>
      <c r="K492" s="652">
        <v>1686</v>
      </c>
      <c r="L492" s="651">
        <v>0</v>
      </c>
      <c r="M492" s="651"/>
      <c r="N492" s="652">
        <v>863</v>
      </c>
      <c r="O492" s="652">
        <v>7963</v>
      </c>
      <c r="P492" s="652">
        <v>0</v>
      </c>
      <c r="Q492" s="651">
        <v>1794</v>
      </c>
      <c r="R492" s="651"/>
      <c r="S492" s="652">
        <v>6580</v>
      </c>
      <c r="T492" s="653">
        <v>-651</v>
      </c>
      <c r="U492" s="653">
        <v>5930</v>
      </c>
    </row>
    <row r="493" spans="1:21" x14ac:dyDescent="0.25">
      <c r="A493" s="648">
        <v>95205</v>
      </c>
      <c r="B493" s="649" t="s">
        <v>3028</v>
      </c>
      <c r="C493" s="650">
        <v>4.7999999999999998E-6</v>
      </c>
      <c r="D493" s="650">
        <v>5.0000000000000004E-6</v>
      </c>
      <c r="E493" s="651">
        <v>2441</v>
      </c>
      <c r="F493" s="651">
        <v>2244</v>
      </c>
      <c r="G493" s="651">
        <v>10187</v>
      </c>
      <c r="H493" s="651"/>
      <c r="I493" s="652">
        <v>191</v>
      </c>
      <c r="J493" s="652">
        <v>8927</v>
      </c>
      <c r="K493" s="652">
        <v>698</v>
      </c>
      <c r="L493" s="651">
        <v>779</v>
      </c>
      <c r="M493" s="651"/>
      <c r="N493" s="652">
        <v>357</v>
      </c>
      <c r="O493" s="652">
        <v>3295</v>
      </c>
      <c r="P493" s="652">
        <v>0</v>
      </c>
      <c r="Q493" s="651">
        <v>0</v>
      </c>
      <c r="R493" s="651"/>
      <c r="S493" s="652">
        <v>2723</v>
      </c>
      <c r="T493" s="653">
        <v>284</v>
      </c>
      <c r="U493" s="653">
        <v>3007</v>
      </c>
    </row>
    <row r="494" spans="1:21" x14ac:dyDescent="0.25">
      <c r="A494" s="648">
        <v>95211</v>
      </c>
      <c r="B494" s="649" t="s">
        <v>3029</v>
      </c>
      <c r="C494" s="650">
        <v>9.2E-6</v>
      </c>
      <c r="D494" s="650">
        <v>5.9000000000000003E-6</v>
      </c>
      <c r="E494" s="651">
        <v>4005</v>
      </c>
      <c r="F494" s="651">
        <v>2648</v>
      </c>
      <c r="G494" s="651">
        <v>19525</v>
      </c>
      <c r="H494" s="651"/>
      <c r="I494" s="652">
        <v>366.85</v>
      </c>
      <c r="J494" s="652">
        <v>17111</v>
      </c>
      <c r="K494" s="652">
        <v>1337</v>
      </c>
      <c r="L494" s="651">
        <v>1964</v>
      </c>
      <c r="M494" s="651"/>
      <c r="N494" s="652">
        <v>684</v>
      </c>
      <c r="O494" s="652">
        <v>6315</v>
      </c>
      <c r="P494" s="652">
        <v>0</v>
      </c>
      <c r="Q494" s="651">
        <v>1957</v>
      </c>
      <c r="R494" s="651"/>
      <c r="S494" s="652">
        <v>5219</v>
      </c>
      <c r="T494" s="653">
        <v>-462</v>
      </c>
      <c r="U494" s="653">
        <v>4757</v>
      </c>
    </row>
    <row r="495" spans="1:21" x14ac:dyDescent="0.25">
      <c r="A495" s="648">
        <v>95221</v>
      </c>
      <c r="B495" s="649" t="s">
        <v>3030</v>
      </c>
      <c r="C495" s="650">
        <v>1.6900000000000001E-5</v>
      </c>
      <c r="D495" s="650">
        <v>4.5099999999999998E-5</v>
      </c>
      <c r="E495" s="651">
        <v>14058.05</v>
      </c>
      <c r="F495" s="651">
        <v>20241</v>
      </c>
      <c r="G495" s="651">
        <v>35867</v>
      </c>
      <c r="H495" s="651"/>
      <c r="I495" s="652">
        <v>673.88750000000005</v>
      </c>
      <c r="J495" s="652">
        <v>31431</v>
      </c>
      <c r="K495" s="652">
        <v>2457</v>
      </c>
      <c r="L495" s="651">
        <v>5443</v>
      </c>
      <c r="M495" s="651"/>
      <c r="N495" s="652">
        <v>1257</v>
      </c>
      <c r="O495" s="652">
        <v>11601</v>
      </c>
      <c r="P495" s="652">
        <v>0</v>
      </c>
      <c r="Q495" s="651">
        <v>16082</v>
      </c>
      <c r="R495" s="651"/>
      <c r="S495" s="652">
        <v>9587</v>
      </c>
      <c r="T495" s="653">
        <v>-2048</v>
      </c>
      <c r="U495" s="653">
        <v>7539</v>
      </c>
    </row>
    <row r="496" spans="1:21" x14ac:dyDescent="0.25">
      <c r="A496" s="648">
        <v>95301</v>
      </c>
      <c r="B496" s="649" t="s">
        <v>3031</v>
      </c>
      <c r="C496" s="650">
        <v>2.4063999999999999E-3</v>
      </c>
      <c r="D496" s="650">
        <v>2.3544E-3</v>
      </c>
      <c r="E496" s="651">
        <v>972446</v>
      </c>
      <c r="F496" s="651">
        <v>1056641</v>
      </c>
      <c r="G496" s="651">
        <v>5107187</v>
      </c>
      <c r="H496" s="651"/>
      <c r="I496" s="652">
        <v>95955.199999999997</v>
      </c>
      <c r="J496" s="652">
        <v>4475524</v>
      </c>
      <c r="K496" s="652">
        <v>349797</v>
      </c>
      <c r="L496" s="651">
        <v>72796</v>
      </c>
      <c r="M496" s="651"/>
      <c r="N496" s="652">
        <v>178962</v>
      </c>
      <c r="O496" s="652">
        <v>1651893</v>
      </c>
      <c r="P496" s="652">
        <v>0</v>
      </c>
      <c r="Q496" s="651">
        <v>22569</v>
      </c>
      <c r="R496" s="651"/>
      <c r="S496" s="652">
        <v>1365076</v>
      </c>
      <c r="T496" s="653">
        <v>13085</v>
      </c>
      <c r="U496" s="653">
        <v>1378161</v>
      </c>
    </row>
    <row r="497" spans="1:21" x14ac:dyDescent="0.25">
      <c r="A497" s="648">
        <v>95311</v>
      </c>
      <c r="B497" s="649" t="s">
        <v>3032</v>
      </c>
      <c r="C497" s="650">
        <v>2.6841999999999999E-3</v>
      </c>
      <c r="D497" s="650">
        <v>2.9946E-3</v>
      </c>
      <c r="E497" s="651">
        <v>1161820.17</v>
      </c>
      <c r="F497" s="651">
        <v>1343959</v>
      </c>
      <c r="G497" s="651">
        <v>5696772</v>
      </c>
      <c r="H497" s="651"/>
      <c r="I497" s="652">
        <v>107032</v>
      </c>
      <c r="J497" s="652">
        <v>4992188</v>
      </c>
      <c r="K497" s="652">
        <v>390178</v>
      </c>
      <c r="L497" s="651">
        <v>8404</v>
      </c>
      <c r="M497" s="651"/>
      <c r="N497" s="652">
        <v>199621</v>
      </c>
      <c r="O497" s="652">
        <v>1842591</v>
      </c>
      <c r="P497" s="652">
        <v>0</v>
      </c>
      <c r="Q497" s="651">
        <v>175770</v>
      </c>
      <c r="R497" s="651"/>
      <c r="S497" s="652">
        <v>1522663</v>
      </c>
      <c r="T497" s="653">
        <v>-55618</v>
      </c>
      <c r="U497" s="653">
        <v>1467045</v>
      </c>
    </row>
    <row r="498" spans="1:21" x14ac:dyDescent="0.25">
      <c r="A498" s="648">
        <v>95317</v>
      </c>
      <c r="B498" s="649" t="s">
        <v>3033</v>
      </c>
      <c r="C498" s="650">
        <v>5.1400000000000003E-5</v>
      </c>
      <c r="D498" s="650">
        <v>5.3900000000000002E-5</v>
      </c>
      <c r="E498" s="651">
        <v>25005</v>
      </c>
      <c r="F498" s="651">
        <v>24190</v>
      </c>
      <c r="G498" s="651">
        <v>109088</v>
      </c>
      <c r="H498" s="651"/>
      <c r="I498" s="652">
        <v>2050</v>
      </c>
      <c r="J498" s="652">
        <v>95596</v>
      </c>
      <c r="K498" s="652">
        <v>7472</v>
      </c>
      <c r="L498" s="651">
        <v>5874</v>
      </c>
      <c r="M498" s="651"/>
      <c r="N498" s="652">
        <v>3823</v>
      </c>
      <c r="O498" s="652">
        <v>35284</v>
      </c>
      <c r="P498" s="652">
        <v>0</v>
      </c>
      <c r="Q498" s="651">
        <v>75.62</v>
      </c>
      <c r="R498" s="651"/>
      <c r="S498" s="652">
        <v>29158</v>
      </c>
      <c r="T498" s="653">
        <v>1881</v>
      </c>
      <c r="U498" s="653">
        <v>31039</v>
      </c>
    </row>
    <row r="499" spans="1:21" x14ac:dyDescent="0.25">
      <c r="A499" s="648">
        <v>95321</v>
      </c>
      <c r="B499" s="649" t="s">
        <v>3034</v>
      </c>
      <c r="C499" s="650">
        <v>5.7000000000000003E-5</v>
      </c>
      <c r="D499" s="650">
        <v>5.6499999999999998E-5</v>
      </c>
      <c r="E499" s="651">
        <v>24286.95</v>
      </c>
      <c r="F499" s="651">
        <v>25357</v>
      </c>
      <c r="G499" s="651">
        <v>120973</v>
      </c>
      <c r="H499" s="651"/>
      <c r="I499" s="652">
        <v>2272.875</v>
      </c>
      <c r="J499" s="652">
        <v>106011</v>
      </c>
      <c r="K499" s="652">
        <v>8286</v>
      </c>
      <c r="L499" s="651">
        <v>4716</v>
      </c>
      <c r="M499" s="651"/>
      <c r="N499" s="652">
        <v>4239</v>
      </c>
      <c r="O499" s="652">
        <v>39128</v>
      </c>
      <c r="P499" s="652">
        <v>0</v>
      </c>
      <c r="Q499" s="651">
        <v>0</v>
      </c>
      <c r="R499" s="651"/>
      <c r="S499" s="652">
        <v>32334</v>
      </c>
      <c r="T499" s="653">
        <v>1628</v>
      </c>
      <c r="U499" s="653">
        <v>33963</v>
      </c>
    </row>
    <row r="500" spans="1:21" x14ac:dyDescent="0.25">
      <c r="A500" s="648">
        <v>95401</v>
      </c>
      <c r="B500" s="649" t="s">
        <v>3035</v>
      </c>
      <c r="C500" s="650">
        <v>2.9979999999999998E-3</v>
      </c>
      <c r="D500" s="650">
        <v>2.8663999999999999E-3</v>
      </c>
      <c r="E500" s="651">
        <v>1170186.01</v>
      </c>
      <c r="F500" s="651">
        <v>1286423</v>
      </c>
      <c r="G500" s="651">
        <v>6362760</v>
      </c>
      <c r="H500" s="651"/>
      <c r="I500" s="652">
        <v>119545</v>
      </c>
      <c r="J500" s="652">
        <v>5575806</v>
      </c>
      <c r="K500" s="652">
        <v>435792</v>
      </c>
      <c r="L500" s="651">
        <v>42759</v>
      </c>
      <c r="M500" s="651"/>
      <c r="N500" s="652">
        <v>222958</v>
      </c>
      <c r="O500" s="652">
        <v>2058001</v>
      </c>
      <c r="P500" s="652">
        <v>0</v>
      </c>
      <c r="Q500" s="651">
        <v>0</v>
      </c>
      <c r="R500" s="651"/>
      <c r="S500" s="652">
        <v>1700672</v>
      </c>
      <c r="T500" s="653">
        <v>15064</v>
      </c>
      <c r="U500" s="653">
        <v>1715737</v>
      </c>
    </row>
    <row r="501" spans="1:21" x14ac:dyDescent="0.25">
      <c r="A501" s="648">
        <v>95404</v>
      </c>
      <c r="B501" s="649" t="s">
        <v>3036</v>
      </c>
      <c r="C501" s="650">
        <v>4.9799999999999998E-5</v>
      </c>
      <c r="D501" s="650">
        <v>3.4999999999999997E-5</v>
      </c>
      <c r="E501" s="651">
        <v>17582</v>
      </c>
      <c r="F501" s="651">
        <v>15708</v>
      </c>
      <c r="G501" s="651">
        <v>105692</v>
      </c>
      <c r="H501" s="651"/>
      <c r="I501" s="652">
        <v>1986</v>
      </c>
      <c r="J501" s="652">
        <v>92620</v>
      </c>
      <c r="K501" s="652">
        <v>7239</v>
      </c>
      <c r="L501" s="651">
        <v>6596</v>
      </c>
      <c r="M501" s="651"/>
      <c r="N501" s="652">
        <v>3704</v>
      </c>
      <c r="O501" s="652">
        <v>34186</v>
      </c>
      <c r="P501" s="652">
        <v>0</v>
      </c>
      <c r="Q501" s="651">
        <v>0</v>
      </c>
      <c r="R501" s="651"/>
      <c r="S501" s="652">
        <v>28250</v>
      </c>
      <c r="T501" s="653">
        <v>1847</v>
      </c>
      <c r="U501" s="653">
        <v>30097</v>
      </c>
    </row>
    <row r="502" spans="1:21" x14ac:dyDescent="0.25">
      <c r="A502" s="648">
        <v>95405</v>
      </c>
      <c r="B502" s="649" t="s">
        <v>3037</v>
      </c>
      <c r="C502" s="650">
        <v>1.84E-5</v>
      </c>
      <c r="D502" s="650">
        <v>1.7E-5</v>
      </c>
      <c r="E502" s="651">
        <v>15271</v>
      </c>
      <c r="F502" s="651">
        <v>7629</v>
      </c>
      <c r="G502" s="651">
        <v>39051</v>
      </c>
      <c r="H502" s="651"/>
      <c r="I502" s="652">
        <v>733.7</v>
      </c>
      <c r="J502" s="652">
        <v>34221</v>
      </c>
      <c r="K502" s="652">
        <v>2675</v>
      </c>
      <c r="L502" s="651">
        <v>12414</v>
      </c>
      <c r="M502" s="651"/>
      <c r="N502" s="652">
        <v>1368</v>
      </c>
      <c r="O502" s="652">
        <v>12631</v>
      </c>
      <c r="P502" s="652">
        <v>0</v>
      </c>
      <c r="Q502" s="651">
        <v>0</v>
      </c>
      <c r="R502" s="651"/>
      <c r="S502" s="652">
        <v>10438</v>
      </c>
      <c r="T502" s="653">
        <v>3754</v>
      </c>
      <c r="U502" s="653">
        <v>14192</v>
      </c>
    </row>
    <row r="503" spans="1:21" x14ac:dyDescent="0.25">
      <c r="A503" s="648">
        <v>95411</v>
      </c>
      <c r="B503" s="649" t="s">
        <v>3038</v>
      </c>
      <c r="C503" s="650">
        <v>2.3272000000000002E-3</v>
      </c>
      <c r="D503" s="650">
        <v>2.3019E-3</v>
      </c>
      <c r="E503" s="651">
        <v>960134</v>
      </c>
      <c r="F503" s="651">
        <v>1033079</v>
      </c>
      <c r="G503" s="651">
        <v>4939098</v>
      </c>
      <c r="H503" s="651"/>
      <c r="I503" s="652">
        <v>92797.1</v>
      </c>
      <c r="J503" s="652">
        <v>4328224</v>
      </c>
      <c r="K503" s="652">
        <v>338284</v>
      </c>
      <c r="L503" s="651">
        <v>19324</v>
      </c>
      <c r="M503" s="651"/>
      <c r="N503" s="652">
        <v>173072</v>
      </c>
      <c r="O503" s="652">
        <v>1597525</v>
      </c>
      <c r="P503" s="652">
        <v>0</v>
      </c>
      <c r="Q503" s="651">
        <v>37438</v>
      </c>
      <c r="R503" s="651"/>
      <c r="S503" s="652">
        <v>1320148</v>
      </c>
      <c r="T503" s="653">
        <v>-13504</v>
      </c>
      <c r="U503" s="653">
        <v>1306644</v>
      </c>
    </row>
    <row r="504" spans="1:21" x14ac:dyDescent="0.25">
      <c r="A504" s="648">
        <v>95412</v>
      </c>
      <c r="B504" s="649" t="s">
        <v>3039</v>
      </c>
      <c r="C504" s="650">
        <v>0</v>
      </c>
      <c r="D504" s="650">
        <v>0</v>
      </c>
      <c r="E504" s="651">
        <v>0</v>
      </c>
      <c r="F504" s="651">
        <v>0</v>
      </c>
      <c r="G504" s="651">
        <v>0</v>
      </c>
      <c r="H504" s="651"/>
      <c r="I504" s="652">
        <v>0</v>
      </c>
      <c r="J504" s="652">
        <v>0</v>
      </c>
      <c r="K504" s="652">
        <v>0</v>
      </c>
      <c r="L504" s="651">
        <v>0</v>
      </c>
      <c r="M504" s="651"/>
      <c r="N504" s="652">
        <v>0</v>
      </c>
      <c r="O504" s="652">
        <v>0</v>
      </c>
      <c r="P504" s="652">
        <v>0</v>
      </c>
      <c r="Q504" s="651">
        <v>46349</v>
      </c>
      <c r="R504" s="651"/>
      <c r="S504" s="652">
        <v>0</v>
      </c>
      <c r="T504" s="653">
        <v>-18518</v>
      </c>
      <c r="U504" s="653">
        <v>-18518</v>
      </c>
    </row>
    <row r="505" spans="1:21" x14ac:dyDescent="0.25">
      <c r="A505" s="648">
        <v>95413</v>
      </c>
      <c r="B505" s="649" t="s">
        <v>3040</v>
      </c>
      <c r="C505" s="650">
        <v>2.945E-4</v>
      </c>
      <c r="D505" s="650">
        <v>2.9579999999999998E-4</v>
      </c>
      <c r="E505" s="651">
        <v>262975</v>
      </c>
      <c r="F505" s="651">
        <v>132753</v>
      </c>
      <c r="G505" s="651">
        <v>625028</v>
      </c>
      <c r="H505" s="651"/>
      <c r="I505" s="652">
        <v>11743.1875</v>
      </c>
      <c r="J505" s="652">
        <v>547723</v>
      </c>
      <c r="K505" s="652">
        <v>42809</v>
      </c>
      <c r="L505" s="651">
        <v>198118</v>
      </c>
      <c r="M505" s="651"/>
      <c r="N505" s="652">
        <v>21902</v>
      </c>
      <c r="O505" s="652">
        <v>202162</v>
      </c>
      <c r="P505" s="652">
        <v>0</v>
      </c>
      <c r="Q505" s="651">
        <v>18897.04</v>
      </c>
      <c r="R505" s="651"/>
      <c r="S505" s="652">
        <v>167061</v>
      </c>
      <c r="T505" s="653">
        <v>50061</v>
      </c>
      <c r="U505" s="653">
        <v>217122</v>
      </c>
    </row>
    <row r="506" spans="1:21" x14ac:dyDescent="0.25">
      <c r="A506" s="648">
        <v>95415</v>
      </c>
      <c r="B506" s="649" t="s">
        <v>3041</v>
      </c>
      <c r="C506" s="650">
        <v>7.9499999999999994E-5</v>
      </c>
      <c r="D506" s="650">
        <v>7.6600000000000005E-5</v>
      </c>
      <c r="E506" s="651">
        <v>28617</v>
      </c>
      <c r="F506" s="651">
        <v>34378</v>
      </c>
      <c r="G506" s="651">
        <v>168726</v>
      </c>
      <c r="H506" s="651"/>
      <c r="I506" s="652">
        <v>3170.0625</v>
      </c>
      <c r="J506" s="652">
        <v>147857</v>
      </c>
      <c r="K506" s="652">
        <v>11556</v>
      </c>
      <c r="L506" s="651">
        <v>10656.45</v>
      </c>
      <c r="M506" s="651"/>
      <c r="N506" s="652">
        <v>5912</v>
      </c>
      <c r="O506" s="652">
        <v>54573</v>
      </c>
      <c r="P506" s="652">
        <v>0</v>
      </c>
      <c r="Q506" s="651">
        <v>7763</v>
      </c>
      <c r="R506" s="651"/>
      <c r="S506" s="652">
        <v>45098</v>
      </c>
      <c r="T506" s="653">
        <v>2762</v>
      </c>
      <c r="U506" s="653">
        <v>47859</v>
      </c>
    </row>
    <row r="507" spans="1:21" x14ac:dyDescent="0.25">
      <c r="A507" s="648">
        <v>95421</v>
      </c>
      <c r="B507" s="649" t="s">
        <v>3042</v>
      </c>
      <c r="C507" s="650">
        <v>3.9100000000000002E-5</v>
      </c>
      <c r="D507" s="650">
        <v>5.1E-5</v>
      </c>
      <c r="E507" s="651">
        <v>15644</v>
      </c>
      <c r="F507" s="651">
        <v>22888</v>
      </c>
      <c r="G507" s="651">
        <v>82983</v>
      </c>
      <c r="H507" s="651"/>
      <c r="I507" s="652">
        <v>1559</v>
      </c>
      <c r="J507" s="652">
        <v>72720</v>
      </c>
      <c r="K507" s="652">
        <v>5684</v>
      </c>
      <c r="L507" s="651">
        <v>0</v>
      </c>
      <c r="M507" s="651"/>
      <c r="N507" s="652">
        <v>2908</v>
      </c>
      <c r="O507" s="652">
        <v>26841</v>
      </c>
      <c r="P507" s="652">
        <v>0</v>
      </c>
      <c r="Q507" s="651">
        <v>14322</v>
      </c>
      <c r="R507" s="651"/>
      <c r="S507" s="652">
        <v>22180</v>
      </c>
      <c r="T507" s="653">
        <v>-4969</v>
      </c>
      <c r="U507" s="653">
        <v>17211</v>
      </c>
    </row>
    <row r="508" spans="1:21" x14ac:dyDescent="0.25">
      <c r="A508" s="648">
        <v>95431</v>
      </c>
      <c r="B508" s="649" t="s">
        <v>3043</v>
      </c>
      <c r="C508" s="650">
        <v>1.8009999999999999E-4</v>
      </c>
      <c r="D508" s="650">
        <v>1.7249999999999999E-4</v>
      </c>
      <c r="E508" s="651">
        <v>59568.97</v>
      </c>
      <c r="F508" s="651">
        <v>77417</v>
      </c>
      <c r="G508" s="651">
        <v>382233</v>
      </c>
      <c r="H508" s="651"/>
      <c r="I508" s="652">
        <v>7181</v>
      </c>
      <c r="J508" s="652">
        <v>334958</v>
      </c>
      <c r="K508" s="652">
        <v>26180</v>
      </c>
      <c r="L508" s="651">
        <v>450</v>
      </c>
      <c r="M508" s="651"/>
      <c r="N508" s="652">
        <v>13394</v>
      </c>
      <c r="O508" s="652">
        <v>123631</v>
      </c>
      <c r="P508" s="652">
        <v>0</v>
      </c>
      <c r="Q508" s="651">
        <v>13081</v>
      </c>
      <c r="R508" s="651"/>
      <c r="S508" s="652">
        <v>102165</v>
      </c>
      <c r="T508" s="653">
        <v>-3706</v>
      </c>
      <c r="U508" s="653">
        <v>98459</v>
      </c>
    </row>
    <row r="509" spans="1:21" x14ac:dyDescent="0.25">
      <c r="A509" s="648">
        <v>95501</v>
      </c>
      <c r="B509" s="649" t="s">
        <v>3044</v>
      </c>
      <c r="C509" s="650">
        <v>4.7917999999999997E-3</v>
      </c>
      <c r="D509" s="650">
        <v>4.8338000000000001E-3</v>
      </c>
      <c r="E509" s="651">
        <v>1890954</v>
      </c>
      <c r="F509" s="651">
        <v>2169380</v>
      </c>
      <c r="G509" s="651">
        <v>10169805</v>
      </c>
      <c r="H509" s="651"/>
      <c r="I509" s="652">
        <v>191073</v>
      </c>
      <c r="J509" s="652">
        <v>8911991</v>
      </c>
      <c r="K509" s="652">
        <v>696541</v>
      </c>
      <c r="L509" s="651">
        <v>63710</v>
      </c>
      <c r="M509" s="651"/>
      <c r="N509" s="652">
        <v>356361</v>
      </c>
      <c r="O509" s="652">
        <v>3289369</v>
      </c>
      <c r="P509" s="652">
        <v>0</v>
      </c>
      <c r="Q509" s="651">
        <v>102347</v>
      </c>
      <c r="R509" s="651"/>
      <c r="S509" s="652">
        <v>2718240</v>
      </c>
      <c r="T509" s="653">
        <v>3939</v>
      </c>
      <c r="U509" s="653">
        <v>2722178</v>
      </c>
    </row>
    <row r="510" spans="1:21" x14ac:dyDescent="0.25">
      <c r="A510" s="648">
        <v>95504</v>
      </c>
      <c r="B510" s="649" t="s">
        <v>3045</v>
      </c>
      <c r="C510" s="650">
        <v>8.8999999999999995E-6</v>
      </c>
      <c r="D510" s="650">
        <v>1.2099999999999999E-5</v>
      </c>
      <c r="E510" s="651">
        <v>7171.2</v>
      </c>
      <c r="F510" s="651">
        <v>5430</v>
      </c>
      <c r="G510" s="651">
        <v>18889</v>
      </c>
      <c r="H510" s="651"/>
      <c r="I510" s="652">
        <v>354.88749999999999</v>
      </c>
      <c r="J510" s="652">
        <v>16553</v>
      </c>
      <c r="K510" s="652">
        <v>1294</v>
      </c>
      <c r="L510" s="651">
        <v>5463</v>
      </c>
      <c r="M510" s="651"/>
      <c r="N510" s="652">
        <v>662</v>
      </c>
      <c r="O510" s="652">
        <v>6109</v>
      </c>
      <c r="P510" s="652">
        <v>0</v>
      </c>
      <c r="Q510" s="651">
        <v>0</v>
      </c>
      <c r="R510" s="651"/>
      <c r="S510" s="652">
        <v>5049</v>
      </c>
      <c r="T510" s="653">
        <v>1872</v>
      </c>
      <c r="U510" s="653">
        <v>6921</v>
      </c>
    </row>
    <row r="511" spans="1:21" x14ac:dyDescent="0.25">
      <c r="A511" s="648">
        <v>95511</v>
      </c>
      <c r="B511" s="649" t="s">
        <v>3046</v>
      </c>
      <c r="C511" s="650">
        <v>9.6049999999999998E-4</v>
      </c>
      <c r="D511" s="650">
        <v>1.0989000000000001E-3</v>
      </c>
      <c r="E511" s="651">
        <v>413682.63</v>
      </c>
      <c r="F511" s="651">
        <v>493180</v>
      </c>
      <c r="G511" s="651">
        <v>2038503</v>
      </c>
      <c r="H511" s="651"/>
      <c r="I511" s="652">
        <v>38300</v>
      </c>
      <c r="J511" s="652">
        <v>1786378</v>
      </c>
      <c r="K511" s="652">
        <v>139619</v>
      </c>
      <c r="L511" s="651">
        <v>10807.69</v>
      </c>
      <c r="M511" s="651"/>
      <c r="N511" s="652">
        <v>71431</v>
      </c>
      <c r="O511" s="652">
        <v>659343</v>
      </c>
      <c r="P511" s="652">
        <v>0</v>
      </c>
      <c r="Q511" s="651">
        <v>71910</v>
      </c>
      <c r="R511" s="651"/>
      <c r="S511" s="652">
        <v>544862</v>
      </c>
      <c r="T511" s="653">
        <v>-14323</v>
      </c>
      <c r="U511" s="653">
        <v>530538</v>
      </c>
    </row>
    <row r="512" spans="1:21" x14ac:dyDescent="0.25">
      <c r="A512" s="648">
        <v>95513</v>
      </c>
      <c r="B512" s="649" t="s">
        <v>3047</v>
      </c>
      <c r="C512" s="650">
        <v>4.5500000000000001E-5</v>
      </c>
      <c r="D512" s="650">
        <v>4.4499999999999997E-5</v>
      </c>
      <c r="E512" s="651">
        <v>28270</v>
      </c>
      <c r="F512" s="651">
        <v>19971</v>
      </c>
      <c r="G512" s="651">
        <v>96566</v>
      </c>
      <c r="H512" s="651"/>
      <c r="I512" s="652">
        <v>1814.3125</v>
      </c>
      <c r="J512" s="652">
        <v>84623</v>
      </c>
      <c r="K512" s="652">
        <v>6614</v>
      </c>
      <c r="L512" s="651">
        <v>19516</v>
      </c>
      <c r="M512" s="651"/>
      <c r="N512" s="652">
        <v>3384</v>
      </c>
      <c r="O512" s="652">
        <v>31234</v>
      </c>
      <c r="P512" s="652">
        <v>0</v>
      </c>
      <c r="Q512" s="651">
        <v>0</v>
      </c>
      <c r="R512" s="651"/>
      <c r="S512" s="652">
        <v>25811</v>
      </c>
      <c r="T512" s="653">
        <v>6831</v>
      </c>
      <c r="U512" s="653">
        <v>32642</v>
      </c>
    </row>
    <row r="513" spans="1:21" x14ac:dyDescent="0.25">
      <c r="A513" s="648">
        <v>95517</v>
      </c>
      <c r="B513" s="649" t="s">
        <v>3048</v>
      </c>
      <c r="C513" s="650">
        <v>1.66E-5</v>
      </c>
      <c r="D513" s="650">
        <v>1.1399999999999999E-5</v>
      </c>
      <c r="E513" s="651">
        <v>13168.44</v>
      </c>
      <c r="F513" s="651">
        <v>5116</v>
      </c>
      <c r="G513" s="651">
        <v>35231</v>
      </c>
      <c r="H513" s="651"/>
      <c r="I513" s="652">
        <v>662</v>
      </c>
      <c r="J513" s="652">
        <v>30873</v>
      </c>
      <c r="K513" s="652">
        <v>2413</v>
      </c>
      <c r="L513" s="651">
        <v>13465</v>
      </c>
      <c r="M513" s="651"/>
      <c r="N513" s="652">
        <v>1235</v>
      </c>
      <c r="O513" s="652">
        <v>11395</v>
      </c>
      <c r="P513" s="652">
        <v>0</v>
      </c>
      <c r="Q513" s="651">
        <v>0</v>
      </c>
      <c r="R513" s="651"/>
      <c r="S513" s="652">
        <v>9417</v>
      </c>
      <c r="T513" s="653">
        <v>4330</v>
      </c>
      <c r="U513" s="653">
        <v>13747</v>
      </c>
    </row>
    <row r="514" spans="1:21" x14ac:dyDescent="0.25">
      <c r="A514" s="648">
        <v>95601</v>
      </c>
      <c r="B514" s="649" t="s">
        <v>3049</v>
      </c>
      <c r="C514" s="650">
        <v>2.6592999999999999E-3</v>
      </c>
      <c r="D514" s="650">
        <v>2.4567999999999999E-3</v>
      </c>
      <c r="E514" s="651">
        <v>1012937</v>
      </c>
      <c r="F514" s="651">
        <v>1102597</v>
      </c>
      <c r="G514" s="651">
        <v>5643925</v>
      </c>
      <c r="H514" s="651"/>
      <c r="I514" s="652">
        <v>106040</v>
      </c>
      <c r="J514" s="652">
        <v>4945878</v>
      </c>
      <c r="K514" s="652">
        <v>386559</v>
      </c>
      <c r="L514" s="651">
        <v>138057</v>
      </c>
      <c r="M514" s="651"/>
      <c r="N514" s="652">
        <v>197769</v>
      </c>
      <c r="O514" s="652">
        <v>1825498</v>
      </c>
      <c r="P514" s="652">
        <v>0</v>
      </c>
      <c r="Q514" s="651">
        <v>0</v>
      </c>
      <c r="R514" s="651"/>
      <c r="S514" s="652">
        <v>1508538</v>
      </c>
      <c r="T514" s="653">
        <v>52467</v>
      </c>
      <c r="U514" s="653">
        <v>1561006</v>
      </c>
    </row>
    <row r="515" spans="1:21" x14ac:dyDescent="0.25">
      <c r="A515" s="648">
        <v>95611</v>
      </c>
      <c r="B515" s="649" t="s">
        <v>3050</v>
      </c>
      <c r="C515" s="650">
        <v>3.9540000000000002E-4</v>
      </c>
      <c r="D515" s="650">
        <v>3.9500000000000001E-4</v>
      </c>
      <c r="E515" s="651">
        <v>162221</v>
      </c>
      <c r="F515" s="651">
        <v>177273.63</v>
      </c>
      <c r="G515" s="651">
        <v>839171</v>
      </c>
      <c r="H515" s="651"/>
      <c r="I515" s="652">
        <v>15767</v>
      </c>
      <c r="J515" s="652">
        <v>735382</v>
      </c>
      <c r="K515" s="652">
        <v>57476</v>
      </c>
      <c r="L515" s="651">
        <v>2750</v>
      </c>
      <c r="M515" s="651"/>
      <c r="N515" s="652">
        <v>29406</v>
      </c>
      <c r="O515" s="652">
        <v>271425</v>
      </c>
      <c r="P515" s="652">
        <v>0</v>
      </c>
      <c r="Q515" s="651">
        <v>5641</v>
      </c>
      <c r="R515" s="651"/>
      <c r="S515" s="652">
        <v>224298</v>
      </c>
      <c r="T515" s="653">
        <v>-610</v>
      </c>
      <c r="U515" s="653">
        <v>223688</v>
      </c>
    </row>
    <row r="516" spans="1:21" x14ac:dyDescent="0.25">
      <c r="A516" s="648">
        <v>95617</v>
      </c>
      <c r="B516" s="649" t="s">
        <v>3051</v>
      </c>
      <c r="C516" s="650">
        <v>1.6500000000000001E-5</v>
      </c>
      <c r="D516" s="650">
        <v>1.63E-5</v>
      </c>
      <c r="E516" s="651">
        <v>7075</v>
      </c>
      <c r="F516" s="651">
        <v>7315</v>
      </c>
      <c r="G516" s="651">
        <v>35019</v>
      </c>
      <c r="H516" s="651"/>
      <c r="I516" s="652">
        <v>657.9375</v>
      </c>
      <c r="J516" s="652">
        <v>30687</v>
      </c>
      <c r="K516" s="652">
        <v>2398</v>
      </c>
      <c r="L516" s="651">
        <v>338</v>
      </c>
      <c r="M516" s="651"/>
      <c r="N516" s="652">
        <v>1227</v>
      </c>
      <c r="O516" s="652">
        <v>11327</v>
      </c>
      <c r="P516" s="652">
        <v>0</v>
      </c>
      <c r="Q516" s="651">
        <v>2141</v>
      </c>
      <c r="R516" s="651"/>
      <c r="S516" s="652">
        <v>9360</v>
      </c>
      <c r="T516" s="653">
        <v>-777</v>
      </c>
      <c r="U516" s="653">
        <v>8583</v>
      </c>
    </row>
    <row r="517" spans="1:21" x14ac:dyDescent="0.25">
      <c r="A517" s="648">
        <v>95621</v>
      </c>
      <c r="B517" s="649" t="s">
        <v>3052</v>
      </c>
      <c r="C517" s="650">
        <v>4.8020000000000002E-4</v>
      </c>
      <c r="D517" s="650">
        <v>5.0210000000000001E-4</v>
      </c>
      <c r="E517" s="651">
        <v>211840</v>
      </c>
      <c r="F517" s="651">
        <v>225339</v>
      </c>
      <c r="G517" s="651">
        <v>1019145</v>
      </c>
      <c r="H517" s="651"/>
      <c r="I517" s="652">
        <v>19148</v>
      </c>
      <c r="J517" s="652">
        <v>893096</v>
      </c>
      <c r="K517" s="652">
        <v>69802</v>
      </c>
      <c r="L517" s="651">
        <v>6364.02</v>
      </c>
      <c r="M517" s="651"/>
      <c r="N517" s="652">
        <v>35712</v>
      </c>
      <c r="O517" s="652">
        <v>329637</v>
      </c>
      <c r="P517" s="652">
        <v>0</v>
      </c>
      <c r="Q517" s="651">
        <v>3443</v>
      </c>
      <c r="R517" s="651"/>
      <c r="S517" s="652">
        <v>272403</v>
      </c>
      <c r="T517" s="653">
        <v>2021</v>
      </c>
      <c r="U517" s="653">
        <v>274423</v>
      </c>
    </row>
    <row r="518" spans="1:21" x14ac:dyDescent="0.25">
      <c r="A518" s="648">
        <v>95701</v>
      </c>
      <c r="B518" s="649" t="s">
        <v>3053</v>
      </c>
      <c r="C518" s="650">
        <v>1.291E-3</v>
      </c>
      <c r="D518" s="650">
        <v>1.2436999999999999E-3</v>
      </c>
      <c r="E518" s="651">
        <v>517495</v>
      </c>
      <c r="F518" s="651">
        <v>558165</v>
      </c>
      <c r="G518" s="651">
        <v>2739934</v>
      </c>
      <c r="H518" s="651"/>
      <c r="I518" s="652">
        <v>51478.625</v>
      </c>
      <c r="J518" s="652">
        <v>2401056</v>
      </c>
      <c r="K518" s="652">
        <v>187661</v>
      </c>
      <c r="L518" s="651">
        <v>51877</v>
      </c>
      <c r="M518" s="651"/>
      <c r="N518" s="652">
        <v>96010</v>
      </c>
      <c r="O518" s="652">
        <v>886217</v>
      </c>
      <c r="P518" s="652">
        <v>0</v>
      </c>
      <c r="Q518" s="651">
        <v>0</v>
      </c>
      <c r="R518" s="651"/>
      <c r="S518" s="652">
        <v>732344</v>
      </c>
      <c r="T518" s="653">
        <v>20713</v>
      </c>
      <c r="U518" s="653">
        <v>753057</v>
      </c>
    </row>
    <row r="519" spans="1:21" x14ac:dyDescent="0.25">
      <c r="A519" s="648">
        <v>95711</v>
      </c>
      <c r="B519" s="649" t="s">
        <v>3054</v>
      </c>
      <c r="C519" s="650">
        <v>1.382E-4</v>
      </c>
      <c r="D519" s="650">
        <v>1.284E-4</v>
      </c>
      <c r="E519" s="651">
        <v>51439.57</v>
      </c>
      <c r="F519" s="651">
        <v>57625</v>
      </c>
      <c r="G519" s="651">
        <v>293307</v>
      </c>
      <c r="H519" s="651"/>
      <c r="I519" s="652">
        <v>5511</v>
      </c>
      <c r="J519" s="652">
        <v>257030</v>
      </c>
      <c r="K519" s="652">
        <v>20089</v>
      </c>
      <c r="L519" s="651">
        <v>9232</v>
      </c>
      <c r="M519" s="651"/>
      <c r="N519" s="652">
        <v>10278</v>
      </c>
      <c r="O519" s="652">
        <v>94868</v>
      </c>
      <c r="P519" s="652">
        <v>0</v>
      </c>
      <c r="Q519" s="651">
        <v>143</v>
      </c>
      <c r="R519" s="651"/>
      <c r="S519" s="652">
        <v>78397</v>
      </c>
      <c r="T519" s="653">
        <v>3104</v>
      </c>
      <c r="U519" s="653">
        <v>81500</v>
      </c>
    </row>
    <row r="520" spans="1:21" x14ac:dyDescent="0.25">
      <c r="A520" s="648">
        <v>95721</v>
      </c>
      <c r="B520" s="649" t="s">
        <v>3055</v>
      </c>
      <c r="C520" s="650">
        <v>6.6199999999999996E-5</v>
      </c>
      <c r="D520" s="650">
        <v>6.7199999999999994E-5</v>
      </c>
      <c r="E520" s="651">
        <v>22493.79</v>
      </c>
      <c r="F520" s="651">
        <v>30159</v>
      </c>
      <c r="G520" s="651">
        <v>140499</v>
      </c>
      <c r="H520" s="651"/>
      <c r="I520" s="652">
        <v>2640</v>
      </c>
      <c r="J520" s="652">
        <v>123122</v>
      </c>
      <c r="K520" s="652">
        <v>9623</v>
      </c>
      <c r="L520" s="651">
        <v>0</v>
      </c>
      <c r="M520" s="651"/>
      <c r="N520" s="652">
        <v>4923</v>
      </c>
      <c r="O520" s="652">
        <v>45444</v>
      </c>
      <c r="P520" s="652">
        <v>0</v>
      </c>
      <c r="Q520" s="651">
        <v>9473</v>
      </c>
      <c r="R520" s="651"/>
      <c r="S520" s="652">
        <v>37553</v>
      </c>
      <c r="T520" s="653">
        <v>-3665</v>
      </c>
      <c r="U520" s="653">
        <v>33888</v>
      </c>
    </row>
    <row r="521" spans="1:21" x14ac:dyDescent="0.25">
      <c r="A521" s="648">
        <v>95733</v>
      </c>
      <c r="B521" s="649" t="s">
        <v>3056</v>
      </c>
      <c r="C521" s="650">
        <v>1.56E-5</v>
      </c>
      <c r="D521" s="650">
        <v>1.63E-5</v>
      </c>
      <c r="E521" s="651">
        <v>6566</v>
      </c>
      <c r="F521" s="651">
        <v>7315</v>
      </c>
      <c r="G521" s="651">
        <v>33108</v>
      </c>
      <c r="H521" s="651"/>
      <c r="I521" s="652">
        <v>622</v>
      </c>
      <c r="J521" s="652">
        <v>29014</v>
      </c>
      <c r="K521" s="652">
        <v>2268</v>
      </c>
      <c r="L521" s="651">
        <v>926</v>
      </c>
      <c r="M521" s="651"/>
      <c r="N521" s="652">
        <v>1160</v>
      </c>
      <c r="O521" s="652">
        <v>10709</v>
      </c>
      <c r="P521" s="652">
        <v>0</v>
      </c>
      <c r="Q521" s="651">
        <v>259</v>
      </c>
      <c r="R521" s="651"/>
      <c r="S521" s="652">
        <v>8849</v>
      </c>
      <c r="T521" s="653">
        <v>277</v>
      </c>
      <c r="U521" s="653">
        <v>9127</v>
      </c>
    </row>
    <row r="522" spans="1:21" x14ac:dyDescent="0.25">
      <c r="A522" s="648">
        <v>95801</v>
      </c>
      <c r="B522" s="649" t="s">
        <v>3057</v>
      </c>
      <c r="C522" s="650">
        <v>8.9349999999999998E-4</v>
      </c>
      <c r="D522" s="650">
        <v>9.1810000000000004E-4</v>
      </c>
      <c r="E522" s="651">
        <v>383793.67</v>
      </c>
      <c r="F522" s="651">
        <v>412038</v>
      </c>
      <c r="G522" s="651">
        <v>1896306</v>
      </c>
      <c r="H522" s="651"/>
      <c r="I522" s="652">
        <v>35628</v>
      </c>
      <c r="J522" s="652">
        <v>1661769</v>
      </c>
      <c r="K522" s="652">
        <v>129880</v>
      </c>
      <c r="L522" s="651">
        <v>14615</v>
      </c>
      <c r="M522" s="651"/>
      <c r="N522" s="652">
        <v>66449</v>
      </c>
      <c r="O522" s="652">
        <v>613350</v>
      </c>
      <c r="P522" s="652">
        <v>0</v>
      </c>
      <c r="Q522" s="651">
        <v>8079</v>
      </c>
      <c r="R522" s="651"/>
      <c r="S522" s="652">
        <v>506855</v>
      </c>
      <c r="T522" s="653">
        <v>1206</v>
      </c>
      <c r="U522" s="653">
        <v>508061</v>
      </c>
    </row>
    <row r="523" spans="1:21" x14ac:dyDescent="0.25">
      <c r="A523" s="648">
        <v>95802</v>
      </c>
      <c r="B523" s="649" t="s">
        <v>3058</v>
      </c>
      <c r="C523" s="650">
        <v>6.8000000000000001E-6</v>
      </c>
      <c r="D523" s="650">
        <v>6.8000000000000001E-6</v>
      </c>
      <c r="E523" s="651">
        <v>4626.88</v>
      </c>
      <c r="F523" s="651">
        <v>3052</v>
      </c>
      <c r="G523" s="651">
        <v>14432</v>
      </c>
      <c r="H523" s="651"/>
      <c r="I523" s="652">
        <v>271</v>
      </c>
      <c r="J523" s="652">
        <v>12647</v>
      </c>
      <c r="K523" s="652">
        <v>988</v>
      </c>
      <c r="L523" s="651">
        <v>2741</v>
      </c>
      <c r="M523" s="651"/>
      <c r="N523" s="652">
        <v>506</v>
      </c>
      <c r="O523" s="652">
        <v>4668</v>
      </c>
      <c r="P523" s="652">
        <v>0</v>
      </c>
      <c r="Q523" s="651">
        <v>2509</v>
      </c>
      <c r="R523" s="651"/>
      <c r="S523" s="652">
        <v>3857</v>
      </c>
      <c r="T523" s="653">
        <v>-428</v>
      </c>
      <c r="U523" s="653">
        <v>3429</v>
      </c>
    </row>
    <row r="524" spans="1:21" x14ac:dyDescent="0.25">
      <c r="A524" s="648">
        <v>95804</v>
      </c>
      <c r="B524" s="649" t="s">
        <v>3059</v>
      </c>
      <c r="C524" s="650">
        <v>1.63E-5</v>
      </c>
      <c r="D524" s="650">
        <v>1.4399999999999999E-5</v>
      </c>
      <c r="E524" s="651">
        <v>6017.02</v>
      </c>
      <c r="F524" s="651">
        <v>6463</v>
      </c>
      <c r="G524" s="651">
        <v>34594</v>
      </c>
      <c r="H524" s="651"/>
      <c r="I524" s="652">
        <v>649.96249999999998</v>
      </c>
      <c r="J524" s="652">
        <v>30315</v>
      </c>
      <c r="K524" s="652">
        <v>2369</v>
      </c>
      <c r="L524" s="651">
        <v>3054</v>
      </c>
      <c r="M524" s="651"/>
      <c r="N524" s="652">
        <v>1212</v>
      </c>
      <c r="O524" s="652">
        <v>11189</v>
      </c>
      <c r="P524" s="652">
        <v>0</v>
      </c>
      <c r="Q524" s="651">
        <v>0</v>
      </c>
      <c r="R524" s="651"/>
      <c r="S524" s="652">
        <v>9246</v>
      </c>
      <c r="T524" s="653">
        <v>1187</v>
      </c>
      <c r="U524" s="653">
        <v>10434</v>
      </c>
    </row>
    <row r="525" spans="1:21" x14ac:dyDescent="0.25">
      <c r="A525" s="648">
        <v>95811</v>
      </c>
      <c r="B525" s="649" t="s">
        <v>3060</v>
      </c>
      <c r="C525" s="650">
        <v>5.3410000000000003E-4</v>
      </c>
      <c r="D525" s="650">
        <v>5.2459999999999996E-4</v>
      </c>
      <c r="E525" s="651">
        <v>215302.64</v>
      </c>
      <c r="F525" s="651">
        <v>235437</v>
      </c>
      <c r="G525" s="651">
        <v>1133539</v>
      </c>
      <c r="H525" s="651"/>
      <c r="I525" s="652">
        <v>21297</v>
      </c>
      <c r="J525" s="652">
        <v>993342</v>
      </c>
      <c r="K525" s="652">
        <v>77637</v>
      </c>
      <c r="L525" s="651">
        <v>2541</v>
      </c>
      <c r="M525" s="651"/>
      <c r="N525" s="652">
        <v>39720</v>
      </c>
      <c r="O525" s="652">
        <v>366637</v>
      </c>
      <c r="P525" s="652">
        <v>0</v>
      </c>
      <c r="Q525" s="651">
        <v>5345</v>
      </c>
      <c r="R525" s="651"/>
      <c r="S525" s="652">
        <v>302978</v>
      </c>
      <c r="T525" s="653">
        <v>-1032</v>
      </c>
      <c r="U525" s="653">
        <v>301947</v>
      </c>
    </row>
    <row r="526" spans="1:21" x14ac:dyDescent="0.25">
      <c r="A526" s="648">
        <v>95813</v>
      </c>
      <c r="B526" s="649" t="s">
        <v>3061</v>
      </c>
      <c r="C526" s="650">
        <v>4.4400000000000002E-5</v>
      </c>
      <c r="D526" s="650">
        <v>5.02E-5</v>
      </c>
      <c r="E526" s="651">
        <v>61209.42</v>
      </c>
      <c r="F526" s="651">
        <v>22529</v>
      </c>
      <c r="G526" s="651">
        <v>94232</v>
      </c>
      <c r="H526" s="651"/>
      <c r="I526" s="652">
        <v>1770.45</v>
      </c>
      <c r="J526" s="652">
        <v>82577</v>
      </c>
      <c r="K526" s="652">
        <v>6454</v>
      </c>
      <c r="L526" s="651">
        <v>51874</v>
      </c>
      <c r="M526" s="651"/>
      <c r="N526" s="652">
        <v>3302</v>
      </c>
      <c r="O526" s="652">
        <v>30479</v>
      </c>
      <c r="P526" s="652">
        <v>0</v>
      </c>
      <c r="Q526" s="651">
        <v>0</v>
      </c>
      <c r="R526" s="651"/>
      <c r="S526" s="652">
        <v>25187</v>
      </c>
      <c r="T526" s="653">
        <v>15540</v>
      </c>
      <c r="U526" s="653">
        <v>40727</v>
      </c>
    </row>
    <row r="527" spans="1:21" x14ac:dyDescent="0.25">
      <c r="A527" s="648">
        <v>95821</v>
      </c>
      <c r="B527" s="649" t="s">
        <v>3062</v>
      </c>
      <c r="C527" s="650">
        <v>1.7E-6</v>
      </c>
      <c r="D527" s="650">
        <v>1.5999999999999999E-6</v>
      </c>
      <c r="E527" s="651">
        <v>1922</v>
      </c>
      <c r="F527" s="651">
        <v>718</v>
      </c>
      <c r="G527" s="651">
        <v>3608</v>
      </c>
      <c r="H527" s="651"/>
      <c r="I527" s="652">
        <v>68</v>
      </c>
      <c r="J527" s="652">
        <v>3162</v>
      </c>
      <c r="K527" s="652">
        <v>247</v>
      </c>
      <c r="L527" s="651">
        <v>1916</v>
      </c>
      <c r="M527" s="651"/>
      <c r="N527" s="652">
        <v>126</v>
      </c>
      <c r="O527" s="652">
        <v>1167</v>
      </c>
      <c r="P527" s="652">
        <v>0</v>
      </c>
      <c r="Q527" s="651">
        <v>0</v>
      </c>
      <c r="R527" s="651"/>
      <c r="S527" s="652">
        <v>964</v>
      </c>
      <c r="T527" s="653">
        <v>623</v>
      </c>
      <c r="U527" s="653">
        <v>1587</v>
      </c>
    </row>
    <row r="528" spans="1:21" x14ac:dyDescent="0.25">
      <c r="A528" s="648">
        <v>95831</v>
      </c>
      <c r="B528" s="649" t="s">
        <v>3063</v>
      </c>
      <c r="C528" s="650">
        <v>1.36E-5</v>
      </c>
      <c r="D528" s="650">
        <v>1.9199999999999999E-5</v>
      </c>
      <c r="E528" s="651">
        <v>18920.61</v>
      </c>
      <c r="F528" s="651">
        <v>8617</v>
      </c>
      <c r="G528" s="651">
        <v>28864</v>
      </c>
      <c r="H528" s="651"/>
      <c r="I528" s="652">
        <v>542</v>
      </c>
      <c r="J528" s="652">
        <v>25294</v>
      </c>
      <c r="K528" s="652">
        <v>1977</v>
      </c>
      <c r="L528" s="651">
        <v>15027</v>
      </c>
      <c r="M528" s="651"/>
      <c r="N528" s="652">
        <v>1011</v>
      </c>
      <c r="O528" s="652">
        <v>9336</v>
      </c>
      <c r="P528" s="652">
        <v>0</v>
      </c>
      <c r="Q528" s="651">
        <v>0</v>
      </c>
      <c r="R528" s="651"/>
      <c r="S528" s="652">
        <v>7715</v>
      </c>
      <c r="T528" s="653">
        <v>4667</v>
      </c>
      <c r="U528" s="653">
        <v>12382</v>
      </c>
    </row>
    <row r="529" spans="1:21" x14ac:dyDescent="0.25">
      <c r="A529" s="648">
        <v>95841</v>
      </c>
      <c r="B529" s="649" t="s">
        <v>3064</v>
      </c>
      <c r="C529" s="650">
        <v>2.1100000000000001E-5</v>
      </c>
      <c r="D529" s="650">
        <v>2.0699999999999998E-5</v>
      </c>
      <c r="E529" s="651">
        <v>9619.65</v>
      </c>
      <c r="F529" s="651">
        <v>9290</v>
      </c>
      <c r="G529" s="651">
        <v>44781</v>
      </c>
      <c r="H529" s="651"/>
      <c r="I529" s="652">
        <v>841</v>
      </c>
      <c r="J529" s="652">
        <v>39243</v>
      </c>
      <c r="K529" s="652">
        <v>3067</v>
      </c>
      <c r="L529" s="651">
        <v>1840</v>
      </c>
      <c r="M529" s="651"/>
      <c r="N529" s="652">
        <v>1569</v>
      </c>
      <c r="O529" s="652">
        <v>14484</v>
      </c>
      <c r="P529" s="652">
        <v>0</v>
      </c>
      <c r="Q529" s="651">
        <v>0</v>
      </c>
      <c r="R529" s="651"/>
      <c r="S529" s="652">
        <v>11969</v>
      </c>
      <c r="T529" s="653">
        <v>601</v>
      </c>
      <c r="U529" s="653">
        <v>12570</v>
      </c>
    </row>
    <row r="530" spans="1:21" x14ac:dyDescent="0.25">
      <c r="A530" s="648">
        <v>95851</v>
      </c>
      <c r="B530" s="649" t="s">
        <v>3065</v>
      </c>
      <c r="C530" s="650">
        <v>1.3009999999999999E-4</v>
      </c>
      <c r="D530" s="650">
        <v>1.44E-4</v>
      </c>
      <c r="E530" s="651">
        <v>128218</v>
      </c>
      <c r="F530" s="651">
        <v>64626</v>
      </c>
      <c r="G530" s="651">
        <v>276116</v>
      </c>
      <c r="H530" s="651"/>
      <c r="I530" s="652">
        <v>5188</v>
      </c>
      <c r="J530" s="652">
        <v>241965</v>
      </c>
      <c r="K530" s="652">
        <v>18911</v>
      </c>
      <c r="L530" s="651">
        <v>90972</v>
      </c>
      <c r="M530" s="651"/>
      <c r="N530" s="652">
        <v>9675</v>
      </c>
      <c r="O530" s="652">
        <v>89308</v>
      </c>
      <c r="P530" s="652">
        <v>0</v>
      </c>
      <c r="Q530" s="651">
        <v>8402</v>
      </c>
      <c r="R530" s="651"/>
      <c r="S530" s="652">
        <v>73802</v>
      </c>
      <c r="T530" s="653">
        <v>23087</v>
      </c>
      <c r="U530" s="653">
        <v>96889</v>
      </c>
    </row>
    <row r="531" spans="1:21" x14ac:dyDescent="0.25">
      <c r="A531" s="648">
        <v>95853</v>
      </c>
      <c r="B531" s="649" t="s">
        <v>3066</v>
      </c>
      <c r="C531" s="650">
        <v>2.4000000000000001E-5</v>
      </c>
      <c r="D531" s="650">
        <v>2.44E-5</v>
      </c>
      <c r="E531" s="651">
        <v>14930</v>
      </c>
      <c r="F531" s="651">
        <v>10951</v>
      </c>
      <c r="G531" s="651">
        <v>50936.04</v>
      </c>
      <c r="H531" s="651"/>
      <c r="I531" s="652">
        <v>957</v>
      </c>
      <c r="J531" s="652">
        <v>44636</v>
      </c>
      <c r="K531" s="652">
        <v>3489</v>
      </c>
      <c r="L531" s="651">
        <v>8043</v>
      </c>
      <c r="M531" s="651"/>
      <c r="N531" s="652">
        <v>1785</v>
      </c>
      <c r="O531" s="652">
        <v>16475</v>
      </c>
      <c r="P531" s="652">
        <v>0</v>
      </c>
      <c r="Q531" s="651">
        <v>0</v>
      </c>
      <c r="R531" s="651"/>
      <c r="S531" s="652">
        <v>13614</v>
      </c>
      <c r="T531" s="653">
        <v>2790</v>
      </c>
      <c r="U531" s="653">
        <v>16405</v>
      </c>
    </row>
    <row r="532" spans="1:21" x14ac:dyDescent="0.25">
      <c r="A532" s="648">
        <v>95901</v>
      </c>
      <c r="B532" s="649" t="s">
        <v>3067</v>
      </c>
      <c r="C532" s="650">
        <v>1.8266999999999999E-3</v>
      </c>
      <c r="D532" s="650">
        <v>1.8056000000000001E-3</v>
      </c>
      <c r="E532" s="651">
        <v>722469.93</v>
      </c>
      <c r="F532" s="651">
        <v>810342</v>
      </c>
      <c r="G532" s="651">
        <v>3876869</v>
      </c>
      <c r="H532" s="651"/>
      <c r="I532" s="652">
        <v>72840</v>
      </c>
      <c r="J532" s="652">
        <v>3397373</v>
      </c>
      <c r="K532" s="652">
        <v>265531</v>
      </c>
      <c r="L532" s="651">
        <v>69258</v>
      </c>
      <c r="M532" s="651"/>
      <c r="N532" s="652">
        <v>135850</v>
      </c>
      <c r="O532" s="652">
        <v>1253953</v>
      </c>
      <c r="P532" s="652">
        <v>0</v>
      </c>
      <c r="Q532" s="651">
        <v>11402</v>
      </c>
      <c r="R532" s="651"/>
      <c r="S532" s="652">
        <v>1036230</v>
      </c>
      <c r="T532" s="653">
        <v>29652</v>
      </c>
      <c r="U532" s="653">
        <v>1065882</v>
      </c>
    </row>
    <row r="533" spans="1:21" x14ac:dyDescent="0.25">
      <c r="A533" s="648">
        <v>95908</v>
      </c>
      <c r="B533" s="649" t="s">
        <v>3068</v>
      </c>
      <c r="C533" s="650">
        <v>7.2000000000000002E-5</v>
      </c>
      <c r="D533" s="650">
        <v>6.6699999999999995E-5</v>
      </c>
      <c r="E533" s="651">
        <v>21165</v>
      </c>
      <c r="F533" s="651">
        <v>29935</v>
      </c>
      <c r="G533" s="651">
        <v>152808.12</v>
      </c>
      <c r="H533" s="651"/>
      <c r="I533" s="652">
        <v>2871</v>
      </c>
      <c r="J533" s="652">
        <v>133909</v>
      </c>
      <c r="K533" s="652">
        <v>10466</v>
      </c>
      <c r="L533" s="651">
        <v>0</v>
      </c>
      <c r="M533" s="651"/>
      <c r="N533" s="652">
        <v>5355</v>
      </c>
      <c r="O533" s="652">
        <v>49425</v>
      </c>
      <c r="P533" s="652">
        <v>0</v>
      </c>
      <c r="Q533" s="651">
        <v>24519</v>
      </c>
      <c r="R533" s="651"/>
      <c r="S533" s="652">
        <v>40843</v>
      </c>
      <c r="T533" s="653">
        <v>-9060</v>
      </c>
      <c r="U533" s="653">
        <v>31784</v>
      </c>
    </row>
    <row r="534" spans="1:21" x14ac:dyDescent="0.25">
      <c r="A534" s="648">
        <v>95911</v>
      </c>
      <c r="B534" s="649" t="s">
        <v>3069</v>
      </c>
      <c r="C534" s="650">
        <v>5.6979999999999997E-4</v>
      </c>
      <c r="D534" s="650">
        <v>6.2100000000000002E-4</v>
      </c>
      <c r="E534" s="651">
        <v>226533</v>
      </c>
      <c r="F534" s="651">
        <v>278701</v>
      </c>
      <c r="G534" s="651">
        <v>1209306</v>
      </c>
      <c r="H534" s="651"/>
      <c r="I534" s="652">
        <v>22721</v>
      </c>
      <c r="J534" s="652">
        <v>1059738</v>
      </c>
      <c r="K534" s="652">
        <v>82827</v>
      </c>
      <c r="L534" s="651">
        <v>4490</v>
      </c>
      <c r="M534" s="651"/>
      <c r="N534" s="652">
        <v>42375</v>
      </c>
      <c r="O534" s="652">
        <v>391144</v>
      </c>
      <c r="P534" s="652">
        <v>0</v>
      </c>
      <c r="Q534" s="651">
        <v>41660</v>
      </c>
      <c r="R534" s="651"/>
      <c r="S534" s="652">
        <v>323230</v>
      </c>
      <c r="T534" s="653">
        <v>-11084</v>
      </c>
      <c r="U534" s="653">
        <v>312146</v>
      </c>
    </row>
    <row r="535" spans="1:21" x14ac:dyDescent="0.25">
      <c r="A535" s="648">
        <v>95917</v>
      </c>
      <c r="B535" s="649" t="s">
        <v>3070</v>
      </c>
      <c r="C535" s="650">
        <v>2.2399999999999999E-5</v>
      </c>
      <c r="D535" s="650">
        <v>2.4499999999999999E-5</v>
      </c>
      <c r="E535" s="651">
        <v>9793</v>
      </c>
      <c r="F535" s="651">
        <v>10995</v>
      </c>
      <c r="G535" s="651">
        <v>47540</v>
      </c>
      <c r="H535" s="651"/>
      <c r="I535" s="652">
        <v>893</v>
      </c>
      <c r="J535" s="652">
        <v>41660</v>
      </c>
      <c r="K535" s="652">
        <v>3256</v>
      </c>
      <c r="L535" s="651">
        <v>4422</v>
      </c>
      <c r="M535" s="651"/>
      <c r="N535" s="652">
        <v>1666</v>
      </c>
      <c r="O535" s="652">
        <v>15377</v>
      </c>
      <c r="P535" s="652">
        <v>0</v>
      </c>
      <c r="Q535" s="651">
        <v>676</v>
      </c>
      <c r="R535" s="651"/>
      <c r="S535" s="652">
        <v>12707</v>
      </c>
      <c r="T535" s="653">
        <v>1747</v>
      </c>
      <c r="U535" s="653">
        <v>14453</v>
      </c>
    </row>
    <row r="536" spans="1:21" x14ac:dyDescent="0.25">
      <c r="A536" s="648">
        <v>95921</v>
      </c>
      <c r="B536" s="649" t="s">
        <v>3071</v>
      </c>
      <c r="C536" s="650">
        <v>4.4700000000000002E-5</v>
      </c>
      <c r="D536" s="650">
        <v>3.4600000000000001E-5</v>
      </c>
      <c r="E536" s="651">
        <v>16579.87</v>
      </c>
      <c r="F536" s="651">
        <v>15528</v>
      </c>
      <c r="G536" s="651">
        <v>94868</v>
      </c>
      <c r="H536" s="651"/>
      <c r="I536" s="652">
        <v>1782</v>
      </c>
      <c r="J536" s="652">
        <v>83135</v>
      </c>
      <c r="K536" s="652">
        <v>6498</v>
      </c>
      <c r="L536" s="651">
        <v>5096</v>
      </c>
      <c r="M536" s="651"/>
      <c r="N536" s="652">
        <v>3324</v>
      </c>
      <c r="O536" s="652">
        <v>30685</v>
      </c>
      <c r="P536" s="652">
        <v>0</v>
      </c>
      <c r="Q536" s="651">
        <v>1906</v>
      </c>
      <c r="R536" s="651"/>
      <c r="S536" s="652">
        <v>25357</v>
      </c>
      <c r="T536" s="653">
        <v>463</v>
      </c>
      <c r="U536" s="653">
        <v>25820</v>
      </c>
    </row>
    <row r="537" spans="1:21" x14ac:dyDescent="0.25">
      <c r="A537" s="648">
        <v>96001</v>
      </c>
      <c r="B537" s="649" t="s">
        <v>3072</v>
      </c>
      <c r="C537" s="650">
        <v>4.43519E-2</v>
      </c>
      <c r="D537" s="650">
        <v>4.41456E-2</v>
      </c>
      <c r="E537" s="651">
        <v>17742783</v>
      </c>
      <c r="F537" s="651">
        <v>19812280</v>
      </c>
      <c r="G537" s="651">
        <v>94129590</v>
      </c>
      <c r="H537" s="651"/>
      <c r="I537" s="652">
        <v>1768532</v>
      </c>
      <c r="J537" s="652">
        <v>82487526</v>
      </c>
      <c r="K537" s="652">
        <v>6447037</v>
      </c>
      <c r="L537" s="651">
        <v>2806449</v>
      </c>
      <c r="M537" s="651"/>
      <c r="N537" s="652">
        <v>3298406</v>
      </c>
      <c r="O537" s="652">
        <v>30445717</v>
      </c>
      <c r="P537" s="652">
        <v>0</v>
      </c>
      <c r="Q537" s="651">
        <v>282683</v>
      </c>
      <c r="R537" s="651"/>
      <c r="S537" s="652">
        <v>25159458</v>
      </c>
      <c r="T537" s="653">
        <v>1275874</v>
      </c>
      <c r="U537" s="653">
        <v>26435332</v>
      </c>
    </row>
    <row r="538" spans="1:21" x14ac:dyDescent="0.25">
      <c r="A538" s="648">
        <v>96003</v>
      </c>
      <c r="B538" s="649" t="s">
        <v>3073</v>
      </c>
      <c r="C538" s="650">
        <v>1.7309000000000001E-3</v>
      </c>
      <c r="D538" s="650">
        <v>1.7633E-3</v>
      </c>
      <c r="E538" s="651">
        <v>655848.02</v>
      </c>
      <c r="F538" s="651">
        <v>791358</v>
      </c>
      <c r="G538" s="651">
        <v>3673550</v>
      </c>
      <c r="H538" s="651"/>
      <c r="I538" s="652">
        <v>69020</v>
      </c>
      <c r="J538" s="652">
        <v>3219201</v>
      </c>
      <c r="K538" s="652">
        <v>251605</v>
      </c>
      <c r="L538" s="651">
        <v>4786</v>
      </c>
      <c r="M538" s="651"/>
      <c r="N538" s="652">
        <v>128725</v>
      </c>
      <c r="O538" s="652">
        <v>1188190</v>
      </c>
      <c r="P538" s="652">
        <v>0</v>
      </c>
      <c r="Q538" s="651">
        <v>112661</v>
      </c>
      <c r="R538" s="651"/>
      <c r="S538" s="652">
        <v>981886</v>
      </c>
      <c r="T538" s="653">
        <v>-39821</v>
      </c>
      <c r="U538" s="653">
        <v>942065</v>
      </c>
    </row>
    <row r="539" spans="1:21" x14ac:dyDescent="0.25">
      <c r="A539" s="648">
        <v>96004</v>
      </c>
      <c r="B539" s="649" t="s">
        <v>3074</v>
      </c>
      <c r="C539" s="650">
        <v>8.7699999999999996E-4</v>
      </c>
      <c r="D539" s="650">
        <v>8.208E-4</v>
      </c>
      <c r="E539" s="651">
        <v>400422.78</v>
      </c>
      <c r="F539" s="651">
        <v>368370</v>
      </c>
      <c r="G539" s="651">
        <v>1861288</v>
      </c>
      <c r="H539" s="651"/>
      <c r="I539" s="652">
        <v>34970.375</v>
      </c>
      <c r="J539" s="652">
        <v>1631081</v>
      </c>
      <c r="K539" s="652">
        <v>127482</v>
      </c>
      <c r="L539" s="651">
        <v>148722</v>
      </c>
      <c r="M539" s="651"/>
      <c r="N539" s="652">
        <v>65222</v>
      </c>
      <c r="O539" s="652">
        <v>602024</v>
      </c>
      <c r="P539" s="652">
        <v>0</v>
      </c>
      <c r="Q539" s="651">
        <v>0</v>
      </c>
      <c r="R539" s="651"/>
      <c r="S539" s="652">
        <v>497495</v>
      </c>
      <c r="T539" s="653">
        <v>52239</v>
      </c>
      <c r="U539" s="653">
        <v>549734</v>
      </c>
    </row>
    <row r="540" spans="1:21" x14ac:dyDescent="0.25">
      <c r="A540" s="648">
        <v>96005</v>
      </c>
      <c r="B540" s="649" t="s">
        <v>3075</v>
      </c>
      <c r="C540" s="650">
        <v>2.6457E-3</v>
      </c>
      <c r="D540" s="650">
        <v>2.6692E-3</v>
      </c>
      <c r="E540" s="651">
        <v>1120532</v>
      </c>
      <c r="F540" s="651">
        <v>1197921</v>
      </c>
      <c r="G540" s="651">
        <v>5615062</v>
      </c>
      <c r="H540" s="651"/>
      <c r="I540" s="652">
        <v>105497</v>
      </c>
      <c r="J540" s="652">
        <v>4920584</v>
      </c>
      <c r="K540" s="652">
        <v>384582</v>
      </c>
      <c r="L540" s="651">
        <v>345182</v>
      </c>
      <c r="M540" s="651"/>
      <c r="N540" s="652">
        <v>196758</v>
      </c>
      <c r="O540" s="652">
        <v>1816162</v>
      </c>
      <c r="P540" s="652">
        <v>0</v>
      </c>
      <c r="Q540" s="651">
        <v>0</v>
      </c>
      <c r="R540" s="651"/>
      <c r="S540" s="652">
        <v>1500824</v>
      </c>
      <c r="T540" s="653">
        <v>151849</v>
      </c>
      <c r="U540" s="653">
        <v>1652672</v>
      </c>
    </row>
    <row r="541" spans="1:21" x14ac:dyDescent="0.25">
      <c r="A541" s="648">
        <v>96008</v>
      </c>
      <c r="B541" s="649" t="s">
        <v>3076</v>
      </c>
      <c r="C541" s="650">
        <v>5.9388000000000002E-3</v>
      </c>
      <c r="D541" s="650">
        <v>5.4187000000000003E-3</v>
      </c>
      <c r="E541" s="651">
        <v>1816865.04</v>
      </c>
      <c r="F541" s="651">
        <v>2431880</v>
      </c>
      <c r="G541" s="651">
        <v>12604123</v>
      </c>
      <c r="H541" s="651"/>
      <c r="I541" s="652">
        <v>236809.65</v>
      </c>
      <c r="J541" s="652">
        <v>11045230</v>
      </c>
      <c r="K541" s="652">
        <v>863270</v>
      </c>
      <c r="L541" s="651">
        <v>0</v>
      </c>
      <c r="M541" s="651"/>
      <c r="N541" s="652">
        <v>441663</v>
      </c>
      <c r="O541" s="652">
        <v>4076737</v>
      </c>
      <c r="P541" s="652">
        <v>0</v>
      </c>
      <c r="Q541" s="651">
        <v>411808</v>
      </c>
      <c r="R541" s="651"/>
      <c r="S541" s="652">
        <v>3368897</v>
      </c>
      <c r="T541" s="653">
        <v>-148661</v>
      </c>
      <c r="U541" s="653">
        <v>3220236</v>
      </c>
    </row>
    <row r="542" spans="1:21" x14ac:dyDescent="0.25">
      <c r="A542" s="648">
        <v>96009</v>
      </c>
      <c r="B542" s="649" t="s">
        <v>3077</v>
      </c>
      <c r="C542" s="650">
        <v>3.5980000000000002E-4</v>
      </c>
      <c r="D542" s="650">
        <v>3.9110000000000002E-4</v>
      </c>
      <c r="E542" s="651">
        <v>164905</v>
      </c>
      <c r="F542" s="651">
        <v>175523</v>
      </c>
      <c r="G542" s="651">
        <v>763616</v>
      </c>
      <c r="H542" s="651"/>
      <c r="I542" s="652">
        <v>14347</v>
      </c>
      <c r="J542" s="652">
        <v>669171</v>
      </c>
      <c r="K542" s="652">
        <v>52301</v>
      </c>
      <c r="L542" s="651">
        <v>12534</v>
      </c>
      <c r="M542" s="651"/>
      <c r="N542" s="652">
        <v>26758</v>
      </c>
      <c r="O542" s="652">
        <v>246988</v>
      </c>
      <c r="P542" s="652">
        <v>0</v>
      </c>
      <c r="Q542" s="651">
        <v>3502</v>
      </c>
      <c r="R542" s="651"/>
      <c r="S542" s="652">
        <v>204103</v>
      </c>
      <c r="T542" s="653">
        <v>4895</v>
      </c>
      <c r="U542" s="653">
        <v>208999</v>
      </c>
    </row>
    <row r="543" spans="1:21" x14ac:dyDescent="0.25">
      <c r="A543" s="648">
        <v>96011</v>
      </c>
      <c r="B543" s="649" t="s">
        <v>3078</v>
      </c>
      <c r="C543" s="650">
        <v>6.0489000000000001E-2</v>
      </c>
      <c r="D543" s="650">
        <v>5.8946100000000001E-2</v>
      </c>
      <c r="E543" s="651">
        <v>23738140</v>
      </c>
      <c r="F543" s="651">
        <v>26454656</v>
      </c>
      <c r="G543" s="651">
        <v>128377922</v>
      </c>
      <c r="H543" s="651"/>
      <c r="I543" s="652">
        <v>2411999</v>
      </c>
      <c r="J543" s="652">
        <v>112499983</v>
      </c>
      <c r="K543" s="652">
        <v>8792742</v>
      </c>
      <c r="L543" s="651">
        <v>167249</v>
      </c>
      <c r="M543" s="651"/>
      <c r="N543" s="652">
        <v>4498506</v>
      </c>
      <c r="O543" s="652">
        <v>41523158</v>
      </c>
      <c r="P543" s="652">
        <v>0</v>
      </c>
      <c r="Q543" s="651">
        <v>70330</v>
      </c>
      <c r="R543" s="651"/>
      <c r="S543" s="652">
        <v>34313535</v>
      </c>
      <c r="T543" s="653">
        <v>40438</v>
      </c>
      <c r="U543" s="653">
        <v>34353973</v>
      </c>
    </row>
    <row r="544" spans="1:21" x14ac:dyDescent="0.25">
      <c r="A544" s="648">
        <v>96012</v>
      </c>
      <c r="B544" s="649" t="s">
        <v>3079</v>
      </c>
      <c r="C544" s="650">
        <v>2.4095000000000002E-3</v>
      </c>
      <c r="D544" s="650">
        <v>2.1905000000000002E-3</v>
      </c>
      <c r="E544" s="651">
        <v>930120</v>
      </c>
      <c r="F544" s="651">
        <v>983083</v>
      </c>
      <c r="G544" s="651">
        <v>5113766</v>
      </c>
      <c r="H544" s="651"/>
      <c r="I544" s="652">
        <v>96079</v>
      </c>
      <c r="J544" s="652">
        <v>4481289</v>
      </c>
      <c r="K544" s="652">
        <v>350247</v>
      </c>
      <c r="L544" s="651">
        <v>112910</v>
      </c>
      <c r="M544" s="651"/>
      <c r="N544" s="652">
        <v>179192</v>
      </c>
      <c r="O544" s="652">
        <v>1654021</v>
      </c>
      <c r="P544" s="652">
        <v>0</v>
      </c>
      <c r="Q544" s="651">
        <v>0</v>
      </c>
      <c r="R544" s="651"/>
      <c r="S544" s="652">
        <v>1366835</v>
      </c>
      <c r="T544" s="653">
        <v>35829</v>
      </c>
      <c r="U544" s="653">
        <v>1402664</v>
      </c>
    </row>
    <row r="545" spans="1:21" x14ac:dyDescent="0.25">
      <c r="A545" s="648">
        <v>96018</v>
      </c>
      <c r="B545" s="649" t="s">
        <v>3080</v>
      </c>
      <c r="C545" s="650">
        <v>3.6199999999999999E-5</v>
      </c>
      <c r="D545" s="650">
        <v>3.3599999999999997E-5</v>
      </c>
      <c r="E545" s="651">
        <v>13499</v>
      </c>
      <c r="F545" s="651">
        <v>15079</v>
      </c>
      <c r="G545" s="651">
        <v>76829</v>
      </c>
      <c r="H545" s="651"/>
      <c r="I545" s="652">
        <v>1443.4749999999999</v>
      </c>
      <c r="J545" s="652">
        <v>67326</v>
      </c>
      <c r="K545" s="652">
        <v>5262</v>
      </c>
      <c r="L545" s="651">
        <v>11396</v>
      </c>
      <c r="M545" s="651"/>
      <c r="N545" s="652">
        <v>2692</v>
      </c>
      <c r="O545" s="652">
        <v>24850</v>
      </c>
      <c r="P545" s="652">
        <v>0</v>
      </c>
      <c r="Q545" s="651">
        <v>0</v>
      </c>
      <c r="R545" s="651"/>
      <c r="S545" s="652">
        <v>20535</v>
      </c>
      <c r="T545" s="653">
        <v>5069</v>
      </c>
      <c r="U545" s="653">
        <v>25604</v>
      </c>
    </row>
    <row r="546" spans="1:21" x14ac:dyDescent="0.25">
      <c r="A546" s="648">
        <v>96021</v>
      </c>
      <c r="B546" s="649" t="s">
        <v>3081</v>
      </c>
      <c r="C546" s="650">
        <v>8.5829999999999999E-4</v>
      </c>
      <c r="D546" s="650">
        <v>8.8719999999999999E-4</v>
      </c>
      <c r="E546" s="651">
        <v>330918.43</v>
      </c>
      <c r="F546" s="651">
        <v>398170</v>
      </c>
      <c r="G546" s="651">
        <v>1821600</v>
      </c>
      <c r="H546" s="651"/>
      <c r="I546" s="652">
        <v>34225</v>
      </c>
      <c r="J546" s="652">
        <v>1596302</v>
      </c>
      <c r="K546" s="652">
        <v>124763</v>
      </c>
      <c r="L546" s="651">
        <v>50366</v>
      </c>
      <c r="M546" s="651"/>
      <c r="N546" s="652">
        <v>63831</v>
      </c>
      <c r="O546" s="652">
        <v>589187</v>
      </c>
      <c r="P546" s="652">
        <v>0</v>
      </c>
      <c r="Q546" s="651">
        <v>33170</v>
      </c>
      <c r="R546" s="651"/>
      <c r="S546" s="652">
        <v>486887</v>
      </c>
      <c r="T546" s="653">
        <v>9814</v>
      </c>
      <c r="U546" s="653">
        <v>496701</v>
      </c>
    </row>
    <row r="547" spans="1:21" x14ac:dyDescent="0.25">
      <c r="A547" s="648">
        <v>96031</v>
      </c>
      <c r="B547" s="649" t="s">
        <v>3082</v>
      </c>
      <c r="C547" s="650">
        <v>9.0189999999999997E-4</v>
      </c>
      <c r="D547" s="650">
        <v>8.116E-4</v>
      </c>
      <c r="E547" s="651">
        <v>268947</v>
      </c>
      <c r="F547" s="651">
        <v>364241</v>
      </c>
      <c r="G547" s="651">
        <v>1914134</v>
      </c>
      <c r="H547" s="651"/>
      <c r="I547" s="652">
        <v>35963</v>
      </c>
      <c r="J547" s="652">
        <v>1677391</v>
      </c>
      <c r="K547" s="652">
        <v>131101</v>
      </c>
      <c r="L547" s="651">
        <v>0</v>
      </c>
      <c r="M547" s="651"/>
      <c r="N547" s="652">
        <v>67073</v>
      </c>
      <c r="O547" s="652">
        <v>619116</v>
      </c>
      <c r="P547" s="652">
        <v>0</v>
      </c>
      <c r="Q547" s="651">
        <v>136310</v>
      </c>
      <c r="R547" s="651"/>
      <c r="S547" s="652">
        <v>511620</v>
      </c>
      <c r="T547" s="653">
        <v>-50978</v>
      </c>
      <c r="U547" s="653">
        <v>460642</v>
      </c>
    </row>
    <row r="548" spans="1:21" x14ac:dyDescent="0.25">
      <c r="A548" s="648">
        <v>96041</v>
      </c>
      <c r="B548" s="649" t="s">
        <v>3083</v>
      </c>
      <c r="C548" s="650">
        <v>1.7323E-3</v>
      </c>
      <c r="D548" s="650">
        <v>1.6793999999999999E-3</v>
      </c>
      <c r="E548" s="651">
        <v>616935</v>
      </c>
      <c r="F548" s="651">
        <v>753705</v>
      </c>
      <c r="G548" s="651">
        <v>3676521</v>
      </c>
      <c r="H548" s="651"/>
      <c r="I548" s="652">
        <v>69075</v>
      </c>
      <c r="J548" s="652">
        <v>3221804</v>
      </c>
      <c r="K548" s="652">
        <v>251809</v>
      </c>
      <c r="L548" s="651">
        <v>0</v>
      </c>
      <c r="M548" s="651"/>
      <c r="N548" s="652">
        <v>128829</v>
      </c>
      <c r="O548" s="652">
        <v>1189151</v>
      </c>
      <c r="P548" s="652">
        <v>0</v>
      </c>
      <c r="Q548" s="651">
        <v>127191</v>
      </c>
      <c r="R548" s="651"/>
      <c r="S548" s="652">
        <v>982680</v>
      </c>
      <c r="T548" s="653">
        <v>-45617</v>
      </c>
      <c r="U548" s="653">
        <v>937063</v>
      </c>
    </row>
    <row r="549" spans="1:21" x14ac:dyDescent="0.25">
      <c r="A549" s="648">
        <v>96051</v>
      </c>
      <c r="B549" s="649" t="s">
        <v>3084</v>
      </c>
      <c r="C549" s="650">
        <v>1.0258000000000001E-3</v>
      </c>
      <c r="D549" s="650">
        <v>1.0265999999999999E-3</v>
      </c>
      <c r="E549" s="651">
        <v>369762</v>
      </c>
      <c r="F549" s="651">
        <v>460732</v>
      </c>
      <c r="G549" s="651">
        <v>2177091</v>
      </c>
      <c r="H549" s="651"/>
      <c r="I549" s="652">
        <v>40904</v>
      </c>
      <c r="J549" s="652">
        <v>1907826</v>
      </c>
      <c r="K549" s="652">
        <v>149111</v>
      </c>
      <c r="L549" s="651">
        <v>0</v>
      </c>
      <c r="M549" s="651"/>
      <c r="N549" s="652">
        <v>76288</v>
      </c>
      <c r="O549" s="652">
        <v>704169</v>
      </c>
      <c r="P549" s="652">
        <v>0</v>
      </c>
      <c r="Q549" s="651">
        <v>94345</v>
      </c>
      <c r="R549" s="651"/>
      <c r="S549" s="652">
        <v>581905</v>
      </c>
      <c r="T549" s="653">
        <v>-32749</v>
      </c>
      <c r="U549" s="653">
        <v>549156</v>
      </c>
    </row>
    <row r="550" spans="1:21" x14ac:dyDescent="0.25">
      <c r="A550" s="648">
        <v>96061</v>
      </c>
      <c r="B550" s="649" t="s">
        <v>3085</v>
      </c>
      <c r="C550" s="650">
        <v>3.0800000000000001E-4</v>
      </c>
      <c r="D550" s="650">
        <v>3.1809999999999998E-4</v>
      </c>
      <c r="E550" s="651">
        <v>123610</v>
      </c>
      <c r="F550" s="651">
        <v>142761</v>
      </c>
      <c r="G550" s="651">
        <v>653679</v>
      </c>
      <c r="H550" s="651"/>
      <c r="I550" s="652">
        <v>12281.5</v>
      </c>
      <c r="J550" s="652">
        <v>572831</v>
      </c>
      <c r="K550" s="652">
        <v>44771</v>
      </c>
      <c r="L550" s="651">
        <v>2239</v>
      </c>
      <c r="M550" s="651"/>
      <c r="N550" s="652">
        <v>22906</v>
      </c>
      <c r="O550" s="652">
        <v>211429</v>
      </c>
      <c r="P550" s="652">
        <v>0</v>
      </c>
      <c r="Q550" s="651">
        <v>11106</v>
      </c>
      <c r="R550" s="651"/>
      <c r="S550" s="652">
        <v>174719</v>
      </c>
      <c r="T550" s="653">
        <v>-2865</v>
      </c>
      <c r="U550" s="653">
        <v>171854</v>
      </c>
    </row>
    <row r="551" spans="1:21" x14ac:dyDescent="0.25">
      <c r="A551" s="648">
        <v>96071</v>
      </c>
      <c r="B551" s="649" t="s">
        <v>3086</v>
      </c>
      <c r="C551" s="650">
        <v>1.1280999999999999E-3</v>
      </c>
      <c r="D551" s="650">
        <v>1.2979000000000001E-3</v>
      </c>
      <c r="E551" s="651">
        <v>475581.26</v>
      </c>
      <c r="F551" s="651">
        <v>582490</v>
      </c>
      <c r="G551" s="651">
        <v>2394206</v>
      </c>
      <c r="H551" s="651"/>
      <c r="I551" s="652">
        <v>44983</v>
      </c>
      <c r="J551" s="652">
        <v>2098088</v>
      </c>
      <c r="K551" s="652">
        <v>163982</v>
      </c>
      <c r="L551" s="651">
        <v>64300</v>
      </c>
      <c r="M551" s="651"/>
      <c r="N551" s="652">
        <v>83896</v>
      </c>
      <c r="O551" s="652">
        <v>774393</v>
      </c>
      <c r="P551" s="652">
        <v>0</v>
      </c>
      <c r="Q551" s="651">
        <v>103673</v>
      </c>
      <c r="R551" s="651"/>
      <c r="S551" s="652">
        <v>639936</v>
      </c>
      <c r="T551" s="653">
        <v>-9157</v>
      </c>
      <c r="U551" s="653">
        <v>630779</v>
      </c>
    </row>
    <row r="552" spans="1:21" x14ac:dyDescent="0.25">
      <c r="A552" s="648">
        <v>96081</v>
      </c>
      <c r="B552" s="649" t="s">
        <v>3087</v>
      </c>
      <c r="C552" s="650">
        <v>4.7820000000000002E-4</v>
      </c>
      <c r="D552" s="650">
        <v>4.3820000000000003E-4</v>
      </c>
      <c r="E552" s="651">
        <v>172267</v>
      </c>
      <c r="F552" s="651">
        <v>196662</v>
      </c>
      <c r="G552" s="651">
        <v>1014901</v>
      </c>
      <c r="H552" s="651"/>
      <c r="I552" s="652">
        <v>19068</v>
      </c>
      <c r="J552" s="652">
        <v>889376</v>
      </c>
      <c r="K552" s="652">
        <v>69512</v>
      </c>
      <c r="L552" s="651">
        <v>14379</v>
      </c>
      <c r="M552" s="651"/>
      <c r="N552" s="652">
        <v>35563</v>
      </c>
      <c r="O552" s="652">
        <v>328264</v>
      </c>
      <c r="P552" s="652">
        <v>0</v>
      </c>
      <c r="Q552" s="651">
        <v>6375</v>
      </c>
      <c r="R552" s="651"/>
      <c r="S552" s="652">
        <v>271268</v>
      </c>
      <c r="T552" s="653">
        <v>4406</v>
      </c>
      <c r="U552" s="653">
        <v>275674</v>
      </c>
    </row>
    <row r="553" spans="1:21" x14ac:dyDescent="0.25">
      <c r="A553" s="648">
        <v>96101</v>
      </c>
      <c r="B553" s="649" t="s">
        <v>3088</v>
      </c>
      <c r="C553" s="650">
        <v>7.5860000000000001E-4</v>
      </c>
      <c r="D553" s="650">
        <v>7.6990000000000001E-4</v>
      </c>
      <c r="E553" s="651">
        <v>313732</v>
      </c>
      <c r="F553" s="651">
        <v>345527</v>
      </c>
      <c r="G553" s="651">
        <v>1610003</v>
      </c>
      <c r="H553" s="651"/>
      <c r="I553" s="652">
        <v>30249</v>
      </c>
      <c r="J553" s="652">
        <v>1410876</v>
      </c>
      <c r="K553" s="652">
        <v>110271</v>
      </c>
      <c r="L553" s="651">
        <v>31021</v>
      </c>
      <c r="M553" s="651"/>
      <c r="N553" s="652">
        <v>56416</v>
      </c>
      <c r="O553" s="652">
        <v>520747</v>
      </c>
      <c r="P553" s="652">
        <v>0</v>
      </c>
      <c r="Q553" s="651">
        <v>4721</v>
      </c>
      <c r="R553" s="651"/>
      <c r="S553" s="652">
        <v>430330</v>
      </c>
      <c r="T553" s="653">
        <v>11900</v>
      </c>
      <c r="U553" s="653">
        <v>442230</v>
      </c>
    </row>
    <row r="554" spans="1:21" x14ac:dyDescent="0.25">
      <c r="A554" s="648">
        <v>96102</v>
      </c>
      <c r="B554" s="649" t="s">
        <v>3089</v>
      </c>
      <c r="C554" s="650">
        <v>1.42E-5</v>
      </c>
      <c r="D554" s="650">
        <v>1.3699999999999999E-5</v>
      </c>
      <c r="E554" s="651">
        <v>4769.91</v>
      </c>
      <c r="F554" s="651">
        <v>6148</v>
      </c>
      <c r="G554" s="651">
        <v>30137</v>
      </c>
      <c r="H554" s="651"/>
      <c r="I554" s="652">
        <v>566.22500000000002</v>
      </c>
      <c r="J554" s="652">
        <v>26410</v>
      </c>
      <c r="K554" s="652">
        <v>2064</v>
      </c>
      <c r="L554" s="651">
        <v>0</v>
      </c>
      <c r="M554" s="651"/>
      <c r="N554" s="652">
        <v>1056</v>
      </c>
      <c r="O554" s="652">
        <v>9748</v>
      </c>
      <c r="P554" s="652">
        <v>0</v>
      </c>
      <c r="Q554" s="651">
        <v>2903</v>
      </c>
      <c r="R554" s="651"/>
      <c r="S554" s="652">
        <v>8055</v>
      </c>
      <c r="T554" s="653">
        <v>-1101</v>
      </c>
      <c r="U554" s="653">
        <v>6954</v>
      </c>
    </row>
    <row r="555" spans="1:21" x14ac:dyDescent="0.25">
      <c r="A555" s="648">
        <v>96111</v>
      </c>
      <c r="B555" s="649" t="s">
        <v>3090</v>
      </c>
      <c r="C555" s="650">
        <v>1.6119999999999999E-4</v>
      </c>
      <c r="D555" s="650">
        <v>1.616E-4</v>
      </c>
      <c r="E555" s="651">
        <v>70991.37</v>
      </c>
      <c r="F555" s="651">
        <v>72525</v>
      </c>
      <c r="G555" s="651">
        <v>342120</v>
      </c>
      <c r="H555" s="651"/>
      <c r="I555" s="652">
        <v>6428</v>
      </c>
      <c r="J555" s="652">
        <v>299807</v>
      </c>
      <c r="K555" s="652">
        <v>23432</v>
      </c>
      <c r="L555" s="651">
        <v>16577</v>
      </c>
      <c r="M555" s="651"/>
      <c r="N555" s="652">
        <v>11988</v>
      </c>
      <c r="O555" s="652">
        <v>110657</v>
      </c>
      <c r="P555" s="652">
        <v>0</v>
      </c>
      <c r="Q555" s="651">
        <v>0</v>
      </c>
      <c r="R555" s="651"/>
      <c r="S555" s="652">
        <v>91444</v>
      </c>
      <c r="T555" s="653">
        <v>7175</v>
      </c>
      <c r="U555" s="653">
        <v>98618</v>
      </c>
    </row>
    <row r="556" spans="1:21" x14ac:dyDescent="0.25">
      <c r="A556" s="648">
        <v>96121</v>
      </c>
      <c r="B556" s="649" t="s">
        <v>3091</v>
      </c>
      <c r="C556" s="650">
        <v>2.2099999999999998E-5</v>
      </c>
      <c r="D556" s="650">
        <v>1.9199999999999999E-5</v>
      </c>
      <c r="E556" s="651">
        <v>7784.73</v>
      </c>
      <c r="F556" s="651">
        <v>8617</v>
      </c>
      <c r="G556" s="651">
        <v>46904</v>
      </c>
      <c r="H556" s="651"/>
      <c r="I556" s="652">
        <v>881.23749999999995</v>
      </c>
      <c r="J556" s="652">
        <v>41103</v>
      </c>
      <c r="K556" s="652">
        <v>3212</v>
      </c>
      <c r="L556" s="651">
        <v>535</v>
      </c>
      <c r="M556" s="651"/>
      <c r="N556" s="652">
        <v>1644</v>
      </c>
      <c r="O556" s="652">
        <v>15171</v>
      </c>
      <c r="P556" s="652">
        <v>0</v>
      </c>
      <c r="Q556" s="651">
        <v>1907</v>
      </c>
      <c r="R556" s="651"/>
      <c r="S556" s="652">
        <v>12537</v>
      </c>
      <c r="T556" s="653">
        <v>-758</v>
      </c>
      <c r="U556" s="653">
        <v>11779</v>
      </c>
    </row>
    <row r="557" spans="1:21" x14ac:dyDescent="0.25">
      <c r="A557" s="648">
        <v>96201</v>
      </c>
      <c r="B557" s="649" t="s">
        <v>3092</v>
      </c>
      <c r="C557" s="650">
        <v>1.2302999999999999E-3</v>
      </c>
      <c r="D557" s="650">
        <v>1.2474000000000001E-3</v>
      </c>
      <c r="E557" s="651">
        <v>481242.57</v>
      </c>
      <c r="F557" s="651">
        <v>559826</v>
      </c>
      <c r="G557" s="651">
        <v>2611109</v>
      </c>
      <c r="H557" s="651"/>
      <c r="I557" s="652">
        <v>49058</v>
      </c>
      <c r="J557" s="652">
        <v>2288164</v>
      </c>
      <c r="K557" s="652">
        <v>178838</v>
      </c>
      <c r="L557" s="651">
        <v>0</v>
      </c>
      <c r="M557" s="651"/>
      <c r="N557" s="652">
        <v>91496</v>
      </c>
      <c r="O557" s="652">
        <v>844549</v>
      </c>
      <c r="P557" s="652">
        <v>0</v>
      </c>
      <c r="Q557" s="651">
        <v>39692</v>
      </c>
      <c r="R557" s="651"/>
      <c r="S557" s="652">
        <v>697911</v>
      </c>
      <c r="T557" s="653">
        <v>-11921</v>
      </c>
      <c r="U557" s="653">
        <v>685990</v>
      </c>
    </row>
    <row r="558" spans="1:21" x14ac:dyDescent="0.25">
      <c r="A558" s="648">
        <v>96204</v>
      </c>
      <c r="B558" s="649" t="s">
        <v>3093</v>
      </c>
      <c r="C558" s="650">
        <v>1.5400000000000002E-5</v>
      </c>
      <c r="D558" s="650">
        <v>1.49E-5</v>
      </c>
      <c r="E558" s="651">
        <v>7656</v>
      </c>
      <c r="F558" s="651">
        <v>6687</v>
      </c>
      <c r="G558" s="651">
        <v>32684</v>
      </c>
      <c r="H558" s="651"/>
      <c r="I558" s="652">
        <v>614</v>
      </c>
      <c r="J558" s="652">
        <v>28642</v>
      </c>
      <c r="K558" s="652">
        <v>2239</v>
      </c>
      <c r="L558" s="651">
        <v>3853</v>
      </c>
      <c r="M558" s="651"/>
      <c r="N558" s="652">
        <v>1145</v>
      </c>
      <c r="O558" s="652">
        <v>10571</v>
      </c>
      <c r="P558" s="652">
        <v>0</v>
      </c>
      <c r="Q558" s="651">
        <v>0</v>
      </c>
      <c r="R558" s="651"/>
      <c r="S558" s="652">
        <v>8736</v>
      </c>
      <c r="T558" s="653">
        <v>1392</v>
      </c>
      <c r="U558" s="653">
        <v>10127</v>
      </c>
    </row>
    <row r="559" spans="1:21" x14ac:dyDescent="0.25">
      <c r="A559" s="648">
        <v>96211</v>
      </c>
      <c r="B559" s="649" t="s">
        <v>3094</v>
      </c>
      <c r="C559" s="650">
        <v>3.0700000000000001E-5</v>
      </c>
      <c r="D559" s="650">
        <v>2.7399999999999999E-5</v>
      </c>
      <c r="E559" s="651">
        <v>14055.49</v>
      </c>
      <c r="F559" s="651">
        <v>12297</v>
      </c>
      <c r="G559" s="651">
        <v>65156</v>
      </c>
      <c r="H559" s="651"/>
      <c r="I559" s="652">
        <v>1224</v>
      </c>
      <c r="J559" s="652">
        <v>57097</v>
      </c>
      <c r="K559" s="652">
        <v>4463</v>
      </c>
      <c r="L559" s="651">
        <v>5441</v>
      </c>
      <c r="M559" s="651"/>
      <c r="N559" s="652">
        <v>2283</v>
      </c>
      <c r="O559" s="652">
        <v>21074</v>
      </c>
      <c r="P559" s="652">
        <v>0</v>
      </c>
      <c r="Q559" s="651">
        <v>8968.93</v>
      </c>
      <c r="R559" s="651"/>
      <c r="S559" s="652">
        <v>17415</v>
      </c>
      <c r="T559" s="653">
        <v>-2857</v>
      </c>
      <c r="U559" s="653">
        <v>14558</v>
      </c>
    </row>
    <row r="560" spans="1:21" x14ac:dyDescent="0.25">
      <c r="A560" s="648">
        <v>96221</v>
      </c>
      <c r="B560" s="649" t="s">
        <v>3095</v>
      </c>
      <c r="C560" s="650">
        <v>2.287E-4</v>
      </c>
      <c r="D560" s="650">
        <v>2.3719999999999999E-4</v>
      </c>
      <c r="E560" s="651">
        <v>88753.9</v>
      </c>
      <c r="F560" s="651">
        <v>106454</v>
      </c>
      <c r="G560" s="651">
        <v>485378</v>
      </c>
      <c r="H560" s="651"/>
      <c r="I560" s="652">
        <v>9119</v>
      </c>
      <c r="J560" s="652">
        <v>425346</v>
      </c>
      <c r="K560" s="652">
        <v>33244</v>
      </c>
      <c r="L560" s="651">
        <v>4903</v>
      </c>
      <c r="M560" s="651"/>
      <c r="N560" s="652">
        <v>17008</v>
      </c>
      <c r="O560" s="652">
        <v>156993</v>
      </c>
      <c r="P560" s="652">
        <v>0</v>
      </c>
      <c r="Q560" s="651">
        <v>16105</v>
      </c>
      <c r="R560" s="651"/>
      <c r="S560" s="652">
        <v>129734</v>
      </c>
      <c r="T560" s="653">
        <v>-2405</v>
      </c>
      <c r="U560" s="653">
        <v>127329</v>
      </c>
    </row>
    <row r="561" spans="1:21" x14ac:dyDescent="0.25">
      <c r="A561" s="648">
        <v>96231</v>
      </c>
      <c r="B561" s="649" t="s">
        <v>3096</v>
      </c>
      <c r="C561" s="650">
        <v>1.145E-4</v>
      </c>
      <c r="D561" s="650">
        <v>1.2420000000000001E-4</v>
      </c>
      <c r="E561" s="651">
        <v>40508</v>
      </c>
      <c r="F561" s="651">
        <v>55740</v>
      </c>
      <c r="G561" s="651">
        <v>243007</v>
      </c>
      <c r="H561" s="651"/>
      <c r="I561" s="652">
        <v>4565.6875</v>
      </c>
      <c r="J561" s="652">
        <v>212952</v>
      </c>
      <c r="K561" s="652">
        <v>16644</v>
      </c>
      <c r="L561" s="651">
        <v>0</v>
      </c>
      <c r="M561" s="651"/>
      <c r="N561" s="652">
        <v>8515</v>
      </c>
      <c r="O561" s="652">
        <v>78599</v>
      </c>
      <c r="P561" s="652">
        <v>0</v>
      </c>
      <c r="Q561" s="651">
        <v>22692</v>
      </c>
      <c r="R561" s="651"/>
      <c r="S561" s="652">
        <v>64952</v>
      </c>
      <c r="T561" s="653">
        <v>-7733</v>
      </c>
      <c r="U561" s="653">
        <v>57219</v>
      </c>
    </row>
    <row r="562" spans="1:21" x14ac:dyDescent="0.25">
      <c r="A562" s="648">
        <v>96241</v>
      </c>
      <c r="B562" s="649" t="s">
        <v>3097</v>
      </c>
      <c r="C562" s="650">
        <v>4.6100000000000002E-5</v>
      </c>
      <c r="D562" s="650">
        <v>5.7000000000000003E-5</v>
      </c>
      <c r="E562" s="651">
        <v>18964.25</v>
      </c>
      <c r="F562" s="651">
        <v>25581</v>
      </c>
      <c r="G562" s="651">
        <v>97840</v>
      </c>
      <c r="H562" s="651"/>
      <c r="I562" s="652">
        <v>1838</v>
      </c>
      <c r="J562" s="652">
        <v>85739</v>
      </c>
      <c r="K562" s="652">
        <v>6701</v>
      </c>
      <c r="L562" s="651">
        <v>7866</v>
      </c>
      <c r="M562" s="651"/>
      <c r="N562" s="652">
        <v>3428</v>
      </c>
      <c r="O562" s="652">
        <v>31646</v>
      </c>
      <c r="P562" s="652">
        <v>0</v>
      </c>
      <c r="Q562" s="651">
        <v>5900</v>
      </c>
      <c r="R562" s="651"/>
      <c r="S562" s="652">
        <v>26151</v>
      </c>
      <c r="T562" s="653">
        <v>2187</v>
      </c>
      <c r="U562" s="653">
        <v>28338</v>
      </c>
    </row>
    <row r="563" spans="1:21" x14ac:dyDescent="0.25">
      <c r="A563" s="648">
        <v>96251</v>
      </c>
      <c r="B563" s="649" t="s">
        <v>3098</v>
      </c>
      <c r="C563" s="650">
        <v>7.7100000000000004E-5</v>
      </c>
      <c r="D563" s="650">
        <v>9.0699999999999996E-5</v>
      </c>
      <c r="E563" s="651">
        <v>29404.75</v>
      </c>
      <c r="F563" s="651">
        <v>40706</v>
      </c>
      <c r="G563" s="651">
        <v>163632</v>
      </c>
      <c r="H563" s="651"/>
      <c r="I563" s="652">
        <v>3074</v>
      </c>
      <c r="J563" s="652">
        <v>143394</v>
      </c>
      <c r="K563" s="652">
        <v>11207</v>
      </c>
      <c r="L563" s="651">
        <v>0</v>
      </c>
      <c r="M563" s="651"/>
      <c r="N563" s="652">
        <v>5734</v>
      </c>
      <c r="O563" s="652">
        <v>52926</v>
      </c>
      <c r="P563" s="652">
        <v>0</v>
      </c>
      <c r="Q563" s="651">
        <v>25538</v>
      </c>
      <c r="R563" s="651"/>
      <c r="S563" s="652">
        <v>43736</v>
      </c>
      <c r="T563" s="653">
        <v>-8652</v>
      </c>
      <c r="U563" s="653">
        <v>35085</v>
      </c>
    </row>
    <row r="564" spans="1:21" x14ac:dyDescent="0.25">
      <c r="A564" s="648">
        <v>96301</v>
      </c>
      <c r="B564" s="649" t="s">
        <v>3099</v>
      </c>
      <c r="C564" s="650">
        <v>4.3785999999999999E-3</v>
      </c>
      <c r="D564" s="650">
        <v>4.5367999999999997E-3</v>
      </c>
      <c r="E564" s="651">
        <v>1765529</v>
      </c>
      <c r="F564" s="651">
        <v>2036089</v>
      </c>
      <c r="G564" s="651">
        <v>9292856</v>
      </c>
      <c r="H564" s="651"/>
      <c r="I564" s="652">
        <v>174597</v>
      </c>
      <c r="J564" s="652">
        <v>8143504</v>
      </c>
      <c r="K564" s="652">
        <v>636478</v>
      </c>
      <c r="L564" s="651">
        <v>94185</v>
      </c>
      <c r="M564" s="651"/>
      <c r="N564" s="652">
        <v>325632</v>
      </c>
      <c r="O564" s="652">
        <v>3005725</v>
      </c>
      <c r="P564" s="652">
        <v>0</v>
      </c>
      <c r="Q564" s="651">
        <v>147101</v>
      </c>
      <c r="R564" s="651"/>
      <c r="S564" s="652">
        <v>2483844</v>
      </c>
      <c r="T564" s="653">
        <v>-12863</v>
      </c>
      <c r="U564" s="653">
        <v>2470981</v>
      </c>
    </row>
    <row r="565" spans="1:21" x14ac:dyDescent="0.25">
      <c r="A565" s="648">
        <v>96302</v>
      </c>
      <c r="B565" s="649" t="s">
        <v>3100</v>
      </c>
      <c r="C565" s="650">
        <v>1.9199999999999999E-5</v>
      </c>
      <c r="D565" s="650">
        <v>1.42E-5</v>
      </c>
      <c r="E565" s="651">
        <v>6636.09</v>
      </c>
      <c r="F565" s="651">
        <v>6373</v>
      </c>
      <c r="G565" s="651">
        <v>40749</v>
      </c>
      <c r="H565" s="651"/>
      <c r="I565" s="652">
        <v>766</v>
      </c>
      <c r="J565" s="652">
        <v>35709</v>
      </c>
      <c r="K565" s="652">
        <v>2791</v>
      </c>
      <c r="L565" s="651">
        <v>4449</v>
      </c>
      <c r="M565" s="651"/>
      <c r="N565" s="652">
        <v>1428</v>
      </c>
      <c r="O565" s="652">
        <v>13180</v>
      </c>
      <c r="P565" s="652">
        <v>0</v>
      </c>
      <c r="Q565" s="651">
        <v>0</v>
      </c>
      <c r="R565" s="651"/>
      <c r="S565" s="652">
        <v>10892</v>
      </c>
      <c r="T565" s="653">
        <v>1514</v>
      </c>
      <c r="U565" s="653">
        <v>12406</v>
      </c>
    </row>
    <row r="566" spans="1:21" x14ac:dyDescent="0.25">
      <c r="A566" s="648">
        <v>96304</v>
      </c>
      <c r="B566" s="649" t="s">
        <v>3101</v>
      </c>
      <c r="C566" s="650">
        <v>5.4599999999999999E-5</v>
      </c>
      <c r="D566" s="650">
        <v>5.24E-5</v>
      </c>
      <c r="E566" s="651">
        <v>25715.360000000001</v>
      </c>
      <c r="F566" s="651">
        <v>23517</v>
      </c>
      <c r="G566" s="651">
        <v>115879</v>
      </c>
      <c r="H566" s="651"/>
      <c r="I566" s="652">
        <v>2177</v>
      </c>
      <c r="J566" s="652">
        <v>101547</v>
      </c>
      <c r="K566" s="652">
        <v>7937</v>
      </c>
      <c r="L566" s="651">
        <v>7913</v>
      </c>
      <c r="M566" s="651"/>
      <c r="N566" s="652">
        <v>4061</v>
      </c>
      <c r="O566" s="652">
        <v>37481</v>
      </c>
      <c r="P566" s="652">
        <v>0</v>
      </c>
      <c r="Q566" s="651">
        <v>231</v>
      </c>
      <c r="R566" s="651"/>
      <c r="S566" s="652">
        <v>30973</v>
      </c>
      <c r="T566" s="653">
        <v>2329</v>
      </c>
      <c r="U566" s="653">
        <v>33302</v>
      </c>
    </row>
    <row r="567" spans="1:21" x14ac:dyDescent="0.25">
      <c r="A567" s="648">
        <v>96305</v>
      </c>
      <c r="B567" s="649" t="s">
        <v>3102</v>
      </c>
      <c r="C567" s="650">
        <v>4.8199999999999999E-5</v>
      </c>
      <c r="D567" s="650">
        <v>5.0399999999999999E-5</v>
      </c>
      <c r="E567" s="651">
        <v>28361</v>
      </c>
      <c r="F567" s="651">
        <v>22619</v>
      </c>
      <c r="G567" s="651">
        <v>102297</v>
      </c>
      <c r="H567" s="651"/>
      <c r="I567" s="652">
        <v>1921.9749999999999</v>
      </c>
      <c r="J567" s="652">
        <v>89644</v>
      </c>
      <c r="K567" s="652">
        <v>7006</v>
      </c>
      <c r="L567" s="651">
        <v>10711</v>
      </c>
      <c r="M567" s="651"/>
      <c r="N567" s="652">
        <v>3585</v>
      </c>
      <c r="O567" s="652">
        <v>33087</v>
      </c>
      <c r="P567" s="652">
        <v>0</v>
      </c>
      <c r="Q567" s="651">
        <v>0</v>
      </c>
      <c r="R567" s="651"/>
      <c r="S567" s="652">
        <v>27342</v>
      </c>
      <c r="T567" s="653">
        <v>3278</v>
      </c>
      <c r="U567" s="653">
        <v>30620</v>
      </c>
    </row>
    <row r="568" spans="1:21" x14ac:dyDescent="0.25">
      <c r="A568" s="648">
        <v>96310</v>
      </c>
      <c r="B568" s="649" t="s">
        <v>3103</v>
      </c>
      <c r="C568" s="650">
        <v>4.88E-5</v>
      </c>
      <c r="D568" s="650">
        <v>6.1299999999999999E-5</v>
      </c>
      <c r="E568" s="651">
        <v>23403</v>
      </c>
      <c r="F568" s="651">
        <v>27511</v>
      </c>
      <c r="G568" s="651">
        <v>103570</v>
      </c>
      <c r="H568" s="651"/>
      <c r="I568" s="652">
        <v>1945.9</v>
      </c>
      <c r="J568" s="652">
        <v>90760</v>
      </c>
      <c r="K568" s="652">
        <v>7094</v>
      </c>
      <c r="L568" s="651">
        <v>6056</v>
      </c>
      <c r="M568" s="651"/>
      <c r="N568" s="652">
        <v>3629</v>
      </c>
      <c r="O568" s="652">
        <v>33499</v>
      </c>
      <c r="P568" s="652">
        <v>0</v>
      </c>
      <c r="Q568" s="651">
        <v>4123</v>
      </c>
      <c r="R568" s="651"/>
      <c r="S568" s="652">
        <v>27683</v>
      </c>
      <c r="T568" s="653">
        <v>1701</v>
      </c>
      <c r="U568" s="653">
        <v>29384</v>
      </c>
    </row>
    <row r="569" spans="1:21" x14ac:dyDescent="0.25">
      <c r="A569" s="648">
        <v>96311</v>
      </c>
      <c r="B569" s="649" t="s">
        <v>3104</v>
      </c>
      <c r="C569" s="650">
        <v>1.4082999999999999E-3</v>
      </c>
      <c r="D569" s="650">
        <v>1.4383E-3</v>
      </c>
      <c r="E569" s="651">
        <v>512325.3</v>
      </c>
      <c r="F569" s="651">
        <v>645500</v>
      </c>
      <c r="G569" s="651">
        <v>2988884</v>
      </c>
      <c r="H569" s="651"/>
      <c r="I569" s="652">
        <v>56156</v>
      </c>
      <c r="J569" s="652">
        <v>2619215</v>
      </c>
      <c r="K569" s="652">
        <v>204712</v>
      </c>
      <c r="L569" s="651">
        <v>22194.47</v>
      </c>
      <c r="M569" s="651"/>
      <c r="N569" s="652">
        <v>104734</v>
      </c>
      <c r="O569" s="652">
        <v>966739</v>
      </c>
      <c r="P569" s="652">
        <v>0</v>
      </c>
      <c r="Q569" s="651">
        <v>96281</v>
      </c>
      <c r="R569" s="651"/>
      <c r="S569" s="652">
        <v>798885</v>
      </c>
      <c r="T569" s="653">
        <v>-16365</v>
      </c>
      <c r="U569" s="653">
        <v>782520</v>
      </c>
    </row>
    <row r="570" spans="1:21" x14ac:dyDescent="0.25">
      <c r="A570" s="648">
        <v>96312</v>
      </c>
      <c r="B570" s="649" t="s">
        <v>3105</v>
      </c>
      <c r="C570" s="650">
        <v>1.5999999999999999E-6</v>
      </c>
      <c r="D570" s="650">
        <v>4.7999999999999998E-6</v>
      </c>
      <c r="E570" s="651">
        <v>1992</v>
      </c>
      <c r="F570" s="651">
        <v>2154</v>
      </c>
      <c r="G570" s="651">
        <v>3396</v>
      </c>
      <c r="H570" s="651"/>
      <c r="I570" s="652">
        <v>63.8</v>
      </c>
      <c r="J570" s="652">
        <v>2976</v>
      </c>
      <c r="K570" s="652">
        <v>233</v>
      </c>
      <c r="L570" s="651">
        <v>51</v>
      </c>
      <c r="M570" s="651"/>
      <c r="N570" s="652">
        <v>119</v>
      </c>
      <c r="O570" s="652">
        <v>1098</v>
      </c>
      <c r="P570" s="652">
        <v>0</v>
      </c>
      <c r="Q570" s="651">
        <v>3416</v>
      </c>
      <c r="R570" s="651"/>
      <c r="S570" s="652">
        <v>908</v>
      </c>
      <c r="T570" s="653">
        <v>-1534</v>
      </c>
      <c r="U570" s="653">
        <v>-627</v>
      </c>
    </row>
    <row r="571" spans="1:21" x14ac:dyDescent="0.25">
      <c r="A571" s="648">
        <v>96318</v>
      </c>
      <c r="B571" s="649" t="s">
        <v>3106</v>
      </c>
      <c r="C571" s="650">
        <v>1.7782E-3</v>
      </c>
      <c r="D571" s="650">
        <v>0</v>
      </c>
      <c r="E571" s="651">
        <v>12089019</v>
      </c>
      <c r="F571" s="651">
        <v>0</v>
      </c>
      <c r="G571" s="651">
        <v>3773936</v>
      </c>
      <c r="H571" s="651"/>
      <c r="I571" s="652">
        <v>70906</v>
      </c>
      <c r="J571" s="652">
        <v>3307171</v>
      </c>
      <c r="K571" s="652">
        <v>258481</v>
      </c>
      <c r="L571" s="651">
        <v>9984043</v>
      </c>
      <c r="M571" s="651"/>
      <c r="N571" s="652">
        <v>132243</v>
      </c>
      <c r="O571" s="652">
        <v>1220660</v>
      </c>
      <c r="P571" s="652">
        <v>0</v>
      </c>
      <c r="Q571" s="651">
        <v>0</v>
      </c>
      <c r="R571" s="651"/>
      <c r="S571" s="652">
        <v>1008718</v>
      </c>
      <c r="T571" s="653">
        <v>2586540</v>
      </c>
      <c r="U571" s="653">
        <v>3595257</v>
      </c>
    </row>
    <row r="572" spans="1:21" x14ac:dyDescent="0.25">
      <c r="A572" s="648">
        <v>96321</v>
      </c>
      <c r="B572" s="649" t="s">
        <v>3107</v>
      </c>
      <c r="C572" s="650">
        <v>3.7400000000000001E-5</v>
      </c>
      <c r="D572" s="650">
        <v>3.9700000000000003E-5</v>
      </c>
      <c r="E572" s="651">
        <v>13314.68</v>
      </c>
      <c r="F572" s="651">
        <v>17817</v>
      </c>
      <c r="G572" s="651">
        <v>79375</v>
      </c>
      <c r="H572" s="651"/>
      <c r="I572" s="652">
        <v>1491.325</v>
      </c>
      <c r="J572" s="652">
        <v>69558</v>
      </c>
      <c r="K572" s="652">
        <v>5437</v>
      </c>
      <c r="L572" s="651">
        <v>837</v>
      </c>
      <c r="M572" s="651"/>
      <c r="N572" s="652">
        <v>2781</v>
      </c>
      <c r="O572" s="652">
        <v>25674</v>
      </c>
      <c r="P572" s="652">
        <v>0</v>
      </c>
      <c r="Q572" s="651">
        <v>3510</v>
      </c>
      <c r="R572" s="651"/>
      <c r="S572" s="652">
        <v>21216</v>
      </c>
      <c r="T572" s="653">
        <v>-764</v>
      </c>
      <c r="U572" s="653">
        <v>20452</v>
      </c>
    </row>
    <row r="573" spans="1:21" x14ac:dyDescent="0.25">
      <c r="A573" s="648">
        <v>96331</v>
      </c>
      <c r="B573" s="649" t="s">
        <v>3108</v>
      </c>
      <c r="C573" s="650">
        <v>7.1699999999999997E-4</v>
      </c>
      <c r="D573" s="650">
        <v>7.6110000000000001E-4</v>
      </c>
      <c r="E573" s="651">
        <v>265185</v>
      </c>
      <c r="F573" s="651">
        <v>341577</v>
      </c>
      <c r="G573" s="651">
        <v>1521714</v>
      </c>
      <c r="H573" s="651"/>
      <c r="I573" s="652">
        <v>28590.375</v>
      </c>
      <c r="J573" s="652">
        <v>1333507</v>
      </c>
      <c r="K573" s="652">
        <v>104224</v>
      </c>
      <c r="L573" s="651">
        <v>4814</v>
      </c>
      <c r="M573" s="651"/>
      <c r="N573" s="652">
        <v>53323</v>
      </c>
      <c r="O573" s="652">
        <v>492190</v>
      </c>
      <c r="P573" s="652">
        <v>0</v>
      </c>
      <c r="Q573" s="651">
        <v>66351</v>
      </c>
      <c r="R573" s="651"/>
      <c r="S573" s="652">
        <v>406732</v>
      </c>
      <c r="T573" s="653">
        <v>-20081</v>
      </c>
      <c r="U573" s="653">
        <v>386651</v>
      </c>
    </row>
    <row r="574" spans="1:21" x14ac:dyDescent="0.25">
      <c r="A574" s="648">
        <v>96341</v>
      </c>
      <c r="B574" s="649" t="s">
        <v>3109</v>
      </c>
      <c r="C574" s="650">
        <v>9.1600000000000004E-5</v>
      </c>
      <c r="D574" s="650">
        <v>8.0799999999999999E-5</v>
      </c>
      <c r="E574" s="651">
        <v>32432</v>
      </c>
      <c r="F574" s="651">
        <v>36263</v>
      </c>
      <c r="G574" s="651">
        <v>194406</v>
      </c>
      <c r="H574" s="651"/>
      <c r="I574" s="652">
        <v>3652.55</v>
      </c>
      <c r="J574" s="652">
        <v>170362</v>
      </c>
      <c r="K574" s="652">
        <v>13315</v>
      </c>
      <c r="L574" s="651">
        <v>13221</v>
      </c>
      <c r="M574" s="651"/>
      <c r="N574" s="652">
        <v>6812</v>
      </c>
      <c r="O574" s="652">
        <v>62880</v>
      </c>
      <c r="P574" s="652">
        <v>0</v>
      </c>
      <c r="Q574" s="651">
        <v>11187.78</v>
      </c>
      <c r="R574" s="651"/>
      <c r="S574" s="652">
        <v>51962</v>
      </c>
      <c r="T574" s="653">
        <v>-1095</v>
      </c>
      <c r="U574" s="653">
        <v>50867</v>
      </c>
    </row>
    <row r="575" spans="1:21" x14ac:dyDescent="0.25">
      <c r="A575" s="648">
        <v>96351</v>
      </c>
      <c r="B575" s="649" t="s">
        <v>3110</v>
      </c>
      <c r="C575" s="650">
        <v>1.0736000000000001E-3</v>
      </c>
      <c r="D575" s="650">
        <v>1.0939999999999999E-3</v>
      </c>
      <c r="E575" s="651">
        <v>419131</v>
      </c>
      <c r="F575" s="651">
        <v>490981</v>
      </c>
      <c r="G575" s="651">
        <v>2278539</v>
      </c>
      <c r="H575" s="651"/>
      <c r="I575" s="652">
        <v>42809.8</v>
      </c>
      <c r="J575" s="652">
        <v>1996726</v>
      </c>
      <c r="K575" s="652">
        <v>156060</v>
      </c>
      <c r="L575" s="651">
        <v>9467</v>
      </c>
      <c r="M575" s="651"/>
      <c r="N575" s="652">
        <v>79843</v>
      </c>
      <c r="O575" s="652">
        <v>736981</v>
      </c>
      <c r="P575" s="652">
        <v>0</v>
      </c>
      <c r="Q575" s="651">
        <v>28826</v>
      </c>
      <c r="R575" s="651"/>
      <c r="S575" s="652">
        <v>609020</v>
      </c>
      <c r="T575" s="653">
        <v>-3422</v>
      </c>
      <c r="U575" s="653">
        <v>605598</v>
      </c>
    </row>
    <row r="576" spans="1:21" x14ac:dyDescent="0.25">
      <c r="A576" s="648">
        <v>96361</v>
      </c>
      <c r="B576" s="649" t="s">
        <v>3111</v>
      </c>
      <c r="C576" s="650">
        <v>5.8900000000000002E-5</v>
      </c>
      <c r="D576" s="650">
        <v>4.8999999999999998E-5</v>
      </c>
      <c r="E576" s="651">
        <v>21511</v>
      </c>
      <c r="F576" s="651">
        <v>21991</v>
      </c>
      <c r="G576" s="651">
        <v>125006</v>
      </c>
      <c r="H576" s="651"/>
      <c r="I576" s="652">
        <v>2349</v>
      </c>
      <c r="J576" s="652">
        <v>109545</v>
      </c>
      <c r="K576" s="652">
        <v>8562</v>
      </c>
      <c r="L576" s="651">
        <v>5269</v>
      </c>
      <c r="M576" s="651"/>
      <c r="N576" s="652">
        <v>4380</v>
      </c>
      <c r="O576" s="652">
        <v>40432</v>
      </c>
      <c r="P576" s="652">
        <v>0</v>
      </c>
      <c r="Q576" s="651">
        <v>390</v>
      </c>
      <c r="R576" s="651"/>
      <c r="S576" s="652">
        <v>33412</v>
      </c>
      <c r="T576" s="653">
        <v>1728</v>
      </c>
      <c r="U576" s="653">
        <v>35140</v>
      </c>
    </row>
    <row r="577" spans="1:21" x14ac:dyDescent="0.25">
      <c r="A577" s="648">
        <v>96371</v>
      </c>
      <c r="B577" s="649" t="s">
        <v>3112</v>
      </c>
      <c r="C577" s="650">
        <v>1.6359999999999999E-4</v>
      </c>
      <c r="D577" s="650">
        <v>1.6760000000000001E-4</v>
      </c>
      <c r="E577" s="651">
        <v>62917</v>
      </c>
      <c r="F577" s="651">
        <v>75218</v>
      </c>
      <c r="G577" s="651">
        <v>347214</v>
      </c>
      <c r="H577" s="651"/>
      <c r="I577" s="652">
        <v>6524</v>
      </c>
      <c r="J577" s="652">
        <v>304270</v>
      </c>
      <c r="K577" s="652">
        <v>23781</v>
      </c>
      <c r="L577" s="651">
        <v>2683</v>
      </c>
      <c r="M577" s="651"/>
      <c r="N577" s="652">
        <v>12167</v>
      </c>
      <c r="O577" s="652">
        <v>112305</v>
      </c>
      <c r="P577" s="652">
        <v>0</v>
      </c>
      <c r="Q577" s="651">
        <v>7435</v>
      </c>
      <c r="R577" s="651"/>
      <c r="S577" s="652">
        <v>92805</v>
      </c>
      <c r="T577" s="653">
        <v>-750</v>
      </c>
      <c r="U577" s="653">
        <v>92055</v>
      </c>
    </row>
    <row r="578" spans="1:21" x14ac:dyDescent="0.25">
      <c r="A578" s="648">
        <v>96381</v>
      </c>
      <c r="B578" s="649" t="s">
        <v>3113</v>
      </c>
      <c r="C578" s="650">
        <v>3.26E-5</v>
      </c>
      <c r="D578" s="650">
        <v>2.9600000000000001E-5</v>
      </c>
      <c r="E578" s="651">
        <v>11485.45</v>
      </c>
      <c r="F578" s="651">
        <v>13284</v>
      </c>
      <c r="G578" s="651">
        <v>69188</v>
      </c>
      <c r="H578" s="651"/>
      <c r="I578" s="652">
        <v>1299.925</v>
      </c>
      <c r="J578" s="652">
        <v>60631</v>
      </c>
      <c r="K578" s="652">
        <v>4739</v>
      </c>
      <c r="L578" s="651">
        <v>99</v>
      </c>
      <c r="M578" s="651"/>
      <c r="N578" s="652">
        <v>2424</v>
      </c>
      <c r="O578" s="652">
        <v>22379</v>
      </c>
      <c r="P578" s="652">
        <v>0</v>
      </c>
      <c r="Q578" s="651">
        <v>3089</v>
      </c>
      <c r="R578" s="651"/>
      <c r="S578" s="652">
        <v>18493</v>
      </c>
      <c r="T578" s="653">
        <v>-1205</v>
      </c>
      <c r="U578" s="653">
        <v>17288</v>
      </c>
    </row>
    <row r="579" spans="1:21" x14ac:dyDescent="0.25">
      <c r="A579" s="648">
        <v>96391</v>
      </c>
      <c r="B579" s="649" t="s">
        <v>3114</v>
      </c>
      <c r="C579" s="650">
        <v>1.807E-4</v>
      </c>
      <c r="D579" s="650">
        <v>1.9450000000000001E-4</v>
      </c>
      <c r="E579" s="651">
        <v>66063</v>
      </c>
      <c r="F579" s="651">
        <v>87290</v>
      </c>
      <c r="G579" s="651">
        <v>383506</v>
      </c>
      <c r="H579" s="651"/>
      <c r="I579" s="652">
        <v>7205</v>
      </c>
      <c r="J579" s="652">
        <v>336073</v>
      </c>
      <c r="K579" s="652">
        <v>26267</v>
      </c>
      <c r="L579" s="651">
        <v>19760.7</v>
      </c>
      <c r="M579" s="651"/>
      <c r="N579" s="652">
        <v>13438</v>
      </c>
      <c r="O579" s="652">
        <v>124043</v>
      </c>
      <c r="P579" s="652">
        <v>0</v>
      </c>
      <c r="Q579" s="651">
        <v>26107</v>
      </c>
      <c r="R579" s="651"/>
      <c r="S579" s="652">
        <v>102506</v>
      </c>
      <c r="T579" s="653">
        <v>2012</v>
      </c>
      <c r="U579" s="653">
        <v>104518</v>
      </c>
    </row>
    <row r="580" spans="1:21" x14ac:dyDescent="0.25">
      <c r="A580" s="648">
        <v>96401</v>
      </c>
      <c r="B580" s="649" t="s">
        <v>3115</v>
      </c>
      <c r="C580" s="650">
        <v>4.5900000000000003E-3</v>
      </c>
      <c r="D580" s="650">
        <v>4.5434999999999998E-3</v>
      </c>
      <c r="E580" s="651">
        <v>1835552.26</v>
      </c>
      <c r="F580" s="651">
        <v>2039096</v>
      </c>
      <c r="G580" s="651">
        <v>9741518</v>
      </c>
      <c r="H580" s="651"/>
      <c r="I580" s="652">
        <v>183026.25</v>
      </c>
      <c r="J580" s="652">
        <v>8536675</v>
      </c>
      <c r="K580" s="652">
        <v>667206.99</v>
      </c>
      <c r="L580" s="651">
        <v>31898</v>
      </c>
      <c r="M580" s="651"/>
      <c r="N580" s="652">
        <v>341353.71</v>
      </c>
      <c r="O580" s="652">
        <v>3150842.22</v>
      </c>
      <c r="P580" s="652">
        <v>0</v>
      </c>
      <c r="Q580" s="651">
        <v>37434</v>
      </c>
      <c r="R580" s="651"/>
      <c r="S580" s="652">
        <v>2603764.71</v>
      </c>
      <c r="T580" s="653">
        <v>4298</v>
      </c>
      <c r="U580" s="653">
        <v>2608063</v>
      </c>
    </row>
    <row r="581" spans="1:21" x14ac:dyDescent="0.25">
      <c r="A581" s="648">
        <v>96404</v>
      </c>
      <c r="B581" s="649" t="s">
        <v>3116</v>
      </c>
      <c r="C581" s="650">
        <v>9.8800000000000003E-5</v>
      </c>
      <c r="D581" s="650">
        <v>8.92E-5</v>
      </c>
      <c r="E581" s="651">
        <v>49336.67</v>
      </c>
      <c r="F581" s="651">
        <v>40032</v>
      </c>
      <c r="G581" s="651">
        <v>209687</v>
      </c>
      <c r="H581" s="651"/>
      <c r="I581" s="652">
        <v>3939.65</v>
      </c>
      <c r="J581" s="652">
        <v>183752</v>
      </c>
      <c r="K581" s="652">
        <v>14362</v>
      </c>
      <c r="L581" s="651">
        <v>23586</v>
      </c>
      <c r="M581" s="651"/>
      <c r="N581" s="652">
        <v>7348</v>
      </c>
      <c r="O581" s="652">
        <v>67822</v>
      </c>
      <c r="P581" s="652">
        <v>0</v>
      </c>
      <c r="Q581" s="651">
        <v>0</v>
      </c>
      <c r="R581" s="651"/>
      <c r="S581" s="652">
        <v>56046</v>
      </c>
      <c r="T581" s="653">
        <v>7753</v>
      </c>
      <c r="U581" s="653">
        <v>63799</v>
      </c>
    </row>
    <row r="582" spans="1:21" x14ac:dyDescent="0.25">
      <c r="A582" s="648">
        <v>96405</v>
      </c>
      <c r="B582" s="649" t="s">
        <v>3117</v>
      </c>
      <c r="C582" s="650">
        <v>1.7760000000000001E-4</v>
      </c>
      <c r="D582" s="650">
        <v>1.942E-4</v>
      </c>
      <c r="E582" s="651">
        <v>83528</v>
      </c>
      <c r="F582" s="651">
        <v>87156</v>
      </c>
      <c r="G582" s="651">
        <v>376927</v>
      </c>
      <c r="H582" s="651"/>
      <c r="I582" s="652">
        <v>7081.8</v>
      </c>
      <c r="J582" s="652">
        <v>330308</v>
      </c>
      <c r="K582" s="652">
        <v>25816</v>
      </c>
      <c r="L582" s="651">
        <v>15838</v>
      </c>
      <c r="M582" s="651"/>
      <c r="N582" s="652">
        <v>13208</v>
      </c>
      <c r="O582" s="652">
        <v>121915</v>
      </c>
      <c r="P582" s="652">
        <v>0</v>
      </c>
      <c r="Q582" s="651">
        <v>2411</v>
      </c>
      <c r="R582" s="651"/>
      <c r="S582" s="652">
        <v>100747</v>
      </c>
      <c r="T582" s="653">
        <v>4565</v>
      </c>
      <c r="U582" s="653">
        <v>105312</v>
      </c>
    </row>
    <row r="583" spans="1:21" x14ac:dyDescent="0.25">
      <c r="A583" s="648">
        <v>96411</v>
      </c>
      <c r="B583" s="649" t="s">
        <v>3118</v>
      </c>
      <c r="C583" s="650">
        <v>5.66E-5</v>
      </c>
      <c r="D583" s="650">
        <v>6.6699999999999995E-5</v>
      </c>
      <c r="E583" s="651">
        <v>25222</v>
      </c>
      <c r="F583" s="651">
        <v>29935</v>
      </c>
      <c r="G583" s="651">
        <v>120124</v>
      </c>
      <c r="H583" s="651"/>
      <c r="I583" s="652">
        <v>2257</v>
      </c>
      <c r="J583" s="652">
        <v>105267</v>
      </c>
      <c r="K583" s="652">
        <v>8227</v>
      </c>
      <c r="L583" s="651">
        <v>8181</v>
      </c>
      <c r="M583" s="651"/>
      <c r="N583" s="652">
        <v>4209</v>
      </c>
      <c r="O583" s="652">
        <v>38854</v>
      </c>
      <c r="P583" s="652">
        <v>0</v>
      </c>
      <c r="Q583" s="651">
        <v>6127</v>
      </c>
      <c r="R583" s="651"/>
      <c r="S583" s="652">
        <v>32107</v>
      </c>
      <c r="T583" s="653">
        <v>778</v>
      </c>
      <c r="U583" s="653">
        <v>32885</v>
      </c>
    </row>
    <row r="584" spans="1:21" x14ac:dyDescent="0.25">
      <c r="A584" s="648">
        <v>96421</v>
      </c>
      <c r="B584" s="649" t="s">
        <v>3119</v>
      </c>
      <c r="C584" s="650">
        <v>4.2860000000000001E-4</v>
      </c>
      <c r="D584" s="650">
        <v>4.6069999999999998E-4</v>
      </c>
      <c r="E584" s="651">
        <v>149902.97</v>
      </c>
      <c r="F584" s="651">
        <v>206759</v>
      </c>
      <c r="G584" s="651">
        <v>909633</v>
      </c>
      <c r="H584" s="651"/>
      <c r="I584" s="652">
        <v>17090</v>
      </c>
      <c r="J584" s="652">
        <v>797128</v>
      </c>
      <c r="K584" s="652">
        <v>62302</v>
      </c>
      <c r="L584" s="651">
        <v>0</v>
      </c>
      <c r="M584" s="651"/>
      <c r="N584" s="652">
        <v>31875</v>
      </c>
      <c r="O584" s="652">
        <v>294216</v>
      </c>
      <c r="P584" s="652">
        <v>0</v>
      </c>
      <c r="Q584" s="651">
        <v>86301</v>
      </c>
      <c r="R584" s="651"/>
      <c r="S584" s="652">
        <v>243131</v>
      </c>
      <c r="T584" s="653">
        <v>-29627</v>
      </c>
      <c r="U584" s="653">
        <v>213504</v>
      </c>
    </row>
    <row r="585" spans="1:21" x14ac:dyDescent="0.25">
      <c r="A585" s="648">
        <v>96431</v>
      </c>
      <c r="B585" s="649" t="s">
        <v>3120</v>
      </c>
      <c r="C585" s="650">
        <v>5.6100000000000002E-5</v>
      </c>
      <c r="D585" s="650">
        <v>3.9400000000000002E-5</v>
      </c>
      <c r="E585" s="651">
        <v>22346.13</v>
      </c>
      <c r="F585" s="651">
        <v>17682</v>
      </c>
      <c r="G585" s="651">
        <v>119063</v>
      </c>
      <c r="H585" s="651"/>
      <c r="I585" s="652">
        <v>2237</v>
      </c>
      <c r="J585" s="652">
        <v>104337</v>
      </c>
      <c r="K585" s="652">
        <v>8155</v>
      </c>
      <c r="L585" s="651">
        <v>8471</v>
      </c>
      <c r="M585" s="651"/>
      <c r="N585" s="652">
        <v>4172</v>
      </c>
      <c r="O585" s="652">
        <v>38510</v>
      </c>
      <c r="P585" s="652">
        <v>0</v>
      </c>
      <c r="Q585" s="651">
        <v>4421</v>
      </c>
      <c r="R585" s="651"/>
      <c r="S585" s="652">
        <v>31824</v>
      </c>
      <c r="T585" s="653">
        <v>305</v>
      </c>
      <c r="U585" s="653">
        <v>32128</v>
      </c>
    </row>
    <row r="586" spans="1:21" x14ac:dyDescent="0.25">
      <c r="A586" s="648">
        <v>96441</v>
      </c>
      <c r="B586" s="649" t="s">
        <v>3121</v>
      </c>
      <c r="C586" s="650">
        <v>3.1199999999999999E-5</v>
      </c>
      <c r="D586" s="650">
        <v>3.9100000000000002E-5</v>
      </c>
      <c r="E586" s="651">
        <v>18068.97</v>
      </c>
      <c r="F586" s="651">
        <v>17548</v>
      </c>
      <c r="G586" s="651">
        <v>66217</v>
      </c>
      <c r="H586" s="651"/>
      <c r="I586" s="652">
        <v>1244</v>
      </c>
      <c r="J586" s="652">
        <v>58027</v>
      </c>
      <c r="K586" s="652">
        <v>4535</v>
      </c>
      <c r="L586" s="651">
        <v>6875</v>
      </c>
      <c r="M586" s="651"/>
      <c r="N586" s="652">
        <v>2320</v>
      </c>
      <c r="O586" s="652">
        <v>21417</v>
      </c>
      <c r="P586" s="652">
        <v>0</v>
      </c>
      <c r="Q586" s="651">
        <v>826</v>
      </c>
      <c r="R586" s="651"/>
      <c r="S586" s="652">
        <v>17699</v>
      </c>
      <c r="T586" s="653">
        <v>2052</v>
      </c>
      <c r="U586" s="653">
        <v>19751</v>
      </c>
    </row>
    <row r="587" spans="1:21" x14ac:dyDescent="0.25">
      <c r="A587" s="648">
        <v>96451</v>
      </c>
      <c r="B587" s="649" t="s">
        <v>3122</v>
      </c>
      <c r="C587" s="650">
        <v>1.38E-5</v>
      </c>
      <c r="D587" s="650">
        <v>8.8999999999999995E-6</v>
      </c>
      <c r="E587" s="651">
        <v>6880</v>
      </c>
      <c r="F587" s="651">
        <v>3994</v>
      </c>
      <c r="G587" s="651">
        <v>29288</v>
      </c>
      <c r="H587" s="651"/>
      <c r="I587" s="652">
        <v>550.27499999999998</v>
      </c>
      <c r="J587" s="652">
        <v>25666</v>
      </c>
      <c r="K587" s="652">
        <v>2006</v>
      </c>
      <c r="L587" s="651">
        <v>3611</v>
      </c>
      <c r="M587" s="651"/>
      <c r="N587" s="652">
        <v>1026</v>
      </c>
      <c r="O587" s="652">
        <v>9473</v>
      </c>
      <c r="P587" s="652">
        <v>0</v>
      </c>
      <c r="Q587" s="651">
        <v>2200</v>
      </c>
      <c r="R587" s="651"/>
      <c r="S587" s="652">
        <v>7828</v>
      </c>
      <c r="T587" s="653">
        <v>55</v>
      </c>
      <c r="U587" s="653">
        <v>7883</v>
      </c>
    </row>
    <row r="588" spans="1:21" x14ac:dyDescent="0.25">
      <c r="A588" s="648">
        <v>96461</v>
      </c>
      <c r="B588" s="649" t="s">
        <v>3123</v>
      </c>
      <c r="C588" s="650">
        <v>1.3410000000000001E-4</v>
      </c>
      <c r="D588" s="650">
        <v>1.6129999999999999E-4</v>
      </c>
      <c r="E588" s="651">
        <v>60539</v>
      </c>
      <c r="F588" s="651">
        <v>72390</v>
      </c>
      <c r="G588" s="651">
        <v>284605</v>
      </c>
      <c r="H588" s="651"/>
      <c r="I588" s="652">
        <v>5347</v>
      </c>
      <c r="J588" s="652">
        <v>249405</v>
      </c>
      <c r="K588" s="652">
        <v>19493</v>
      </c>
      <c r="L588" s="651">
        <v>8046</v>
      </c>
      <c r="M588" s="651"/>
      <c r="N588" s="652">
        <v>9973</v>
      </c>
      <c r="O588" s="652">
        <v>92054</v>
      </c>
      <c r="P588" s="652">
        <v>0</v>
      </c>
      <c r="Q588" s="651">
        <v>27042</v>
      </c>
      <c r="R588" s="651"/>
      <c r="S588" s="652">
        <v>76071</v>
      </c>
      <c r="T588" s="653">
        <v>-4548</v>
      </c>
      <c r="U588" s="653">
        <v>71523</v>
      </c>
    </row>
    <row r="589" spans="1:21" x14ac:dyDescent="0.25">
      <c r="A589" s="648">
        <v>96501</v>
      </c>
      <c r="B589" s="649" t="s">
        <v>3124</v>
      </c>
      <c r="C589" s="650">
        <v>1.4156999999999999E-2</v>
      </c>
      <c r="D589" s="650">
        <v>1.4844599999999999E-2</v>
      </c>
      <c r="E589" s="651">
        <v>5793175</v>
      </c>
      <c r="F589" s="651">
        <v>6662167</v>
      </c>
      <c r="G589" s="651">
        <v>30045897</v>
      </c>
      <c r="H589" s="651"/>
      <c r="I589" s="652">
        <v>564510</v>
      </c>
      <c r="J589" s="652">
        <v>26329783</v>
      </c>
      <c r="K589" s="652">
        <v>2057876</v>
      </c>
      <c r="L589" s="651">
        <v>597577</v>
      </c>
      <c r="M589" s="651"/>
      <c r="N589" s="652">
        <v>1052842</v>
      </c>
      <c r="O589" s="652">
        <v>9718186</v>
      </c>
      <c r="P589" s="652">
        <v>0</v>
      </c>
      <c r="Q589" s="651">
        <v>395352</v>
      </c>
      <c r="R589" s="651"/>
      <c r="S589" s="652">
        <v>8030827</v>
      </c>
      <c r="T589" s="653">
        <v>146416</v>
      </c>
      <c r="U589" s="653">
        <v>8177243</v>
      </c>
    </row>
    <row r="590" spans="1:21" x14ac:dyDescent="0.25">
      <c r="A590" s="648">
        <v>96502</v>
      </c>
      <c r="B590" s="649" t="s">
        <v>3125</v>
      </c>
      <c r="C590" s="650">
        <v>4.2309999999999998E-4</v>
      </c>
      <c r="D590" s="650">
        <v>3.9639999999999999E-4</v>
      </c>
      <c r="E590" s="651">
        <v>180923</v>
      </c>
      <c r="F590" s="651">
        <v>177902</v>
      </c>
      <c r="G590" s="651">
        <v>897960</v>
      </c>
      <c r="H590" s="651"/>
      <c r="I590" s="652">
        <v>16871</v>
      </c>
      <c r="J590" s="652">
        <v>786899</v>
      </c>
      <c r="K590" s="652">
        <v>61502</v>
      </c>
      <c r="L590" s="651">
        <v>58143</v>
      </c>
      <c r="M590" s="651"/>
      <c r="N590" s="652">
        <v>31466</v>
      </c>
      <c r="O590" s="652">
        <v>290440</v>
      </c>
      <c r="P590" s="652">
        <v>0</v>
      </c>
      <c r="Q590" s="651">
        <v>0</v>
      </c>
      <c r="R590" s="651"/>
      <c r="S590" s="652">
        <v>240012</v>
      </c>
      <c r="T590" s="653">
        <v>22314</v>
      </c>
      <c r="U590" s="653">
        <v>262325</v>
      </c>
    </row>
    <row r="591" spans="1:21" x14ac:dyDescent="0.25">
      <c r="A591" s="648">
        <v>96503</v>
      </c>
      <c r="B591" s="649" t="s">
        <v>3126</v>
      </c>
      <c r="C591" s="650">
        <v>3.3700000000000001E-4</v>
      </c>
      <c r="D591" s="650">
        <v>3.746E-4</v>
      </c>
      <c r="E591" s="651">
        <v>297528.38</v>
      </c>
      <c r="F591" s="651">
        <v>168118</v>
      </c>
      <c r="G591" s="651">
        <v>715227</v>
      </c>
      <c r="H591" s="651"/>
      <c r="I591" s="652">
        <v>13437.875</v>
      </c>
      <c r="J591" s="652">
        <v>626767</v>
      </c>
      <c r="K591" s="652">
        <v>48987</v>
      </c>
      <c r="L591" s="651">
        <v>200924</v>
      </c>
      <c r="M591" s="651"/>
      <c r="N591" s="652">
        <v>25062</v>
      </c>
      <c r="O591" s="652">
        <v>231336</v>
      </c>
      <c r="P591" s="652">
        <v>0</v>
      </c>
      <c r="Q591" s="651">
        <v>29898</v>
      </c>
      <c r="R591" s="651"/>
      <c r="S591" s="652">
        <v>191170</v>
      </c>
      <c r="T591" s="653">
        <v>46111</v>
      </c>
      <c r="U591" s="653">
        <v>237280</v>
      </c>
    </row>
    <row r="592" spans="1:21" x14ac:dyDescent="0.25">
      <c r="A592" s="648">
        <v>96504</v>
      </c>
      <c r="B592" s="649" t="s">
        <v>3127</v>
      </c>
      <c r="C592" s="650">
        <v>3.6039999999999998E-4</v>
      </c>
      <c r="D592" s="650">
        <v>3.7149999999999998E-4</v>
      </c>
      <c r="E592" s="651">
        <v>148639.46</v>
      </c>
      <c r="F592" s="651">
        <v>166727</v>
      </c>
      <c r="G592" s="651">
        <v>764890</v>
      </c>
      <c r="H592" s="651"/>
      <c r="I592" s="652">
        <v>14371</v>
      </c>
      <c r="J592" s="652">
        <v>670287</v>
      </c>
      <c r="K592" s="652">
        <v>52388</v>
      </c>
      <c r="L592" s="651">
        <v>11269</v>
      </c>
      <c r="M592" s="651"/>
      <c r="N592" s="652">
        <v>26803</v>
      </c>
      <c r="O592" s="652">
        <v>247399</v>
      </c>
      <c r="P592" s="652">
        <v>0</v>
      </c>
      <c r="Q592" s="651">
        <v>6125</v>
      </c>
      <c r="R592" s="651"/>
      <c r="S592" s="652">
        <v>204444</v>
      </c>
      <c r="T592" s="653">
        <v>2299</v>
      </c>
      <c r="U592" s="653">
        <v>206743</v>
      </c>
    </row>
    <row r="593" spans="1:21" x14ac:dyDescent="0.25">
      <c r="A593" s="648">
        <v>96507</v>
      </c>
      <c r="B593" s="649" t="s">
        <v>3128</v>
      </c>
      <c r="C593" s="650">
        <v>2.2604999999999999E-3</v>
      </c>
      <c r="D593" s="650">
        <v>2.1895999999999999E-3</v>
      </c>
      <c r="E593" s="651">
        <v>971182</v>
      </c>
      <c r="F593" s="651">
        <v>982679</v>
      </c>
      <c r="G593" s="651">
        <v>4797538</v>
      </c>
      <c r="H593" s="651"/>
      <c r="I593" s="652">
        <v>90137</v>
      </c>
      <c r="J593" s="652">
        <v>4204173</v>
      </c>
      <c r="K593" s="652">
        <v>328589</v>
      </c>
      <c r="L593" s="651">
        <v>180324</v>
      </c>
      <c r="M593" s="651"/>
      <c r="N593" s="652">
        <v>168111</v>
      </c>
      <c r="O593" s="652">
        <v>1551738</v>
      </c>
      <c r="P593" s="652">
        <v>0</v>
      </c>
      <c r="Q593" s="651">
        <v>0</v>
      </c>
      <c r="R593" s="651"/>
      <c r="S593" s="652">
        <v>1282312</v>
      </c>
      <c r="T593" s="653">
        <v>64566</v>
      </c>
      <c r="U593" s="653">
        <v>1346877</v>
      </c>
    </row>
    <row r="594" spans="1:21" x14ac:dyDescent="0.25">
      <c r="A594" s="648">
        <v>96508</v>
      </c>
      <c r="B594" s="649" t="s">
        <v>3129</v>
      </c>
      <c r="C594" s="650">
        <v>9.7999999999999993E-6</v>
      </c>
      <c r="D594" s="650">
        <v>1.03E-5</v>
      </c>
      <c r="E594" s="651">
        <v>9949</v>
      </c>
      <c r="F594" s="651">
        <v>4623</v>
      </c>
      <c r="G594" s="651">
        <v>20799</v>
      </c>
      <c r="H594" s="651"/>
      <c r="I594" s="652">
        <v>390.77499999999998</v>
      </c>
      <c r="J594" s="652">
        <v>18226</v>
      </c>
      <c r="K594" s="652">
        <v>1425</v>
      </c>
      <c r="L594" s="651">
        <v>9383</v>
      </c>
      <c r="M594" s="651"/>
      <c r="N594" s="652">
        <v>729</v>
      </c>
      <c r="O594" s="652">
        <v>6727</v>
      </c>
      <c r="P594" s="652">
        <v>0</v>
      </c>
      <c r="Q594" s="651">
        <v>0</v>
      </c>
      <c r="R594" s="651"/>
      <c r="S594" s="652">
        <v>5559</v>
      </c>
      <c r="T594" s="653">
        <v>3176</v>
      </c>
      <c r="U594" s="653">
        <v>8735</v>
      </c>
    </row>
    <row r="595" spans="1:21" x14ac:dyDescent="0.25">
      <c r="A595" s="648">
        <v>96511</v>
      </c>
      <c r="B595" s="649" t="s">
        <v>3130</v>
      </c>
      <c r="C595" s="650">
        <v>6.221E-4</v>
      </c>
      <c r="D595" s="650">
        <v>7.5080000000000004E-4</v>
      </c>
      <c r="E595" s="651">
        <v>244657.82</v>
      </c>
      <c r="F595" s="651">
        <v>336955</v>
      </c>
      <c r="G595" s="651">
        <v>1320305</v>
      </c>
      <c r="H595" s="651"/>
      <c r="I595" s="652">
        <v>24806</v>
      </c>
      <c r="J595" s="652">
        <v>1157008</v>
      </c>
      <c r="K595" s="652">
        <v>90429</v>
      </c>
      <c r="L595" s="651">
        <v>0</v>
      </c>
      <c r="M595" s="651"/>
      <c r="N595" s="652">
        <v>46265</v>
      </c>
      <c r="O595" s="652">
        <v>427046</v>
      </c>
      <c r="P595" s="652">
        <v>0</v>
      </c>
      <c r="Q595" s="651">
        <v>135169</v>
      </c>
      <c r="R595" s="651"/>
      <c r="S595" s="652">
        <v>352898</v>
      </c>
      <c r="T595" s="653">
        <v>-47382</v>
      </c>
      <c r="U595" s="653">
        <v>305516</v>
      </c>
    </row>
    <row r="596" spans="1:21" x14ac:dyDescent="0.25">
      <c r="A596" s="648">
        <v>96512</v>
      </c>
      <c r="B596" s="649" t="s">
        <v>3131</v>
      </c>
      <c r="C596" s="650">
        <v>1.7000000000000001E-4</v>
      </c>
      <c r="D596" s="650">
        <v>1.5550000000000001E-4</v>
      </c>
      <c r="E596" s="651">
        <v>63901</v>
      </c>
      <c r="F596" s="651">
        <v>69787</v>
      </c>
      <c r="G596" s="651">
        <v>360796.95</v>
      </c>
      <c r="H596" s="651"/>
      <c r="I596" s="652">
        <v>6779</v>
      </c>
      <c r="J596" s="652">
        <v>316173.14</v>
      </c>
      <c r="K596" s="652">
        <v>24711</v>
      </c>
      <c r="L596" s="651">
        <v>8267</v>
      </c>
      <c r="M596" s="651"/>
      <c r="N596" s="652">
        <v>12643</v>
      </c>
      <c r="O596" s="652">
        <v>116698</v>
      </c>
      <c r="P596" s="652">
        <v>0</v>
      </c>
      <c r="Q596" s="651">
        <v>0</v>
      </c>
      <c r="R596" s="651"/>
      <c r="S596" s="652">
        <v>96436</v>
      </c>
      <c r="T596" s="653">
        <v>2689</v>
      </c>
      <c r="U596" s="653">
        <v>99124</v>
      </c>
    </row>
    <row r="597" spans="1:21" x14ac:dyDescent="0.25">
      <c r="A597" s="648">
        <v>96519</v>
      </c>
      <c r="B597" s="649" t="s">
        <v>3132</v>
      </c>
      <c r="C597" s="650">
        <v>0</v>
      </c>
      <c r="D597" s="650">
        <v>1.7197E-3</v>
      </c>
      <c r="E597" s="651">
        <v>0</v>
      </c>
      <c r="F597" s="651">
        <v>771791</v>
      </c>
      <c r="G597" s="651">
        <v>0</v>
      </c>
      <c r="H597" s="651"/>
      <c r="I597" s="652">
        <v>0</v>
      </c>
      <c r="J597" s="652">
        <v>0</v>
      </c>
      <c r="K597" s="652">
        <v>0</v>
      </c>
      <c r="L597" s="651">
        <v>300924</v>
      </c>
      <c r="M597" s="651"/>
      <c r="N597" s="652">
        <v>0</v>
      </c>
      <c r="O597" s="652">
        <v>0</v>
      </c>
      <c r="P597" s="652">
        <v>0</v>
      </c>
      <c r="Q597" s="651">
        <v>931590</v>
      </c>
      <c r="R597" s="651"/>
      <c r="S597" s="652">
        <v>0</v>
      </c>
      <c r="T597" s="653">
        <v>-102954</v>
      </c>
      <c r="U597" s="653">
        <v>-102954</v>
      </c>
    </row>
    <row r="598" spans="1:21" x14ac:dyDescent="0.25">
      <c r="A598" s="648">
        <v>96521</v>
      </c>
      <c r="B598" s="649" t="s">
        <v>3133</v>
      </c>
      <c r="C598" s="650">
        <v>9.4240000000000003E-4</v>
      </c>
      <c r="D598" s="650">
        <v>9.0479999999999998E-4</v>
      </c>
      <c r="E598" s="651">
        <v>332666.64</v>
      </c>
      <c r="F598" s="651">
        <v>406069</v>
      </c>
      <c r="G598" s="651">
        <v>2000089</v>
      </c>
      <c r="H598" s="651"/>
      <c r="I598" s="652">
        <v>37578</v>
      </c>
      <c r="J598" s="652">
        <v>1752715</v>
      </c>
      <c r="K598" s="652">
        <v>136988</v>
      </c>
      <c r="L598" s="651">
        <v>46521</v>
      </c>
      <c r="M598" s="651"/>
      <c r="N598" s="652">
        <v>70085</v>
      </c>
      <c r="O598" s="652">
        <v>646918</v>
      </c>
      <c r="P598" s="652">
        <v>0</v>
      </c>
      <c r="Q598" s="651">
        <v>27885</v>
      </c>
      <c r="R598" s="651"/>
      <c r="S598" s="652">
        <v>534594</v>
      </c>
      <c r="T598" s="653">
        <v>8139</v>
      </c>
      <c r="U598" s="653">
        <v>542733</v>
      </c>
    </row>
    <row r="599" spans="1:21" x14ac:dyDescent="0.25">
      <c r="A599" s="648">
        <v>96531</v>
      </c>
      <c r="B599" s="649" t="s">
        <v>3134</v>
      </c>
      <c r="C599" s="650">
        <v>8.6088999999999992E-3</v>
      </c>
      <c r="D599" s="650">
        <v>9.1912000000000001E-3</v>
      </c>
      <c r="E599" s="651">
        <v>3504528.87</v>
      </c>
      <c r="F599" s="651">
        <v>4124955</v>
      </c>
      <c r="G599" s="651">
        <v>18270970</v>
      </c>
      <c r="H599" s="651"/>
      <c r="I599" s="652">
        <v>343280</v>
      </c>
      <c r="J599" s="652">
        <v>16011194</v>
      </c>
      <c r="K599" s="652">
        <v>1251398</v>
      </c>
      <c r="L599" s="651">
        <v>75559</v>
      </c>
      <c r="M599" s="651"/>
      <c r="N599" s="652">
        <v>640235</v>
      </c>
      <c r="O599" s="652">
        <v>5909648</v>
      </c>
      <c r="P599" s="652">
        <v>0</v>
      </c>
      <c r="Q599" s="651">
        <v>381680</v>
      </c>
      <c r="R599" s="651"/>
      <c r="S599" s="652">
        <v>4883562</v>
      </c>
      <c r="T599" s="653">
        <v>-81286</v>
      </c>
      <c r="U599" s="653">
        <v>4802276</v>
      </c>
    </row>
    <row r="600" spans="1:21" x14ac:dyDescent="0.25">
      <c r="A600" s="648">
        <v>96541</v>
      </c>
      <c r="B600" s="649" t="s">
        <v>3135</v>
      </c>
      <c r="C600" s="650">
        <v>3.3169999999999999E-4</v>
      </c>
      <c r="D600" s="650">
        <v>3.2759999999999999E-4</v>
      </c>
      <c r="E600" s="651">
        <v>136435.87</v>
      </c>
      <c r="F600" s="651">
        <v>147025</v>
      </c>
      <c r="G600" s="651">
        <v>703979</v>
      </c>
      <c r="H600" s="651"/>
      <c r="I600" s="652">
        <v>13227</v>
      </c>
      <c r="J600" s="652">
        <v>616910</v>
      </c>
      <c r="K600" s="652">
        <v>48216</v>
      </c>
      <c r="L600" s="651">
        <v>22779</v>
      </c>
      <c r="M600" s="651"/>
      <c r="N600" s="652">
        <v>24668</v>
      </c>
      <c r="O600" s="652">
        <v>227698</v>
      </c>
      <c r="P600" s="652">
        <v>0</v>
      </c>
      <c r="Q600" s="651">
        <v>0</v>
      </c>
      <c r="R600" s="651"/>
      <c r="S600" s="652">
        <v>188163</v>
      </c>
      <c r="T600" s="653">
        <v>10018</v>
      </c>
      <c r="U600" s="653">
        <v>198181</v>
      </c>
    </row>
    <row r="601" spans="1:21" x14ac:dyDescent="0.25">
      <c r="A601" s="648">
        <v>96601</v>
      </c>
      <c r="B601" s="649" t="s">
        <v>3136</v>
      </c>
      <c r="C601" s="650">
        <v>1.8416000000000001E-3</v>
      </c>
      <c r="D601" s="650">
        <v>1.8462999999999999E-3</v>
      </c>
      <c r="E601" s="651">
        <v>769874.79</v>
      </c>
      <c r="F601" s="651">
        <v>828608</v>
      </c>
      <c r="G601" s="651">
        <v>3908492</v>
      </c>
      <c r="H601" s="651"/>
      <c r="I601" s="652">
        <v>73433.8</v>
      </c>
      <c r="J601" s="652">
        <v>3425085</v>
      </c>
      <c r="K601" s="652">
        <v>267697</v>
      </c>
      <c r="L601" s="651">
        <v>58499</v>
      </c>
      <c r="M601" s="651"/>
      <c r="N601" s="652">
        <v>136958</v>
      </c>
      <c r="O601" s="652">
        <v>1264181</v>
      </c>
      <c r="P601" s="652">
        <v>0</v>
      </c>
      <c r="Q601" s="651">
        <v>6413</v>
      </c>
      <c r="R601" s="651"/>
      <c r="S601" s="652">
        <v>1044683</v>
      </c>
      <c r="T601" s="653">
        <v>25319</v>
      </c>
      <c r="U601" s="653">
        <v>1070002</v>
      </c>
    </row>
    <row r="602" spans="1:21" x14ac:dyDescent="0.25">
      <c r="A602" s="648">
        <v>96604</v>
      </c>
      <c r="B602" s="649" t="s">
        <v>3137</v>
      </c>
      <c r="C602" s="650">
        <v>7.9000000000000006E-6</v>
      </c>
      <c r="D602" s="650">
        <v>7.9000000000000006E-6</v>
      </c>
      <c r="E602" s="651">
        <v>4375</v>
      </c>
      <c r="F602" s="651">
        <v>3545</v>
      </c>
      <c r="G602" s="651">
        <v>16766</v>
      </c>
      <c r="H602" s="651"/>
      <c r="I602" s="652">
        <v>315</v>
      </c>
      <c r="J602" s="652">
        <v>14693</v>
      </c>
      <c r="K602" s="652">
        <v>1148</v>
      </c>
      <c r="L602" s="651">
        <v>1595</v>
      </c>
      <c r="M602" s="651"/>
      <c r="N602" s="652">
        <v>588</v>
      </c>
      <c r="O602" s="652">
        <v>5423</v>
      </c>
      <c r="P602" s="652">
        <v>0</v>
      </c>
      <c r="Q602" s="651">
        <v>108</v>
      </c>
      <c r="R602" s="651"/>
      <c r="S602" s="652">
        <v>4481</v>
      </c>
      <c r="T602" s="653">
        <v>545</v>
      </c>
      <c r="U602" s="653">
        <v>5027</v>
      </c>
    </row>
    <row r="603" spans="1:21" x14ac:dyDescent="0.25">
      <c r="A603" s="648">
        <v>96611</v>
      </c>
      <c r="B603" s="649" t="s">
        <v>3138</v>
      </c>
      <c r="C603" s="650">
        <v>3.29E-5</v>
      </c>
      <c r="D603" s="650">
        <v>2.9499999999999999E-5</v>
      </c>
      <c r="E603" s="651">
        <v>11899.8</v>
      </c>
      <c r="F603" s="651">
        <v>13239</v>
      </c>
      <c r="G603" s="651">
        <v>69825</v>
      </c>
      <c r="H603" s="651"/>
      <c r="I603" s="652">
        <v>1312</v>
      </c>
      <c r="J603" s="652">
        <v>61189</v>
      </c>
      <c r="K603" s="652">
        <v>4782</v>
      </c>
      <c r="L603" s="651">
        <v>2869</v>
      </c>
      <c r="M603" s="651"/>
      <c r="N603" s="652">
        <v>2447</v>
      </c>
      <c r="O603" s="652">
        <v>22584</v>
      </c>
      <c r="P603" s="652">
        <v>0</v>
      </c>
      <c r="Q603" s="651">
        <v>649</v>
      </c>
      <c r="R603" s="651"/>
      <c r="S603" s="652">
        <v>18663</v>
      </c>
      <c r="T603" s="653">
        <v>1079</v>
      </c>
      <c r="U603" s="653">
        <v>19742</v>
      </c>
    </row>
    <row r="604" spans="1:21" x14ac:dyDescent="0.25">
      <c r="A604" s="648">
        <v>96612</v>
      </c>
      <c r="B604" s="649" t="s">
        <v>3139</v>
      </c>
      <c r="C604" s="650">
        <v>6.3899999999999995E-5</v>
      </c>
      <c r="D604" s="650">
        <v>6.4399999999999993E-5</v>
      </c>
      <c r="E604" s="651">
        <v>30974</v>
      </c>
      <c r="F604" s="651">
        <v>28902</v>
      </c>
      <c r="G604" s="651">
        <v>135617</v>
      </c>
      <c r="H604" s="651"/>
      <c r="I604" s="652">
        <v>2548</v>
      </c>
      <c r="J604" s="652">
        <v>118844</v>
      </c>
      <c r="K604" s="652">
        <v>9289</v>
      </c>
      <c r="L604" s="651">
        <v>7363</v>
      </c>
      <c r="M604" s="651"/>
      <c r="N604" s="652">
        <v>4752</v>
      </c>
      <c r="O604" s="652">
        <v>43865</v>
      </c>
      <c r="P604" s="652">
        <v>0</v>
      </c>
      <c r="Q604" s="651">
        <v>1323</v>
      </c>
      <c r="R604" s="651"/>
      <c r="S604" s="652">
        <v>36248</v>
      </c>
      <c r="T604" s="653">
        <v>1615</v>
      </c>
      <c r="U604" s="653">
        <v>37864</v>
      </c>
    </row>
    <row r="605" spans="1:21" x14ac:dyDescent="0.25">
      <c r="A605" s="648">
        <v>96621</v>
      </c>
      <c r="B605" s="649" t="s">
        <v>3140</v>
      </c>
      <c r="C605" s="650">
        <v>2.65E-5</v>
      </c>
      <c r="D605" s="650">
        <v>3.6600000000000002E-5</v>
      </c>
      <c r="E605" s="651">
        <v>12593.01</v>
      </c>
      <c r="F605" s="651">
        <v>16426</v>
      </c>
      <c r="G605" s="651">
        <v>56242</v>
      </c>
      <c r="H605" s="651"/>
      <c r="I605" s="652">
        <v>1056.6875</v>
      </c>
      <c r="J605" s="652">
        <v>49286</v>
      </c>
      <c r="K605" s="652">
        <v>3852</v>
      </c>
      <c r="L605" s="651">
        <v>1133</v>
      </c>
      <c r="M605" s="651"/>
      <c r="N605" s="652">
        <v>1971</v>
      </c>
      <c r="O605" s="652">
        <v>18191</v>
      </c>
      <c r="P605" s="652">
        <v>0</v>
      </c>
      <c r="Q605" s="651">
        <v>7687</v>
      </c>
      <c r="R605" s="651"/>
      <c r="S605" s="652">
        <v>15033</v>
      </c>
      <c r="T605" s="653">
        <v>-2457</v>
      </c>
      <c r="U605" s="653">
        <v>12576</v>
      </c>
    </row>
    <row r="606" spans="1:21" x14ac:dyDescent="0.25">
      <c r="A606" s="648">
        <v>96631</v>
      </c>
      <c r="B606" s="649" t="s">
        <v>3141</v>
      </c>
      <c r="C606" s="650">
        <v>2.5899999999999999E-5</v>
      </c>
      <c r="D606" s="650">
        <v>2.5599999999999999E-5</v>
      </c>
      <c r="E606" s="651">
        <v>10253</v>
      </c>
      <c r="F606" s="651">
        <v>11489</v>
      </c>
      <c r="G606" s="651">
        <v>54968</v>
      </c>
      <c r="H606" s="651"/>
      <c r="I606" s="652">
        <v>1032.7625</v>
      </c>
      <c r="J606" s="652">
        <v>48170</v>
      </c>
      <c r="K606" s="652">
        <v>3765</v>
      </c>
      <c r="L606" s="651">
        <v>5664</v>
      </c>
      <c r="M606" s="651"/>
      <c r="N606" s="652">
        <v>1926</v>
      </c>
      <c r="O606" s="652">
        <v>17779</v>
      </c>
      <c r="P606" s="652">
        <v>0</v>
      </c>
      <c r="Q606" s="651">
        <v>154</v>
      </c>
      <c r="R606" s="651"/>
      <c r="S606" s="652">
        <v>14692</v>
      </c>
      <c r="T606" s="653">
        <v>2250</v>
      </c>
      <c r="U606" s="653">
        <v>16942</v>
      </c>
    </row>
    <row r="607" spans="1:21" x14ac:dyDescent="0.25">
      <c r="A607" s="648">
        <v>96641</v>
      </c>
      <c r="B607" s="649" t="s">
        <v>3142</v>
      </c>
      <c r="C607" s="650">
        <v>2.6999999999999999E-5</v>
      </c>
      <c r="D607" s="650">
        <v>2.7100000000000001E-5</v>
      </c>
      <c r="E607" s="651">
        <v>17201.89</v>
      </c>
      <c r="F607" s="651">
        <v>12162</v>
      </c>
      <c r="G607" s="651">
        <v>57303</v>
      </c>
      <c r="H607" s="651"/>
      <c r="I607" s="652">
        <v>1076.625</v>
      </c>
      <c r="J607" s="652">
        <v>50216</v>
      </c>
      <c r="K607" s="652">
        <v>3925</v>
      </c>
      <c r="L607" s="651">
        <v>10873</v>
      </c>
      <c r="M607" s="651"/>
      <c r="N607" s="652">
        <v>2008</v>
      </c>
      <c r="O607" s="652">
        <v>18534</v>
      </c>
      <c r="P607" s="652">
        <v>0</v>
      </c>
      <c r="Q607" s="651">
        <v>0</v>
      </c>
      <c r="R607" s="651"/>
      <c r="S607" s="652">
        <v>15316</v>
      </c>
      <c r="T607" s="653">
        <v>3846</v>
      </c>
      <c r="U607" s="653">
        <v>19162</v>
      </c>
    </row>
    <row r="608" spans="1:21" x14ac:dyDescent="0.25">
      <c r="A608" s="648">
        <v>96651</v>
      </c>
      <c r="B608" s="649" t="s">
        <v>3143</v>
      </c>
      <c r="C608" s="650">
        <v>1.9400000000000001E-5</v>
      </c>
      <c r="D608" s="650">
        <v>1.9300000000000002E-5</v>
      </c>
      <c r="E608" s="651">
        <v>8893</v>
      </c>
      <c r="F608" s="651">
        <v>8662</v>
      </c>
      <c r="G608" s="651">
        <v>41173</v>
      </c>
      <c r="H608" s="651"/>
      <c r="I608" s="652">
        <v>773.57500000000005</v>
      </c>
      <c r="J608" s="652">
        <v>36081</v>
      </c>
      <c r="K608" s="652">
        <v>2820</v>
      </c>
      <c r="L608" s="651">
        <v>781</v>
      </c>
      <c r="M608" s="651"/>
      <c r="N608" s="652">
        <v>1443</v>
      </c>
      <c r="O608" s="652">
        <v>13317</v>
      </c>
      <c r="P608" s="652">
        <v>0</v>
      </c>
      <c r="Q608" s="651">
        <v>2222</v>
      </c>
      <c r="R608" s="651"/>
      <c r="S608" s="652">
        <v>11005</v>
      </c>
      <c r="T608" s="653">
        <v>-715</v>
      </c>
      <c r="U608" s="653">
        <v>10290</v>
      </c>
    </row>
    <row r="609" spans="1:21" x14ac:dyDescent="0.25">
      <c r="A609" s="648">
        <v>96661</v>
      </c>
      <c r="B609" s="649" t="s">
        <v>3144</v>
      </c>
      <c r="C609" s="650">
        <v>1.9000000000000001E-5</v>
      </c>
      <c r="D609" s="650">
        <v>1.7200000000000001E-5</v>
      </c>
      <c r="E609" s="651">
        <v>9291.01</v>
      </c>
      <c r="F609" s="651">
        <v>7719</v>
      </c>
      <c r="G609" s="651">
        <v>40324</v>
      </c>
      <c r="H609" s="651"/>
      <c r="I609" s="652">
        <v>757.625</v>
      </c>
      <c r="J609" s="652">
        <v>35337</v>
      </c>
      <c r="K609" s="652">
        <v>2762</v>
      </c>
      <c r="L609" s="651">
        <v>6032</v>
      </c>
      <c r="M609" s="651"/>
      <c r="N609" s="652">
        <v>1413</v>
      </c>
      <c r="O609" s="652">
        <v>13043</v>
      </c>
      <c r="P609" s="652">
        <v>0</v>
      </c>
      <c r="Q609" s="651">
        <v>0</v>
      </c>
      <c r="R609" s="651"/>
      <c r="S609" s="652">
        <v>10778</v>
      </c>
      <c r="T609" s="653">
        <v>2137</v>
      </c>
      <c r="U609" s="653">
        <v>12915</v>
      </c>
    </row>
    <row r="610" spans="1:21" x14ac:dyDescent="0.25">
      <c r="A610" s="648">
        <v>96671</v>
      </c>
      <c r="B610" s="649" t="s">
        <v>3145</v>
      </c>
      <c r="C610" s="650">
        <v>1.5500000000000001E-5</v>
      </c>
      <c r="D610" s="650">
        <v>1.56E-5</v>
      </c>
      <c r="E610" s="651">
        <v>11958</v>
      </c>
      <c r="F610" s="651">
        <v>7001</v>
      </c>
      <c r="G610" s="651">
        <v>32896</v>
      </c>
      <c r="H610" s="651"/>
      <c r="I610" s="652">
        <v>618.0625</v>
      </c>
      <c r="J610" s="652">
        <v>28828</v>
      </c>
      <c r="K610" s="652">
        <v>2253</v>
      </c>
      <c r="L610" s="651">
        <v>11385</v>
      </c>
      <c r="M610" s="651"/>
      <c r="N610" s="652">
        <v>1153</v>
      </c>
      <c r="O610" s="652">
        <v>10640</v>
      </c>
      <c r="P610" s="652">
        <v>0</v>
      </c>
      <c r="Q610" s="651">
        <v>418</v>
      </c>
      <c r="R610" s="651"/>
      <c r="S610" s="652">
        <v>8793</v>
      </c>
      <c r="T610" s="653">
        <v>3409</v>
      </c>
      <c r="U610" s="653">
        <v>12201</v>
      </c>
    </row>
    <row r="611" spans="1:21" x14ac:dyDescent="0.25">
      <c r="A611" s="648">
        <v>96681</v>
      </c>
      <c r="B611" s="649" t="s">
        <v>3146</v>
      </c>
      <c r="C611" s="650">
        <v>3.4799999999999999E-5</v>
      </c>
      <c r="D611" s="650">
        <v>3.4700000000000003E-5</v>
      </c>
      <c r="E611" s="651">
        <v>22896</v>
      </c>
      <c r="F611" s="651">
        <v>15573</v>
      </c>
      <c r="G611" s="651">
        <v>73857</v>
      </c>
      <c r="H611" s="651"/>
      <c r="I611" s="652">
        <v>1388</v>
      </c>
      <c r="J611" s="652">
        <v>64723</v>
      </c>
      <c r="K611" s="652">
        <v>5059</v>
      </c>
      <c r="L611" s="651">
        <v>18633</v>
      </c>
      <c r="M611" s="651"/>
      <c r="N611" s="652">
        <v>2588</v>
      </c>
      <c r="O611" s="652">
        <v>23889</v>
      </c>
      <c r="P611" s="652">
        <v>0</v>
      </c>
      <c r="Q611" s="651">
        <v>1494</v>
      </c>
      <c r="R611" s="651"/>
      <c r="S611" s="652">
        <v>19741</v>
      </c>
      <c r="T611" s="653">
        <v>5200</v>
      </c>
      <c r="U611" s="653">
        <v>24941</v>
      </c>
    </row>
    <row r="612" spans="1:21" x14ac:dyDescent="0.25">
      <c r="A612" s="648">
        <v>96701</v>
      </c>
      <c r="B612" s="649" t="s">
        <v>3147</v>
      </c>
      <c r="C612" s="650">
        <v>7.7850000000000003E-3</v>
      </c>
      <c r="D612" s="650">
        <v>7.7803999999999998E-3</v>
      </c>
      <c r="E612" s="651">
        <v>3136203</v>
      </c>
      <c r="F612" s="651">
        <v>3491797</v>
      </c>
      <c r="G612" s="651">
        <v>16522378</v>
      </c>
      <c r="H612" s="651"/>
      <c r="I612" s="652">
        <v>310427</v>
      </c>
      <c r="J612" s="652">
        <v>14478870</v>
      </c>
      <c r="K612" s="652">
        <v>1131635</v>
      </c>
      <c r="L612" s="651">
        <v>289202</v>
      </c>
      <c r="M612" s="651"/>
      <c r="N612" s="652">
        <v>578963</v>
      </c>
      <c r="O612" s="652">
        <v>5344075.53</v>
      </c>
      <c r="P612" s="652">
        <v>0</v>
      </c>
      <c r="Q612" s="651">
        <v>79279</v>
      </c>
      <c r="R612" s="651"/>
      <c r="S612" s="652">
        <v>4416189</v>
      </c>
      <c r="T612" s="653">
        <v>74739</v>
      </c>
      <c r="U612" s="653">
        <v>4490928</v>
      </c>
    </row>
    <row r="613" spans="1:21" x14ac:dyDescent="0.25">
      <c r="A613" s="648">
        <v>96704</v>
      </c>
      <c r="B613" s="649" t="s">
        <v>3148</v>
      </c>
      <c r="C613" s="650">
        <v>1.5330000000000001E-4</v>
      </c>
      <c r="D613" s="650">
        <v>1.5919999999999999E-4</v>
      </c>
      <c r="E613" s="651">
        <v>71376</v>
      </c>
      <c r="F613" s="651">
        <v>71448</v>
      </c>
      <c r="G613" s="651">
        <v>325354</v>
      </c>
      <c r="H613" s="651"/>
      <c r="I613" s="652">
        <v>6113</v>
      </c>
      <c r="J613" s="652">
        <v>285114</v>
      </c>
      <c r="K613" s="652">
        <v>22284</v>
      </c>
      <c r="L613" s="651">
        <v>9181</v>
      </c>
      <c r="M613" s="651"/>
      <c r="N613" s="652">
        <v>11401</v>
      </c>
      <c r="O613" s="652">
        <v>105234</v>
      </c>
      <c r="P613" s="652">
        <v>0</v>
      </c>
      <c r="Q613" s="651">
        <v>0</v>
      </c>
      <c r="R613" s="651"/>
      <c r="S613" s="652">
        <v>86962</v>
      </c>
      <c r="T613" s="653">
        <v>3774</v>
      </c>
      <c r="U613" s="653">
        <v>90736</v>
      </c>
    </row>
    <row r="614" spans="1:21" x14ac:dyDescent="0.25">
      <c r="A614" s="648">
        <v>96708</v>
      </c>
      <c r="B614" s="649" t="s">
        <v>3149</v>
      </c>
      <c r="C614" s="650">
        <v>8.4590000000000002E-4</v>
      </c>
      <c r="D614" s="650">
        <v>9.8109999999999994E-4</v>
      </c>
      <c r="E614" s="651">
        <v>406277.09</v>
      </c>
      <c r="F614" s="651">
        <v>440312</v>
      </c>
      <c r="G614" s="651">
        <v>1795283</v>
      </c>
      <c r="H614" s="651"/>
      <c r="I614" s="652">
        <v>33730</v>
      </c>
      <c r="J614" s="652">
        <v>1573240</v>
      </c>
      <c r="K614" s="652">
        <v>122961</v>
      </c>
      <c r="L614" s="651">
        <v>54938</v>
      </c>
      <c r="M614" s="651"/>
      <c r="N614" s="652">
        <v>62909</v>
      </c>
      <c r="O614" s="652">
        <v>580675</v>
      </c>
      <c r="P614" s="652">
        <v>0</v>
      </c>
      <c r="Q614" s="651">
        <v>26851</v>
      </c>
      <c r="R614" s="651"/>
      <c r="S614" s="652">
        <v>479853</v>
      </c>
      <c r="T614" s="653">
        <v>14104</v>
      </c>
      <c r="U614" s="653">
        <v>493957</v>
      </c>
    </row>
    <row r="615" spans="1:21" x14ac:dyDescent="0.25">
      <c r="A615" s="648">
        <v>96711</v>
      </c>
      <c r="B615" s="649" t="s">
        <v>3150</v>
      </c>
      <c r="C615" s="650">
        <v>4.4140000000000004E-3</v>
      </c>
      <c r="D615" s="650">
        <v>4.2459999999999998E-3</v>
      </c>
      <c r="E615" s="651">
        <v>1606505</v>
      </c>
      <c r="F615" s="651">
        <v>1905579</v>
      </c>
      <c r="G615" s="651">
        <v>9367987</v>
      </c>
      <c r="H615" s="651"/>
      <c r="I615" s="652">
        <v>176008</v>
      </c>
      <c r="J615" s="652">
        <v>8209343</v>
      </c>
      <c r="K615" s="652">
        <v>641623</v>
      </c>
      <c r="L615" s="651">
        <v>20750</v>
      </c>
      <c r="M615" s="651"/>
      <c r="N615" s="652">
        <v>328265</v>
      </c>
      <c r="O615" s="652">
        <v>3030026</v>
      </c>
      <c r="P615" s="652">
        <v>0</v>
      </c>
      <c r="Q615" s="651">
        <v>348266</v>
      </c>
      <c r="R615" s="651"/>
      <c r="S615" s="652">
        <v>2503925</v>
      </c>
      <c r="T615" s="653">
        <v>-105928</v>
      </c>
      <c r="U615" s="653">
        <v>2397997</v>
      </c>
    </row>
    <row r="616" spans="1:21" x14ac:dyDescent="0.25">
      <c r="A616" s="648">
        <v>96721</v>
      </c>
      <c r="B616" s="649" t="s">
        <v>3151</v>
      </c>
      <c r="C616" s="650">
        <v>1.9780000000000001E-4</v>
      </c>
      <c r="D616" s="650">
        <v>2.5119999999999998E-4</v>
      </c>
      <c r="E616" s="651">
        <v>74367</v>
      </c>
      <c r="F616" s="651">
        <v>112737</v>
      </c>
      <c r="G616" s="651">
        <v>419798</v>
      </c>
      <c r="H616" s="651"/>
      <c r="I616" s="652">
        <v>7887</v>
      </c>
      <c r="J616" s="652">
        <v>367877</v>
      </c>
      <c r="K616" s="652">
        <v>28752</v>
      </c>
      <c r="L616" s="651">
        <v>10855</v>
      </c>
      <c r="M616" s="651"/>
      <c r="N616" s="652">
        <v>14710</v>
      </c>
      <c r="O616" s="652">
        <v>135781</v>
      </c>
      <c r="P616" s="652">
        <v>0</v>
      </c>
      <c r="Q616" s="651">
        <v>34469</v>
      </c>
      <c r="R616" s="651"/>
      <c r="S616" s="652">
        <v>112206</v>
      </c>
      <c r="T616" s="653">
        <v>-3553</v>
      </c>
      <c r="U616" s="653">
        <v>108653</v>
      </c>
    </row>
    <row r="617" spans="1:21" x14ac:dyDescent="0.25">
      <c r="A617" s="648">
        <v>96731</v>
      </c>
      <c r="B617" s="649" t="s">
        <v>3152</v>
      </c>
      <c r="C617" s="650">
        <v>1.5090000000000001E-4</v>
      </c>
      <c r="D617" s="650">
        <v>1.3420000000000001E-4</v>
      </c>
      <c r="E617" s="651">
        <v>65647</v>
      </c>
      <c r="F617" s="651">
        <v>60228</v>
      </c>
      <c r="G617" s="651">
        <v>320260</v>
      </c>
      <c r="H617" s="651"/>
      <c r="I617" s="652">
        <v>6017</v>
      </c>
      <c r="J617" s="652">
        <v>280650</v>
      </c>
      <c r="K617" s="652">
        <v>21935</v>
      </c>
      <c r="L617" s="651">
        <v>18052</v>
      </c>
      <c r="M617" s="651"/>
      <c r="N617" s="652">
        <v>11222</v>
      </c>
      <c r="O617" s="652">
        <v>103587</v>
      </c>
      <c r="P617" s="652">
        <v>0</v>
      </c>
      <c r="Q617" s="651">
        <v>12</v>
      </c>
      <c r="R617" s="651"/>
      <c r="S617" s="652">
        <v>85601</v>
      </c>
      <c r="T617" s="653">
        <v>5259</v>
      </c>
      <c r="U617" s="653">
        <v>90859</v>
      </c>
    </row>
    <row r="618" spans="1:21" x14ac:dyDescent="0.25">
      <c r="A618" s="648">
        <v>96733</v>
      </c>
      <c r="B618" s="649" t="s">
        <v>3153</v>
      </c>
      <c r="C618" s="650">
        <v>9.2E-6</v>
      </c>
      <c r="D618" s="650">
        <v>4.1999999999999996E-6</v>
      </c>
      <c r="E618" s="651">
        <v>5389.79</v>
      </c>
      <c r="F618" s="651">
        <v>1885</v>
      </c>
      <c r="G618" s="651">
        <v>19525</v>
      </c>
      <c r="H618" s="651"/>
      <c r="I618" s="652">
        <v>366.85</v>
      </c>
      <c r="J618" s="652">
        <v>17111</v>
      </c>
      <c r="K618" s="652">
        <v>1337</v>
      </c>
      <c r="L618" s="651">
        <v>6066</v>
      </c>
      <c r="M618" s="651"/>
      <c r="N618" s="652">
        <v>684</v>
      </c>
      <c r="O618" s="652">
        <v>6315</v>
      </c>
      <c r="P618" s="652">
        <v>0</v>
      </c>
      <c r="Q618" s="651">
        <v>1048</v>
      </c>
      <c r="R618" s="651"/>
      <c r="S618" s="652">
        <v>5219</v>
      </c>
      <c r="T618" s="653">
        <v>1707</v>
      </c>
      <c r="U618" s="653">
        <v>6925</v>
      </c>
    </row>
    <row r="619" spans="1:21" x14ac:dyDescent="0.25">
      <c r="A619" s="648">
        <v>96741</v>
      </c>
      <c r="B619" s="649" t="s">
        <v>3154</v>
      </c>
      <c r="C619" s="650">
        <v>9.2399999999999996E-5</v>
      </c>
      <c r="D619" s="650">
        <v>9.2899999999999995E-5</v>
      </c>
      <c r="E619" s="651">
        <v>36390</v>
      </c>
      <c r="F619" s="651">
        <v>41693</v>
      </c>
      <c r="G619" s="651">
        <v>196104</v>
      </c>
      <c r="H619" s="651"/>
      <c r="I619" s="652">
        <v>3684.45</v>
      </c>
      <c r="J619" s="652">
        <v>171849</v>
      </c>
      <c r="K619" s="652">
        <v>13431</v>
      </c>
      <c r="L619" s="651">
        <v>7135</v>
      </c>
      <c r="M619" s="651"/>
      <c r="N619" s="652">
        <v>6872</v>
      </c>
      <c r="O619" s="652">
        <v>63429</v>
      </c>
      <c r="P619" s="652">
        <v>0</v>
      </c>
      <c r="Q619" s="651">
        <v>1549</v>
      </c>
      <c r="R619" s="651"/>
      <c r="S619" s="652">
        <v>52416</v>
      </c>
      <c r="T619" s="653">
        <v>2530</v>
      </c>
      <c r="U619" s="653">
        <v>54946</v>
      </c>
    </row>
    <row r="620" spans="1:21" x14ac:dyDescent="0.25">
      <c r="A620" s="648">
        <v>96751</v>
      </c>
      <c r="B620" s="649" t="s">
        <v>3155</v>
      </c>
      <c r="C620" s="650">
        <v>2.6120000000000001E-4</v>
      </c>
      <c r="D620" s="650">
        <v>3.0909999999999998E-4</v>
      </c>
      <c r="E620" s="651">
        <v>103641</v>
      </c>
      <c r="F620" s="651">
        <v>138722</v>
      </c>
      <c r="G620" s="651">
        <v>554354</v>
      </c>
      <c r="H620" s="651"/>
      <c r="I620" s="652">
        <v>10415.35</v>
      </c>
      <c r="J620" s="652">
        <v>485791</v>
      </c>
      <c r="K620" s="652">
        <v>37968</v>
      </c>
      <c r="L620" s="651">
        <v>21728.81</v>
      </c>
      <c r="M620" s="651"/>
      <c r="N620" s="652">
        <v>19425</v>
      </c>
      <c r="O620" s="652">
        <v>179303</v>
      </c>
      <c r="P620" s="652">
        <v>0</v>
      </c>
      <c r="Q620" s="651">
        <v>37607</v>
      </c>
      <c r="R620" s="651"/>
      <c r="S620" s="652">
        <v>148171</v>
      </c>
      <c r="T620" s="653">
        <v>349</v>
      </c>
      <c r="U620" s="653">
        <v>148519</v>
      </c>
    </row>
    <row r="621" spans="1:21" x14ac:dyDescent="0.25">
      <c r="A621" s="648">
        <v>96801</v>
      </c>
      <c r="B621" s="649" t="s">
        <v>3156</v>
      </c>
      <c r="C621" s="650">
        <v>7.8463999999999999E-3</v>
      </c>
      <c r="D621" s="650">
        <v>7.0825000000000003E-3</v>
      </c>
      <c r="E621" s="651">
        <v>3035869.73</v>
      </c>
      <c r="F621" s="651">
        <v>3178584</v>
      </c>
      <c r="G621" s="651">
        <v>16652689</v>
      </c>
      <c r="H621" s="651"/>
      <c r="I621" s="652">
        <v>312875.2</v>
      </c>
      <c r="J621" s="652">
        <v>14593064</v>
      </c>
      <c r="K621" s="652">
        <v>1140561</v>
      </c>
      <c r="L621" s="651">
        <v>642631</v>
      </c>
      <c r="M621" s="651"/>
      <c r="N621" s="652">
        <v>583529</v>
      </c>
      <c r="O621" s="652">
        <v>5386224</v>
      </c>
      <c r="P621" s="652">
        <v>0</v>
      </c>
      <c r="Q621" s="651">
        <v>0</v>
      </c>
      <c r="R621" s="651"/>
      <c r="S621" s="652">
        <v>4451019</v>
      </c>
      <c r="T621" s="653">
        <v>235775</v>
      </c>
      <c r="U621" s="653">
        <v>4686794</v>
      </c>
    </row>
    <row r="622" spans="1:21" x14ac:dyDescent="0.25">
      <c r="A622" s="648">
        <v>96804</v>
      </c>
      <c r="B622" s="649" t="s">
        <v>3157</v>
      </c>
      <c r="C622" s="650">
        <v>2.4230000000000001E-4</v>
      </c>
      <c r="D622" s="650">
        <v>2.275E-4</v>
      </c>
      <c r="E622" s="651">
        <v>89702</v>
      </c>
      <c r="F622" s="651">
        <v>102101</v>
      </c>
      <c r="G622" s="651">
        <v>514242</v>
      </c>
      <c r="H622" s="651"/>
      <c r="I622" s="652">
        <v>9662</v>
      </c>
      <c r="J622" s="652">
        <v>450640</v>
      </c>
      <c r="K622" s="652">
        <v>35221</v>
      </c>
      <c r="L622" s="651">
        <v>4453</v>
      </c>
      <c r="M622" s="651"/>
      <c r="N622" s="652">
        <v>18020</v>
      </c>
      <c r="O622" s="652">
        <v>166329</v>
      </c>
      <c r="P622" s="652">
        <v>0</v>
      </c>
      <c r="Q622" s="651">
        <v>3167</v>
      </c>
      <c r="R622" s="651"/>
      <c r="S622" s="652">
        <v>137449</v>
      </c>
      <c r="T622" s="653">
        <v>1085</v>
      </c>
      <c r="U622" s="653">
        <v>138535</v>
      </c>
    </row>
    <row r="623" spans="1:21" x14ac:dyDescent="0.25">
      <c r="A623" s="648">
        <v>96808</v>
      </c>
      <c r="B623" s="649" t="s">
        <v>3158</v>
      </c>
      <c r="C623" s="650">
        <v>1.2882E-3</v>
      </c>
      <c r="D623" s="650">
        <v>1.1995E-3</v>
      </c>
      <c r="E623" s="651">
        <v>505072.35</v>
      </c>
      <c r="F623" s="651">
        <v>538328</v>
      </c>
      <c r="G623" s="651">
        <v>2733992</v>
      </c>
      <c r="H623" s="651"/>
      <c r="I623" s="652">
        <v>51367</v>
      </c>
      <c r="J623" s="652">
        <v>2395848</v>
      </c>
      <c r="K623" s="652">
        <v>187254</v>
      </c>
      <c r="L623" s="651">
        <v>67087</v>
      </c>
      <c r="M623" s="651"/>
      <c r="N623" s="652">
        <v>95802</v>
      </c>
      <c r="O623" s="652">
        <v>884295</v>
      </c>
      <c r="P623" s="652">
        <v>0</v>
      </c>
      <c r="Q623" s="651">
        <v>0</v>
      </c>
      <c r="R623" s="651"/>
      <c r="S623" s="652">
        <v>730756</v>
      </c>
      <c r="T623" s="653">
        <v>24558</v>
      </c>
      <c r="U623" s="653">
        <v>755313</v>
      </c>
    </row>
    <row r="624" spans="1:21" x14ac:dyDescent="0.25">
      <c r="A624" s="648">
        <v>96811</v>
      </c>
      <c r="B624" s="649" t="s">
        <v>3159</v>
      </c>
      <c r="C624" s="650">
        <v>5.9861999999999997E-3</v>
      </c>
      <c r="D624" s="650">
        <v>6.0393000000000001E-3</v>
      </c>
      <c r="E624" s="651">
        <v>2443568.73</v>
      </c>
      <c r="F624" s="651">
        <v>2710402</v>
      </c>
      <c r="G624" s="651">
        <v>12704722</v>
      </c>
      <c r="H624" s="651"/>
      <c r="I624" s="652">
        <v>238700</v>
      </c>
      <c r="J624" s="652">
        <v>11133386</v>
      </c>
      <c r="K624" s="652">
        <v>870160</v>
      </c>
      <c r="L624" s="651">
        <v>0</v>
      </c>
      <c r="M624" s="651"/>
      <c r="N624" s="652">
        <v>445188</v>
      </c>
      <c r="O624" s="652">
        <v>4109275</v>
      </c>
      <c r="P624" s="652">
        <v>0</v>
      </c>
      <c r="Q624" s="651">
        <v>86222</v>
      </c>
      <c r="R624" s="651"/>
      <c r="S624" s="652">
        <v>3395786</v>
      </c>
      <c r="T624" s="653">
        <v>-32722</v>
      </c>
      <c r="U624" s="653">
        <v>3363064</v>
      </c>
    </row>
    <row r="625" spans="1:21" x14ac:dyDescent="0.25">
      <c r="A625" s="648">
        <v>96821</v>
      </c>
      <c r="B625" s="649" t="s">
        <v>3160</v>
      </c>
      <c r="C625" s="650">
        <v>1.3630999999999999E-3</v>
      </c>
      <c r="D625" s="650">
        <v>1.4808E-3</v>
      </c>
      <c r="E625" s="651">
        <v>518291.4</v>
      </c>
      <c r="F625" s="651">
        <v>664574</v>
      </c>
      <c r="G625" s="651">
        <v>2892955</v>
      </c>
      <c r="H625" s="651"/>
      <c r="I625" s="652">
        <v>54354</v>
      </c>
      <c r="J625" s="652">
        <v>2535151</v>
      </c>
      <c r="K625" s="652">
        <v>198142</v>
      </c>
      <c r="L625" s="651">
        <v>0</v>
      </c>
      <c r="M625" s="651"/>
      <c r="N625" s="652">
        <v>101372</v>
      </c>
      <c r="O625" s="652">
        <v>935711</v>
      </c>
      <c r="P625" s="652">
        <v>0</v>
      </c>
      <c r="Q625" s="651">
        <v>153131</v>
      </c>
      <c r="R625" s="651"/>
      <c r="S625" s="652">
        <v>773244</v>
      </c>
      <c r="T625" s="653">
        <v>-47603</v>
      </c>
      <c r="U625" s="653">
        <v>725641</v>
      </c>
    </row>
    <row r="626" spans="1:21" x14ac:dyDescent="0.25">
      <c r="A626" s="648">
        <v>96831</v>
      </c>
      <c r="B626" s="649" t="s">
        <v>3161</v>
      </c>
      <c r="C626" s="650">
        <v>9.2400000000000002E-4</v>
      </c>
      <c r="D626" s="650">
        <v>8.3830000000000005E-4</v>
      </c>
      <c r="E626" s="651">
        <v>353922</v>
      </c>
      <c r="F626" s="651">
        <v>376224</v>
      </c>
      <c r="G626" s="651">
        <v>1961037.54</v>
      </c>
      <c r="H626" s="651"/>
      <c r="I626" s="652">
        <v>36844.5</v>
      </c>
      <c r="J626" s="652">
        <v>1718494</v>
      </c>
      <c r="K626" s="652">
        <v>134314</v>
      </c>
      <c r="L626" s="651">
        <v>56487</v>
      </c>
      <c r="M626" s="651"/>
      <c r="N626" s="652">
        <v>68717</v>
      </c>
      <c r="O626" s="652">
        <v>634287</v>
      </c>
      <c r="P626" s="652">
        <v>0</v>
      </c>
      <c r="Q626" s="651">
        <v>0</v>
      </c>
      <c r="R626" s="651"/>
      <c r="S626" s="652">
        <v>524157</v>
      </c>
      <c r="T626" s="653">
        <v>19257</v>
      </c>
      <c r="U626" s="653">
        <v>543413</v>
      </c>
    </row>
    <row r="627" spans="1:21" x14ac:dyDescent="0.25">
      <c r="A627" s="648">
        <v>96901</v>
      </c>
      <c r="B627" s="649" t="s">
        <v>3162</v>
      </c>
      <c r="C627" s="650">
        <v>8.1610000000000005E-4</v>
      </c>
      <c r="D627" s="650">
        <v>7.6599999999999997E-4</v>
      </c>
      <c r="E627" s="651">
        <v>326581.33</v>
      </c>
      <c r="F627" s="651">
        <v>343776</v>
      </c>
      <c r="G627" s="651">
        <v>1732038</v>
      </c>
      <c r="H627" s="651"/>
      <c r="I627" s="652">
        <v>32542</v>
      </c>
      <c r="J627" s="652">
        <v>1517817</v>
      </c>
      <c r="K627" s="652">
        <v>118629</v>
      </c>
      <c r="L627" s="651">
        <v>46444</v>
      </c>
      <c r="M627" s="651"/>
      <c r="N627" s="652">
        <v>60693</v>
      </c>
      <c r="O627" s="652">
        <v>560218</v>
      </c>
      <c r="P627" s="652">
        <v>0</v>
      </c>
      <c r="Q627" s="651">
        <v>0</v>
      </c>
      <c r="R627" s="651"/>
      <c r="S627" s="652">
        <v>462948</v>
      </c>
      <c r="T627" s="653">
        <v>15281</v>
      </c>
      <c r="U627" s="653">
        <v>478229</v>
      </c>
    </row>
    <row r="628" spans="1:21" x14ac:dyDescent="0.25">
      <c r="A628" s="648">
        <v>96911</v>
      </c>
      <c r="B628" s="649" t="s">
        <v>3163</v>
      </c>
      <c r="C628" s="650">
        <v>3.7000000000000002E-6</v>
      </c>
      <c r="D628" s="650">
        <v>1.15E-5</v>
      </c>
      <c r="E628" s="651">
        <v>2162.39</v>
      </c>
      <c r="F628" s="651">
        <v>5161</v>
      </c>
      <c r="G628" s="651">
        <v>7853</v>
      </c>
      <c r="H628" s="651"/>
      <c r="I628" s="652">
        <v>147.53749999999999</v>
      </c>
      <c r="J628" s="652">
        <v>6881</v>
      </c>
      <c r="K628" s="652">
        <v>538</v>
      </c>
      <c r="L628" s="651">
        <v>3997</v>
      </c>
      <c r="M628" s="651"/>
      <c r="N628" s="652">
        <v>275</v>
      </c>
      <c r="O628" s="652">
        <v>2540</v>
      </c>
      <c r="P628" s="652">
        <v>0</v>
      </c>
      <c r="Q628" s="651">
        <v>3716</v>
      </c>
      <c r="R628" s="651"/>
      <c r="S628" s="652">
        <v>2099</v>
      </c>
      <c r="T628" s="653">
        <v>571</v>
      </c>
      <c r="U628" s="653">
        <v>2669</v>
      </c>
    </row>
    <row r="629" spans="1:21" x14ac:dyDescent="0.25">
      <c r="A629" s="648">
        <v>96912</v>
      </c>
      <c r="B629" s="649" t="s">
        <v>3164</v>
      </c>
      <c r="C629" s="650">
        <v>6.0999999999999999E-5</v>
      </c>
      <c r="D629" s="650">
        <v>5.5899999999999997E-5</v>
      </c>
      <c r="E629" s="651">
        <v>20331.63</v>
      </c>
      <c r="F629" s="651">
        <v>25088</v>
      </c>
      <c r="G629" s="651">
        <v>129462</v>
      </c>
      <c r="H629" s="651"/>
      <c r="I629" s="652">
        <v>2432.375</v>
      </c>
      <c r="J629" s="652">
        <v>113450</v>
      </c>
      <c r="K629" s="652">
        <v>8867</v>
      </c>
      <c r="L629" s="651">
        <v>7641</v>
      </c>
      <c r="M629" s="651"/>
      <c r="N629" s="652">
        <v>4537</v>
      </c>
      <c r="O629" s="652">
        <v>41874</v>
      </c>
      <c r="P629" s="652">
        <v>0</v>
      </c>
      <c r="Q629" s="651">
        <v>1013</v>
      </c>
      <c r="R629" s="651"/>
      <c r="S629" s="652">
        <v>34603</v>
      </c>
      <c r="T629" s="653">
        <v>3054</v>
      </c>
      <c r="U629" s="653">
        <v>37657</v>
      </c>
    </row>
    <row r="630" spans="1:21" x14ac:dyDescent="0.25">
      <c r="A630" s="648">
        <v>96918</v>
      </c>
      <c r="B630" s="649" t="s">
        <v>3165</v>
      </c>
      <c r="C630" s="650">
        <v>4.0500000000000002E-5</v>
      </c>
      <c r="D630" s="650">
        <v>4.5099999999999998E-5</v>
      </c>
      <c r="E630" s="651">
        <v>18289.97</v>
      </c>
      <c r="F630" s="651">
        <v>20241</v>
      </c>
      <c r="G630" s="651">
        <v>85955</v>
      </c>
      <c r="H630" s="651"/>
      <c r="I630" s="652">
        <v>1614.9375</v>
      </c>
      <c r="J630" s="652">
        <v>75324</v>
      </c>
      <c r="K630" s="652">
        <v>5887</v>
      </c>
      <c r="L630" s="651">
        <v>12921</v>
      </c>
      <c r="M630" s="651"/>
      <c r="N630" s="652">
        <v>3012</v>
      </c>
      <c r="O630" s="652">
        <v>27802</v>
      </c>
      <c r="P630" s="652">
        <v>0</v>
      </c>
      <c r="Q630" s="651">
        <v>1194</v>
      </c>
      <c r="R630" s="651"/>
      <c r="S630" s="652">
        <v>22974</v>
      </c>
      <c r="T630" s="653">
        <v>5498</v>
      </c>
      <c r="U630" s="653">
        <v>28472</v>
      </c>
    </row>
    <row r="631" spans="1:21" x14ac:dyDescent="0.25">
      <c r="A631" s="648">
        <v>97001</v>
      </c>
      <c r="B631" s="649" t="s">
        <v>3166</v>
      </c>
      <c r="C631" s="650">
        <v>1.3641E-3</v>
      </c>
      <c r="D631" s="650">
        <v>1.3221999999999999E-3</v>
      </c>
      <c r="E631" s="651">
        <v>636605</v>
      </c>
      <c r="F631" s="651">
        <v>593395</v>
      </c>
      <c r="G631" s="651">
        <v>2895077</v>
      </c>
      <c r="H631" s="651"/>
      <c r="I631" s="652">
        <v>54393</v>
      </c>
      <c r="J631" s="652">
        <v>2537010</v>
      </c>
      <c r="K631" s="652">
        <v>198287</v>
      </c>
      <c r="L631" s="651">
        <v>107093</v>
      </c>
      <c r="M631" s="651"/>
      <c r="N631" s="652">
        <v>101447</v>
      </c>
      <c r="O631" s="652">
        <v>936397</v>
      </c>
      <c r="P631" s="652">
        <v>0</v>
      </c>
      <c r="Q631" s="651">
        <v>23162</v>
      </c>
      <c r="R631" s="651"/>
      <c r="S631" s="652">
        <v>773812</v>
      </c>
      <c r="T631" s="653">
        <v>18430</v>
      </c>
      <c r="U631" s="653">
        <v>792241</v>
      </c>
    </row>
    <row r="632" spans="1:21" x14ac:dyDescent="0.25">
      <c r="A632" s="648">
        <v>97002</v>
      </c>
      <c r="B632" s="649" t="s">
        <v>3167</v>
      </c>
      <c r="C632" s="650">
        <v>4.6589999999999999E-4</v>
      </c>
      <c r="D632" s="650">
        <v>3.9229999999999999E-4</v>
      </c>
      <c r="E632" s="651">
        <v>151526.06</v>
      </c>
      <c r="F632" s="651">
        <v>176062</v>
      </c>
      <c r="G632" s="651">
        <v>988796</v>
      </c>
      <c r="H632" s="651"/>
      <c r="I632" s="652">
        <v>18578</v>
      </c>
      <c r="J632" s="652">
        <v>866500</v>
      </c>
      <c r="K632" s="652">
        <v>67724</v>
      </c>
      <c r="L632" s="651">
        <v>28607</v>
      </c>
      <c r="M632" s="651"/>
      <c r="N632" s="652">
        <v>34649</v>
      </c>
      <c r="O632" s="652">
        <v>319821</v>
      </c>
      <c r="P632" s="652">
        <v>0</v>
      </c>
      <c r="Q632" s="651">
        <v>0</v>
      </c>
      <c r="R632" s="651"/>
      <c r="S632" s="652">
        <v>264291</v>
      </c>
      <c r="T632" s="653">
        <v>11776</v>
      </c>
      <c r="U632" s="653">
        <v>276066</v>
      </c>
    </row>
    <row r="633" spans="1:21" x14ac:dyDescent="0.25">
      <c r="A633" s="648">
        <v>97004</v>
      </c>
      <c r="B633" s="649" t="s">
        <v>3168</v>
      </c>
      <c r="C633" s="650">
        <v>1.0900000000000001E-5</v>
      </c>
      <c r="D633" s="650">
        <v>1.47E-5</v>
      </c>
      <c r="E633" s="651">
        <v>7359.36</v>
      </c>
      <c r="F633" s="651">
        <v>6597</v>
      </c>
      <c r="G633" s="651">
        <v>23133</v>
      </c>
      <c r="H633" s="651"/>
      <c r="I633" s="652">
        <v>435</v>
      </c>
      <c r="J633" s="652">
        <v>20272</v>
      </c>
      <c r="K633" s="652">
        <v>1584</v>
      </c>
      <c r="L633" s="651">
        <v>3251</v>
      </c>
      <c r="M633" s="651"/>
      <c r="N633" s="652">
        <v>811</v>
      </c>
      <c r="O633" s="652">
        <v>7482</v>
      </c>
      <c r="P633" s="652">
        <v>0</v>
      </c>
      <c r="Q633" s="651">
        <v>0</v>
      </c>
      <c r="R633" s="651"/>
      <c r="S633" s="652">
        <v>6183</v>
      </c>
      <c r="T633" s="653">
        <v>1295</v>
      </c>
      <c r="U633" s="653">
        <v>7478</v>
      </c>
    </row>
    <row r="634" spans="1:21" x14ac:dyDescent="0.25">
      <c r="A634" s="648">
        <v>97005</v>
      </c>
      <c r="B634" s="649" t="s">
        <v>3169</v>
      </c>
      <c r="C634" s="650">
        <v>1.42E-5</v>
      </c>
      <c r="D634" s="650">
        <v>2.3799999999999999E-5</v>
      </c>
      <c r="E634" s="651">
        <v>10552.87</v>
      </c>
      <c r="F634" s="651">
        <v>10681</v>
      </c>
      <c r="G634" s="651">
        <v>30137</v>
      </c>
      <c r="H634" s="651"/>
      <c r="I634" s="652">
        <v>566.22500000000002</v>
      </c>
      <c r="J634" s="652">
        <v>26410</v>
      </c>
      <c r="K634" s="652">
        <v>2064</v>
      </c>
      <c r="L634" s="651">
        <v>3091</v>
      </c>
      <c r="M634" s="651"/>
      <c r="N634" s="652">
        <v>1056</v>
      </c>
      <c r="O634" s="652">
        <v>9748</v>
      </c>
      <c r="P634" s="652">
        <v>0</v>
      </c>
      <c r="Q634" s="651">
        <v>2036</v>
      </c>
      <c r="R634" s="651"/>
      <c r="S634" s="652">
        <v>8055</v>
      </c>
      <c r="T634" s="653">
        <v>428</v>
      </c>
      <c r="U634" s="653">
        <v>8483</v>
      </c>
    </row>
    <row r="635" spans="1:21" x14ac:dyDescent="0.25">
      <c r="A635" s="648">
        <v>97008</v>
      </c>
      <c r="B635" s="649" t="s">
        <v>3170</v>
      </c>
      <c r="C635" s="650">
        <v>2.7530000000000002E-4</v>
      </c>
      <c r="D635" s="650">
        <v>2.6959999999999999E-4</v>
      </c>
      <c r="E635" s="651">
        <v>107270.37</v>
      </c>
      <c r="F635" s="651">
        <v>120995</v>
      </c>
      <c r="G635" s="651">
        <v>584279</v>
      </c>
      <c r="H635" s="651"/>
      <c r="I635" s="652">
        <v>10978</v>
      </c>
      <c r="J635" s="652">
        <v>512015</v>
      </c>
      <c r="K635" s="652">
        <v>40018</v>
      </c>
      <c r="L635" s="651">
        <v>14688</v>
      </c>
      <c r="M635" s="651"/>
      <c r="N635" s="652">
        <v>20474</v>
      </c>
      <c r="O635" s="652">
        <v>188982</v>
      </c>
      <c r="P635" s="652">
        <v>0</v>
      </c>
      <c r="Q635" s="651">
        <v>4604</v>
      </c>
      <c r="R635" s="651"/>
      <c r="S635" s="652">
        <v>156169</v>
      </c>
      <c r="T635" s="653">
        <v>5904</v>
      </c>
      <c r="U635" s="653">
        <v>162074</v>
      </c>
    </row>
    <row r="636" spans="1:21" x14ac:dyDescent="0.25">
      <c r="A636" s="648">
        <v>97010</v>
      </c>
      <c r="B636" s="649" t="s">
        <v>3171</v>
      </c>
      <c r="C636" s="650">
        <v>0</v>
      </c>
      <c r="D636" s="650">
        <v>0</v>
      </c>
      <c r="E636" s="651">
        <v>0</v>
      </c>
      <c r="F636" s="651">
        <v>0</v>
      </c>
      <c r="G636" s="651">
        <v>0</v>
      </c>
      <c r="H636" s="651"/>
      <c r="I636" s="652">
        <v>0</v>
      </c>
      <c r="J636" s="652">
        <v>0</v>
      </c>
      <c r="K636" s="652">
        <v>0</v>
      </c>
      <c r="L636" s="651">
        <v>0</v>
      </c>
      <c r="M636" s="651"/>
      <c r="N636" s="652">
        <v>0</v>
      </c>
      <c r="O636" s="652">
        <v>0</v>
      </c>
      <c r="P636" s="652">
        <v>0</v>
      </c>
      <c r="Q636" s="651">
        <v>3339356</v>
      </c>
      <c r="R636" s="651"/>
      <c r="S636" s="652">
        <v>0</v>
      </c>
      <c r="T636" s="653">
        <v>-1282454</v>
      </c>
      <c r="U636" s="653">
        <v>-1282454</v>
      </c>
    </row>
    <row r="637" spans="1:21" x14ac:dyDescent="0.25">
      <c r="A637" s="648">
        <v>97011</v>
      </c>
      <c r="B637" s="649" t="s">
        <v>3172</v>
      </c>
      <c r="C637" s="650">
        <v>1.9522999999999999E-3</v>
      </c>
      <c r="D637" s="650">
        <v>2.0471E-3</v>
      </c>
      <c r="E637" s="651">
        <v>745774</v>
      </c>
      <c r="F637" s="651">
        <v>918726</v>
      </c>
      <c r="G637" s="651">
        <v>4143435</v>
      </c>
      <c r="H637" s="651"/>
      <c r="I637" s="652">
        <v>77848</v>
      </c>
      <c r="J637" s="652">
        <v>3630970</v>
      </c>
      <c r="K637" s="652">
        <v>283788</v>
      </c>
      <c r="L637" s="651">
        <v>0</v>
      </c>
      <c r="M637" s="651"/>
      <c r="N637" s="652">
        <v>145191</v>
      </c>
      <c r="O637" s="652">
        <v>1340172</v>
      </c>
      <c r="P637" s="652">
        <v>0</v>
      </c>
      <c r="Q637" s="651">
        <v>128959</v>
      </c>
      <c r="R637" s="651"/>
      <c r="S637" s="652">
        <v>1107479</v>
      </c>
      <c r="T637" s="653">
        <v>-38250</v>
      </c>
      <c r="U637" s="653">
        <v>1069229</v>
      </c>
    </row>
    <row r="638" spans="1:21" x14ac:dyDescent="0.25">
      <c r="A638" s="648">
        <v>97012</v>
      </c>
      <c r="B638" s="649" t="s">
        <v>3173</v>
      </c>
      <c r="C638" s="650">
        <v>2.4499999999999999E-5</v>
      </c>
      <c r="D638" s="650">
        <v>2.4199999999999999E-5</v>
      </c>
      <c r="E638" s="651">
        <v>14173.02</v>
      </c>
      <c r="F638" s="651">
        <v>10861</v>
      </c>
      <c r="G638" s="651">
        <v>51997</v>
      </c>
      <c r="H638" s="651"/>
      <c r="I638" s="652">
        <v>976.9375</v>
      </c>
      <c r="J638" s="652">
        <v>45566</v>
      </c>
      <c r="K638" s="652">
        <v>3561</v>
      </c>
      <c r="L638" s="651">
        <v>3417</v>
      </c>
      <c r="M638" s="651"/>
      <c r="N638" s="652">
        <v>1822</v>
      </c>
      <c r="O638" s="652">
        <v>16818</v>
      </c>
      <c r="P638" s="652">
        <v>0</v>
      </c>
      <c r="Q638" s="651">
        <v>1887</v>
      </c>
      <c r="R638" s="651"/>
      <c r="S638" s="652">
        <v>13898</v>
      </c>
      <c r="T638" s="653">
        <v>148</v>
      </c>
      <c r="U638" s="653">
        <v>14046</v>
      </c>
    </row>
    <row r="639" spans="1:21" x14ac:dyDescent="0.25">
      <c r="A639" s="648">
        <v>97013</v>
      </c>
      <c r="B639" s="649" t="s">
        <v>3174</v>
      </c>
      <c r="C639" s="650">
        <v>2.0699999999999998E-5</v>
      </c>
      <c r="D639" s="650">
        <v>1.1399999999999999E-5</v>
      </c>
      <c r="E639" s="651">
        <v>8196.81</v>
      </c>
      <c r="F639" s="651">
        <v>5116</v>
      </c>
      <c r="G639" s="651">
        <v>43932</v>
      </c>
      <c r="H639" s="651"/>
      <c r="I639" s="652">
        <v>825</v>
      </c>
      <c r="J639" s="652">
        <v>38499</v>
      </c>
      <c r="K639" s="652">
        <v>3009</v>
      </c>
      <c r="L639" s="651">
        <v>7733</v>
      </c>
      <c r="M639" s="651"/>
      <c r="N639" s="652">
        <v>1539</v>
      </c>
      <c r="O639" s="652">
        <v>14210</v>
      </c>
      <c r="P639" s="652">
        <v>0</v>
      </c>
      <c r="Q639" s="651">
        <v>866</v>
      </c>
      <c r="R639" s="651"/>
      <c r="S639" s="652">
        <v>11742</v>
      </c>
      <c r="T639" s="653">
        <v>1850</v>
      </c>
      <c r="U639" s="653">
        <v>13592</v>
      </c>
    </row>
    <row r="640" spans="1:21" x14ac:dyDescent="0.25">
      <c r="A640" s="648">
        <v>97015</v>
      </c>
      <c r="B640" s="649" t="s">
        <v>3175</v>
      </c>
      <c r="C640" s="650">
        <v>5.3699999999999997E-5</v>
      </c>
      <c r="D640" s="650">
        <v>4.7700000000000001E-5</v>
      </c>
      <c r="E640" s="651">
        <v>21900.080000000002</v>
      </c>
      <c r="F640" s="651">
        <v>21407</v>
      </c>
      <c r="G640" s="651">
        <v>113969</v>
      </c>
      <c r="H640" s="651"/>
      <c r="I640" s="652">
        <v>2141</v>
      </c>
      <c r="J640" s="652">
        <v>99874</v>
      </c>
      <c r="K640" s="652">
        <v>7806</v>
      </c>
      <c r="L640" s="651">
        <v>6681</v>
      </c>
      <c r="M640" s="651"/>
      <c r="N640" s="652">
        <v>3994</v>
      </c>
      <c r="O640" s="652">
        <v>36863</v>
      </c>
      <c r="P640" s="652">
        <v>0</v>
      </c>
      <c r="Q640" s="651">
        <v>1588</v>
      </c>
      <c r="R640" s="651"/>
      <c r="S640" s="652">
        <v>30462</v>
      </c>
      <c r="T640" s="653">
        <v>1274</v>
      </c>
      <c r="U640" s="653">
        <v>31737</v>
      </c>
    </row>
    <row r="641" spans="1:21" x14ac:dyDescent="0.25">
      <c r="A641" s="648">
        <v>97018</v>
      </c>
      <c r="B641" s="649" t="s">
        <v>3176</v>
      </c>
      <c r="C641" s="650">
        <v>9.3999999999999998E-6</v>
      </c>
      <c r="D641" s="650">
        <v>9.5000000000000005E-6</v>
      </c>
      <c r="E641" s="651">
        <v>7336</v>
      </c>
      <c r="F641" s="651">
        <v>4264</v>
      </c>
      <c r="G641" s="651">
        <v>19950</v>
      </c>
      <c r="H641" s="651"/>
      <c r="I641" s="652">
        <v>374.82499999999999</v>
      </c>
      <c r="J641" s="652">
        <v>17483</v>
      </c>
      <c r="K641" s="652">
        <v>1366</v>
      </c>
      <c r="L641" s="651">
        <v>6124</v>
      </c>
      <c r="M641" s="651"/>
      <c r="N641" s="652">
        <v>699</v>
      </c>
      <c r="O641" s="652">
        <v>6453</v>
      </c>
      <c r="P641" s="652">
        <v>0</v>
      </c>
      <c r="Q641" s="651">
        <v>0</v>
      </c>
      <c r="R641" s="651"/>
      <c r="S641" s="652">
        <v>5332</v>
      </c>
      <c r="T641" s="653">
        <v>2103</v>
      </c>
      <c r="U641" s="653">
        <v>7435</v>
      </c>
    </row>
    <row r="642" spans="1:21" x14ac:dyDescent="0.25">
      <c r="A642" s="648">
        <v>97101</v>
      </c>
      <c r="B642" s="649" t="s">
        <v>3177</v>
      </c>
      <c r="C642" s="650">
        <v>2.6029E-3</v>
      </c>
      <c r="D642" s="650">
        <v>2.5864999999999998E-3</v>
      </c>
      <c r="E642" s="651">
        <v>1065744</v>
      </c>
      <c r="F642" s="651">
        <v>1160806</v>
      </c>
      <c r="G642" s="651">
        <v>5524226</v>
      </c>
      <c r="H642" s="651"/>
      <c r="I642" s="652">
        <v>103791</v>
      </c>
      <c r="J642" s="652">
        <v>4840983</v>
      </c>
      <c r="K642" s="652">
        <v>378360</v>
      </c>
      <c r="L642" s="651">
        <v>28605</v>
      </c>
      <c r="M642" s="651"/>
      <c r="N642" s="652">
        <v>193575</v>
      </c>
      <c r="O642" s="652">
        <v>1786782</v>
      </c>
      <c r="P642" s="652">
        <v>0</v>
      </c>
      <c r="Q642" s="651">
        <v>13944</v>
      </c>
      <c r="R642" s="651"/>
      <c r="S642" s="652">
        <v>1476544</v>
      </c>
      <c r="T642" s="653">
        <v>2643</v>
      </c>
      <c r="U642" s="653">
        <v>1479187</v>
      </c>
    </row>
    <row r="643" spans="1:21" x14ac:dyDescent="0.25">
      <c r="A643" s="648">
        <v>97104</v>
      </c>
      <c r="B643" s="649" t="s">
        <v>3178</v>
      </c>
      <c r="C643" s="650">
        <v>5.6799999999999998E-5</v>
      </c>
      <c r="D643" s="650">
        <v>5.2099999999999999E-5</v>
      </c>
      <c r="E643" s="651">
        <v>26203</v>
      </c>
      <c r="F643" s="651">
        <v>23382</v>
      </c>
      <c r="G643" s="651">
        <v>120549</v>
      </c>
      <c r="H643" s="651"/>
      <c r="I643" s="652">
        <v>2264.9</v>
      </c>
      <c r="J643" s="652">
        <v>105639</v>
      </c>
      <c r="K643" s="652">
        <v>8257</v>
      </c>
      <c r="L643" s="651">
        <v>15710</v>
      </c>
      <c r="M643" s="651"/>
      <c r="N643" s="652">
        <v>4224</v>
      </c>
      <c r="O643" s="652">
        <v>38991</v>
      </c>
      <c r="P643" s="652">
        <v>0</v>
      </c>
      <c r="Q643" s="651">
        <v>0</v>
      </c>
      <c r="R643" s="651"/>
      <c r="S643" s="652">
        <v>32221</v>
      </c>
      <c r="T643" s="653">
        <v>5708</v>
      </c>
      <c r="U643" s="653">
        <v>37929</v>
      </c>
    </row>
    <row r="644" spans="1:21" x14ac:dyDescent="0.25">
      <c r="A644" s="648">
        <v>97111</v>
      </c>
      <c r="B644" s="649" t="s">
        <v>3179</v>
      </c>
      <c r="C644" s="650">
        <v>2.7099999999999997E-4</v>
      </c>
      <c r="D644" s="650">
        <v>2.5099999999999998E-4</v>
      </c>
      <c r="E644" s="651">
        <v>99518.98</v>
      </c>
      <c r="F644" s="651">
        <v>112647</v>
      </c>
      <c r="G644" s="651">
        <v>575153</v>
      </c>
      <c r="H644" s="651"/>
      <c r="I644" s="652">
        <v>10806</v>
      </c>
      <c r="J644" s="652">
        <v>504017</v>
      </c>
      <c r="K644" s="652">
        <v>39393</v>
      </c>
      <c r="L644" s="651">
        <v>14654</v>
      </c>
      <c r="M644" s="651"/>
      <c r="N644" s="652">
        <v>20154</v>
      </c>
      <c r="O644" s="652">
        <v>186030</v>
      </c>
      <c r="P644" s="652">
        <v>0</v>
      </c>
      <c r="Q644" s="651">
        <v>17411</v>
      </c>
      <c r="R644" s="651"/>
      <c r="S644" s="652">
        <v>153730</v>
      </c>
      <c r="T644" s="653">
        <v>858</v>
      </c>
      <c r="U644" s="653">
        <v>154588</v>
      </c>
    </row>
    <row r="645" spans="1:21" x14ac:dyDescent="0.25">
      <c r="A645" s="648">
        <v>97121</v>
      </c>
      <c r="B645" s="649" t="s">
        <v>3180</v>
      </c>
      <c r="C645" s="650">
        <v>1.2070000000000001E-4</v>
      </c>
      <c r="D645" s="650">
        <v>1.495E-4</v>
      </c>
      <c r="E645" s="651">
        <v>55081</v>
      </c>
      <c r="F645" s="651">
        <v>67095</v>
      </c>
      <c r="G645" s="651">
        <v>256166</v>
      </c>
      <c r="H645" s="651"/>
      <c r="I645" s="652">
        <v>4813</v>
      </c>
      <c r="J645" s="652">
        <v>224483</v>
      </c>
      <c r="K645" s="652">
        <v>17545</v>
      </c>
      <c r="L645" s="651">
        <v>0</v>
      </c>
      <c r="M645" s="651"/>
      <c r="N645" s="652">
        <v>8976</v>
      </c>
      <c r="O645" s="652">
        <v>82855</v>
      </c>
      <c r="P645" s="652">
        <v>0</v>
      </c>
      <c r="Q645" s="651">
        <v>14541</v>
      </c>
      <c r="R645" s="651"/>
      <c r="S645" s="652">
        <v>68469</v>
      </c>
      <c r="T645" s="653">
        <v>-4515</v>
      </c>
      <c r="U645" s="653">
        <v>63954</v>
      </c>
    </row>
    <row r="646" spans="1:21" x14ac:dyDescent="0.25">
      <c r="A646" s="648">
        <v>97131</v>
      </c>
      <c r="B646" s="649" t="s">
        <v>3181</v>
      </c>
      <c r="C646" s="650">
        <v>6.2969999999999996E-4</v>
      </c>
      <c r="D646" s="650">
        <v>5.9650000000000002E-4</v>
      </c>
      <c r="E646" s="651">
        <v>232414</v>
      </c>
      <c r="F646" s="651">
        <v>267706</v>
      </c>
      <c r="G646" s="651">
        <v>1336434</v>
      </c>
      <c r="H646" s="651"/>
      <c r="I646" s="652">
        <v>25109</v>
      </c>
      <c r="J646" s="652">
        <v>1171143</v>
      </c>
      <c r="K646" s="652">
        <v>91534</v>
      </c>
      <c r="L646" s="651">
        <v>6841</v>
      </c>
      <c r="M646" s="651"/>
      <c r="N646" s="652">
        <v>46830</v>
      </c>
      <c r="O646" s="652">
        <v>432263</v>
      </c>
      <c r="P646" s="652">
        <v>0</v>
      </c>
      <c r="Q646" s="651">
        <v>3274</v>
      </c>
      <c r="R646" s="651"/>
      <c r="S646" s="652">
        <v>357209</v>
      </c>
      <c r="T646" s="653">
        <v>1535</v>
      </c>
      <c r="U646" s="653">
        <v>358745</v>
      </c>
    </row>
    <row r="647" spans="1:21" x14ac:dyDescent="0.25">
      <c r="A647" s="648">
        <v>97201</v>
      </c>
      <c r="B647" s="649" t="s">
        <v>3182</v>
      </c>
      <c r="C647" s="650">
        <v>4.9439999999999998E-4</v>
      </c>
      <c r="D647" s="650">
        <v>4.7249999999999999E-4</v>
      </c>
      <c r="E647" s="651">
        <v>214121.60000000001</v>
      </c>
      <c r="F647" s="651">
        <v>212055</v>
      </c>
      <c r="G647" s="651">
        <v>1049282</v>
      </c>
      <c r="H647" s="651"/>
      <c r="I647" s="652">
        <v>19714.2</v>
      </c>
      <c r="J647" s="652">
        <v>919506</v>
      </c>
      <c r="K647" s="652">
        <v>71866</v>
      </c>
      <c r="L647" s="651">
        <v>22797</v>
      </c>
      <c r="M647" s="651"/>
      <c r="N647" s="652">
        <v>36768</v>
      </c>
      <c r="O647" s="652">
        <v>339385</v>
      </c>
      <c r="P647" s="652">
        <v>0</v>
      </c>
      <c r="Q647" s="651">
        <v>3773</v>
      </c>
      <c r="R647" s="651"/>
      <c r="S647" s="652">
        <v>280458</v>
      </c>
      <c r="T647" s="653">
        <v>4235</v>
      </c>
      <c r="U647" s="653">
        <v>284693</v>
      </c>
    </row>
    <row r="648" spans="1:21" x14ac:dyDescent="0.25">
      <c r="A648" s="648">
        <v>97211</v>
      </c>
      <c r="B648" s="649" t="s">
        <v>3183</v>
      </c>
      <c r="C648" s="650">
        <v>1.4119999999999999E-4</v>
      </c>
      <c r="D648" s="650">
        <v>1.7689999999999999E-4</v>
      </c>
      <c r="E648" s="651">
        <v>62098</v>
      </c>
      <c r="F648" s="651">
        <v>79392</v>
      </c>
      <c r="G648" s="651">
        <v>299674</v>
      </c>
      <c r="H648" s="651"/>
      <c r="I648" s="652">
        <v>5630</v>
      </c>
      <c r="J648" s="652">
        <v>262610</v>
      </c>
      <c r="K648" s="652">
        <v>20525</v>
      </c>
      <c r="L648" s="651">
        <v>3573</v>
      </c>
      <c r="M648" s="651"/>
      <c r="N648" s="652">
        <v>10501</v>
      </c>
      <c r="O648" s="652">
        <v>96928</v>
      </c>
      <c r="P648" s="652">
        <v>0</v>
      </c>
      <c r="Q648" s="651">
        <v>16466</v>
      </c>
      <c r="R648" s="651"/>
      <c r="S648" s="652">
        <v>80098</v>
      </c>
      <c r="T648" s="653">
        <v>-3079</v>
      </c>
      <c r="U648" s="653">
        <v>77020</v>
      </c>
    </row>
    <row r="649" spans="1:21" x14ac:dyDescent="0.25">
      <c r="A649" s="648">
        <v>97213</v>
      </c>
      <c r="B649" s="649" t="s">
        <v>3184</v>
      </c>
      <c r="C649" s="650">
        <v>3.8300000000000003E-5</v>
      </c>
      <c r="D649" s="650">
        <v>4.0800000000000002E-5</v>
      </c>
      <c r="E649" s="651">
        <v>16615</v>
      </c>
      <c r="F649" s="651">
        <v>18311</v>
      </c>
      <c r="G649" s="651">
        <v>81285</v>
      </c>
      <c r="H649" s="651"/>
      <c r="I649" s="652">
        <v>1527</v>
      </c>
      <c r="J649" s="652">
        <v>71232</v>
      </c>
      <c r="K649" s="652">
        <v>5567</v>
      </c>
      <c r="L649" s="651">
        <v>1545</v>
      </c>
      <c r="M649" s="651"/>
      <c r="N649" s="652">
        <v>2848</v>
      </c>
      <c r="O649" s="652">
        <v>26291</v>
      </c>
      <c r="P649" s="652">
        <v>0</v>
      </c>
      <c r="Q649" s="651">
        <v>668</v>
      </c>
      <c r="R649" s="651"/>
      <c r="S649" s="652">
        <v>21726</v>
      </c>
      <c r="T649" s="653">
        <v>577</v>
      </c>
      <c r="U649" s="653">
        <v>22303</v>
      </c>
    </row>
    <row r="650" spans="1:21" x14ac:dyDescent="0.25">
      <c r="A650" s="648">
        <v>97217</v>
      </c>
      <c r="B650" s="649" t="s">
        <v>3185</v>
      </c>
      <c r="C650" s="650">
        <v>4.8999999999999997E-6</v>
      </c>
      <c r="D650" s="650">
        <v>5.0000000000000004E-6</v>
      </c>
      <c r="E650" s="651">
        <v>6185</v>
      </c>
      <c r="F650" s="651">
        <v>2244</v>
      </c>
      <c r="G650" s="651">
        <v>10399</v>
      </c>
      <c r="H650" s="651"/>
      <c r="I650" s="652">
        <v>195.38749999999999</v>
      </c>
      <c r="J650" s="652">
        <v>9113</v>
      </c>
      <c r="K650" s="652">
        <v>712</v>
      </c>
      <c r="L650" s="651">
        <v>6975</v>
      </c>
      <c r="M650" s="651"/>
      <c r="N650" s="652">
        <v>364</v>
      </c>
      <c r="O650" s="652">
        <v>3364</v>
      </c>
      <c r="P650" s="652">
        <v>0</v>
      </c>
      <c r="Q650" s="651">
        <v>0</v>
      </c>
      <c r="R650" s="651"/>
      <c r="S650" s="652">
        <v>2780</v>
      </c>
      <c r="T650" s="653">
        <v>2381</v>
      </c>
      <c r="U650" s="653">
        <v>5160</v>
      </c>
    </row>
    <row r="651" spans="1:21" x14ac:dyDescent="0.25">
      <c r="A651" s="648">
        <v>97221</v>
      </c>
      <c r="B651" s="649" t="s">
        <v>3186</v>
      </c>
      <c r="C651" s="650">
        <v>6.1999999999999999E-6</v>
      </c>
      <c r="D651" s="650">
        <v>6.2999999999999998E-6</v>
      </c>
      <c r="E651" s="651">
        <v>6603.27</v>
      </c>
      <c r="F651" s="651">
        <v>2827</v>
      </c>
      <c r="G651" s="651">
        <v>13158</v>
      </c>
      <c r="H651" s="651"/>
      <c r="I651" s="652">
        <v>247.22499999999999</v>
      </c>
      <c r="J651" s="652">
        <v>11531</v>
      </c>
      <c r="K651" s="652">
        <v>901</v>
      </c>
      <c r="L651" s="651">
        <v>5895</v>
      </c>
      <c r="M651" s="651"/>
      <c r="N651" s="652">
        <v>461</v>
      </c>
      <c r="O651" s="652">
        <v>4256</v>
      </c>
      <c r="P651" s="652">
        <v>0</v>
      </c>
      <c r="Q651" s="651">
        <v>0</v>
      </c>
      <c r="R651" s="651"/>
      <c r="S651" s="652">
        <v>3517</v>
      </c>
      <c r="T651" s="653">
        <v>2057</v>
      </c>
      <c r="U651" s="653">
        <v>5574</v>
      </c>
    </row>
    <row r="652" spans="1:21" x14ac:dyDescent="0.25">
      <c r="A652" s="648">
        <v>97301</v>
      </c>
      <c r="B652" s="649" t="s">
        <v>3187</v>
      </c>
      <c r="C652" s="650">
        <v>2.5742E-3</v>
      </c>
      <c r="D652" s="650">
        <v>2.6905000000000002E-3</v>
      </c>
      <c r="E652" s="651">
        <v>1080031</v>
      </c>
      <c r="F652" s="651">
        <v>1207480</v>
      </c>
      <c r="G652" s="651">
        <v>5463315</v>
      </c>
      <c r="H652" s="651"/>
      <c r="I652" s="652">
        <v>102646</v>
      </c>
      <c r="J652" s="652">
        <v>4787605</v>
      </c>
      <c r="K652" s="652">
        <v>374188</v>
      </c>
      <c r="L652" s="651">
        <v>36738</v>
      </c>
      <c r="M652" s="651"/>
      <c r="N652" s="652">
        <v>191441</v>
      </c>
      <c r="O652" s="652">
        <v>1767080</v>
      </c>
      <c r="P652" s="652">
        <v>0</v>
      </c>
      <c r="Q652" s="651">
        <v>62348</v>
      </c>
      <c r="R652" s="651"/>
      <c r="S652" s="652">
        <v>1460264</v>
      </c>
      <c r="T652" s="653">
        <v>-7105</v>
      </c>
      <c r="U652" s="653">
        <v>1453159</v>
      </c>
    </row>
    <row r="653" spans="1:21" x14ac:dyDescent="0.25">
      <c r="A653" s="648">
        <v>97304</v>
      </c>
      <c r="B653" s="649" t="s">
        <v>3188</v>
      </c>
      <c r="C653" s="650">
        <v>1.7600000000000001E-5</v>
      </c>
      <c r="D653" s="650">
        <v>1.8499999999999999E-5</v>
      </c>
      <c r="E653" s="651">
        <v>11928</v>
      </c>
      <c r="F653" s="651">
        <v>8303</v>
      </c>
      <c r="G653" s="651">
        <v>37353</v>
      </c>
      <c r="H653" s="651"/>
      <c r="I653" s="652">
        <v>702</v>
      </c>
      <c r="J653" s="652">
        <v>32733</v>
      </c>
      <c r="K653" s="652">
        <v>2558</v>
      </c>
      <c r="L653" s="651">
        <v>7244</v>
      </c>
      <c r="M653" s="651"/>
      <c r="N653" s="652">
        <v>1309</v>
      </c>
      <c r="O653" s="652">
        <v>12082</v>
      </c>
      <c r="P653" s="652">
        <v>0</v>
      </c>
      <c r="Q653" s="651">
        <v>0</v>
      </c>
      <c r="R653" s="651"/>
      <c r="S653" s="652">
        <v>9984</v>
      </c>
      <c r="T653" s="653">
        <v>2504</v>
      </c>
      <c r="U653" s="653">
        <v>12488</v>
      </c>
    </row>
    <row r="654" spans="1:21" x14ac:dyDescent="0.25">
      <c r="A654" s="648">
        <v>97311</v>
      </c>
      <c r="B654" s="649" t="s">
        <v>3189</v>
      </c>
      <c r="C654" s="650">
        <v>9.5E-4</v>
      </c>
      <c r="D654" s="650">
        <v>1.0311000000000001E-3</v>
      </c>
      <c r="E654" s="651">
        <v>367318</v>
      </c>
      <c r="F654" s="651">
        <v>462751</v>
      </c>
      <c r="G654" s="651">
        <v>2016218.25</v>
      </c>
      <c r="H654" s="651"/>
      <c r="I654" s="652">
        <v>37881.25</v>
      </c>
      <c r="J654" s="652">
        <v>1766849.9</v>
      </c>
      <c r="K654" s="652">
        <v>138093</v>
      </c>
      <c r="L654" s="651">
        <v>0</v>
      </c>
      <c r="M654" s="651"/>
      <c r="N654" s="652">
        <v>70650.55</v>
      </c>
      <c r="O654" s="652">
        <v>652135.1</v>
      </c>
      <c r="P654" s="652">
        <v>0</v>
      </c>
      <c r="Q654" s="651">
        <v>97758</v>
      </c>
      <c r="R654" s="651"/>
      <c r="S654" s="652">
        <v>538906</v>
      </c>
      <c r="T654" s="653">
        <v>-33821</v>
      </c>
      <c r="U654" s="653">
        <v>505085</v>
      </c>
    </row>
    <row r="655" spans="1:21" x14ac:dyDescent="0.25">
      <c r="A655" s="648">
        <v>97401</v>
      </c>
      <c r="B655" s="649" t="s">
        <v>3190</v>
      </c>
      <c r="C655" s="650">
        <v>6.9633000000000004E-3</v>
      </c>
      <c r="D655" s="650">
        <v>6.9844E-3</v>
      </c>
      <c r="E655" s="651">
        <v>2848907</v>
      </c>
      <c r="F655" s="651">
        <v>3134557</v>
      </c>
      <c r="G655" s="651">
        <v>14778455</v>
      </c>
      <c r="H655" s="651"/>
      <c r="I655" s="652">
        <v>277662</v>
      </c>
      <c r="J655" s="652">
        <v>12950638</v>
      </c>
      <c r="K655" s="652">
        <v>1012192</v>
      </c>
      <c r="L655" s="651">
        <v>0</v>
      </c>
      <c r="M655" s="651"/>
      <c r="N655" s="652">
        <v>517854</v>
      </c>
      <c r="O655" s="652">
        <v>4780013</v>
      </c>
      <c r="P655" s="652">
        <v>0</v>
      </c>
      <c r="Q655" s="651">
        <v>142656</v>
      </c>
      <c r="R655" s="651"/>
      <c r="S655" s="652">
        <v>3950064</v>
      </c>
      <c r="T655" s="653">
        <v>-59462</v>
      </c>
      <c r="U655" s="653">
        <v>3890602</v>
      </c>
    </row>
    <row r="656" spans="1:21" x14ac:dyDescent="0.25">
      <c r="A656" s="648">
        <v>97402</v>
      </c>
      <c r="B656" s="649" t="s">
        <v>3191</v>
      </c>
      <c r="C656" s="650">
        <v>4.4700000000000002E-5</v>
      </c>
      <c r="D656" s="650">
        <v>2.3799999999999999E-5</v>
      </c>
      <c r="E656" s="651">
        <v>21076.7</v>
      </c>
      <c r="F656" s="651">
        <v>10681</v>
      </c>
      <c r="G656" s="651">
        <v>94868</v>
      </c>
      <c r="H656" s="651"/>
      <c r="I656" s="652">
        <v>1782</v>
      </c>
      <c r="J656" s="652">
        <v>83135</v>
      </c>
      <c r="K656" s="652">
        <v>6498</v>
      </c>
      <c r="L656" s="651">
        <v>15050</v>
      </c>
      <c r="M656" s="651"/>
      <c r="N656" s="652">
        <v>3324</v>
      </c>
      <c r="O656" s="652">
        <v>30685</v>
      </c>
      <c r="P656" s="652">
        <v>0</v>
      </c>
      <c r="Q656" s="651">
        <v>0</v>
      </c>
      <c r="R656" s="651"/>
      <c r="S656" s="652">
        <v>25357</v>
      </c>
      <c r="T656" s="653">
        <v>4096</v>
      </c>
      <c r="U656" s="653">
        <v>29453</v>
      </c>
    </row>
    <row r="657" spans="1:21" x14ac:dyDescent="0.25">
      <c r="A657" s="648">
        <v>97404</v>
      </c>
      <c r="B657" s="649" t="s">
        <v>3192</v>
      </c>
      <c r="C657" s="650">
        <v>2.1049999999999999E-4</v>
      </c>
      <c r="D657" s="650">
        <v>2.1249999999999999E-4</v>
      </c>
      <c r="E657" s="651">
        <v>73915</v>
      </c>
      <c r="F657" s="651">
        <v>95369</v>
      </c>
      <c r="G657" s="651">
        <v>446752</v>
      </c>
      <c r="H657" s="651"/>
      <c r="I657" s="652">
        <v>8393.6875</v>
      </c>
      <c r="J657" s="652">
        <v>391497</v>
      </c>
      <c r="K657" s="652">
        <v>30598</v>
      </c>
      <c r="L657" s="651">
        <v>1976</v>
      </c>
      <c r="M657" s="651"/>
      <c r="N657" s="652">
        <v>15655</v>
      </c>
      <c r="O657" s="652">
        <v>144499</v>
      </c>
      <c r="P657" s="652">
        <v>0</v>
      </c>
      <c r="Q657" s="651">
        <v>16111</v>
      </c>
      <c r="R657" s="651"/>
      <c r="S657" s="652">
        <v>119410</v>
      </c>
      <c r="T657" s="653">
        <v>-3656</v>
      </c>
      <c r="U657" s="653">
        <v>115754</v>
      </c>
    </row>
    <row r="658" spans="1:21" x14ac:dyDescent="0.25">
      <c r="A658" s="648">
        <v>97405</v>
      </c>
      <c r="B658" s="649" t="s">
        <v>3193</v>
      </c>
      <c r="C658" s="650">
        <v>1.087E-4</v>
      </c>
      <c r="D658" s="650">
        <v>1.081E-4</v>
      </c>
      <c r="E658" s="651">
        <v>55456</v>
      </c>
      <c r="F658" s="651">
        <v>48515</v>
      </c>
      <c r="G658" s="651">
        <v>230698</v>
      </c>
      <c r="H658" s="651"/>
      <c r="I658" s="652">
        <v>4334</v>
      </c>
      <c r="J658" s="652">
        <v>202165</v>
      </c>
      <c r="K658" s="652">
        <v>15801</v>
      </c>
      <c r="L658" s="651">
        <v>20704</v>
      </c>
      <c r="M658" s="651"/>
      <c r="N658" s="652">
        <v>8084</v>
      </c>
      <c r="O658" s="652">
        <v>74618</v>
      </c>
      <c r="P658" s="652">
        <v>0</v>
      </c>
      <c r="Q658" s="651">
        <v>9828.61</v>
      </c>
      <c r="R658" s="651"/>
      <c r="S658" s="652">
        <v>61662</v>
      </c>
      <c r="T658" s="653">
        <v>1556</v>
      </c>
      <c r="U658" s="653">
        <v>63218</v>
      </c>
    </row>
    <row r="659" spans="1:21" x14ac:dyDescent="0.25">
      <c r="A659" s="648">
        <v>97408</v>
      </c>
      <c r="B659" s="649" t="s">
        <v>3194</v>
      </c>
      <c r="C659" s="650">
        <v>4.9299999999999999E-5</v>
      </c>
      <c r="D659" s="650">
        <v>5.1199999999999998E-5</v>
      </c>
      <c r="E659" s="651">
        <v>28028</v>
      </c>
      <c r="F659" s="651">
        <v>22978</v>
      </c>
      <c r="G659" s="651">
        <v>104631</v>
      </c>
      <c r="H659" s="651"/>
      <c r="I659" s="652">
        <v>1966</v>
      </c>
      <c r="J659" s="652">
        <v>91690</v>
      </c>
      <c r="K659" s="652">
        <v>7166</v>
      </c>
      <c r="L659" s="651">
        <v>7585</v>
      </c>
      <c r="M659" s="651"/>
      <c r="N659" s="652">
        <v>3666</v>
      </c>
      <c r="O659" s="652">
        <v>33842</v>
      </c>
      <c r="P659" s="652">
        <v>0</v>
      </c>
      <c r="Q659" s="651">
        <v>0</v>
      </c>
      <c r="R659" s="651"/>
      <c r="S659" s="652">
        <v>27966</v>
      </c>
      <c r="T659" s="653">
        <v>2375</v>
      </c>
      <c r="U659" s="653">
        <v>30341</v>
      </c>
    </row>
    <row r="660" spans="1:21" x14ac:dyDescent="0.25">
      <c r="A660" s="648">
        <v>97411</v>
      </c>
      <c r="B660" s="649" t="s">
        <v>3195</v>
      </c>
      <c r="C660" s="650">
        <v>6.7269000000000001E-3</v>
      </c>
      <c r="D660" s="650">
        <v>7.0987000000000003E-3</v>
      </c>
      <c r="E660" s="651">
        <v>2531536.58</v>
      </c>
      <c r="F660" s="651">
        <v>3185854</v>
      </c>
      <c r="G660" s="651">
        <v>14276735</v>
      </c>
      <c r="H660" s="651"/>
      <c r="I660" s="652">
        <v>268235</v>
      </c>
      <c r="J660" s="652">
        <v>12510971</v>
      </c>
      <c r="K660" s="652">
        <v>977829</v>
      </c>
      <c r="L660" s="651">
        <v>0</v>
      </c>
      <c r="M660" s="651"/>
      <c r="N660" s="652">
        <v>500273</v>
      </c>
      <c r="O660" s="652">
        <v>4617734</v>
      </c>
      <c r="P660" s="652">
        <v>0</v>
      </c>
      <c r="Q660" s="651">
        <v>854591</v>
      </c>
      <c r="R660" s="651"/>
      <c r="S660" s="652">
        <v>3815962</v>
      </c>
      <c r="T660" s="653">
        <v>-289319</v>
      </c>
      <c r="U660" s="653">
        <v>3526643</v>
      </c>
    </row>
    <row r="661" spans="1:21" x14ac:dyDescent="0.25">
      <c r="A661" s="648">
        <v>97412</v>
      </c>
      <c r="B661" s="649" t="s">
        <v>3196</v>
      </c>
      <c r="C661" s="650">
        <v>4.424E-3</v>
      </c>
      <c r="D661" s="650">
        <v>4.1891999999999997E-3</v>
      </c>
      <c r="E661" s="651">
        <v>1763682</v>
      </c>
      <c r="F661" s="651">
        <v>1880088</v>
      </c>
      <c r="G661" s="651">
        <v>9389210</v>
      </c>
      <c r="H661" s="651"/>
      <c r="I661" s="652">
        <v>176407</v>
      </c>
      <c r="J661" s="652">
        <v>8227941</v>
      </c>
      <c r="K661" s="652">
        <v>643077</v>
      </c>
      <c r="L661" s="651">
        <v>158642</v>
      </c>
      <c r="M661" s="651"/>
      <c r="N661" s="652">
        <v>329008</v>
      </c>
      <c r="O661" s="652">
        <v>3036890</v>
      </c>
      <c r="P661" s="652">
        <v>0</v>
      </c>
      <c r="Q661" s="651">
        <v>0</v>
      </c>
      <c r="R661" s="651"/>
      <c r="S661" s="652">
        <v>2509598</v>
      </c>
      <c r="T661" s="653">
        <v>54211</v>
      </c>
      <c r="U661" s="653">
        <v>2563810</v>
      </c>
    </row>
    <row r="662" spans="1:21" x14ac:dyDescent="0.25">
      <c r="A662" s="648">
        <v>97413</v>
      </c>
      <c r="B662" s="649" t="s">
        <v>3197</v>
      </c>
      <c r="C662" s="650">
        <v>2.7910000000000001E-4</v>
      </c>
      <c r="D662" s="650">
        <v>2.9320000000000003E-4</v>
      </c>
      <c r="E662" s="651">
        <v>126701.6</v>
      </c>
      <c r="F662" s="651">
        <v>131586</v>
      </c>
      <c r="G662" s="651">
        <v>592344</v>
      </c>
      <c r="H662" s="651"/>
      <c r="I662" s="652">
        <v>11129</v>
      </c>
      <c r="J662" s="652">
        <v>519082</v>
      </c>
      <c r="K662" s="652">
        <v>40570</v>
      </c>
      <c r="L662" s="651">
        <v>1832</v>
      </c>
      <c r="M662" s="651"/>
      <c r="N662" s="652">
        <v>20756</v>
      </c>
      <c r="O662" s="652">
        <v>191590</v>
      </c>
      <c r="P662" s="652">
        <v>0</v>
      </c>
      <c r="Q662" s="651">
        <v>10212</v>
      </c>
      <c r="R662" s="651"/>
      <c r="S662" s="652">
        <v>158325</v>
      </c>
      <c r="T662" s="653">
        <v>-4433</v>
      </c>
      <c r="U662" s="653">
        <v>153891</v>
      </c>
    </row>
    <row r="663" spans="1:21" x14ac:dyDescent="0.25">
      <c r="A663" s="648">
        <v>97421</v>
      </c>
      <c r="B663" s="649" t="s">
        <v>3198</v>
      </c>
      <c r="C663" s="650">
        <v>4.1120000000000002E-4</v>
      </c>
      <c r="D663" s="650">
        <v>4.1140000000000003E-4</v>
      </c>
      <c r="E663" s="651">
        <v>162265</v>
      </c>
      <c r="F663" s="651">
        <v>184634</v>
      </c>
      <c r="G663" s="651">
        <v>872704</v>
      </c>
      <c r="H663" s="651"/>
      <c r="I663" s="652">
        <v>16397</v>
      </c>
      <c r="J663" s="652">
        <v>764767</v>
      </c>
      <c r="K663" s="652">
        <v>59772</v>
      </c>
      <c r="L663" s="651">
        <v>0</v>
      </c>
      <c r="M663" s="651"/>
      <c r="N663" s="652">
        <v>30581</v>
      </c>
      <c r="O663" s="652">
        <v>282272</v>
      </c>
      <c r="P663" s="652">
        <v>0</v>
      </c>
      <c r="Q663" s="651">
        <v>40232</v>
      </c>
      <c r="R663" s="651"/>
      <c r="S663" s="652">
        <v>233261</v>
      </c>
      <c r="T663" s="653">
        <v>-16104</v>
      </c>
      <c r="U663" s="653">
        <v>217157</v>
      </c>
    </row>
    <row r="664" spans="1:21" x14ac:dyDescent="0.25">
      <c r="A664" s="648">
        <v>97423</v>
      </c>
      <c r="B664" s="649" t="s">
        <v>3199</v>
      </c>
      <c r="C664" s="650">
        <v>4.5800000000000002E-5</v>
      </c>
      <c r="D664" s="650">
        <v>4.5300000000000003E-5</v>
      </c>
      <c r="E664" s="651">
        <v>37545</v>
      </c>
      <c r="F664" s="651">
        <v>20330</v>
      </c>
      <c r="G664" s="651">
        <v>97203</v>
      </c>
      <c r="H664" s="651"/>
      <c r="I664" s="652">
        <v>1826.2750000000001</v>
      </c>
      <c r="J664" s="652">
        <v>85181</v>
      </c>
      <c r="K664" s="652">
        <v>6658</v>
      </c>
      <c r="L664" s="651">
        <v>26530</v>
      </c>
      <c r="M664" s="651"/>
      <c r="N664" s="652">
        <v>3406</v>
      </c>
      <c r="O664" s="652">
        <v>31440</v>
      </c>
      <c r="P664" s="652">
        <v>0</v>
      </c>
      <c r="Q664" s="651">
        <v>0</v>
      </c>
      <c r="R664" s="651"/>
      <c r="S664" s="652">
        <v>25981</v>
      </c>
      <c r="T664" s="653">
        <v>8002</v>
      </c>
      <c r="U664" s="653">
        <v>33982</v>
      </c>
    </row>
    <row r="665" spans="1:21" x14ac:dyDescent="0.25">
      <c r="A665" s="648">
        <v>97431</v>
      </c>
      <c r="B665" s="649" t="s">
        <v>3200</v>
      </c>
      <c r="C665" s="650">
        <v>8.5199999999999997E-5</v>
      </c>
      <c r="D665" s="650">
        <v>8.7700000000000004E-5</v>
      </c>
      <c r="E665" s="651">
        <v>38446.49</v>
      </c>
      <c r="F665" s="651">
        <v>39359</v>
      </c>
      <c r="G665" s="651">
        <v>180823</v>
      </c>
      <c r="H665" s="651"/>
      <c r="I665" s="652">
        <v>3397.35</v>
      </c>
      <c r="J665" s="652">
        <v>158459</v>
      </c>
      <c r="K665" s="652">
        <v>12385</v>
      </c>
      <c r="L665" s="651">
        <v>2882</v>
      </c>
      <c r="M665" s="651"/>
      <c r="N665" s="652">
        <v>6336</v>
      </c>
      <c r="O665" s="652">
        <v>58486</v>
      </c>
      <c r="P665" s="652">
        <v>0</v>
      </c>
      <c r="Q665" s="651">
        <v>0</v>
      </c>
      <c r="R665" s="651"/>
      <c r="S665" s="652">
        <v>48331</v>
      </c>
      <c r="T665" s="653">
        <v>909</v>
      </c>
      <c r="U665" s="653">
        <v>49241</v>
      </c>
    </row>
    <row r="666" spans="1:21" x14ac:dyDescent="0.25">
      <c r="A666" s="648">
        <v>97441</v>
      </c>
      <c r="B666" s="649" t="s">
        <v>3201</v>
      </c>
      <c r="C666" s="650">
        <v>7.0500000000000006E-5</v>
      </c>
      <c r="D666" s="650">
        <v>6.8700000000000003E-5</v>
      </c>
      <c r="E666" s="651">
        <v>23079</v>
      </c>
      <c r="F666" s="651">
        <v>30832</v>
      </c>
      <c r="G666" s="651">
        <v>149625</v>
      </c>
      <c r="H666" s="651"/>
      <c r="I666" s="652">
        <v>2811</v>
      </c>
      <c r="J666" s="652">
        <v>131119</v>
      </c>
      <c r="K666" s="652">
        <v>10248</v>
      </c>
      <c r="L666" s="651">
        <v>406</v>
      </c>
      <c r="M666" s="651"/>
      <c r="N666" s="652">
        <v>5243</v>
      </c>
      <c r="O666" s="652">
        <v>48395</v>
      </c>
      <c r="P666" s="652">
        <v>0</v>
      </c>
      <c r="Q666" s="651">
        <v>4997</v>
      </c>
      <c r="R666" s="651"/>
      <c r="S666" s="652">
        <v>39992</v>
      </c>
      <c r="T666" s="653">
        <v>-1212</v>
      </c>
      <c r="U666" s="653">
        <v>38780</v>
      </c>
    </row>
    <row r="667" spans="1:21" x14ac:dyDescent="0.25">
      <c r="A667" s="648">
        <v>97451</v>
      </c>
      <c r="B667" s="649" t="s">
        <v>3202</v>
      </c>
      <c r="C667" s="650">
        <v>6.1039999999999998E-4</v>
      </c>
      <c r="D667" s="650">
        <v>5.1670000000000004E-4</v>
      </c>
      <c r="E667" s="651">
        <v>212065</v>
      </c>
      <c r="F667" s="651">
        <v>231892</v>
      </c>
      <c r="G667" s="651">
        <v>1295473</v>
      </c>
      <c r="H667" s="651"/>
      <c r="I667" s="652">
        <v>24339.7</v>
      </c>
      <c r="J667" s="652">
        <v>1135248</v>
      </c>
      <c r="K667" s="652">
        <v>88728</v>
      </c>
      <c r="L667" s="651">
        <v>30041</v>
      </c>
      <c r="M667" s="651"/>
      <c r="N667" s="652">
        <v>45395</v>
      </c>
      <c r="O667" s="652">
        <v>419014</v>
      </c>
      <c r="P667" s="652">
        <v>0</v>
      </c>
      <c r="Q667" s="651">
        <v>5880</v>
      </c>
      <c r="R667" s="651"/>
      <c r="S667" s="652">
        <v>346261</v>
      </c>
      <c r="T667" s="653">
        <v>8187</v>
      </c>
      <c r="U667" s="653">
        <v>354448</v>
      </c>
    </row>
    <row r="668" spans="1:21" x14ac:dyDescent="0.25">
      <c r="A668" s="648">
        <v>97461</v>
      </c>
      <c r="B668" s="649" t="s">
        <v>3203</v>
      </c>
      <c r="C668" s="650">
        <v>5.1869999999999998E-4</v>
      </c>
      <c r="D668" s="650">
        <v>5.3859999999999997E-4</v>
      </c>
      <c r="E668" s="651">
        <v>202230</v>
      </c>
      <c r="F668" s="651">
        <v>241720</v>
      </c>
      <c r="G668" s="651">
        <v>1100855</v>
      </c>
      <c r="H668" s="651"/>
      <c r="I668" s="652">
        <v>20683</v>
      </c>
      <c r="J668" s="652">
        <v>964700</v>
      </c>
      <c r="K668" s="652">
        <v>75399</v>
      </c>
      <c r="L668" s="651">
        <v>4454</v>
      </c>
      <c r="M668" s="651"/>
      <c r="N668" s="652">
        <v>38575</v>
      </c>
      <c r="O668" s="652">
        <v>356066</v>
      </c>
      <c r="P668" s="652">
        <v>0</v>
      </c>
      <c r="Q668" s="651">
        <v>46078</v>
      </c>
      <c r="R668" s="651"/>
      <c r="S668" s="652">
        <v>294242</v>
      </c>
      <c r="T668" s="653">
        <v>-12231</v>
      </c>
      <c r="U668" s="653">
        <v>282012</v>
      </c>
    </row>
    <row r="669" spans="1:21" x14ac:dyDescent="0.25">
      <c r="A669" s="648">
        <v>97463</v>
      </c>
      <c r="B669" s="649" t="s">
        <v>3204</v>
      </c>
      <c r="C669" s="650">
        <v>5.0099999999999998E-5</v>
      </c>
      <c r="D669" s="650">
        <v>5.6400000000000002E-5</v>
      </c>
      <c r="E669" s="651">
        <v>17390</v>
      </c>
      <c r="F669" s="651">
        <v>25312</v>
      </c>
      <c r="G669" s="651">
        <v>106329</v>
      </c>
      <c r="H669" s="651"/>
      <c r="I669" s="652">
        <v>1998</v>
      </c>
      <c r="J669" s="652">
        <v>93178</v>
      </c>
      <c r="K669" s="652">
        <v>7283</v>
      </c>
      <c r="L669" s="651">
        <v>2539</v>
      </c>
      <c r="M669" s="651"/>
      <c r="N669" s="652">
        <v>3726</v>
      </c>
      <c r="O669" s="652">
        <v>34392</v>
      </c>
      <c r="P669" s="652">
        <v>0</v>
      </c>
      <c r="Q669" s="651">
        <v>5965</v>
      </c>
      <c r="R669" s="651"/>
      <c r="S669" s="652">
        <v>28420</v>
      </c>
      <c r="T669" s="653">
        <v>-427</v>
      </c>
      <c r="U669" s="653">
        <v>27993</v>
      </c>
    </row>
    <row r="670" spans="1:21" x14ac:dyDescent="0.25">
      <c r="A670" s="648">
        <v>97471</v>
      </c>
      <c r="B670" s="649" t="s">
        <v>3205</v>
      </c>
      <c r="C670" s="650">
        <v>1.27E-5</v>
      </c>
      <c r="D670" s="650">
        <v>1.31E-5</v>
      </c>
      <c r="E670" s="651">
        <v>8483.43</v>
      </c>
      <c r="F670" s="651">
        <v>5879</v>
      </c>
      <c r="G670" s="651">
        <v>26954</v>
      </c>
      <c r="H670" s="651"/>
      <c r="I670" s="652">
        <v>506.41250000000002</v>
      </c>
      <c r="J670" s="652">
        <v>23620</v>
      </c>
      <c r="K670" s="652">
        <v>1846</v>
      </c>
      <c r="L670" s="651">
        <v>5163</v>
      </c>
      <c r="M670" s="651"/>
      <c r="N670" s="652">
        <v>944</v>
      </c>
      <c r="O670" s="652">
        <v>8718</v>
      </c>
      <c r="P670" s="652">
        <v>0</v>
      </c>
      <c r="Q670" s="651">
        <v>0</v>
      </c>
      <c r="R670" s="651"/>
      <c r="S670" s="652">
        <v>7204</v>
      </c>
      <c r="T670" s="653">
        <v>1775</v>
      </c>
      <c r="U670" s="653">
        <v>8980</v>
      </c>
    </row>
    <row r="671" spans="1:21" x14ac:dyDescent="0.25">
      <c r="A671" s="648">
        <v>97481</v>
      </c>
      <c r="B671" s="649" t="s">
        <v>3206</v>
      </c>
      <c r="C671" s="650">
        <v>1.63E-5</v>
      </c>
      <c r="D671" s="650">
        <v>1.13E-5</v>
      </c>
      <c r="E671" s="651">
        <v>5817.26</v>
      </c>
      <c r="F671" s="651">
        <v>5071</v>
      </c>
      <c r="G671" s="651">
        <v>34594</v>
      </c>
      <c r="H671" s="651"/>
      <c r="I671" s="652">
        <v>649.96249999999998</v>
      </c>
      <c r="J671" s="652">
        <v>30315</v>
      </c>
      <c r="K671" s="652">
        <v>2369</v>
      </c>
      <c r="L671" s="651">
        <v>5965</v>
      </c>
      <c r="M671" s="651"/>
      <c r="N671" s="652">
        <v>1212</v>
      </c>
      <c r="O671" s="652">
        <v>11189</v>
      </c>
      <c r="P671" s="652">
        <v>0</v>
      </c>
      <c r="Q671" s="651">
        <v>0</v>
      </c>
      <c r="R671" s="651"/>
      <c r="S671" s="652">
        <v>9246</v>
      </c>
      <c r="T671" s="653">
        <v>2373</v>
      </c>
      <c r="U671" s="653">
        <v>11619</v>
      </c>
    </row>
    <row r="672" spans="1:21" x14ac:dyDescent="0.25">
      <c r="A672" s="648">
        <v>97491</v>
      </c>
      <c r="B672" s="649" t="s">
        <v>3207</v>
      </c>
      <c r="C672" s="650">
        <v>0</v>
      </c>
      <c r="D672" s="650">
        <v>0</v>
      </c>
      <c r="E672" s="651">
        <v>0</v>
      </c>
      <c r="F672" s="651">
        <v>0</v>
      </c>
      <c r="G672" s="651">
        <v>0</v>
      </c>
      <c r="H672" s="651"/>
      <c r="I672" s="652">
        <v>0</v>
      </c>
      <c r="J672" s="652">
        <v>0</v>
      </c>
      <c r="K672" s="652">
        <v>0</v>
      </c>
      <c r="L672" s="651">
        <v>0</v>
      </c>
      <c r="M672" s="651"/>
      <c r="N672" s="652">
        <v>0</v>
      </c>
      <c r="O672" s="652">
        <v>0</v>
      </c>
      <c r="P672" s="652">
        <v>0</v>
      </c>
      <c r="Q672" s="651">
        <v>12790</v>
      </c>
      <c r="R672" s="651"/>
      <c r="S672" s="652">
        <v>0</v>
      </c>
      <c r="T672" s="653">
        <v>-4941</v>
      </c>
      <c r="U672" s="653">
        <v>-4941</v>
      </c>
    </row>
    <row r="673" spans="1:21" x14ac:dyDescent="0.25">
      <c r="A673" s="648">
        <v>97501</v>
      </c>
      <c r="B673" s="649" t="s">
        <v>3208</v>
      </c>
      <c r="C673" s="650">
        <v>9.6730000000000004E-4</v>
      </c>
      <c r="D673" s="650">
        <v>9.7659999999999999E-4</v>
      </c>
      <c r="E673" s="651">
        <v>413876.56</v>
      </c>
      <c r="F673" s="651">
        <v>438292</v>
      </c>
      <c r="G673" s="651">
        <v>2052935</v>
      </c>
      <c r="H673" s="651"/>
      <c r="I673" s="652">
        <v>38571</v>
      </c>
      <c r="J673" s="652">
        <v>1799025</v>
      </c>
      <c r="K673" s="652">
        <v>140608</v>
      </c>
      <c r="L673" s="651">
        <v>45898</v>
      </c>
      <c r="M673" s="651"/>
      <c r="N673" s="652">
        <v>71937</v>
      </c>
      <c r="O673" s="652">
        <v>664011</v>
      </c>
      <c r="P673" s="652">
        <v>0</v>
      </c>
      <c r="Q673" s="651">
        <v>0</v>
      </c>
      <c r="R673" s="651"/>
      <c r="S673" s="652">
        <v>548719</v>
      </c>
      <c r="T673" s="653">
        <v>19873</v>
      </c>
      <c r="U673" s="653">
        <v>568592</v>
      </c>
    </row>
    <row r="674" spans="1:21" x14ac:dyDescent="0.25">
      <c r="A674" s="648">
        <v>97511</v>
      </c>
      <c r="B674" s="649" t="s">
        <v>3209</v>
      </c>
      <c r="C674" s="650">
        <v>2.3220000000000001E-4</v>
      </c>
      <c r="D674" s="650">
        <v>2.1719999999999999E-4</v>
      </c>
      <c r="E674" s="651">
        <v>97777.06</v>
      </c>
      <c r="F674" s="651">
        <v>97478</v>
      </c>
      <c r="G674" s="651">
        <v>492806</v>
      </c>
      <c r="H674" s="651"/>
      <c r="I674" s="652">
        <v>9259</v>
      </c>
      <c r="J674" s="652">
        <v>431855</v>
      </c>
      <c r="K674" s="652">
        <v>33753</v>
      </c>
      <c r="L674" s="651">
        <v>10778</v>
      </c>
      <c r="M674" s="651"/>
      <c r="N674" s="652">
        <v>17268</v>
      </c>
      <c r="O674" s="652">
        <v>159396</v>
      </c>
      <c r="P674" s="652">
        <v>0</v>
      </c>
      <c r="Q674" s="651">
        <v>1307</v>
      </c>
      <c r="R674" s="651"/>
      <c r="S674" s="652">
        <v>131720</v>
      </c>
      <c r="T674" s="653">
        <v>2532</v>
      </c>
      <c r="U674" s="653">
        <v>134252</v>
      </c>
    </row>
    <row r="675" spans="1:21" x14ac:dyDescent="0.25">
      <c r="A675" s="648">
        <v>97521</v>
      </c>
      <c r="B675" s="649" t="s">
        <v>3210</v>
      </c>
      <c r="C675" s="650">
        <v>1.293E-4</v>
      </c>
      <c r="D675" s="650">
        <v>1.404E-4</v>
      </c>
      <c r="E675" s="651">
        <v>48146.35</v>
      </c>
      <c r="F675" s="651">
        <v>63011</v>
      </c>
      <c r="G675" s="651">
        <v>274418</v>
      </c>
      <c r="H675" s="651"/>
      <c r="I675" s="652">
        <v>5156</v>
      </c>
      <c r="J675" s="652">
        <v>240478</v>
      </c>
      <c r="K675" s="652">
        <v>18795</v>
      </c>
      <c r="L675" s="651">
        <v>4401.88</v>
      </c>
      <c r="M675" s="651"/>
      <c r="N675" s="652">
        <v>9616</v>
      </c>
      <c r="O675" s="652">
        <v>88759</v>
      </c>
      <c r="P675" s="652">
        <v>0</v>
      </c>
      <c r="Q675" s="651">
        <v>17530</v>
      </c>
      <c r="R675" s="651"/>
      <c r="S675" s="652">
        <v>73348</v>
      </c>
      <c r="T675" s="653">
        <v>-3048</v>
      </c>
      <c r="U675" s="653">
        <v>70299</v>
      </c>
    </row>
    <row r="676" spans="1:21" x14ac:dyDescent="0.25">
      <c r="A676" s="648">
        <v>97531</v>
      </c>
      <c r="B676" s="649" t="s">
        <v>3211</v>
      </c>
      <c r="C676" s="650">
        <v>3.6300000000000001E-5</v>
      </c>
      <c r="D676" s="650">
        <v>3.5099999999999999E-5</v>
      </c>
      <c r="E676" s="651">
        <v>18182</v>
      </c>
      <c r="F676" s="651">
        <v>15753</v>
      </c>
      <c r="G676" s="651">
        <v>77041</v>
      </c>
      <c r="H676" s="651"/>
      <c r="I676" s="652">
        <v>1447</v>
      </c>
      <c r="J676" s="652">
        <v>67512</v>
      </c>
      <c r="K676" s="652">
        <v>5277</v>
      </c>
      <c r="L676" s="651">
        <v>3234</v>
      </c>
      <c r="M676" s="651"/>
      <c r="N676" s="652">
        <v>2700</v>
      </c>
      <c r="O676" s="652">
        <v>24918</v>
      </c>
      <c r="P676" s="652">
        <v>0</v>
      </c>
      <c r="Q676" s="651">
        <v>14595</v>
      </c>
      <c r="R676" s="651"/>
      <c r="S676" s="652">
        <v>20592</v>
      </c>
      <c r="T676" s="653">
        <v>-4705</v>
      </c>
      <c r="U676" s="653">
        <v>15887</v>
      </c>
    </row>
    <row r="677" spans="1:21" x14ac:dyDescent="0.25">
      <c r="A677" s="648">
        <v>97601</v>
      </c>
      <c r="B677" s="649" t="s">
        <v>3212</v>
      </c>
      <c r="C677" s="650">
        <v>4.7808E-3</v>
      </c>
      <c r="D677" s="650">
        <v>4.8238999999999999E-3</v>
      </c>
      <c r="E677" s="651">
        <v>1911818</v>
      </c>
      <c r="F677" s="651">
        <v>2164937</v>
      </c>
      <c r="G677" s="651">
        <v>10146459</v>
      </c>
      <c r="H677" s="651"/>
      <c r="I677" s="652">
        <v>190634.4</v>
      </c>
      <c r="J677" s="652">
        <v>8891533</v>
      </c>
      <c r="K677" s="652">
        <v>694942</v>
      </c>
      <c r="L677" s="651">
        <v>0</v>
      </c>
      <c r="M677" s="651"/>
      <c r="N677" s="652">
        <v>355543</v>
      </c>
      <c r="O677" s="652">
        <v>3281818</v>
      </c>
      <c r="P677" s="652">
        <v>0</v>
      </c>
      <c r="Q677" s="651">
        <v>137509</v>
      </c>
      <c r="R677" s="651"/>
      <c r="S677" s="652">
        <v>2712000</v>
      </c>
      <c r="T677" s="653">
        <v>-46067</v>
      </c>
      <c r="U677" s="653">
        <v>2665933</v>
      </c>
    </row>
    <row r="678" spans="1:21" x14ac:dyDescent="0.25">
      <c r="A678" s="648">
        <v>97607</v>
      </c>
      <c r="B678" s="649" t="s">
        <v>3213</v>
      </c>
      <c r="C678" s="650">
        <v>1.9199999999999999E-5</v>
      </c>
      <c r="D678" s="650">
        <v>2.27E-5</v>
      </c>
      <c r="E678" s="651">
        <v>13222.63</v>
      </c>
      <c r="F678" s="651">
        <v>10188</v>
      </c>
      <c r="G678" s="651">
        <v>40749</v>
      </c>
      <c r="H678" s="651"/>
      <c r="I678" s="652">
        <v>766</v>
      </c>
      <c r="J678" s="652">
        <v>35709</v>
      </c>
      <c r="K678" s="652">
        <v>2791</v>
      </c>
      <c r="L678" s="651">
        <v>8819</v>
      </c>
      <c r="M678" s="651"/>
      <c r="N678" s="652">
        <v>1428</v>
      </c>
      <c r="O678" s="652">
        <v>13180</v>
      </c>
      <c r="P678" s="652">
        <v>0</v>
      </c>
      <c r="Q678" s="651">
        <v>0</v>
      </c>
      <c r="R678" s="651"/>
      <c r="S678" s="652">
        <v>10892</v>
      </c>
      <c r="T678" s="653">
        <v>3435</v>
      </c>
      <c r="U678" s="653">
        <v>14327</v>
      </c>
    </row>
    <row r="679" spans="1:21" x14ac:dyDescent="0.25">
      <c r="A679" s="648">
        <v>97611</v>
      </c>
      <c r="B679" s="649" t="s">
        <v>3214</v>
      </c>
      <c r="C679" s="650">
        <v>2.5750999999999999E-3</v>
      </c>
      <c r="D679" s="650">
        <v>2.7582000000000001E-3</v>
      </c>
      <c r="E679" s="651">
        <v>984035.03</v>
      </c>
      <c r="F679" s="651">
        <v>1237864</v>
      </c>
      <c r="G679" s="651">
        <v>5465225</v>
      </c>
      <c r="H679" s="651"/>
      <c r="I679" s="652">
        <v>102682</v>
      </c>
      <c r="J679" s="652">
        <v>4789279</v>
      </c>
      <c r="K679" s="652">
        <v>374319</v>
      </c>
      <c r="L679" s="651">
        <v>0</v>
      </c>
      <c r="M679" s="651"/>
      <c r="N679" s="652">
        <v>191508</v>
      </c>
      <c r="O679" s="652">
        <v>1767698</v>
      </c>
      <c r="P679" s="652">
        <v>0</v>
      </c>
      <c r="Q679" s="651">
        <v>281180</v>
      </c>
      <c r="R679" s="651"/>
      <c r="S679" s="652">
        <v>1460774</v>
      </c>
      <c r="T679" s="653">
        <v>-93860</v>
      </c>
      <c r="U679" s="653">
        <v>1366915</v>
      </c>
    </row>
    <row r="680" spans="1:21" x14ac:dyDescent="0.25">
      <c r="A680" s="648">
        <v>97613</v>
      </c>
      <c r="B680" s="649" t="s">
        <v>3215</v>
      </c>
      <c r="C680" s="650">
        <v>1.2459999999999999E-4</v>
      </c>
      <c r="D680" s="650">
        <v>1.21E-4</v>
      </c>
      <c r="E680" s="651">
        <v>55529.85</v>
      </c>
      <c r="F680" s="651">
        <v>54304</v>
      </c>
      <c r="G680" s="651">
        <v>264443</v>
      </c>
      <c r="H680" s="651"/>
      <c r="I680" s="652">
        <v>4968</v>
      </c>
      <c r="J680" s="652">
        <v>231736</v>
      </c>
      <c r="K680" s="652">
        <v>18112</v>
      </c>
      <c r="L680" s="651">
        <v>5357</v>
      </c>
      <c r="M680" s="651"/>
      <c r="N680" s="652">
        <v>9266</v>
      </c>
      <c r="O680" s="652">
        <v>85533</v>
      </c>
      <c r="P680" s="652">
        <v>0</v>
      </c>
      <c r="Q680" s="651">
        <v>5319</v>
      </c>
      <c r="R680" s="651"/>
      <c r="S680" s="652">
        <v>70682</v>
      </c>
      <c r="T680" s="653">
        <v>-505</v>
      </c>
      <c r="U680" s="653">
        <v>70177</v>
      </c>
    </row>
    <row r="681" spans="1:21" x14ac:dyDescent="0.25">
      <c r="A681" s="648">
        <v>97621</v>
      </c>
      <c r="B681" s="649" t="s">
        <v>3216</v>
      </c>
      <c r="C681" s="650">
        <v>4.7429999999999998E-4</v>
      </c>
      <c r="D681" s="650">
        <v>5.1290000000000005E-4</v>
      </c>
      <c r="E681" s="651">
        <v>166598.32</v>
      </c>
      <c r="F681" s="651">
        <v>230186</v>
      </c>
      <c r="G681" s="651">
        <v>1006623</v>
      </c>
      <c r="H681" s="651"/>
      <c r="I681" s="652">
        <v>18913</v>
      </c>
      <c r="J681" s="652">
        <v>882123</v>
      </c>
      <c r="K681" s="652">
        <v>68945</v>
      </c>
      <c r="L681" s="651">
        <v>24561</v>
      </c>
      <c r="M681" s="651"/>
      <c r="N681" s="652">
        <v>35273</v>
      </c>
      <c r="O681" s="652">
        <v>325587</v>
      </c>
      <c r="P681" s="652">
        <v>0</v>
      </c>
      <c r="Q681" s="651">
        <v>43510</v>
      </c>
      <c r="R681" s="651"/>
      <c r="S681" s="652">
        <v>269056</v>
      </c>
      <c r="T681" s="653">
        <v>-2547</v>
      </c>
      <c r="U681" s="653">
        <v>266509</v>
      </c>
    </row>
    <row r="682" spans="1:21" x14ac:dyDescent="0.25">
      <c r="A682" s="648">
        <v>97623</v>
      </c>
      <c r="B682" s="649" t="s">
        <v>3217</v>
      </c>
      <c r="C682" s="650">
        <v>2.9200000000000002E-5</v>
      </c>
      <c r="D682" s="650">
        <v>3.0000000000000001E-5</v>
      </c>
      <c r="E682" s="651">
        <v>14038</v>
      </c>
      <c r="F682" s="651">
        <v>13463.82</v>
      </c>
      <c r="G682" s="651">
        <v>61972</v>
      </c>
      <c r="H682" s="651"/>
      <c r="I682" s="652">
        <v>1164</v>
      </c>
      <c r="J682" s="652">
        <v>54307</v>
      </c>
      <c r="K682" s="652">
        <v>4245</v>
      </c>
      <c r="L682" s="651">
        <v>10193</v>
      </c>
      <c r="M682" s="651"/>
      <c r="N682" s="652">
        <v>2172</v>
      </c>
      <c r="O682" s="652">
        <v>20045</v>
      </c>
      <c r="P682" s="652">
        <v>0</v>
      </c>
      <c r="Q682" s="651">
        <v>0</v>
      </c>
      <c r="R682" s="651"/>
      <c r="S682" s="652">
        <v>16564</v>
      </c>
      <c r="T682" s="653">
        <v>3688</v>
      </c>
      <c r="U682" s="653">
        <v>20252</v>
      </c>
    </row>
    <row r="683" spans="1:21" x14ac:dyDescent="0.25">
      <c r="A683" s="648">
        <v>97627</v>
      </c>
      <c r="B683" s="649" t="s">
        <v>3218</v>
      </c>
      <c r="C683" s="650">
        <v>1.0200000000000001E-5</v>
      </c>
      <c r="D683" s="650">
        <v>9.0999999999999993E-6</v>
      </c>
      <c r="E683" s="651">
        <v>4150</v>
      </c>
      <c r="F683" s="651">
        <v>4084</v>
      </c>
      <c r="G683" s="651">
        <v>21648</v>
      </c>
      <c r="H683" s="651"/>
      <c r="I683" s="652">
        <v>406.72500000000002</v>
      </c>
      <c r="J683" s="652">
        <v>18970</v>
      </c>
      <c r="K683" s="652">
        <v>1483</v>
      </c>
      <c r="L683" s="651">
        <v>942</v>
      </c>
      <c r="M683" s="651"/>
      <c r="N683" s="652">
        <v>759</v>
      </c>
      <c r="O683" s="652">
        <v>7002</v>
      </c>
      <c r="P683" s="652">
        <v>0</v>
      </c>
      <c r="Q683" s="651">
        <v>1562</v>
      </c>
      <c r="R683" s="651"/>
      <c r="S683" s="652">
        <v>5786</v>
      </c>
      <c r="T683" s="653">
        <v>-217</v>
      </c>
      <c r="U683" s="653">
        <v>5570</v>
      </c>
    </row>
    <row r="684" spans="1:21" x14ac:dyDescent="0.25">
      <c r="A684" s="648">
        <v>97631</v>
      </c>
      <c r="B684" s="649" t="s">
        <v>3219</v>
      </c>
      <c r="C684" s="650">
        <v>2.009E-4</v>
      </c>
      <c r="D684" s="650">
        <v>1.7239999999999999E-4</v>
      </c>
      <c r="E684" s="651">
        <v>69843.56</v>
      </c>
      <c r="F684" s="651">
        <v>77372</v>
      </c>
      <c r="G684" s="651">
        <v>426377</v>
      </c>
      <c r="H684" s="651"/>
      <c r="I684" s="652">
        <v>8011</v>
      </c>
      <c r="J684" s="652">
        <v>373642</v>
      </c>
      <c r="K684" s="652">
        <v>29203</v>
      </c>
      <c r="L684" s="651">
        <v>14802</v>
      </c>
      <c r="M684" s="651"/>
      <c r="N684" s="652">
        <v>14941</v>
      </c>
      <c r="O684" s="652">
        <v>137909</v>
      </c>
      <c r="P684" s="652">
        <v>0</v>
      </c>
      <c r="Q684" s="651">
        <v>0</v>
      </c>
      <c r="R684" s="651"/>
      <c r="S684" s="652">
        <v>113964</v>
      </c>
      <c r="T684" s="653">
        <v>5491</v>
      </c>
      <c r="U684" s="653">
        <v>119456</v>
      </c>
    </row>
    <row r="685" spans="1:21" x14ac:dyDescent="0.25">
      <c r="A685" s="648">
        <v>97637</v>
      </c>
      <c r="B685" s="649" t="s">
        <v>3220</v>
      </c>
      <c r="C685" s="650">
        <v>4.7999999999999998E-6</v>
      </c>
      <c r="D685" s="650">
        <v>6.1999999999999999E-6</v>
      </c>
      <c r="E685" s="651">
        <v>2878</v>
      </c>
      <c r="F685" s="651">
        <v>2783</v>
      </c>
      <c r="G685" s="651">
        <v>10187</v>
      </c>
      <c r="H685" s="651"/>
      <c r="I685" s="652">
        <v>191</v>
      </c>
      <c r="J685" s="652">
        <v>8927</v>
      </c>
      <c r="K685" s="652">
        <v>698</v>
      </c>
      <c r="L685" s="651">
        <v>655</v>
      </c>
      <c r="M685" s="651"/>
      <c r="N685" s="652">
        <v>357</v>
      </c>
      <c r="O685" s="652">
        <v>3295</v>
      </c>
      <c r="P685" s="652">
        <v>0</v>
      </c>
      <c r="Q685" s="651">
        <v>40</v>
      </c>
      <c r="R685" s="651"/>
      <c r="S685" s="652">
        <v>2723</v>
      </c>
      <c r="T685" s="653">
        <v>244</v>
      </c>
      <c r="U685" s="653">
        <v>2967</v>
      </c>
    </row>
    <row r="686" spans="1:21" x14ac:dyDescent="0.25">
      <c r="A686" s="648">
        <v>97641</v>
      </c>
      <c r="B686" s="649" t="s">
        <v>3221</v>
      </c>
      <c r="C686" s="650">
        <v>6.9999999999999994E-5</v>
      </c>
      <c r="D686" s="650">
        <v>5.3900000000000002E-5</v>
      </c>
      <c r="E686" s="651">
        <v>31635</v>
      </c>
      <c r="F686" s="651">
        <v>24190</v>
      </c>
      <c r="G686" s="651">
        <v>148563</v>
      </c>
      <c r="H686" s="651"/>
      <c r="I686" s="652">
        <v>2791</v>
      </c>
      <c r="J686" s="652">
        <v>130189</v>
      </c>
      <c r="K686" s="652">
        <v>10175</v>
      </c>
      <c r="L686" s="651">
        <v>15548</v>
      </c>
      <c r="M686" s="651"/>
      <c r="N686" s="652">
        <v>5205.83</v>
      </c>
      <c r="O686" s="652">
        <v>48052.06</v>
      </c>
      <c r="P686" s="652">
        <v>0</v>
      </c>
      <c r="Q686" s="651">
        <v>5807</v>
      </c>
      <c r="R686" s="651"/>
      <c r="S686" s="652">
        <v>39709</v>
      </c>
      <c r="T686" s="653">
        <v>1546</v>
      </c>
      <c r="U686" s="653">
        <v>41255</v>
      </c>
    </row>
    <row r="687" spans="1:21" x14ac:dyDescent="0.25">
      <c r="A687" s="648">
        <v>97651</v>
      </c>
      <c r="B687" s="649" t="s">
        <v>3222</v>
      </c>
      <c r="C687" s="650">
        <v>5.1579999999999996E-4</v>
      </c>
      <c r="D687" s="650">
        <v>5.4140000000000004E-4</v>
      </c>
      <c r="E687" s="651">
        <v>190593.37</v>
      </c>
      <c r="F687" s="651">
        <v>242977</v>
      </c>
      <c r="G687" s="651">
        <v>1094700</v>
      </c>
      <c r="H687" s="651"/>
      <c r="I687" s="652">
        <v>20568</v>
      </c>
      <c r="J687" s="652">
        <v>959307</v>
      </c>
      <c r="K687" s="652">
        <v>74977</v>
      </c>
      <c r="L687" s="651">
        <v>4062</v>
      </c>
      <c r="M687" s="651"/>
      <c r="N687" s="652">
        <v>38360</v>
      </c>
      <c r="O687" s="652">
        <v>354075</v>
      </c>
      <c r="P687" s="652">
        <v>0</v>
      </c>
      <c r="Q687" s="651">
        <v>51828</v>
      </c>
      <c r="R687" s="651"/>
      <c r="S687" s="652">
        <v>292597</v>
      </c>
      <c r="T687" s="653">
        <v>-17066</v>
      </c>
      <c r="U687" s="653">
        <v>275532</v>
      </c>
    </row>
    <row r="688" spans="1:21" x14ac:dyDescent="0.25">
      <c r="A688" s="648">
        <v>97661</v>
      </c>
      <c r="B688" s="649" t="s">
        <v>3223</v>
      </c>
      <c r="C688" s="650">
        <v>4.3900000000000003E-5</v>
      </c>
      <c r="D688" s="650">
        <v>3.1999999999999999E-5</v>
      </c>
      <c r="E688" s="651">
        <v>18869</v>
      </c>
      <c r="F688" s="651">
        <v>14361</v>
      </c>
      <c r="G688" s="651">
        <v>93171</v>
      </c>
      <c r="H688" s="651"/>
      <c r="I688" s="652">
        <v>1751</v>
      </c>
      <c r="J688" s="652">
        <v>81647</v>
      </c>
      <c r="K688" s="652">
        <v>6381</v>
      </c>
      <c r="L688" s="651">
        <v>12364</v>
      </c>
      <c r="M688" s="651"/>
      <c r="N688" s="652">
        <v>3265</v>
      </c>
      <c r="O688" s="652">
        <v>30136</v>
      </c>
      <c r="P688" s="652">
        <v>0</v>
      </c>
      <c r="Q688" s="651">
        <v>2964</v>
      </c>
      <c r="R688" s="651"/>
      <c r="S688" s="652">
        <v>24903</v>
      </c>
      <c r="T688" s="653">
        <v>3435</v>
      </c>
      <c r="U688" s="653">
        <v>28338</v>
      </c>
    </row>
    <row r="689" spans="1:21" x14ac:dyDescent="0.25">
      <c r="A689" s="648">
        <v>97701</v>
      </c>
      <c r="B689" s="649" t="s">
        <v>3224</v>
      </c>
      <c r="C689" s="650">
        <v>2.5081000000000001E-3</v>
      </c>
      <c r="D689" s="650">
        <v>2.4424999999999998E-3</v>
      </c>
      <c r="E689" s="651">
        <v>1011242</v>
      </c>
      <c r="F689" s="651">
        <v>1096179</v>
      </c>
      <c r="G689" s="651">
        <v>5323028</v>
      </c>
      <c r="H689" s="651"/>
      <c r="I689" s="652">
        <v>100010</v>
      </c>
      <c r="J689" s="652">
        <v>4664670</v>
      </c>
      <c r="K689" s="652">
        <v>364580</v>
      </c>
      <c r="L689" s="651">
        <v>31450</v>
      </c>
      <c r="M689" s="651"/>
      <c r="N689" s="652">
        <v>186525</v>
      </c>
      <c r="O689" s="652">
        <v>1721705</v>
      </c>
      <c r="P689" s="652">
        <v>0</v>
      </c>
      <c r="Q689" s="651">
        <v>17434</v>
      </c>
      <c r="R689" s="651"/>
      <c r="S689" s="652">
        <v>1422767</v>
      </c>
      <c r="T689" s="653">
        <v>529</v>
      </c>
      <c r="U689" s="653">
        <v>1423296</v>
      </c>
    </row>
    <row r="690" spans="1:21" x14ac:dyDescent="0.25">
      <c r="A690" s="648">
        <v>97705</v>
      </c>
      <c r="B690" s="649" t="s">
        <v>3225</v>
      </c>
      <c r="C690" s="650">
        <v>6.41E-5</v>
      </c>
      <c r="D690" s="650">
        <v>5.1700000000000003E-5</v>
      </c>
      <c r="E690" s="651">
        <v>21949.45</v>
      </c>
      <c r="F690" s="651">
        <v>23203</v>
      </c>
      <c r="G690" s="651">
        <v>136042</v>
      </c>
      <c r="H690" s="651"/>
      <c r="I690" s="652">
        <v>2556</v>
      </c>
      <c r="J690" s="652">
        <v>119216</v>
      </c>
      <c r="K690" s="652">
        <v>9318</v>
      </c>
      <c r="L690" s="651">
        <v>9600</v>
      </c>
      <c r="M690" s="651"/>
      <c r="N690" s="652">
        <v>4767</v>
      </c>
      <c r="O690" s="652">
        <v>44002</v>
      </c>
      <c r="P690" s="652">
        <v>0</v>
      </c>
      <c r="Q690" s="651">
        <v>3526</v>
      </c>
      <c r="R690" s="651"/>
      <c r="S690" s="652">
        <v>36362</v>
      </c>
      <c r="T690" s="653">
        <v>2791</v>
      </c>
      <c r="U690" s="653">
        <v>39153</v>
      </c>
    </row>
    <row r="691" spans="1:21" x14ac:dyDescent="0.25">
      <c r="A691" s="648">
        <v>97711</v>
      </c>
      <c r="B691" s="649" t="s">
        <v>3226</v>
      </c>
      <c r="C691" s="650">
        <v>9.3789999999999998E-4</v>
      </c>
      <c r="D691" s="650">
        <v>9.6489999999999998E-4</v>
      </c>
      <c r="E691" s="651">
        <v>373399.85</v>
      </c>
      <c r="F691" s="651">
        <v>433041</v>
      </c>
      <c r="G691" s="651">
        <v>1990538</v>
      </c>
      <c r="H691" s="651"/>
      <c r="I691" s="652">
        <v>37399</v>
      </c>
      <c r="J691" s="652">
        <v>1744346</v>
      </c>
      <c r="K691" s="652">
        <v>136334</v>
      </c>
      <c r="L691" s="651">
        <v>18485</v>
      </c>
      <c r="M691" s="651"/>
      <c r="N691" s="652">
        <v>69751</v>
      </c>
      <c r="O691" s="652">
        <v>643829</v>
      </c>
      <c r="P691" s="652">
        <v>0</v>
      </c>
      <c r="Q691" s="651">
        <v>24399</v>
      </c>
      <c r="R691" s="651"/>
      <c r="S691" s="652">
        <v>532042</v>
      </c>
      <c r="T691" s="653">
        <v>2197</v>
      </c>
      <c r="U691" s="653">
        <v>534239</v>
      </c>
    </row>
    <row r="692" spans="1:21" x14ac:dyDescent="0.25">
      <c r="A692" s="648">
        <v>97713</v>
      </c>
      <c r="B692" s="649" t="s">
        <v>3227</v>
      </c>
      <c r="C692" s="650">
        <v>5.3699999999999997E-5</v>
      </c>
      <c r="D692" s="650">
        <v>5.5600000000000003E-5</v>
      </c>
      <c r="E692" s="651">
        <v>17632.46</v>
      </c>
      <c r="F692" s="651">
        <v>24953</v>
      </c>
      <c r="G692" s="651">
        <v>113969</v>
      </c>
      <c r="H692" s="651"/>
      <c r="I692" s="652">
        <v>2141</v>
      </c>
      <c r="J692" s="652">
        <v>99874</v>
      </c>
      <c r="K692" s="652">
        <v>7806</v>
      </c>
      <c r="L692" s="651">
        <v>1862.64</v>
      </c>
      <c r="M692" s="651"/>
      <c r="N692" s="652">
        <v>3994</v>
      </c>
      <c r="O692" s="652">
        <v>36863</v>
      </c>
      <c r="P692" s="652">
        <v>0</v>
      </c>
      <c r="Q692" s="651">
        <v>10607</v>
      </c>
      <c r="R692" s="651"/>
      <c r="S692" s="652">
        <v>30462</v>
      </c>
      <c r="T692" s="653">
        <v>-2389</v>
      </c>
      <c r="U692" s="653">
        <v>28073</v>
      </c>
    </row>
    <row r="693" spans="1:21" x14ac:dyDescent="0.25">
      <c r="A693" s="648">
        <v>97717</v>
      </c>
      <c r="B693" s="649" t="s">
        <v>3228</v>
      </c>
      <c r="C693" s="650">
        <v>7.5000000000000002E-6</v>
      </c>
      <c r="D693" s="650">
        <v>6.6000000000000003E-6</v>
      </c>
      <c r="E693" s="651">
        <v>4301.63</v>
      </c>
      <c r="F693" s="651">
        <v>2962</v>
      </c>
      <c r="G693" s="651">
        <v>15918</v>
      </c>
      <c r="H693" s="651"/>
      <c r="I693" s="652">
        <v>299.0625</v>
      </c>
      <c r="J693" s="652">
        <v>13949</v>
      </c>
      <c r="K693" s="652">
        <v>1090.2075</v>
      </c>
      <c r="L693" s="651">
        <v>1454</v>
      </c>
      <c r="M693" s="651"/>
      <c r="N693" s="652">
        <v>558</v>
      </c>
      <c r="O693" s="652">
        <v>5148</v>
      </c>
      <c r="P693" s="652">
        <v>0</v>
      </c>
      <c r="Q693" s="651">
        <v>3295</v>
      </c>
      <c r="R693" s="651"/>
      <c r="S693" s="652">
        <v>4255</v>
      </c>
      <c r="T693" s="653">
        <v>-1145</v>
      </c>
      <c r="U693" s="653">
        <v>3109</v>
      </c>
    </row>
    <row r="694" spans="1:21" x14ac:dyDescent="0.25">
      <c r="A694" s="648">
        <v>97721</v>
      </c>
      <c r="B694" s="649" t="s">
        <v>3229</v>
      </c>
      <c r="C694" s="650">
        <v>5.7249999999999998E-4</v>
      </c>
      <c r="D694" s="650">
        <v>5.2689999999999996E-4</v>
      </c>
      <c r="E694" s="651">
        <v>224528</v>
      </c>
      <c r="F694" s="651">
        <v>236470</v>
      </c>
      <c r="G694" s="651">
        <v>1215037</v>
      </c>
      <c r="H694" s="651"/>
      <c r="I694" s="652">
        <v>22828.4375</v>
      </c>
      <c r="J694" s="652">
        <v>1064760</v>
      </c>
      <c r="K694" s="652">
        <v>83219</v>
      </c>
      <c r="L694" s="651">
        <v>19505</v>
      </c>
      <c r="M694" s="651"/>
      <c r="N694" s="652">
        <v>42576</v>
      </c>
      <c r="O694" s="652">
        <v>392997</v>
      </c>
      <c r="P694" s="652">
        <v>0</v>
      </c>
      <c r="Q694" s="651">
        <v>36721</v>
      </c>
      <c r="R694" s="651"/>
      <c r="S694" s="652">
        <v>324762</v>
      </c>
      <c r="T694" s="653">
        <v>-7125</v>
      </c>
      <c r="U694" s="653">
        <v>317637</v>
      </c>
    </row>
    <row r="695" spans="1:21" x14ac:dyDescent="0.25">
      <c r="A695" s="648">
        <v>97727</v>
      </c>
      <c r="B695" s="649" t="s">
        <v>3230</v>
      </c>
      <c r="C695" s="650">
        <v>2.37E-5</v>
      </c>
      <c r="D695" s="650">
        <v>2.5299999999999998E-5</v>
      </c>
      <c r="E695" s="651">
        <v>9369</v>
      </c>
      <c r="F695" s="651">
        <v>11354</v>
      </c>
      <c r="G695" s="651">
        <v>50299</v>
      </c>
      <c r="H695" s="651"/>
      <c r="I695" s="652">
        <v>945.03750000000002</v>
      </c>
      <c r="J695" s="652">
        <v>44078</v>
      </c>
      <c r="K695" s="652">
        <v>3445</v>
      </c>
      <c r="L695" s="651">
        <v>0</v>
      </c>
      <c r="M695" s="651"/>
      <c r="N695" s="652">
        <v>1763</v>
      </c>
      <c r="O695" s="652">
        <v>16269</v>
      </c>
      <c r="P695" s="652">
        <v>0</v>
      </c>
      <c r="Q695" s="651">
        <v>3253</v>
      </c>
      <c r="R695" s="651"/>
      <c r="S695" s="652">
        <v>13444</v>
      </c>
      <c r="T695" s="653">
        <v>-1207</v>
      </c>
      <c r="U695" s="653">
        <v>12237</v>
      </c>
    </row>
    <row r="696" spans="1:21" x14ac:dyDescent="0.25">
      <c r="A696" s="648">
        <v>97731</v>
      </c>
      <c r="B696" s="649" t="s">
        <v>3231</v>
      </c>
      <c r="C696" s="650">
        <v>3.7100000000000001E-5</v>
      </c>
      <c r="D696" s="650">
        <v>3.3599999999999997E-5</v>
      </c>
      <c r="E696" s="651">
        <v>17225.91</v>
      </c>
      <c r="F696" s="651">
        <v>15079</v>
      </c>
      <c r="G696" s="651">
        <v>78739</v>
      </c>
      <c r="H696" s="651"/>
      <c r="I696" s="652">
        <v>1479</v>
      </c>
      <c r="J696" s="652">
        <v>69000</v>
      </c>
      <c r="K696" s="652">
        <v>5393</v>
      </c>
      <c r="L696" s="651">
        <v>8501</v>
      </c>
      <c r="M696" s="651"/>
      <c r="N696" s="652">
        <v>2759</v>
      </c>
      <c r="O696" s="652">
        <v>25468</v>
      </c>
      <c r="P696" s="652">
        <v>0</v>
      </c>
      <c r="Q696" s="651">
        <v>0</v>
      </c>
      <c r="R696" s="651"/>
      <c r="S696" s="652">
        <v>21046</v>
      </c>
      <c r="T696" s="653">
        <v>2797</v>
      </c>
      <c r="U696" s="653">
        <v>23843</v>
      </c>
    </row>
    <row r="697" spans="1:21" x14ac:dyDescent="0.25">
      <c r="A697" s="648">
        <v>97801</v>
      </c>
      <c r="B697" s="649" t="s">
        <v>3232</v>
      </c>
      <c r="C697" s="650">
        <v>7.3343000000000002E-3</v>
      </c>
      <c r="D697" s="650">
        <v>7.4117999999999996E-3</v>
      </c>
      <c r="E697" s="651">
        <v>2930302</v>
      </c>
      <c r="F697" s="651">
        <v>3326371</v>
      </c>
      <c r="G697" s="651">
        <v>15565842</v>
      </c>
      <c r="H697" s="651"/>
      <c r="I697" s="652">
        <v>292455</v>
      </c>
      <c r="J697" s="652">
        <v>13640639</v>
      </c>
      <c r="K697" s="652">
        <v>1066121</v>
      </c>
      <c r="L697" s="651">
        <v>55808</v>
      </c>
      <c r="M697" s="651"/>
      <c r="N697" s="652">
        <v>545445</v>
      </c>
      <c r="O697" s="652">
        <v>5034689</v>
      </c>
      <c r="P697" s="652">
        <v>0</v>
      </c>
      <c r="Q697" s="651">
        <v>191858</v>
      </c>
      <c r="R697" s="651"/>
      <c r="S697" s="652">
        <v>4160521</v>
      </c>
      <c r="T697" s="653">
        <v>-29463</v>
      </c>
      <c r="U697" s="653">
        <v>4131058</v>
      </c>
    </row>
    <row r="698" spans="1:21" x14ac:dyDescent="0.25">
      <c r="A698" s="648">
        <v>97802</v>
      </c>
      <c r="B698" s="649" t="s">
        <v>3233</v>
      </c>
      <c r="C698" s="650">
        <v>1.8120000000000001E-4</v>
      </c>
      <c r="D698" s="650">
        <v>1.8599999999999999E-4</v>
      </c>
      <c r="E698" s="651">
        <v>74111</v>
      </c>
      <c r="F698" s="651">
        <v>83476</v>
      </c>
      <c r="G698" s="651">
        <v>384567</v>
      </c>
      <c r="H698" s="651"/>
      <c r="I698" s="652">
        <v>7225.35</v>
      </c>
      <c r="J698" s="652">
        <v>337003</v>
      </c>
      <c r="K698" s="652">
        <v>26339</v>
      </c>
      <c r="L698" s="651">
        <v>19490</v>
      </c>
      <c r="M698" s="651"/>
      <c r="N698" s="652">
        <v>13476</v>
      </c>
      <c r="O698" s="652">
        <v>124386</v>
      </c>
      <c r="P698" s="652">
        <v>0</v>
      </c>
      <c r="Q698" s="651">
        <v>22046</v>
      </c>
      <c r="R698" s="651"/>
      <c r="S698" s="652">
        <v>102789</v>
      </c>
      <c r="T698" s="653">
        <v>2255</v>
      </c>
      <c r="U698" s="653">
        <v>105045</v>
      </c>
    </row>
    <row r="699" spans="1:21" x14ac:dyDescent="0.25">
      <c r="A699" s="648">
        <v>97803</v>
      </c>
      <c r="B699" s="649" t="s">
        <v>3234</v>
      </c>
      <c r="C699" s="650">
        <v>7.9099999999999998E-5</v>
      </c>
      <c r="D699" s="650">
        <v>7.6600000000000005E-5</v>
      </c>
      <c r="E699" s="651">
        <v>33622</v>
      </c>
      <c r="F699" s="651">
        <v>34378</v>
      </c>
      <c r="G699" s="651">
        <v>167877</v>
      </c>
      <c r="H699" s="651"/>
      <c r="I699" s="652">
        <v>3154</v>
      </c>
      <c r="J699" s="652">
        <v>147114</v>
      </c>
      <c r="K699" s="652">
        <v>11498</v>
      </c>
      <c r="L699" s="651">
        <v>9364</v>
      </c>
      <c r="M699" s="651"/>
      <c r="N699" s="652">
        <v>5883</v>
      </c>
      <c r="O699" s="652">
        <v>54299</v>
      </c>
      <c r="P699" s="652">
        <v>0</v>
      </c>
      <c r="Q699" s="651">
        <v>2358</v>
      </c>
      <c r="R699" s="651"/>
      <c r="S699" s="652">
        <v>44871</v>
      </c>
      <c r="T699" s="653">
        <v>3329</v>
      </c>
      <c r="U699" s="653">
        <v>48200</v>
      </c>
    </row>
    <row r="700" spans="1:21" x14ac:dyDescent="0.25">
      <c r="A700" s="648">
        <v>97805</v>
      </c>
      <c r="B700" s="649" t="s">
        <v>3235</v>
      </c>
      <c r="C700" s="650">
        <v>8.2600000000000002E-5</v>
      </c>
      <c r="D700" s="650">
        <v>6.7700000000000006E-5</v>
      </c>
      <c r="E700" s="651">
        <v>34033</v>
      </c>
      <c r="F700" s="651">
        <v>30383</v>
      </c>
      <c r="G700" s="651">
        <v>175305</v>
      </c>
      <c r="H700" s="651"/>
      <c r="I700" s="652">
        <v>3294</v>
      </c>
      <c r="J700" s="652">
        <v>153623</v>
      </c>
      <c r="K700" s="652">
        <v>12007</v>
      </c>
      <c r="L700" s="651">
        <v>13426</v>
      </c>
      <c r="M700" s="651"/>
      <c r="N700" s="652">
        <v>6143</v>
      </c>
      <c r="O700" s="652">
        <v>56701</v>
      </c>
      <c r="P700" s="652">
        <v>0</v>
      </c>
      <c r="Q700" s="651">
        <v>453.72</v>
      </c>
      <c r="R700" s="651"/>
      <c r="S700" s="652">
        <v>46856</v>
      </c>
      <c r="T700" s="653">
        <v>3757</v>
      </c>
      <c r="U700" s="653">
        <v>50613</v>
      </c>
    </row>
    <row r="701" spans="1:21" x14ac:dyDescent="0.25">
      <c r="A701" s="648">
        <v>97811</v>
      </c>
      <c r="B701" s="649" t="s">
        <v>3236</v>
      </c>
      <c r="C701" s="650">
        <v>2.4088E-3</v>
      </c>
      <c r="D701" s="650">
        <v>2.5788E-3</v>
      </c>
      <c r="E701" s="651">
        <v>950193</v>
      </c>
      <c r="F701" s="651">
        <v>1157350</v>
      </c>
      <c r="G701" s="651">
        <v>5112281</v>
      </c>
      <c r="H701" s="651"/>
      <c r="I701" s="652">
        <v>96050.9</v>
      </c>
      <c r="J701" s="652">
        <v>4479987</v>
      </c>
      <c r="K701" s="652">
        <v>350146</v>
      </c>
      <c r="L701" s="651">
        <v>0</v>
      </c>
      <c r="M701" s="651"/>
      <c r="N701" s="652">
        <v>179140</v>
      </c>
      <c r="O701" s="652">
        <v>1653540</v>
      </c>
      <c r="P701" s="652">
        <v>0</v>
      </c>
      <c r="Q701" s="651">
        <v>235946</v>
      </c>
      <c r="R701" s="651"/>
      <c r="S701" s="652">
        <v>1366438</v>
      </c>
      <c r="T701" s="653">
        <v>-72994</v>
      </c>
      <c r="U701" s="653">
        <v>1293444</v>
      </c>
    </row>
    <row r="702" spans="1:21" x14ac:dyDescent="0.25">
      <c r="A702" s="648">
        <v>97817</v>
      </c>
      <c r="B702" s="649" t="s">
        <v>3237</v>
      </c>
      <c r="C702" s="650">
        <v>3.9999999999999998E-6</v>
      </c>
      <c r="D702" s="650">
        <v>7.0999999999999998E-6</v>
      </c>
      <c r="E702" s="651">
        <v>7287</v>
      </c>
      <c r="F702" s="651">
        <v>3186</v>
      </c>
      <c r="G702" s="651">
        <v>8489.34</v>
      </c>
      <c r="H702" s="651"/>
      <c r="I702" s="652">
        <v>159.5</v>
      </c>
      <c r="J702" s="652">
        <v>7439</v>
      </c>
      <c r="K702" s="652">
        <v>581</v>
      </c>
      <c r="L702" s="651">
        <v>4157</v>
      </c>
      <c r="M702" s="651"/>
      <c r="N702" s="652">
        <v>297</v>
      </c>
      <c r="O702" s="652">
        <v>2746</v>
      </c>
      <c r="P702" s="652">
        <v>0</v>
      </c>
      <c r="Q702" s="651">
        <v>3747</v>
      </c>
      <c r="R702" s="651"/>
      <c r="S702" s="652">
        <v>2269</v>
      </c>
      <c r="T702" s="653">
        <v>78</v>
      </c>
      <c r="U702" s="653">
        <v>2347</v>
      </c>
    </row>
    <row r="703" spans="1:21" x14ac:dyDescent="0.25">
      <c r="A703" s="648">
        <v>97818</v>
      </c>
      <c r="B703" s="649" t="s">
        <v>3238</v>
      </c>
      <c r="C703" s="650">
        <v>2.12E-5</v>
      </c>
      <c r="D703" s="650">
        <v>8.3999999999999992E-6</v>
      </c>
      <c r="E703" s="651">
        <v>8690</v>
      </c>
      <c r="F703" s="651">
        <v>3770</v>
      </c>
      <c r="G703" s="651">
        <v>44994</v>
      </c>
      <c r="H703" s="651"/>
      <c r="I703" s="652">
        <v>845.35</v>
      </c>
      <c r="J703" s="652">
        <v>39429</v>
      </c>
      <c r="K703" s="652">
        <v>3082</v>
      </c>
      <c r="L703" s="651">
        <v>8112</v>
      </c>
      <c r="M703" s="651"/>
      <c r="N703" s="652">
        <v>1577</v>
      </c>
      <c r="O703" s="652">
        <v>14553</v>
      </c>
      <c r="P703" s="652">
        <v>0</v>
      </c>
      <c r="Q703" s="651">
        <v>4294.42</v>
      </c>
      <c r="R703" s="651"/>
      <c r="S703" s="652">
        <v>12026</v>
      </c>
      <c r="T703" s="653">
        <v>58</v>
      </c>
      <c r="U703" s="653">
        <v>12084</v>
      </c>
    </row>
    <row r="704" spans="1:21" x14ac:dyDescent="0.25">
      <c r="A704" s="648">
        <v>97821</v>
      </c>
      <c r="B704" s="649" t="s">
        <v>3239</v>
      </c>
      <c r="C704" s="650">
        <v>1.1620000000000001E-4</v>
      </c>
      <c r="D704" s="650">
        <v>1.3329999999999999E-4</v>
      </c>
      <c r="E704" s="651">
        <v>52013.57</v>
      </c>
      <c r="F704" s="651">
        <v>59824</v>
      </c>
      <c r="G704" s="651">
        <v>246615</v>
      </c>
      <c r="H704" s="651"/>
      <c r="I704" s="652">
        <v>4633</v>
      </c>
      <c r="J704" s="652">
        <v>216114</v>
      </c>
      <c r="K704" s="652">
        <v>16891</v>
      </c>
      <c r="L704" s="651">
        <v>0</v>
      </c>
      <c r="M704" s="651"/>
      <c r="N704" s="652">
        <v>8642</v>
      </c>
      <c r="O704" s="652">
        <v>79766</v>
      </c>
      <c r="P704" s="652">
        <v>0</v>
      </c>
      <c r="Q704" s="651">
        <v>26909</v>
      </c>
      <c r="R704" s="651"/>
      <c r="S704" s="652">
        <v>65917</v>
      </c>
      <c r="T704" s="653">
        <v>-10681</v>
      </c>
      <c r="U704" s="653">
        <v>55236</v>
      </c>
    </row>
    <row r="705" spans="1:21" x14ac:dyDescent="0.25">
      <c r="A705" s="648">
        <v>97823</v>
      </c>
      <c r="B705" s="649" t="s">
        <v>3240</v>
      </c>
      <c r="C705" s="650">
        <v>2.4600000000000002E-5</v>
      </c>
      <c r="D705" s="650">
        <v>2.58E-5</v>
      </c>
      <c r="E705" s="651">
        <v>11852</v>
      </c>
      <c r="F705" s="651">
        <v>11579</v>
      </c>
      <c r="G705" s="651">
        <v>52209</v>
      </c>
      <c r="H705" s="651"/>
      <c r="I705" s="652">
        <v>981</v>
      </c>
      <c r="J705" s="652">
        <v>45752</v>
      </c>
      <c r="K705" s="652">
        <v>3576</v>
      </c>
      <c r="L705" s="651">
        <v>926</v>
      </c>
      <c r="M705" s="651"/>
      <c r="N705" s="652">
        <v>1829</v>
      </c>
      <c r="O705" s="652">
        <v>16887</v>
      </c>
      <c r="P705" s="652">
        <v>0</v>
      </c>
      <c r="Q705" s="651">
        <v>1188</v>
      </c>
      <c r="R705" s="651"/>
      <c r="S705" s="652">
        <v>13955</v>
      </c>
      <c r="T705" s="653">
        <v>-338</v>
      </c>
      <c r="U705" s="653">
        <v>13616</v>
      </c>
    </row>
    <row r="706" spans="1:21" x14ac:dyDescent="0.25">
      <c r="A706" s="648">
        <v>97831</v>
      </c>
      <c r="B706" s="649" t="s">
        <v>3241</v>
      </c>
      <c r="C706" s="650">
        <v>1.482E-4</v>
      </c>
      <c r="D706" s="650">
        <v>1.5860000000000001E-4</v>
      </c>
      <c r="E706" s="651">
        <v>66463</v>
      </c>
      <c r="F706" s="651">
        <v>71179</v>
      </c>
      <c r="G706" s="651">
        <v>314530</v>
      </c>
      <c r="H706" s="651"/>
      <c r="I706" s="652">
        <v>5909</v>
      </c>
      <c r="J706" s="652">
        <v>275629</v>
      </c>
      <c r="K706" s="652">
        <v>21543</v>
      </c>
      <c r="L706" s="651">
        <v>0</v>
      </c>
      <c r="M706" s="651"/>
      <c r="N706" s="652">
        <v>11021</v>
      </c>
      <c r="O706" s="652">
        <v>101733</v>
      </c>
      <c r="P706" s="652">
        <v>0</v>
      </c>
      <c r="Q706" s="651">
        <v>14308</v>
      </c>
      <c r="R706" s="651"/>
      <c r="S706" s="652">
        <v>84069</v>
      </c>
      <c r="T706" s="653">
        <v>-5891</v>
      </c>
      <c r="U706" s="653">
        <v>78179</v>
      </c>
    </row>
    <row r="707" spans="1:21" x14ac:dyDescent="0.25">
      <c r="A707" s="648">
        <v>97837</v>
      </c>
      <c r="B707" s="649" t="s">
        <v>3242</v>
      </c>
      <c r="C707" s="650">
        <v>8.8000000000000004E-6</v>
      </c>
      <c r="D707" s="650">
        <v>1.3699999999999999E-5</v>
      </c>
      <c r="E707" s="651">
        <v>6597.01</v>
      </c>
      <c r="F707" s="651">
        <v>6148</v>
      </c>
      <c r="G707" s="651">
        <v>18677</v>
      </c>
      <c r="H707" s="651"/>
      <c r="I707" s="652">
        <v>351</v>
      </c>
      <c r="J707" s="652">
        <v>16367</v>
      </c>
      <c r="K707" s="652">
        <v>1279</v>
      </c>
      <c r="L707" s="651">
        <v>2093</v>
      </c>
      <c r="M707" s="651"/>
      <c r="N707" s="652">
        <v>654</v>
      </c>
      <c r="O707" s="652">
        <v>6041</v>
      </c>
      <c r="P707" s="652">
        <v>0</v>
      </c>
      <c r="Q707" s="651">
        <v>289</v>
      </c>
      <c r="R707" s="651"/>
      <c r="S707" s="652">
        <v>4992</v>
      </c>
      <c r="T707" s="653">
        <v>751</v>
      </c>
      <c r="U707" s="653">
        <v>5743</v>
      </c>
    </row>
    <row r="708" spans="1:21" x14ac:dyDescent="0.25">
      <c r="A708" s="648">
        <v>97840</v>
      </c>
      <c r="B708" s="649" t="s">
        <v>3243</v>
      </c>
      <c r="C708" s="650">
        <v>1.403E-4</v>
      </c>
      <c r="D708" s="650">
        <v>1.4799999999999999E-4</v>
      </c>
      <c r="E708" s="651">
        <v>98734.69</v>
      </c>
      <c r="F708" s="651">
        <v>66422</v>
      </c>
      <c r="G708" s="651">
        <v>297764</v>
      </c>
      <c r="H708" s="651"/>
      <c r="I708" s="652">
        <v>5594</v>
      </c>
      <c r="J708" s="652">
        <v>260936</v>
      </c>
      <c r="K708" s="652">
        <v>20394</v>
      </c>
      <c r="L708" s="651">
        <v>64083</v>
      </c>
      <c r="M708" s="651"/>
      <c r="N708" s="652">
        <v>10434</v>
      </c>
      <c r="O708" s="652">
        <v>96310</v>
      </c>
      <c r="P708" s="652">
        <v>0</v>
      </c>
      <c r="Q708" s="651">
        <v>1938</v>
      </c>
      <c r="R708" s="651"/>
      <c r="S708" s="652">
        <v>79588</v>
      </c>
      <c r="T708" s="653">
        <v>19035</v>
      </c>
      <c r="U708" s="653">
        <v>98623</v>
      </c>
    </row>
    <row r="709" spans="1:21" x14ac:dyDescent="0.25">
      <c r="A709" s="648">
        <v>97841</v>
      </c>
      <c r="B709" s="649" t="s">
        <v>3244</v>
      </c>
      <c r="C709" s="650">
        <v>1.45E-5</v>
      </c>
      <c r="D709" s="650">
        <v>1.5699999999999999E-5</v>
      </c>
      <c r="E709" s="651">
        <v>6090.83</v>
      </c>
      <c r="F709" s="651">
        <v>7046</v>
      </c>
      <c r="G709" s="651">
        <v>30774</v>
      </c>
      <c r="H709" s="651"/>
      <c r="I709" s="652">
        <v>578.1875</v>
      </c>
      <c r="J709" s="652">
        <v>26968</v>
      </c>
      <c r="K709" s="652">
        <v>2108</v>
      </c>
      <c r="L709" s="651">
        <v>636</v>
      </c>
      <c r="M709" s="651"/>
      <c r="N709" s="652">
        <v>1078</v>
      </c>
      <c r="O709" s="652">
        <v>9954</v>
      </c>
      <c r="P709" s="652">
        <v>0</v>
      </c>
      <c r="Q709" s="651">
        <v>8091</v>
      </c>
      <c r="R709" s="651"/>
      <c r="S709" s="652">
        <v>8225</v>
      </c>
      <c r="T709" s="653">
        <v>-3707</v>
      </c>
      <c r="U709" s="653">
        <v>4519</v>
      </c>
    </row>
    <row r="710" spans="1:21" x14ac:dyDescent="0.25">
      <c r="A710" s="648">
        <v>97847</v>
      </c>
      <c r="B710" s="649" t="s">
        <v>3245</v>
      </c>
      <c r="C710" s="650">
        <v>2.2000000000000001E-6</v>
      </c>
      <c r="D710" s="650">
        <v>2.7E-6</v>
      </c>
      <c r="E710" s="651">
        <v>1834</v>
      </c>
      <c r="F710" s="651">
        <v>1212</v>
      </c>
      <c r="G710" s="651">
        <v>4669</v>
      </c>
      <c r="H710" s="651"/>
      <c r="I710" s="652">
        <v>88</v>
      </c>
      <c r="J710" s="652">
        <v>4092</v>
      </c>
      <c r="K710" s="652">
        <v>320</v>
      </c>
      <c r="L710" s="651">
        <v>650</v>
      </c>
      <c r="M710" s="651"/>
      <c r="N710" s="652">
        <v>164</v>
      </c>
      <c r="O710" s="652">
        <v>1510</v>
      </c>
      <c r="P710" s="652">
        <v>0</v>
      </c>
      <c r="Q710" s="651">
        <v>145</v>
      </c>
      <c r="R710" s="651"/>
      <c r="S710" s="652">
        <v>1248</v>
      </c>
      <c r="T710" s="653">
        <v>113</v>
      </c>
      <c r="U710" s="653">
        <v>1361</v>
      </c>
    </row>
    <row r="711" spans="1:21" x14ac:dyDescent="0.25">
      <c r="A711" s="648">
        <v>97851</v>
      </c>
      <c r="B711" s="649" t="s">
        <v>3246</v>
      </c>
      <c r="C711" s="650">
        <v>2.7460000000000001E-4</v>
      </c>
      <c r="D711" s="650">
        <v>2.7E-4</v>
      </c>
      <c r="E711" s="651">
        <v>101247</v>
      </c>
      <c r="F711" s="651">
        <v>121174.38</v>
      </c>
      <c r="G711" s="651">
        <v>582793</v>
      </c>
      <c r="H711" s="651"/>
      <c r="I711" s="652">
        <v>10950</v>
      </c>
      <c r="J711" s="652">
        <v>510713</v>
      </c>
      <c r="K711" s="652">
        <v>39916</v>
      </c>
      <c r="L711" s="651">
        <v>2911</v>
      </c>
      <c r="M711" s="651"/>
      <c r="N711" s="652">
        <v>20422</v>
      </c>
      <c r="O711" s="652">
        <v>188501</v>
      </c>
      <c r="P711" s="652">
        <v>0</v>
      </c>
      <c r="Q711" s="651">
        <v>8317</v>
      </c>
      <c r="R711" s="651"/>
      <c r="S711" s="652">
        <v>155772</v>
      </c>
      <c r="T711" s="653">
        <v>-838</v>
      </c>
      <c r="U711" s="653">
        <v>154934</v>
      </c>
    </row>
    <row r="712" spans="1:21" x14ac:dyDescent="0.25">
      <c r="A712" s="648">
        <v>97853</v>
      </c>
      <c r="B712" s="649" t="s">
        <v>3247</v>
      </c>
      <c r="C712" s="650">
        <v>9.1600000000000004E-5</v>
      </c>
      <c r="D712" s="650">
        <v>1.114E-4</v>
      </c>
      <c r="E712" s="651">
        <v>34607</v>
      </c>
      <c r="F712" s="651">
        <v>49996</v>
      </c>
      <c r="G712" s="651">
        <v>194406</v>
      </c>
      <c r="H712" s="651"/>
      <c r="I712" s="652">
        <v>3652.55</v>
      </c>
      <c r="J712" s="652">
        <v>170362</v>
      </c>
      <c r="K712" s="652">
        <v>13315</v>
      </c>
      <c r="L712" s="651">
        <v>6323</v>
      </c>
      <c r="M712" s="651"/>
      <c r="N712" s="652">
        <v>6812</v>
      </c>
      <c r="O712" s="652">
        <v>62880</v>
      </c>
      <c r="P712" s="652">
        <v>0</v>
      </c>
      <c r="Q712" s="651">
        <v>13159</v>
      </c>
      <c r="R712" s="651"/>
      <c r="S712" s="652">
        <v>51962</v>
      </c>
      <c r="T712" s="653">
        <v>-826</v>
      </c>
      <c r="U712" s="653">
        <v>51136</v>
      </c>
    </row>
    <row r="713" spans="1:21" x14ac:dyDescent="0.25">
      <c r="A713" s="648">
        <v>97861</v>
      </c>
      <c r="B713" s="649" t="s">
        <v>3248</v>
      </c>
      <c r="C713" s="650">
        <v>6.8499999999999998E-5</v>
      </c>
      <c r="D713" s="650">
        <v>6.6799999999999997E-5</v>
      </c>
      <c r="E713" s="651">
        <v>25466</v>
      </c>
      <c r="F713" s="651">
        <v>29979</v>
      </c>
      <c r="G713" s="651">
        <v>145380</v>
      </c>
      <c r="H713" s="651"/>
      <c r="I713" s="652">
        <v>2731.4375</v>
      </c>
      <c r="J713" s="652">
        <v>127399</v>
      </c>
      <c r="K713" s="652">
        <v>9957</v>
      </c>
      <c r="L713" s="651">
        <v>2745</v>
      </c>
      <c r="M713" s="651"/>
      <c r="N713" s="652">
        <v>5094</v>
      </c>
      <c r="O713" s="652">
        <v>47022</v>
      </c>
      <c r="P713" s="652">
        <v>0</v>
      </c>
      <c r="Q713" s="651">
        <v>8154</v>
      </c>
      <c r="R713" s="651"/>
      <c r="S713" s="652">
        <v>38858</v>
      </c>
      <c r="T713" s="653">
        <v>-2826</v>
      </c>
      <c r="U713" s="653">
        <v>36032</v>
      </c>
    </row>
    <row r="714" spans="1:21" x14ac:dyDescent="0.25">
      <c r="A714" s="648">
        <v>97871</v>
      </c>
      <c r="B714" s="649" t="s">
        <v>3249</v>
      </c>
      <c r="C714" s="650">
        <v>3.1500000000000001E-4</v>
      </c>
      <c r="D714" s="650">
        <v>3.1530000000000002E-4</v>
      </c>
      <c r="E714" s="651">
        <v>247766</v>
      </c>
      <c r="F714" s="651">
        <v>141505</v>
      </c>
      <c r="G714" s="651">
        <v>668536</v>
      </c>
      <c r="H714" s="651"/>
      <c r="I714" s="652">
        <v>12560.625</v>
      </c>
      <c r="J714" s="652">
        <v>585850.23</v>
      </c>
      <c r="K714" s="652">
        <v>45789</v>
      </c>
      <c r="L714" s="651">
        <v>173467</v>
      </c>
      <c r="M714" s="651"/>
      <c r="N714" s="652">
        <v>23426</v>
      </c>
      <c r="O714" s="652">
        <v>216234</v>
      </c>
      <c r="P714" s="652">
        <v>0</v>
      </c>
      <c r="Q714" s="651">
        <v>0</v>
      </c>
      <c r="R714" s="651"/>
      <c r="S714" s="652">
        <v>178690</v>
      </c>
      <c r="T714" s="653">
        <v>54798</v>
      </c>
      <c r="U714" s="653">
        <v>233488</v>
      </c>
    </row>
    <row r="715" spans="1:21" x14ac:dyDescent="0.25">
      <c r="A715" s="648">
        <v>97877</v>
      </c>
      <c r="B715" s="649" t="s">
        <v>3250</v>
      </c>
      <c r="C715" s="650">
        <v>2.2000000000000001E-6</v>
      </c>
      <c r="D715" s="650">
        <v>2.6000000000000001E-6</v>
      </c>
      <c r="E715" s="651">
        <v>1917</v>
      </c>
      <c r="F715" s="651">
        <v>1167</v>
      </c>
      <c r="G715" s="651">
        <v>4669</v>
      </c>
      <c r="H715" s="651"/>
      <c r="I715" s="652">
        <v>88</v>
      </c>
      <c r="J715" s="652">
        <v>4092</v>
      </c>
      <c r="K715" s="652">
        <v>320</v>
      </c>
      <c r="L715" s="651">
        <v>1306</v>
      </c>
      <c r="M715" s="651"/>
      <c r="N715" s="652">
        <v>164</v>
      </c>
      <c r="O715" s="652">
        <v>1510</v>
      </c>
      <c r="P715" s="652">
        <v>0</v>
      </c>
      <c r="Q715" s="651">
        <v>0</v>
      </c>
      <c r="R715" s="651"/>
      <c r="S715" s="652">
        <v>1248</v>
      </c>
      <c r="T715" s="653">
        <v>452</v>
      </c>
      <c r="U715" s="653">
        <v>1700</v>
      </c>
    </row>
    <row r="716" spans="1:21" x14ac:dyDescent="0.25">
      <c r="A716" s="648">
        <v>97901</v>
      </c>
      <c r="B716" s="649" t="s">
        <v>3251</v>
      </c>
      <c r="C716" s="650">
        <v>4.3616999999999996E-3</v>
      </c>
      <c r="D716" s="650">
        <v>4.2928000000000003E-3</v>
      </c>
      <c r="E716" s="651">
        <v>1721465.11</v>
      </c>
      <c r="F716" s="651">
        <v>1926583</v>
      </c>
      <c r="G716" s="651">
        <v>9256989</v>
      </c>
      <c r="H716" s="651"/>
      <c r="I716" s="652">
        <v>173923</v>
      </c>
      <c r="J716" s="652">
        <v>8112073</v>
      </c>
      <c r="K716" s="652">
        <v>634021</v>
      </c>
      <c r="L716" s="651">
        <v>76379</v>
      </c>
      <c r="M716" s="651"/>
      <c r="N716" s="652">
        <v>324375</v>
      </c>
      <c r="O716" s="652">
        <v>2994124</v>
      </c>
      <c r="P716" s="652">
        <v>0</v>
      </c>
      <c r="Q716" s="651">
        <v>20062</v>
      </c>
      <c r="R716" s="651"/>
      <c r="S716" s="652">
        <v>2474257</v>
      </c>
      <c r="T716" s="653">
        <v>24654</v>
      </c>
      <c r="U716" s="653">
        <v>2498911</v>
      </c>
    </row>
    <row r="717" spans="1:21" x14ac:dyDescent="0.25">
      <c r="A717" s="648">
        <v>97911</v>
      </c>
      <c r="B717" s="649" t="s">
        <v>3252</v>
      </c>
      <c r="C717" s="650">
        <v>1.3190000000000001E-3</v>
      </c>
      <c r="D717" s="650">
        <v>1.4008E-3</v>
      </c>
      <c r="E717" s="651">
        <v>549902</v>
      </c>
      <c r="F717" s="651">
        <v>628671</v>
      </c>
      <c r="G717" s="651">
        <v>2799360</v>
      </c>
      <c r="H717" s="651"/>
      <c r="I717" s="652">
        <v>52595.125</v>
      </c>
      <c r="J717" s="652">
        <v>2453132</v>
      </c>
      <c r="K717" s="652">
        <v>191731</v>
      </c>
      <c r="L717" s="651">
        <v>50935</v>
      </c>
      <c r="M717" s="651"/>
      <c r="N717" s="652">
        <v>98093</v>
      </c>
      <c r="O717" s="652">
        <v>905438</v>
      </c>
      <c r="P717" s="652">
        <v>0</v>
      </c>
      <c r="Q717" s="651">
        <v>38377</v>
      </c>
      <c r="R717" s="651"/>
      <c r="S717" s="652">
        <v>748228</v>
      </c>
      <c r="T717" s="653">
        <v>10404</v>
      </c>
      <c r="U717" s="653">
        <v>758632</v>
      </c>
    </row>
    <row r="718" spans="1:21" x14ac:dyDescent="0.25">
      <c r="A718" s="648">
        <v>97913</v>
      </c>
      <c r="B718" s="649" t="s">
        <v>3253</v>
      </c>
      <c r="C718" s="650">
        <v>3.7400000000000001E-5</v>
      </c>
      <c r="D718" s="650">
        <v>3.7700000000000002E-5</v>
      </c>
      <c r="E718" s="651">
        <v>23994.67</v>
      </c>
      <c r="F718" s="651">
        <v>16920</v>
      </c>
      <c r="G718" s="651">
        <v>79375</v>
      </c>
      <c r="H718" s="651"/>
      <c r="I718" s="652">
        <v>1491.325</v>
      </c>
      <c r="J718" s="652">
        <v>69558</v>
      </c>
      <c r="K718" s="652">
        <v>5437</v>
      </c>
      <c r="L718" s="651">
        <v>11163</v>
      </c>
      <c r="M718" s="651"/>
      <c r="N718" s="652">
        <v>2781</v>
      </c>
      <c r="O718" s="652">
        <v>25674</v>
      </c>
      <c r="P718" s="652">
        <v>0</v>
      </c>
      <c r="Q718" s="651">
        <v>0</v>
      </c>
      <c r="R718" s="651"/>
      <c r="S718" s="652">
        <v>21216</v>
      </c>
      <c r="T718" s="653">
        <v>3404</v>
      </c>
      <c r="U718" s="653">
        <v>24620</v>
      </c>
    </row>
    <row r="719" spans="1:21" x14ac:dyDescent="0.25">
      <c r="A719" s="648">
        <v>97917</v>
      </c>
      <c r="B719" s="649" t="s">
        <v>3254</v>
      </c>
      <c r="C719" s="650">
        <v>1.98E-5</v>
      </c>
      <c r="D719" s="650">
        <v>2.0599999999999999E-5</v>
      </c>
      <c r="E719" s="651">
        <v>11950</v>
      </c>
      <c r="F719" s="651">
        <v>9245</v>
      </c>
      <c r="G719" s="651">
        <v>42022</v>
      </c>
      <c r="H719" s="651"/>
      <c r="I719" s="652">
        <v>789.52499999999998</v>
      </c>
      <c r="J719" s="652">
        <v>36825</v>
      </c>
      <c r="K719" s="652">
        <v>2878</v>
      </c>
      <c r="L719" s="651">
        <v>6195</v>
      </c>
      <c r="M719" s="651"/>
      <c r="N719" s="652">
        <v>1473</v>
      </c>
      <c r="O719" s="652">
        <v>13592</v>
      </c>
      <c r="P719" s="652">
        <v>0</v>
      </c>
      <c r="Q719" s="651">
        <v>0</v>
      </c>
      <c r="R719" s="651"/>
      <c r="S719" s="652">
        <v>11232</v>
      </c>
      <c r="T719" s="653">
        <v>2211</v>
      </c>
      <c r="U719" s="653">
        <v>13443</v>
      </c>
    </row>
    <row r="720" spans="1:21" x14ac:dyDescent="0.25">
      <c r="A720" s="648">
        <v>97921</v>
      </c>
      <c r="B720" s="649" t="s">
        <v>3255</v>
      </c>
      <c r="C720" s="650">
        <v>2.2169999999999999E-4</v>
      </c>
      <c r="D720" s="650">
        <v>2.3599999999999999E-4</v>
      </c>
      <c r="E720" s="651">
        <v>93980.13</v>
      </c>
      <c r="F720" s="651">
        <v>105915</v>
      </c>
      <c r="G720" s="651">
        <v>470522</v>
      </c>
      <c r="H720" s="651"/>
      <c r="I720" s="652">
        <v>8840</v>
      </c>
      <c r="J720" s="652">
        <v>412327</v>
      </c>
      <c r="K720" s="652">
        <v>32227</v>
      </c>
      <c r="L720" s="651">
        <v>17914</v>
      </c>
      <c r="M720" s="651"/>
      <c r="N720" s="652">
        <v>16488</v>
      </c>
      <c r="O720" s="652">
        <v>152188</v>
      </c>
      <c r="P720" s="652">
        <v>0</v>
      </c>
      <c r="Q720" s="651">
        <v>8707</v>
      </c>
      <c r="R720" s="651"/>
      <c r="S720" s="652">
        <v>125764</v>
      </c>
      <c r="T720" s="653">
        <v>3320</v>
      </c>
      <c r="U720" s="653">
        <v>129084</v>
      </c>
    </row>
    <row r="721" spans="1:21" x14ac:dyDescent="0.25">
      <c r="A721" s="648">
        <v>97931</v>
      </c>
      <c r="B721" s="649" t="s">
        <v>3256</v>
      </c>
      <c r="C721" s="650">
        <v>6.1600000000000007E-5</v>
      </c>
      <c r="D721" s="650">
        <v>6.7999999999999999E-5</v>
      </c>
      <c r="E721" s="651">
        <v>26190.6</v>
      </c>
      <c r="F721" s="651">
        <v>30518</v>
      </c>
      <c r="G721" s="651">
        <v>130736</v>
      </c>
      <c r="H721" s="651"/>
      <c r="I721" s="652">
        <v>2456</v>
      </c>
      <c r="J721" s="652">
        <v>114566</v>
      </c>
      <c r="K721" s="652">
        <v>8954</v>
      </c>
      <c r="L721" s="651">
        <v>19564</v>
      </c>
      <c r="M721" s="651"/>
      <c r="N721" s="652">
        <v>4581</v>
      </c>
      <c r="O721" s="652">
        <v>42286</v>
      </c>
      <c r="P721" s="652">
        <v>0</v>
      </c>
      <c r="Q721" s="651">
        <v>13697</v>
      </c>
      <c r="R721" s="651"/>
      <c r="S721" s="652">
        <v>34944</v>
      </c>
      <c r="T721" s="653">
        <v>733</v>
      </c>
      <c r="U721" s="653">
        <v>35677</v>
      </c>
    </row>
    <row r="722" spans="1:21" x14ac:dyDescent="0.25">
      <c r="A722" s="648">
        <v>97941</v>
      </c>
      <c r="B722" s="649" t="s">
        <v>3257</v>
      </c>
      <c r="C722" s="650">
        <v>2.3330000000000001E-4</v>
      </c>
      <c r="D722" s="650">
        <v>2.3120000000000001E-4</v>
      </c>
      <c r="E722" s="651">
        <v>99201.06</v>
      </c>
      <c r="F722" s="651">
        <v>103761</v>
      </c>
      <c r="G722" s="651">
        <v>495141</v>
      </c>
      <c r="H722" s="651"/>
      <c r="I722" s="652">
        <v>9303</v>
      </c>
      <c r="J722" s="652">
        <v>433901</v>
      </c>
      <c r="K722" s="652">
        <v>33913</v>
      </c>
      <c r="L722" s="651">
        <v>27337</v>
      </c>
      <c r="M722" s="651"/>
      <c r="N722" s="652">
        <v>17350</v>
      </c>
      <c r="O722" s="652">
        <v>160151</v>
      </c>
      <c r="P722" s="652">
        <v>0</v>
      </c>
      <c r="Q722" s="651">
        <v>299</v>
      </c>
      <c r="R722" s="651"/>
      <c r="S722" s="652">
        <v>132344</v>
      </c>
      <c r="T722" s="653">
        <v>9188</v>
      </c>
      <c r="U722" s="653">
        <v>141532</v>
      </c>
    </row>
    <row r="723" spans="1:21" x14ac:dyDescent="0.25">
      <c r="A723" s="648">
        <v>97947</v>
      </c>
      <c r="B723" s="649" t="s">
        <v>3258</v>
      </c>
      <c r="C723" s="650">
        <v>1.5500000000000001E-5</v>
      </c>
      <c r="D723" s="650">
        <v>1.1199999999999999E-5</v>
      </c>
      <c r="E723" s="651">
        <v>11155</v>
      </c>
      <c r="F723" s="651">
        <v>5026</v>
      </c>
      <c r="G723" s="651">
        <v>32896</v>
      </c>
      <c r="H723" s="651"/>
      <c r="I723" s="652">
        <v>618.0625</v>
      </c>
      <c r="J723" s="652">
        <v>28828</v>
      </c>
      <c r="K723" s="652">
        <v>2253</v>
      </c>
      <c r="L723" s="651">
        <v>9195</v>
      </c>
      <c r="M723" s="651"/>
      <c r="N723" s="652">
        <v>1153</v>
      </c>
      <c r="O723" s="652">
        <v>10640</v>
      </c>
      <c r="P723" s="652">
        <v>0</v>
      </c>
      <c r="Q723" s="651">
        <v>615</v>
      </c>
      <c r="R723" s="651"/>
      <c r="S723" s="652">
        <v>8793</v>
      </c>
      <c r="T723" s="653">
        <v>2366</v>
      </c>
      <c r="U723" s="653">
        <v>11159</v>
      </c>
    </row>
    <row r="724" spans="1:21" x14ac:dyDescent="0.25">
      <c r="A724" s="648">
        <v>97948</v>
      </c>
      <c r="B724" s="649" t="s">
        <v>3259</v>
      </c>
      <c r="C724" s="650">
        <v>3.5200000000000002E-5</v>
      </c>
      <c r="D724" s="650">
        <v>3.43E-5</v>
      </c>
      <c r="E724" s="651">
        <v>13688</v>
      </c>
      <c r="F724" s="651">
        <v>15394</v>
      </c>
      <c r="G724" s="651">
        <v>74706</v>
      </c>
      <c r="H724" s="651"/>
      <c r="I724" s="652">
        <v>1404</v>
      </c>
      <c r="J724" s="652">
        <v>65466</v>
      </c>
      <c r="K724" s="652">
        <v>5117</v>
      </c>
      <c r="L724" s="651">
        <v>3029</v>
      </c>
      <c r="M724" s="651"/>
      <c r="N724" s="652">
        <v>2618</v>
      </c>
      <c r="O724" s="652">
        <v>24163</v>
      </c>
      <c r="P724" s="652">
        <v>0</v>
      </c>
      <c r="Q724" s="651">
        <v>138</v>
      </c>
      <c r="R724" s="651"/>
      <c r="S724" s="652">
        <v>19968</v>
      </c>
      <c r="T724" s="653">
        <v>1084</v>
      </c>
      <c r="U724" s="653">
        <v>21052</v>
      </c>
    </row>
    <row r="725" spans="1:21" x14ac:dyDescent="0.25">
      <c r="A725" s="648">
        <v>97951</v>
      </c>
      <c r="B725" s="649" t="s">
        <v>3260</v>
      </c>
      <c r="C725" s="650">
        <v>1.2497000000000001E-3</v>
      </c>
      <c r="D725" s="650">
        <v>1.2842000000000001E-3</v>
      </c>
      <c r="E725" s="651">
        <v>544314.75</v>
      </c>
      <c r="F725" s="651">
        <v>576341</v>
      </c>
      <c r="G725" s="651">
        <v>2652282</v>
      </c>
      <c r="H725" s="651"/>
      <c r="I725" s="652">
        <v>49832</v>
      </c>
      <c r="J725" s="652">
        <v>2324245</v>
      </c>
      <c r="K725" s="652">
        <v>181658</v>
      </c>
      <c r="L725" s="651">
        <v>21304</v>
      </c>
      <c r="M725" s="651"/>
      <c r="N725" s="652">
        <v>92939</v>
      </c>
      <c r="O725" s="652">
        <v>857867</v>
      </c>
      <c r="P725" s="652">
        <v>0</v>
      </c>
      <c r="Q725" s="651">
        <v>14204.62</v>
      </c>
      <c r="R725" s="651"/>
      <c r="S725" s="652">
        <v>708916</v>
      </c>
      <c r="T725" s="653">
        <v>-103</v>
      </c>
      <c r="U725" s="653">
        <v>708813</v>
      </c>
    </row>
    <row r="726" spans="1:21" x14ac:dyDescent="0.25">
      <c r="A726" s="648">
        <v>97957</v>
      </c>
      <c r="B726" s="649" t="s">
        <v>3261</v>
      </c>
      <c r="C726" s="650">
        <v>1.9599999999999999E-5</v>
      </c>
      <c r="D726" s="650">
        <v>1.9899999999999999E-5</v>
      </c>
      <c r="E726" s="651">
        <v>11054</v>
      </c>
      <c r="F726" s="651">
        <v>8931</v>
      </c>
      <c r="G726" s="651">
        <v>41598</v>
      </c>
      <c r="H726" s="651"/>
      <c r="I726" s="652">
        <v>781.55</v>
      </c>
      <c r="J726" s="652">
        <v>36453</v>
      </c>
      <c r="K726" s="652">
        <v>2849</v>
      </c>
      <c r="L726" s="651">
        <v>2215</v>
      </c>
      <c r="M726" s="651"/>
      <c r="N726" s="652">
        <v>1458</v>
      </c>
      <c r="O726" s="652">
        <v>13455</v>
      </c>
      <c r="P726" s="652">
        <v>0</v>
      </c>
      <c r="Q726" s="651">
        <v>1781</v>
      </c>
      <c r="R726" s="651"/>
      <c r="S726" s="652">
        <v>11118</v>
      </c>
      <c r="T726" s="653">
        <v>-84</v>
      </c>
      <c r="U726" s="653">
        <v>11035</v>
      </c>
    </row>
    <row r="727" spans="1:21" x14ac:dyDescent="0.25">
      <c r="A727" s="648">
        <v>98001</v>
      </c>
      <c r="B727" s="649" t="s">
        <v>3262</v>
      </c>
      <c r="C727" s="650">
        <v>4.9659999999999999E-3</v>
      </c>
      <c r="D727" s="650">
        <v>4.9379999999999997E-3</v>
      </c>
      <c r="E727" s="651">
        <v>2027252.35</v>
      </c>
      <c r="F727" s="651">
        <v>2216145</v>
      </c>
      <c r="G727" s="651">
        <v>10539516</v>
      </c>
      <c r="H727" s="651"/>
      <c r="I727" s="652">
        <v>198019.25</v>
      </c>
      <c r="J727" s="652">
        <v>9235975</v>
      </c>
      <c r="K727" s="652">
        <v>721863</v>
      </c>
      <c r="L727" s="651">
        <v>119593</v>
      </c>
      <c r="M727" s="651"/>
      <c r="N727" s="652">
        <v>369316</v>
      </c>
      <c r="O727" s="652">
        <v>3408950</v>
      </c>
      <c r="P727" s="652">
        <v>0</v>
      </c>
      <c r="Q727" s="651">
        <v>0</v>
      </c>
      <c r="R727" s="651"/>
      <c r="S727" s="652">
        <v>2817058</v>
      </c>
      <c r="T727" s="653">
        <v>52585</v>
      </c>
      <c r="U727" s="653">
        <v>2869642</v>
      </c>
    </row>
    <row r="728" spans="1:21" x14ac:dyDescent="0.25">
      <c r="A728" s="648">
        <v>98002</v>
      </c>
      <c r="B728" s="649" t="s">
        <v>3263</v>
      </c>
      <c r="C728" s="650">
        <v>7.3000000000000004E-6</v>
      </c>
      <c r="D728" s="650">
        <v>7.1999999999999997E-6</v>
      </c>
      <c r="E728" s="651">
        <v>3645</v>
      </c>
      <c r="F728" s="651">
        <v>3231</v>
      </c>
      <c r="G728" s="651">
        <v>15493</v>
      </c>
      <c r="H728" s="651"/>
      <c r="I728" s="652">
        <v>291</v>
      </c>
      <c r="J728" s="652">
        <v>13577</v>
      </c>
      <c r="K728" s="652">
        <v>1061</v>
      </c>
      <c r="L728" s="651">
        <v>799</v>
      </c>
      <c r="M728" s="651"/>
      <c r="N728" s="652">
        <v>543</v>
      </c>
      <c r="O728" s="652">
        <v>5011</v>
      </c>
      <c r="P728" s="652">
        <v>0</v>
      </c>
      <c r="Q728" s="651">
        <v>13050</v>
      </c>
      <c r="R728" s="651"/>
      <c r="S728" s="652">
        <v>4141</v>
      </c>
      <c r="T728" s="653">
        <v>-6329</v>
      </c>
      <c r="U728" s="653">
        <v>-2188</v>
      </c>
    </row>
    <row r="729" spans="1:21" x14ac:dyDescent="0.25">
      <c r="A729" s="648">
        <v>98003</v>
      </c>
      <c r="B729" s="649" t="s">
        <v>3264</v>
      </c>
      <c r="C729" s="650">
        <v>8.1600000000000005E-5</v>
      </c>
      <c r="D729" s="650">
        <v>6.8100000000000002E-5</v>
      </c>
      <c r="E729" s="651">
        <v>60648.32</v>
      </c>
      <c r="F729" s="651">
        <v>30563</v>
      </c>
      <c r="G729" s="651">
        <v>173183</v>
      </c>
      <c r="H729" s="651"/>
      <c r="I729" s="652">
        <v>3253.8</v>
      </c>
      <c r="J729" s="652">
        <v>151763</v>
      </c>
      <c r="K729" s="652">
        <v>11861</v>
      </c>
      <c r="L729" s="651">
        <v>41565</v>
      </c>
      <c r="M729" s="651"/>
      <c r="N729" s="652">
        <v>6069</v>
      </c>
      <c r="O729" s="652">
        <v>56015</v>
      </c>
      <c r="P729" s="652">
        <v>0</v>
      </c>
      <c r="Q729" s="651">
        <v>0</v>
      </c>
      <c r="R729" s="651"/>
      <c r="S729" s="652">
        <v>46289</v>
      </c>
      <c r="T729" s="653">
        <v>12223</v>
      </c>
      <c r="U729" s="653">
        <v>58512</v>
      </c>
    </row>
    <row r="730" spans="1:21" x14ac:dyDescent="0.25">
      <c r="A730" s="648">
        <v>98004</v>
      </c>
      <c r="B730" s="649" t="s">
        <v>3265</v>
      </c>
      <c r="C730" s="650">
        <v>1.209E-4</v>
      </c>
      <c r="D730" s="650">
        <v>1.2630000000000001E-4</v>
      </c>
      <c r="E730" s="651">
        <v>71693</v>
      </c>
      <c r="F730" s="651">
        <v>56683</v>
      </c>
      <c r="G730" s="651">
        <v>256590</v>
      </c>
      <c r="H730" s="651"/>
      <c r="I730" s="652">
        <v>4821</v>
      </c>
      <c r="J730" s="652">
        <v>224855</v>
      </c>
      <c r="K730" s="652">
        <v>17574</v>
      </c>
      <c r="L730" s="651">
        <v>29242</v>
      </c>
      <c r="M730" s="651"/>
      <c r="N730" s="652">
        <v>8991</v>
      </c>
      <c r="O730" s="652">
        <v>82993</v>
      </c>
      <c r="P730" s="652">
        <v>0</v>
      </c>
      <c r="Q730" s="651">
        <v>0</v>
      </c>
      <c r="R730" s="651"/>
      <c r="S730" s="652">
        <v>68583</v>
      </c>
      <c r="T730" s="653">
        <v>9885</v>
      </c>
      <c r="U730" s="653">
        <v>78468</v>
      </c>
    </row>
    <row r="731" spans="1:21" x14ac:dyDescent="0.25">
      <c r="A731" s="648">
        <v>98008</v>
      </c>
      <c r="B731" s="649" t="s">
        <v>3266</v>
      </c>
      <c r="C731" s="650">
        <v>7.7999999999999999E-6</v>
      </c>
      <c r="D731" s="650">
        <v>8.3000000000000002E-6</v>
      </c>
      <c r="E731" s="651">
        <v>3014</v>
      </c>
      <c r="F731" s="651">
        <v>3725</v>
      </c>
      <c r="G731" s="651">
        <v>16554</v>
      </c>
      <c r="H731" s="651"/>
      <c r="I731" s="652">
        <v>311</v>
      </c>
      <c r="J731" s="652">
        <v>14507</v>
      </c>
      <c r="K731" s="652">
        <v>1134</v>
      </c>
      <c r="L731" s="651">
        <v>0</v>
      </c>
      <c r="M731" s="651"/>
      <c r="N731" s="652">
        <v>580</v>
      </c>
      <c r="O731" s="652">
        <v>5354</v>
      </c>
      <c r="P731" s="652">
        <v>0</v>
      </c>
      <c r="Q731" s="651">
        <v>1300</v>
      </c>
      <c r="R731" s="651"/>
      <c r="S731" s="652">
        <v>4425</v>
      </c>
      <c r="T731" s="653">
        <v>-496</v>
      </c>
      <c r="U731" s="653">
        <v>3929</v>
      </c>
    </row>
    <row r="732" spans="1:21" x14ac:dyDescent="0.25">
      <c r="A732" s="648">
        <v>98011</v>
      </c>
      <c r="B732" s="649" t="s">
        <v>3267</v>
      </c>
      <c r="C732" s="650">
        <v>3.1795E-3</v>
      </c>
      <c r="D732" s="650">
        <v>3.5899E-3</v>
      </c>
      <c r="E732" s="651">
        <v>1249396</v>
      </c>
      <c r="F732" s="651">
        <v>1611126</v>
      </c>
      <c r="G732" s="651">
        <v>6747964</v>
      </c>
      <c r="H732" s="651"/>
      <c r="I732" s="652">
        <v>126783</v>
      </c>
      <c r="J732" s="652">
        <v>5913368</v>
      </c>
      <c r="K732" s="652">
        <v>462175</v>
      </c>
      <c r="L732" s="651">
        <v>0</v>
      </c>
      <c r="M732" s="651"/>
      <c r="N732" s="652">
        <v>236456</v>
      </c>
      <c r="O732" s="652">
        <v>2182593</v>
      </c>
      <c r="P732" s="652">
        <v>0</v>
      </c>
      <c r="Q732" s="651">
        <v>424125</v>
      </c>
      <c r="R732" s="651"/>
      <c r="S732" s="652">
        <v>1803632</v>
      </c>
      <c r="T732" s="653">
        <v>-139309</v>
      </c>
      <c r="U732" s="653">
        <v>1664322</v>
      </c>
    </row>
    <row r="733" spans="1:21" x14ac:dyDescent="0.25">
      <c r="A733" s="648">
        <v>98013</v>
      </c>
      <c r="B733" s="649" t="s">
        <v>3268</v>
      </c>
      <c r="C733" s="650">
        <v>1.426E-4</v>
      </c>
      <c r="D733" s="650">
        <v>1.427E-4</v>
      </c>
      <c r="E733" s="651">
        <v>126822.16</v>
      </c>
      <c r="F733" s="651">
        <v>64043</v>
      </c>
      <c r="G733" s="651">
        <v>302645</v>
      </c>
      <c r="H733" s="651"/>
      <c r="I733" s="652">
        <v>5686</v>
      </c>
      <c r="J733" s="652">
        <v>265213</v>
      </c>
      <c r="K733" s="652">
        <v>20728</v>
      </c>
      <c r="L733" s="651">
        <v>97343</v>
      </c>
      <c r="M733" s="651"/>
      <c r="N733" s="652">
        <v>10605</v>
      </c>
      <c r="O733" s="652">
        <v>97889</v>
      </c>
      <c r="P733" s="652">
        <v>0</v>
      </c>
      <c r="Q733" s="651">
        <v>4167</v>
      </c>
      <c r="R733" s="651"/>
      <c r="S733" s="652">
        <v>80893</v>
      </c>
      <c r="T733" s="653">
        <v>27256</v>
      </c>
      <c r="U733" s="653">
        <v>108149</v>
      </c>
    </row>
    <row r="734" spans="1:21" x14ac:dyDescent="0.25">
      <c r="A734" s="648">
        <v>98021</v>
      </c>
      <c r="B734" s="649" t="s">
        <v>3269</v>
      </c>
      <c r="C734" s="650">
        <v>7.5099999999999996E-5</v>
      </c>
      <c r="D734" s="650">
        <v>7.4099999999999999E-5</v>
      </c>
      <c r="E734" s="651">
        <v>28245.75</v>
      </c>
      <c r="F734" s="651">
        <v>33256</v>
      </c>
      <c r="G734" s="651">
        <v>159387</v>
      </c>
      <c r="H734" s="651"/>
      <c r="I734" s="652">
        <v>2995</v>
      </c>
      <c r="J734" s="652">
        <v>139674</v>
      </c>
      <c r="K734" s="652">
        <v>10917</v>
      </c>
      <c r="L734" s="651">
        <v>20868</v>
      </c>
      <c r="M734" s="651"/>
      <c r="N734" s="652">
        <v>5585</v>
      </c>
      <c r="O734" s="652">
        <v>51553</v>
      </c>
      <c r="P734" s="652">
        <v>0</v>
      </c>
      <c r="Q734" s="651">
        <v>1894</v>
      </c>
      <c r="R734" s="651"/>
      <c r="S734" s="652">
        <v>42602</v>
      </c>
      <c r="T734" s="653">
        <v>6826</v>
      </c>
      <c r="U734" s="653">
        <v>49428</v>
      </c>
    </row>
    <row r="735" spans="1:21" x14ac:dyDescent="0.25">
      <c r="A735" s="648">
        <v>98023</v>
      </c>
      <c r="B735" s="649" t="s">
        <v>3270</v>
      </c>
      <c r="C735" s="650">
        <v>1.45E-5</v>
      </c>
      <c r="D735" s="650">
        <v>2.1500000000000001E-5</v>
      </c>
      <c r="E735" s="651">
        <v>6210.57</v>
      </c>
      <c r="F735" s="651">
        <v>9649</v>
      </c>
      <c r="G735" s="651">
        <v>30774</v>
      </c>
      <c r="H735" s="651"/>
      <c r="I735" s="652">
        <v>578.1875</v>
      </c>
      <c r="J735" s="652">
        <v>26968</v>
      </c>
      <c r="K735" s="652">
        <v>2108</v>
      </c>
      <c r="L735" s="651">
        <v>0</v>
      </c>
      <c r="M735" s="651"/>
      <c r="N735" s="652">
        <v>1078</v>
      </c>
      <c r="O735" s="652">
        <v>9954</v>
      </c>
      <c r="P735" s="652">
        <v>0</v>
      </c>
      <c r="Q735" s="651">
        <v>7858</v>
      </c>
      <c r="R735" s="651"/>
      <c r="S735" s="652">
        <v>8225</v>
      </c>
      <c r="T735" s="653">
        <v>-2638</v>
      </c>
      <c r="U735" s="653">
        <v>5587</v>
      </c>
    </row>
    <row r="736" spans="1:21" x14ac:dyDescent="0.25">
      <c r="A736" s="648">
        <v>98031</v>
      </c>
      <c r="B736" s="649" t="s">
        <v>3271</v>
      </c>
      <c r="C736" s="650">
        <v>1.5530000000000001E-4</v>
      </c>
      <c r="D736" s="650">
        <v>1.7009999999999999E-4</v>
      </c>
      <c r="E736" s="651">
        <v>66785.13</v>
      </c>
      <c r="F736" s="651">
        <v>76340</v>
      </c>
      <c r="G736" s="651">
        <v>329599</v>
      </c>
      <c r="H736" s="651"/>
      <c r="I736" s="652">
        <v>6193</v>
      </c>
      <c r="J736" s="652">
        <v>288833</v>
      </c>
      <c r="K736" s="652">
        <v>22575</v>
      </c>
      <c r="L736" s="651">
        <v>7207</v>
      </c>
      <c r="M736" s="651"/>
      <c r="N736" s="652">
        <v>11550</v>
      </c>
      <c r="O736" s="652">
        <v>106607</v>
      </c>
      <c r="P736" s="652">
        <v>0</v>
      </c>
      <c r="Q736" s="651">
        <v>8978</v>
      </c>
      <c r="R736" s="651"/>
      <c r="S736" s="652">
        <v>88097</v>
      </c>
      <c r="T736" s="653">
        <v>-569</v>
      </c>
      <c r="U736" s="653">
        <v>87528</v>
      </c>
    </row>
    <row r="737" spans="1:21" x14ac:dyDescent="0.25">
      <c r="A737" s="648">
        <v>98041</v>
      </c>
      <c r="B737" s="649" t="s">
        <v>3272</v>
      </c>
      <c r="C737" s="650">
        <v>1.6559999999999999E-4</v>
      </c>
      <c r="D737" s="650">
        <v>1.438E-4</v>
      </c>
      <c r="E737" s="651">
        <v>62577.35</v>
      </c>
      <c r="F737" s="651">
        <v>64537</v>
      </c>
      <c r="G737" s="651">
        <v>351459</v>
      </c>
      <c r="H737" s="651"/>
      <c r="I737" s="652">
        <v>6603</v>
      </c>
      <c r="J737" s="652">
        <v>307990</v>
      </c>
      <c r="K737" s="652">
        <v>24072</v>
      </c>
      <c r="L737" s="651">
        <v>7422</v>
      </c>
      <c r="M737" s="651"/>
      <c r="N737" s="652">
        <v>12316</v>
      </c>
      <c r="O737" s="652">
        <v>113677</v>
      </c>
      <c r="P737" s="652">
        <v>0</v>
      </c>
      <c r="Q737" s="651">
        <v>9673</v>
      </c>
      <c r="R737" s="651"/>
      <c r="S737" s="652">
        <v>93940</v>
      </c>
      <c r="T737" s="653">
        <v>-1971</v>
      </c>
      <c r="U737" s="653">
        <v>91969</v>
      </c>
    </row>
    <row r="738" spans="1:21" x14ac:dyDescent="0.25">
      <c r="A738" s="648">
        <v>98051</v>
      </c>
      <c r="B738" s="649" t="s">
        <v>3273</v>
      </c>
      <c r="C738" s="650">
        <v>3.0019999999999998E-4</v>
      </c>
      <c r="D738" s="650">
        <v>2.699E-4</v>
      </c>
      <c r="E738" s="651">
        <v>123086</v>
      </c>
      <c r="F738" s="651">
        <v>121130</v>
      </c>
      <c r="G738" s="651">
        <v>637125</v>
      </c>
      <c r="H738" s="651"/>
      <c r="I738" s="652">
        <v>11970</v>
      </c>
      <c r="J738" s="652">
        <v>558325</v>
      </c>
      <c r="K738" s="652">
        <v>43637</v>
      </c>
      <c r="L738" s="651">
        <v>31222</v>
      </c>
      <c r="M738" s="651"/>
      <c r="N738" s="652">
        <v>22326</v>
      </c>
      <c r="O738" s="652">
        <v>206075</v>
      </c>
      <c r="P738" s="652">
        <v>0</v>
      </c>
      <c r="Q738" s="651">
        <v>229</v>
      </c>
      <c r="R738" s="651"/>
      <c r="S738" s="652">
        <v>170294</v>
      </c>
      <c r="T738" s="653">
        <v>9416</v>
      </c>
      <c r="U738" s="653">
        <v>179711</v>
      </c>
    </row>
    <row r="739" spans="1:21" x14ac:dyDescent="0.25">
      <c r="A739" s="648">
        <v>98061</v>
      </c>
      <c r="B739" s="649" t="s">
        <v>3274</v>
      </c>
      <c r="C739" s="650">
        <v>9.9099999999999996E-5</v>
      </c>
      <c r="D739" s="650">
        <v>1.3410000000000001E-4</v>
      </c>
      <c r="E739" s="651">
        <v>42535.31</v>
      </c>
      <c r="F739" s="651">
        <v>60183</v>
      </c>
      <c r="G739" s="651">
        <v>210323</v>
      </c>
      <c r="H739" s="651"/>
      <c r="I739" s="652">
        <v>3952</v>
      </c>
      <c r="J739" s="652">
        <v>184310</v>
      </c>
      <c r="K739" s="652">
        <v>14405</v>
      </c>
      <c r="L739" s="651">
        <v>0</v>
      </c>
      <c r="M739" s="651"/>
      <c r="N739" s="652">
        <v>7370</v>
      </c>
      <c r="O739" s="652">
        <v>68028</v>
      </c>
      <c r="P739" s="652">
        <v>0</v>
      </c>
      <c r="Q739" s="651">
        <v>24647</v>
      </c>
      <c r="R739" s="651"/>
      <c r="S739" s="652">
        <v>56216</v>
      </c>
      <c r="T739" s="653">
        <v>-7215</v>
      </c>
      <c r="U739" s="653">
        <v>49002</v>
      </c>
    </row>
    <row r="740" spans="1:21" x14ac:dyDescent="0.25">
      <c r="A740" s="648">
        <v>98071</v>
      </c>
      <c r="B740" s="649" t="s">
        <v>3275</v>
      </c>
      <c r="C740" s="650">
        <v>3.4400000000000003E-5</v>
      </c>
      <c r="D740" s="650">
        <v>3.2299999999999999E-5</v>
      </c>
      <c r="E740" s="651">
        <v>24294.65</v>
      </c>
      <c r="F740" s="651">
        <v>14496</v>
      </c>
      <c r="G740" s="651">
        <v>73008</v>
      </c>
      <c r="H740" s="651"/>
      <c r="I740" s="652">
        <v>1371.7</v>
      </c>
      <c r="J740" s="652">
        <v>63979</v>
      </c>
      <c r="K740" s="652">
        <v>5000</v>
      </c>
      <c r="L740" s="651">
        <v>9217</v>
      </c>
      <c r="M740" s="651"/>
      <c r="N740" s="652">
        <v>2558</v>
      </c>
      <c r="O740" s="652">
        <v>23614</v>
      </c>
      <c r="P740" s="652">
        <v>0</v>
      </c>
      <c r="Q740" s="651">
        <v>1859</v>
      </c>
      <c r="R740" s="651"/>
      <c r="S740" s="652">
        <v>19514</v>
      </c>
      <c r="T740" s="653">
        <v>1734</v>
      </c>
      <c r="U740" s="653">
        <v>21248</v>
      </c>
    </row>
    <row r="741" spans="1:21" x14ac:dyDescent="0.25">
      <c r="A741" s="648">
        <v>98081</v>
      </c>
      <c r="B741" s="649" t="s">
        <v>3276</v>
      </c>
      <c r="C741" s="650">
        <v>1.9400000000000001E-5</v>
      </c>
      <c r="D741" s="650">
        <v>2.0999999999999999E-5</v>
      </c>
      <c r="E741" s="651">
        <v>6798</v>
      </c>
      <c r="F741" s="651">
        <v>9425</v>
      </c>
      <c r="G741" s="651">
        <v>41173</v>
      </c>
      <c r="H741" s="651"/>
      <c r="I741" s="652">
        <v>773.57500000000005</v>
      </c>
      <c r="J741" s="652">
        <v>36081</v>
      </c>
      <c r="K741" s="652">
        <v>2820</v>
      </c>
      <c r="L741" s="651">
        <v>0</v>
      </c>
      <c r="M741" s="651"/>
      <c r="N741" s="652">
        <v>1443</v>
      </c>
      <c r="O741" s="652">
        <v>13317</v>
      </c>
      <c r="P741" s="652">
        <v>0</v>
      </c>
      <c r="Q741" s="651">
        <v>4336</v>
      </c>
      <c r="R741" s="651"/>
      <c r="S741" s="652">
        <v>11005</v>
      </c>
      <c r="T741" s="653">
        <v>-1542</v>
      </c>
      <c r="U741" s="653">
        <v>9463</v>
      </c>
    </row>
    <row r="742" spans="1:21" x14ac:dyDescent="0.25">
      <c r="A742" s="648">
        <v>98091</v>
      </c>
      <c r="B742" s="649" t="s">
        <v>3277</v>
      </c>
      <c r="C742" s="650">
        <v>5.0899999999999997E-5</v>
      </c>
      <c r="D742" s="650">
        <v>5.49E-5</v>
      </c>
      <c r="E742" s="651">
        <v>23937.15</v>
      </c>
      <c r="F742" s="651">
        <v>24639</v>
      </c>
      <c r="G742" s="651">
        <v>108027</v>
      </c>
      <c r="H742" s="651"/>
      <c r="I742" s="652">
        <v>2030</v>
      </c>
      <c r="J742" s="652">
        <v>94666</v>
      </c>
      <c r="K742" s="652">
        <v>7399</v>
      </c>
      <c r="L742" s="651">
        <v>1196</v>
      </c>
      <c r="M742" s="651"/>
      <c r="N742" s="652">
        <v>3785</v>
      </c>
      <c r="O742" s="652">
        <v>34941</v>
      </c>
      <c r="P742" s="652">
        <v>0</v>
      </c>
      <c r="Q742" s="651">
        <v>1622</v>
      </c>
      <c r="R742" s="651"/>
      <c r="S742" s="652">
        <v>28874</v>
      </c>
      <c r="T742" s="653">
        <v>-412</v>
      </c>
      <c r="U742" s="653">
        <v>28462</v>
      </c>
    </row>
    <row r="743" spans="1:21" x14ac:dyDescent="0.25">
      <c r="A743" s="648">
        <v>98101</v>
      </c>
      <c r="B743" s="649" t="s">
        <v>3278</v>
      </c>
      <c r="C743" s="650">
        <v>2.7642999999999999E-3</v>
      </c>
      <c r="D743" s="650">
        <v>2.7445E-3</v>
      </c>
      <c r="E743" s="651">
        <v>1093303.25</v>
      </c>
      <c r="F743" s="651">
        <v>1231715</v>
      </c>
      <c r="G743" s="651">
        <v>5866771</v>
      </c>
      <c r="H743" s="651"/>
      <c r="I743" s="652">
        <v>110226</v>
      </c>
      <c r="J743" s="652">
        <v>5141161</v>
      </c>
      <c r="K743" s="652">
        <v>401821</v>
      </c>
      <c r="L743" s="651">
        <v>61462</v>
      </c>
      <c r="M743" s="651"/>
      <c r="N743" s="652">
        <v>205578</v>
      </c>
      <c r="O743" s="652">
        <v>1897576</v>
      </c>
      <c r="P743" s="652">
        <v>0</v>
      </c>
      <c r="Q743" s="651">
        <v>23820</v>
      </c>
      <c r="R743" s="651"/>
      <c r="S743" s="652">
        <v>1568102</v>
      </c>
      <c r="T743" s="653">
        <v>17983</v>
      </c>
      <c r="U743" s="653">
        <v>1586085</v>
      </c>
    </row>
    <row r="744" spans="1:21" x14ac:dyDescent="0.25">
      <c r="A744" s="648">
        <v>98102</v>
      </c>
      <c r="B744" s="649" t="s">
        <v>3279</v>
      </c>
      <c r="C744" s="650">
        <v>1.683E-4</v>
      </c>
      <c r="D744" s="650">
        <v>1.7259999999999999E-4</v>
      </c>
      <c r="E744" s="651">
        <v>69015</v>
      </c>
      <c r="F744" s="651">
        <v>77462</v>
      </c>
      <c r="G744" s="651">
        <v>357189</v>
      </c>
      <c r="H744" s="651"/>
      <c r="I744" s="652">
        <v>6711</v>
      </c>
      <c r="J744" s="652">
        <v>313011</v>
      </c>
      <c r="K744" s="652">
        <v>24464</v>
      </c>
      <c r="L744" s="651">
        <v>0</v>
      </c>
      <c r="M744" s="651"/>
      <c r="N744" s="652">
        <v>12516</v>
      </c>
      <c r="O744" s="652">
        <v>115531</v>
      </c>
      <c r="P744" s="652">
        <v>0</v>
      </c>
      <c r="Q744" s="651">
        <v>10404</v>
      </c>
      <c r="R744" s="651"/>
      <c r="S744" s="652">
        <v>95471</v>
      </c>
      <c r="T744" s="653">
        <v>-3682</v>
      </c>
      <c r="U744" s="653">
        <v>91789</v>
      </c>
    </row>
    <row r="745" spans="1:21" x14ac:dyDescent="0.25">
      <c r="A745" s="648">
        <v>98103</v>
      </c>
      <c r="B745" s="649" t="s">
        <v>3280</v>
      </c>
      <c r="C745" s="650">
        <v>5.3600000000000002E-4</v>
      </c>
      <c r="D745" s="650">
        <v>5.7140000000000001E-4</v>
      </c>
      <c r="E745" s="651">
        <v>233081</v>
      </c>
      <c r="F745" s="651">
        <v>256441</v>
      </c>
      <c r="G745" s="651">
        <v>1137571.56</v>
      </c>
      <c r="H745" s="651"/>
      <c r="I745" s="652">
        <v>21373</v>
      </c>
      <c r="J745" s="652">
        <v>996875</v>
      </c>
      <c r="K745" s="652">
        <v>77913</v>
      </c>
      <c r="L745" s="651">
        <v>0</v>
      </c>
      <c r="M745" s="651"/>
      <c r="N745" s="652">
        <v>39862</v>
      </c>
      <c r="O745" s="652">
        <v>367941</v>
      </c>
      <c r="P745" s="652">
        <v>0</v>
      </c>
      <c r="Q745" s="651">
        <v>46538</v>
      </c>
      <c r="R745" s="651"/>
      <c r="S745" s="652">
        <v>304056</v>
      </c>
      <c r="T745" s="653">
        <v>-19483</v>
      </c>
      <c r="U745" s="653">
        <v>284573</v>
      </c>
    </row>
    <row r="746" spans="1:21" x14ac:dyDescent="0.25">
      <c r="A746" s="648">
        <v>98107</v>
      </c>
      <c r="B746" s="649" t="s">
        <v>3281</v>
      </c>
      <c r="C746" s="650">
        <v>1.08E-5</v>
      </c>
      <c r="D746" s="650">
        <v>1.15E-5</v>
      </c>
      <c r="E746" s="651">
        <v>8652</v>
      </c>
      <c r="F746" s="651">
        <v>5161</v>
      </c>
      <c r="G746" s="651">
        <v>22921</v>
      </c>
      <c r="H746" s="651"/>
      <c r="I746" s="652">
        <v>430.65</v>
      </c>
      <c r="J746" s="652">
        <v>20086</v>
      </c>
      <c r="K746" s="652">
        <v>1570</v>
      </c>
      <c r="L746" s="651">
        <v>7420</v>
      </c>
      <c r="M746" s="651"/>
      <c r="N746" s="652">
        <v>803</v>
      </c>
      <c r="O746" s="652">
        <v>7414</v>
      </c>
      <c r="P746" s="652">
        <v>0</v>
      </c>
      <c r="Q746" s="651">
        <v>0</v>
      </c>
      <c r="R746" s="651"/>
      <c r="S746" s="652">
        <v>6127</v>
      </c>
      <c r="T746" s="653">
        <v>2610</v>
      </c>
      <c r="U746" s="653">
        <v>8737</v>
      </c>
    </row>
    <row r="747" spans="1:21" x14ac:dyDescent="0.25">
      <c r="A747" s="648">
        <v>98109</v>
      </c>
      <c r="B747" s="649" t="s">
        <v>3282</v>
      </c>
      <c r="C747" s="650">
        <v>1.4660000000000001E-4</v>
      </c>
      <c r="D747" s="650">
        <v>2.0680000000000001E-4</v>
      </c>
      <c r="E747" s="651">
        <v>66395.14</v>
      </c>
      <c r="F747" s="651">
        <v>92811</v>
      </c>
      <c r="G747" s="651">
        <v>311134</v>
      </c>
      <c r="H747" s="651"/>
      <c r="I747" s="652">
        <v>5846</v>
      </c>
      <c r="J747" s="652">
        <v>272653</v>
      </c>
      <c r="K747" s="652">
        <v>21310</v>
      </c>
      <c r="L747" s="651">
        <v>3018</v>
      </c>
      <c r="M747" s="651"/>
      <c r="N747" s="652">
        <v>10902</v>
      </c>
      <c r="O747" s="652">
        <v>100635</v>
      </c>
      <c r="P747" s="652">
        <v>0</v>
      </c>
      <c r="Q747" s="651">
        <v>35765</v>
      </c>
      <c r="R747" s="651"/>
      <c r="S747" s="652">
        <v>83162</v>
      </c>
      <c r="T747" s="653">
        <v>-10144</v>
      </c>
      <c r="U747" s="653">
        <v>73018</v>
      </c>
    </row>
    <row r="748" spans="1:21" x14ac:dyDescent="0.25">
      <c r="A748" s="648">
        <v>98111</v>
      </c>
      <c r="B748" s="649" t="s">
        <v>3283</v>
      </c>
      <c r="C748" s="650">
        <v>1.0191E-3</v>
      </c>
      <c r="D748" s="650">
        <v>1.0443E-3</v>
      </c>
      <c r="E748" s="651">
        <v>380231</v>
      </c>
      <c r="F748" s="651">
        <v>468676</v>
      </c>
      <c r="G748" s="651">
        <v>2162872</v>
      </c>
      <c r="H748" s="651"/>
      <c r="I748" s="652">
        <v>40637</v>
      </c>
      <c r="J748" s="652">
        <v>1895365</v>
      </c>
      <c r="K748" s="652">
        <v>148137</v>
      </c>
      <c r="L748" s="651">
        <v>0</v>
      </c>
      <c r="M748" s="651"/>
      <c r="N748" s="652">
        <v>75789</v>
      </c>
      <c r="O748" s="652">
        <v>699569</v>
      </c>
      <c r="P748" s="652">
        <v>0</v>
      </c>
      <c r="Q748" s="651">
        <v>50975</v>
      </c>
      <c r="R748" s="651"/>
      <c r="S748" s="652">
        <v>578104</v>
      </c>
      <c r="T748" s="653">
        <v>-14078</v>
      </c>
      <c r="U748" s="653">
        <v>564026</v>
      </c>
    </row>
    <row r="749" spans="1:21" x14ac:dyDescent="0.25">
      <c r="A749" s="648">
        <v>98113</v>
      </c>
      <c r="B749" s="649" t="s">
        <v>3284</v>
      </c>
      <c r="C749" s="650">
        <v>3.8999999999999999E-5</v>
      </c>
      <c r="D749" s="650">
        <v>4.1399999999999997E-5</v>
      </c>
      <c r="E749" s="651">
        <v>20070.23</v>
      </c>
      <c r="F749" s="651">
        <v>18580</v>
      </c>
      <c r="G749" s="651">
        <v>82771</v>
      </c>
      <c r="H749" s="651"/>
      <c r="I749" s="652">
        <v>1555.125</v>
      </c>
      <c r="J749" s="652">
        <v>72534</v>
      </c>
      <c r="K749" s="652">
        <v>5669</v>
      </c>
      <c r="L749" s="651">
        <v>8069</v>
      </c>
      <c r="M749" s="651"/>
      <c r="N749" s="652">
        <v>2900</v>
      </c>
      <c r="O749" s="652">
        <v>26772</v>
      </c>
      <c r="P749" s="652">
        <v>0</v>
      </c>
      <c r="Q749" s="651">
        <v>0</v>
      </c>
      <c r="R749" s="651"/>
      <c r="S749" s="652">
        <v>22123</v>
      </c>
      <c r="T749" s="653">
        <v>2983</v>
      </c>
      <c r="U749" s="653">
        <v>25107</v>
      </c>
    </row>
    <row r="750" spans="1:21" x14ac:dyDescent="0.25">
      <c r="A750" s="648">
        <v>98121</v>
      </c>
      <c r="B750" s="649" t="s">
        <v>3285</v>
      </c>
      <c r="C750" s="650">
        <v>2.2910000000000001E-4</v>
      </c>
      <c r="D750" s="650">
        <v>2.0689999999999999E-4</v>
      </c>
      <c r="E750" s="651">
        <v>79942.31</v>
      </c>
      <c r="F750" s="651">
        <v>92855</v>
      </c>
      <c r="G750" s="651">
        <v>486227</v>
      </c>
      <c r="H750" s="651"/>
      <c r="I750" s="652">
        <v>9135</v>
      </c>
      <c r="J750" s="652">
        <v>426090</v>
      </c>
      <c r="K750" s="652">
        <v>33302</v>
      </c>
      <c r="L750" s="651">
        <v>3951</v>
      </c>
      <c r="M750" s="651"/>
      <c r="N750" s="652">
        <v>17038</v>
      </c>
      <c r="O750" s="652">
        <v>157268</v>
      </c>
      <c r="P750" s="652">
        <v>0</v>
      </c>
      <c r="Q750" s="651">
        <v>6313</v>
      </c>
      <c r="R750" s="651"/>
      <c r="S750" s="652">
        <v>129961</v>
      </c>
      <c r="T750" s="653">
        <v>-421</v>
      </c>
      <c r="U750" s="653">
        <v>129540</v>
      </c>
    </row>
    <row r="751" spans="1:21" x14ac:dyDescent="0.25">
      <c r="A751" s="648">
        <v>98131</v>
      </c>
      <c r="B751" s="649" t="s">
        <v>3286</v>
      </c>
      <c r="C751" s="650">
        <v>2.9569999999999998E-4</v>
      </c>
      <c r="D751" s="650">
        <v>3.0610000000000001E-4</v>
      </c>
      <c r="E751" s="651">
        <v>112056</v>
      </c>
      <c r="F751" s="651">
        <v>137376</v>
      </c>
      <c r="G751" s="651">
        <v>627574</v>
      </c>
      <c r="H751" s="651"/>
      <c r="I751" s="652">
        <v>11791</v>
      </c>
      <c r="J751" s="652">
        <v>549955</v>
      </c>
      <c r="K751" s="652">
        <v>42983</v>
      </c>
      <c r="L751" s="651">
        <v>0</v>
      </c>
      <c r="M751" s="651"/>
      <c r="N751" s="652">
        <v>21991</v>
      </c>
      <c r="O751" s="652">
        <v>202986</v>
      </c>
      <c r="P751" s="652">
        <v>0</v>
      </c>
      <c r="Q751" s="651">
        <v>44899</v>
      </c>
      <c r="R751" s="651"/>
      <c r="S751" s="652">
        <v>167741</v>
      </c>
      <c r="T751" s="653">
        <v>-17153</v>
      </c>
      <c r="U751" s="653">
        <v>150589</v>
      </c>
    </row>
    <row r="752" spans="1:21" x14ac:dyDescent="0.25">
      <c r="A752" s="648">
        <v>98141</v>
      </c>
      <c r="B752" s="649" t="s">
        <v>3287</v>
      </c>
      <c r="C752" s="650">
        <v>2.9030000000000001E-4</v>
      </c>
      <c r="D752" s="650">
        <v>3.033E-4</v>
      </c>
      <c r="E752" s="651">
        <v>104128</v>
      </c>
      <c r="F752" s="651">
        <v>136119</v>
      </c>
      <c r="G752" s="651">
        <v>616114</v>
      </c>
      <c r="H752" s="651"/>
      <c r="I752" s="652">
        <v>11576</v>
      </c>
      <c r="J752" s="652">
        <v>539912</v>
      </c>
      <c r="K752" s="652">
        <v>42198</v>
      </c>
      <c r="L752" s="651">
        <v>1495</v>
      </c>
      <c r="M752" s="651"/>
      <c r="N752" s="652">
        <v>21589</v>
      </c>
      <c r="O752" s="652">
        <v>199279</v>
      </c>
      <c r="P752" s="652">
        <v>0</v>
      </c>
      <c r="Q752" s="651">
        <v>35601</v>
      </c>
      <c r="R752" s="651"/>
      <c r="S752" s="652">
        <v>164678</v>
      </c>
      <c r="T752" s="653">
        <v>-12695</v>
      </c>
      <c r="U752" s="653">
        <v>151983</v>
      </c>
    </row>
    <row r="753" spans="1:21" x14ac:dyDescent="0.25">
      <c r="A753" s="648">
        <v>98147</v>
      </c>
      <c r="B753" s="649" t="s">
        <v>3288</v>
      </c>
      <c r="C753" s="650">
        <v>1.29E-5</v>
      </c>
      <c r="D753" s="650">
        <v>1.03E-5</v>
      </c>
      <c r="E753" s="651">
        <v>8826</v>
      </c>
      <c r="F753" s="651">
        <v>4623</v>
      </c>
      <c r="G753" s="651">
        <v>27378</v>
      </c>
      <c r="H753" s="651"/>
      <c r="I753" s="652">
        <v>514</v>
      </c>
      <c r="J753" s="652">
        <v>23992</v>
      </c>
      <c r="K753" s="652">
        <v>1875</v>
      </c>
      <c r="L753" s="651">
        <v>7556</v>
      </c>
      <c r="M753" s="651"/>
      <c r="N753" s="652">
        <v>959</v>
      </c>
      <c r="O753" s="652">
        <v>8855</v>
      </c>
      <c r="P753" s="652">
        <v>0</v>
      </c>
      <c r="Q753" s="651">
        <v>0</v>
      </c>
      <c r="R753" s="651"/>
      <c r="S753" s="652">
        <v>7318</v>
      </c>
      <c r="T753" s="653">
        <v>2501</v>
      </c>
      <c r="U753" s="653">
        <v>9819</v>
      </c>
    </row>
    <row r="754" spans="1:21" x14ac:dyDescent="0.25">
      <c r="A754" s="648">
        <v>98161</v>
      </c>
      <c r="B754" s="649" t="s">
        <v>3289</v>
      </c>
      <c r="C754" s="650">
        <v>7.4000000000000003E-6</v>
      </c>
      <c r="D754" s="650">
        <v>7.6000000000000001E-6</v>
      </c>
      <c r="E754" s="651">
        <v>4425</v>
      </c>
      <c r="F754" s="651">
        <v>3411</v>
      </c>
      <c r="G754" s="651">
        <v>15705</v>
      </c>
      <c r="H754" s="651"/>
      <c r="I754" s="652">
        <v>295.07499999999999</v>
      </c>
      <c r="J754" s="652">
        <v>13763</v>
      </c>
      <c r="K754" s="652">
        <v>1076</v>
      </c>
      <c r="L754" s="651">
        <v>2152</v>
      </c>
      <c r="M754" s="651"/>
      <c r="N754" s="652">
        <v>550</v>
      </c>
      <c r="O754" s="652">
        <v>5080</v>
      </c>
      <c r="P754" s="652">
        <v>0</v>
      </c>
      <c r="Q754" s="651">
        <v>0</v>
      </c>
      <c r="R754" s="651"/>
      <c r="S754" s="652">
        <v>4198</v>
      </c>
      <c r="T754" s="653">
        <v>752</v>
      </c>
      <c r="U754" s="653">
        <v>4950</v>
      </c>
    </row>
    <row r="755" spans="1:21" x14ac:dyDescent="0.25">
      <c r="A755" s="648">
        <v>98201</v>
      </c>
      <c r="B755" s="649" t="s">
        <v>3290</v>
      </c>
      <c r="C755" s="650">
        <v>3.0368999999999999E-3</v>
      </c>
      <c r="D755" s="650">
        <v>3.0019999999999999E-3</v>
      </c>
      <c r="E755" s="651">
        <v>1202574.5</v>
      </c>
      <c r="F755" s="651">
        <v>1347280</v>
      </c>
      <c r="G755" s="651">
        <v>6445319</v>
      </c>
      <c r="H755" s="651"/>
      <c r="I755" s="652">
        <v>121096</v>
      </c>
      <c r="J755" s="652">
        <v>5648154</v>
      </c>
      <c r="K755" s="652">
        <v>441447</v>
      </c>
      <c r="L755" s="651">
        <v>0</v>
      </c>
      <c r="M755" s="651"/>
      <c r="N755" s="652">
        <v>225851</v>
      </c>
      <c r="O755" s="652">
        <v>2084704</v>
      </c>
      <c r="P755" s="652">
        <v>0</v>
      </c>
      <c r="Q755" s="651">
        <v>60876</v>
      </c>
      <c r="R755" s="651"/>
      <c r="S755" s="652">
        <v>1722739</v>
      </c>
      <c r="T755" s="653">
        <v>-21268</v>
      </c>
      <c r="U755" s="653">
        <v>1701471</v>
      </c>
    </row>
    <row r="756" spans="1:21" x14ac:dyDescent="0.25">
      <c r="A756" s="648">
        <v>98205</v>
      </c>
      <c r="B756" s="649" t="s">
        <v>3291</v>
      </c>
      <c r="C756" s="650">
        <v>5.13E-5</v>
      </c>
      <c r="D756" s="650">
        <v>5.02E-5</v>
      </c>
      <c r="E756" s="651">
        <v>23400</v>
      </c>
      <c r="F756" s="651">
        <v>22529</v>
      </c>
      <c r="G756" s="651">
        <v>108876</v>
      </c>
      <c r="H756" s="651"/>
      <c r="I756" s="652">
        <v>2046</v>
      </c>
      <c r="J756" s="652">
        <v>95410</v>
      </c>
      <c r="K756" s="652">
        <v>7457</v>
      </c>
      <c r="L756" s="651">
        <v>2803</v>
      </c>
      <c r="M756" s="651"/>
      <c r="N756" s="652">
        <v>3815</v>
      </c>
      <c r="O756" s="652">
        <v>35215</v>
      </c>
      <c r="P756" s="652">
        <v>0</v>
      </c>
      <c r="Q756" s="651">
        <v>1718</v>
      </c>
      <c r="R756" s="651"/>
      <c r="S756" s="652">
        <v>29101</v>
      </c>
      <c r="T756" s="653">
        <v>209</v>
      </c>
      <c r="U756" s="653">
        <v>29310</v>
      </c>
    </row>
    <row r="757" spans="1:21" x14ac:dyDescent="0.25">
      <c r="A757" s="648">
        <v>98211</v>
      </c>
      <c r="B757" s="649" t="s">
        <v>3292</v>
      </c>
      <c r="C757" s="650">
        <v>9.1609999999999999E-4</v>
      </c>
      <c r="D757" s="650">
        <v>9.4729999999999999E-4</v>
      </c>
      <c r="E757" s="651">
        <v>316266.55</v>
      </c>
      <c r="F757" s="651">
        <v>425143</v>
      </c>
      <c r="G757" s="651">
        <v>1944271</v>
      </c>
      <c r="H757" s="651"/>
      <c r="I757" s="652">
        <v>36529</v>
      </c>
      <c r="J757" s="652">
        <v>1703801</v>
      </c>
      <c r="K757" s="652">
        <v>133165</v>
      </c>
      <c r="L757" s="651">
        <v>0</v>
      </c>
      <c r="M757" s="651"/>
      <c r="N757" s="652">
        <v>68129</v>
      </c>
      <c r="O757" s="652">
        <v>628864</v>
      </c>
      <c r="P757" s="652">
        <v>0</v>
      </c>
      <c r="Q757" s="651">
        <v>112970</v>
      </c>
      <c r="R757" s="651"/>
      <c r="S757" s="652">
        <v>519675</v>
      </c>
      <c r="T757" s="653">
        <v>-35337</v>
      </c>
      <c r="U757" s="653">
        <v>484338</v>
      </c>
    </row>
    <row r="758" spans="1:21" x14ac:dyDescent="0.25">
      <c r="A758" s="648">
        <v>98218</v>
      </c>
      <c r="B758" s="649" t="s">
        <v>3293</v>
      </c>
      <c r="C758" s="650">
        <v>1.0200000000000001E-5</v>
      </c>
      <c r="D758" s="650">
        <v>1.08E-5</v>
      </c>
      <c r="E758" s="651">
        <v>4407.67</v>
      </c>
      <c r="F758" s="651">
        <v>4847</v>
      </c>
      <c r="G758" s="651">
        <v>21648</v>
      </c>
      <c r="H758" s="651"/>
      <c r="I758" s="652">
        <v>406.72500000000002</v>
      </c>
      <c r="J758" s="652">
        <v>18970</v>
      </c>
      <c r="K758" s="652">
        <v>1483</v>
      </c>
      <c r="L758" s="651">
        <v>0</v>
      </c>
      <c r="M758" s="651"/>
      <c r="N758" s="652">
        <v>759</v>
      </c>
      <c r="O758" s="652">
        <v>7002</v>
      </c>
      <c r="P758" s="652">
        <v>0</v>
      </c>
      <c r="Q758" s="651">
        <v>1864</v>
      </c>
      <c r="R758" s="651"/>
      <c r="S758" s="652">
        <v>5786</v>
      </c>
      <c r="T758" s="653">
        <v>-792</v>
      </c>
      <c r="U758" s="653">
        <v>4994</v>
      </c>
    </row>
    <row r="759" spans="1:21" x14ac:dyDescent="0.25">
      <c r="A759" s="648">
        <v>98221</v>
      </c>
      <c r="B759" s="649" t="s">
        <v>3294</v>
      </c>
      <c r="C759" s="650">
        <v>1.6799999999999998E-5</v>
      </c>
      <c r="D759" s="650">
        <v>1.5999999999999999E-5</v>
      </c>
      <c r="E759" s="651">
        <v>9584.15</v>
      </c>
      <c r="F759" s="651">
        <v>7181</v>
      </c>
      <c r="G759" s="651">
        <v>35655</v>
      </c>
      <c r="H759" s="651"/>
      <c r="I759" s="652">
        <v>669.9</v>
      </c>
      <c r="J759" s="652">
        <v>31245</v>
      </c>
      <c r="K759" s="652">
        <v>2442</v>
      </c>
      <c r="L759" s="651">
        <v>3240</v>
      </c>
      <c r="M759" s="651"/>
      <c r="N759" s="652">
        <v>1249</v>
      </c>
      <c r="O759" s="652">
        <v>11532</v>
      </c>
      <c r="P759" s="652">
        <v>0</v>
      </c>
      <c r="Q759" s="651">
        <v>0</v>
      </c>
      <c r="R759" s="651"/>
      <c r="S759" s="652">
        <v>9530</v>
      </c>
      <c r="T759" s="653">
        <v>905</v>
      </c>
      <c r="U759" s="653">
        <v>10435</v>
      </c>
    </row>
    <row r="760" spans="1:21" x14ac:dyDescent="0.25">
      <c r="A760" s="648">
        <v>98231</v>
      </c>
      <c r="B760" s="649" t="s">
        <v>3295</v>
      </c>
      <c r="C760" s="650">
        <v>3.1999999999999999E-5</v>
      </c>
      <c r="D760" s="650">
        <v>3.7400000000000001E-5</v>
      </c>
      <c r="E760" s="651">
        <v>13931.16</v>
      </c>
      <c r="F760" s="651">
        <v>16785</v>
      </c>
      <c r="G760" s="651">
        <v>67914.720000000001</v>
      </c>
      <c r="H760" s="651"/>
      <c r="I760" s="652">
        <v>1276</v>
      </c>
      <c r="J760" s="652">
        <v>59515</v>
      </c>
      <c r="K760" s="652">
        <v>4652</v>
      </c>
      <c r="L760" s="651">
        <v>2641</v>
      </c>
      <c r="M760" s="651"/>
      <c r="N760" s="652">
        <v>2380</v>
      </c>
      <c r="O760" s="652">
        <v>21967</v>
      </c>
      <c r="P760" s="652">
        <v>0</v>
      </c>
      <c r="Q760" s="651">
        <v>7471</v>
      </c>
      <c r="R760" s="651"/>
      <c r="S760" s="652">
        <v>18153</v>
      </c>
      <c r="T760" s="653">
        <v>-2254</v>
      </c>
      <c r="U760" s="653">
        <v>15898</v>
      </c>
    </row>
    <row r="761" spans="1:21" x14ac:dyDescent="0.25">
      <c r="A761" s="648">
        <v>98237</v>
      </c>
      <c r="B761" s="649" t="s">
        <v>3296</v>
      </c>
      <c r="C761" s="650">
        <v>2.7E-6</v>
      </c>
      <c r="D761" s="650">
        <v>2.9000000000000002E-6</v>
      </c>
      <c r="E761" s="651">
        <v>2767</v>
      </c>
      <c r="F761" s="651">
        <v>1302</v>
      </c>
      <c r="G761" s="651">
        <v>5730</v>
      </c>
      <c r="H761" s="651"/>
      <c r="I761" s="652">
        <v>107.66249999999999</v>
      </c>
      <c r="J761" s="652">
        <v>5022</v>
      </c>
      <c r="K761" s="652">
        <v>392</v>
      </c>
      <c r="L761" s="651">
        <v>2342</v>
      </c>
      <c r="M761" s="651"/>
      <c r="N761" s="652">
        <v>201</v>
      </c>
      <c r="O761" s="652">
        <v>1853</v>
      </c>
      <c r="P761" s="652">
        <v>0</v>
      </c>
      <c r="Q761" s="651">
        <v>0</v>
      </c>
      <c r="R761" s="651"/>
      <c r="S761" s="652">
        <v>1532</v>
      </c>
      <c r="T761" s="653">
        <v>795</v>
      </c>
      <c r="U761" s="653">
        <v>2326</v>
      </c>
    </row>
    <row r="762" spans="1:21" x14ac:dyDescent="0.25">
      <c r="A762" s="648">
        <v>98241</v>
      </c>
      <c r="B762" s="649" t="s">
        <v>3297</v>
      </c>
      <c r="C762" s="650">
        <v>1.98E-5</v>
      </c>
      <c r="D762" s="650">
        <v>1.0200000000000001E-5</v>
      </c>
      <c r="E762" s="651">
        <v>7741</v>
      </c>
      <c r="F762" s="651">
        <v>4578</v>
      </c>
      <c r="G762" s="651">
        <v>42022</v>
      </c>
      <c r="H762" s="651"/>
      <c r="I762" s="652">
        <v>789.52499999999998</v>
      </c>
      <c r="J762" s="652">
        <v>36825</v>
      </c>
      <c r="K762" s="652">
        <v>2878</v>
      </c>
      <c r="L762" s="651">
        <v>8690</v>
      </c>
      <c r="M762" s="651"/>
      <c r="N762" s="652">
        <v>1473</v>
      </c>
      <c r="O762" s="652">
        <v>13592</v>
      </c>
      <c r="P762" s="652">
        <v>0</v>
      </c>
      <c r="Q762" s="651">
        <v>331</v>
      </c>
      <c r="R762" s="651"/>
      <c r="S762" s="652">
        <v>11232</v>
      </c>
      <c r="T762" s="653">
        <v>3061</v>
      </c>
      <c r="U762" s="653">
        <v>14293</v>
      </c>
    </row>
    <row r="763" spans="1:21" x14ac:dyDescent="0.25">
      <c r="A763" s="648">
        <v>98251</v>
      </c>
      <c r="B763" s="649" t="s">
        <v>3298</v>
      </c>
      <c r="C763" s="650">
        <v>3.1E-6</v>
      </c>
      <c r="D763" s="650">
        <v>3.1E-6</v>
      </c>
      <c r="E763" s="651">
        <v>1870</v>
      </c>
      <c r="F763" s="651">
        <v>1391</v>
      </c>
      <c r="G763" s="651">
        <v>6579</v>
      </c>
      <c r="H763" s="651"/>
      <c r="I763" s="652">
        <v>123.6125</v>
      </c>
      <c r="J763" s="652">
        <v>5766</v>
      </c>
      <c r="K763" s="652">
        <v>451</v>
      </c>
      <c r="L763" s="651">
        <v>1191</v>
      </c>
      <c r="M763" s="651"/>
      <c r="N763" s="652">
        <v>231</v>
      </c>
      <c r="O763" s="652">
        <v>2128</v>
      </c>
      <c r="P763" s="652">
        <v>0</v>
      </c>
      <c r="Q763" s="651">
        <v>0</v>
      </c>
      <c r="R763" s="651"/>
      <c r="S763" s="652">
        <v>1759</v>
      </c>
      <c r="T763" s="653">
        <v>412</v>
      </c>
      <c r="U763" s="653">
        <v>2171</v>
      </c>
    </row>
    <row r="764" spans="1:21" x14ac:dyDescent="0.25">
      <c r="A764" s="648">
        <v>98261</v>
      </c>
      <c r="B764" s="649" t="s">
        <v>3299</v>
      </c>
      <c r="C764" s="650">
        <v>2.97E-5</v>
      </c>
      <c r="D764" s="650">
        <v>4.3099999999999997E-5</v>
      </c>
      <c r="E764" s="651">
        <v>12989.23</v>
      </c>
      <c r="F764" s="651">
        <v>19343</v>
      </c>
      <c r="G764" s="651">
        <v>63033</v>
      </c>
      <c r="H764" s="651"/>
      <c r="I764" s="652">
        <v>1184</v>
      </c>
      <c r="J764" s="652">
        <v>55237</v>
      </c>
      <c r="K764" s="652">
        <v>4317</v>
      </c>
      <c r="L764" s="651">
        <v>4504</v>
      </c>
      <c r="M764" s="651"/>
      <c r="N764" s="652">
        <v>2209</v>
      </c>
      <c r="O764" s="652">
        <v>20388</v>
      </c>
      <c r="P764" s="652">
        <v>0</v>
      </c>
      <c r="Q764" s="651">
        <v>6643</v>
      </c>
      <c r="R764" s="651"/>
      <c r="S764" s="652">
        <v>16848</v>
      </c>
      <c r="T764" s="653">
        <v>-118</v>
      </c>
      <c r="U764" s="653">
        <v>16730</v>
      </c>
    </row>
    <row r="765" spans="1:21" x14ac:dyDescent="0.25">
      <c r="A765" s="648">
        <v>98271</v>
      </c>
      <c r="B765" s="649" t="s">
        <v>3300</v>
      </c>
      <c r="C765" s="650">
        <v>4.5000000000000001E-6</v>
      </c>
      <c r="D765" s="650">
        <v>3.4000000000000001E-6</v>
      </c>
      <c r="E765" s="651">
        <v>3055</v>
      </c>
      <c r="F765" s="651">
        <v>1526</v>
      </c>
      <c r="G765" s="651">
        <v>9551</v>
      </c>
      <c r="H765" s="651"/>
      <c r="I765" s="652">
        <v>179.4375</v>
      </c>
      <c r="J765" s="652">
        <v>8369</v>
      </c>
      <c r="K765" s="652">
        <v>654</v>
      </c>
      <c r="L765" s="651">
        <v>3951</v>
      </c>
      <c r="M765" s="651"/>
      <c r="N765" s="652">
        <v>335</v>
      </c>
      <c r="O765" s="652">
        <v>3089</v>
      </c>
      <c r="P765" s="652">
        <v>0</v>
      </c>
      <c r="Q765" s="651">
        <v>0</v>
      </c>
      <c r="R765" s="651"/>
      <c r="S765" s="652">
        <v>2553</v>
      </c>
      <c r="T765" s="653">
        <v>1392</v>
      </c>
      <c r="U765" s="653">
        <v>3945</v>
      </c>
    </row>
    <row r="766" spans="1:21" x14ac:dyDescent="0.25">
      <c r="A766" s="648">
        <v>98301</v>
      </c>
      <c r="B766" s="649" t="s">
        <v>3301</v>
      </c>
      <c r="C766" s="650">
        <v>1.7776999999999999E-3</v>
      </c>
      <c r="D766" s="650">
        <v>1.7478999999999999E-3</v>
      </c>
      <c r="E766" s="651">
        <v>735954</v>
      </c>
      <c r="F766" s="651">
        <v>784447</v>
      </c>
      <c r="G766" s="651">
        <v>3772875</v>
      </c>
      <c r="H766" s="651"/>
      <c r="I766" s="652">
        <v>70886</v>
      </c>
      <c r="J766" s="652">
        <v>3306241</v>
      </c>
      <c r="K766" s="652">
        <v>258408</v>
      </c>
      <c r="L766" s="651">
        <v>76085</v>
      </c>
      <c r="M766" s="651"/>
      <c r="N766" s="652">
        <v>132206</v>
      </c>
      <c r="O766" s="652">
        <v>1220316</v>
      </c>
      <c r="P766" s="652">
        <v>0</v>
      </c>
      <c r="Q766" s="651">
        <v>15711</v>
      </c>
      <c r="R766" s="651"/>
      <c r="S766" s="652">
        <v>1008434</v>
      </c>
      <c r="T766" s="653">
        <v>17172</v>
      </c>
      <c r="U766" s="653">
        <v>1025606</v>
      </c>
    </row>
    <row r="767" spans="1:21" x14ac:dyDescent="0.25">
      <c r="A767" s="648">
        <v>98304</v>
      </c>
      <c r="B767" s="649" t="s">
        <v>3302</v>
      </c>
      <c r="C767" s="650">
        <v>2.2900000000000001E-5</v>
      </c>
      <c r="D767" s="650">
        <v>2.4499999999999999E-5</v>
      </c>
      <c r="E767" s="651">
        <v>11386</v>
      </c>
      <c r="F767" s="651">
        <v>10995</v>
      </c>
      <c r="G767" s="651">
        <v>48601</v>
      </c>
      <c r="H767" s="651"/>
      <c r="I767" s="652">
        <v>913.13750000000005</v>
      </c>
      <c r="J767" s="652">
        <v>42590</v>
      </c>
      <c r="K767" s="652">
        <v>3329</v>
      </c>
      <c r="L767" s="651">
        <v>1590</v>
      </c>
      <c r="M767" s="651"/>
      <c r="N767" s="652">
        <v>1703</v>
      </c>
      <c r="O767" s="652">
        <v>15720</v>
      </c>
      <c r="P767" s="652">
        <v>0</v>
      </c>
      <c r="Q767" s="651">
        <v>0</v>
      </c>
      <c r="R767" s="651"/>
      <c r="S767" s="652">
        <v>12990</v>
      </c>
      <c r="T767" s="653">
        <v>514</v>
      </c>
      <c r="U767" s="653">
        <v>13504</v>
      </c>
    </row>
    <row r="768" spans="1:21" x14ac:dyDescent="0.25">
      <c r="A768" s="648">
        <v>98308</v>
      </c>
      <c r="B768" s="649" t="s">
        <v>3303</v>
      </c>
      <c r="C768" s="650">
        <v>2.55E-5</v>
      </c>
      <c r="D768" s="650">
        <v>2.5000000000000001E-5</v>
      </c>
      <c r="E768" s="651">
        <v>13855</v>
      </c>
      <c r="F768" s="651">
        <v>11219.85</v>
      </c>
      <c r="G768" s="651">
        <v>54120</v>
      </c>
      <c r="H768" s="651"/>
      <c r="I768" s="652">
        <v>1016.8125</v>
      </c>
      <c r="J768" s="652">
        <v>47426</v>
      </c>
      <c r="K768" s="652">
        <v>3707</v>
      </c>
      <c r="L768" s="651">
        <v>7689</v>
      </c>
      <c r="M768" s="651"/>
      <c r="N768" s="652">
        <v>1896</v>
      </c>
      <c r="O768" s="652">
        <v>17505</v>
      </c>
      <c r="P768" s="652">
        <v>0</v>
      </c>
      <c r="Q768" s="651">
        <v>0</v>
      </c>
      <c r="R768" s="651"/>
      <c r="S768" s="652">
        <v>14465</v>
      </c>
      <c r="T768" s="653">
        <v>2796</v>
      </c>
      <c r="U768" s="653">
        <v>17261</v>
      </c>
    </row>
    <row r="769" spans="1:21" x14ac:dyDescent="0.25">
      <c r="A769" s="648">
        <v>98311</v>
      </c>
      <c r="B769" s="649" t="s">
        <v>3304</v>
      </c>
      <c r="C769" s="650">
        <v>1.1441999999999999E-3</v>
      </c>
      <c r="D769" s="650">
        <v>1.1704E-3</v>
      </c>
      <c r="E769" s="651">
        <v>413994</v>
      </c>
      <c r="F769" s="651">
        <v>525268</v>
      </c>
      <c r="G769" s="651">
        <v>2428376</v>
      </c>
      <c r="H769" s="651"/>
      <c r="I769" s="652">
        <v>45625</v>
      </c>
      <c r="J769" s="652">
        <v>2128031</v>
      </c>
      <c r="K769" s="652">
        <v>166322</v>
      </c>
      <c r="L769" s="651">
        <v>25434</v>
      </c>
      <c r="M769" s="651"/>
      <c r="N769" s="652">
        <v>85093</v>
      </c>
      <c r="O769" s="652">
        <v>785445</v>
      </c>
      <c r="P769" s="652">
        <v>0</v>
      </c>
      <c r="Q769" s="651">
        <v>70361</v>
      </c>
      <c r="R769" s="651"/>
      <c r="S769" s="652">
        <v>649069</v>
      </c>
      <c r="T769" s="653">
        <v>-6523</v>
      </c>
      <c r="U769" s="653">
        <v>642547</v>
      </c>
    </row>
    <row r="770" spans="1:21" x14ac:dyDescent="0.25">
      <c r="A770" s="648">
        <v>98313</v>
      </c>
      <c r="B770" s="649" t="s">
        <v>3305</v>
      </c>
      <c r="C770" s="650">
        <v>2.4240000000000001E-4</v>
      </c>
      <c r="D770" s="650">
        <v>2.3589999999999999E-4</v>
      </c>
      <c r="E770" s="651">
        <v>227095.51</v>
      </c>
      <c r="F770" s="651">
        <v>105871</v>
      </c>
      <c r="G770" s="651">
        <v>514454</v>
      </c>
      <c r="H770" s="651"/>
      <c r="I770" s="652">
        <v>9666</v>
      </c>
      <c r="J770" s="652">
        <v>450826</v>
      </c>
      <c r="K770" s="652">
        <v>35236</v>
      </c>
      <c r="L770" s="651">
        <v>166298</v>
      </c>
      <c r="M770" s="651"/>
      <c r="N770" s="652">
        <v>18027</v>
      </c>
      <c r="O770" s="652">
        <v>166397</v>
      </c>
      <c r="P770" s="652">
        <v>0</v>
      </c>
      <c r="Q770" s="651">
        <v>119.4</v>
      </c>
      <c r="R770" s="651"/>
      <c r="S770" s="652">
        <v>137506</v>
      </c>
      <c r="T770" s="653">
        <v>48906</v>
      </c>
      <c r="U770" s="653">
        <v>186412</v>
      </c>
    </row>
    <row r="771" spans="1:21" x14ac:dyDescent="0.25">
      <c r="A771" s="648">
        <v>98321</v>
      </c>
      <c r="B771" s="649" t="s">
        <v>3306</v>
      </c>
      <c r="C771" s="650">
        <v>2.1399999999999998E-5</v>
      </c>
      <c r="D771" s="650">
        <v>2.9E-5</v>
      </c>
      <c r="E771" s="651">
        <v>9180.25</v>
      </c>
      <c r="F771" s="651">
        <v>13015</v>
      </c>
      <c r="G771" s="651">
        <v>45418</v>
      </c>
      <c r="H771" s="651"/>
      <c r="I771" s="652">
        <v>853</v>
      </c>
      <c r="J771" s="652">
        <v>39801</v>
      </c>
      <c r="K771" s="652">
        <v>3111</v>
      </c>
      <c r="L771" s="651">
        <v>3126</v>
      </c>
      <c r="M771" s="651"/>
      <c r="N771" s="652">
        <v>1591</v>
      </c>
      <c r="O771" s="652">
        <v>14690</v>
      </c>
      <c r="P771" s="652">
        <v>0</v>
      </c>
      <c r="Q771" s="651">
        <v>4186</v>
      </c>
      <c r="R771" s="651"/>
      <c r="S771" s="652">
        <v>12140</v>
      </c>
      <c r="T771" s="653">
        <v>451</v>
      </c>
      <c r="U771" s="653">
        <v>12591</v>
      </c>
    </row>
    <row r="772" spans="1:21" x14ac:dyDescent="0.25">
      <c r="A772" s="648">
        <v>98331</v>
      </c>
      <c r="B772" s="649" t="s">
        <v>3307</v>
      </c>
      <c r="C772" s="650">
        <v>1.03E-5</v>
      </c>
      <c r="D772" s="650">
        <v>9.7999999999999993E-6</v>
      </c>
      <c r="E772" s="651">
        <v>5903.22</v>
      </c>
      <c r="F772" s="651">
        <v>4398</v>
      </c>
      <c r="G772" s="651">
        <v>21860</v>
      </c>
      <c r="H772" s="651"/>
      <c r="I772" s="652">
        <v>410.71249999999998</v>
      </c>
      <c r="J772" s="652">
        <v>19156</v>
      </c>
      <c r="K772" s="652">
        <v>1497</v>
      </c>
      <c r="L772" s="651">
        <v>2778</v>
      </c>
      <c r="M772" s="651"/>
      <c r="N772" s="652">
        <v>766</v>
      </c>
      <c r="O772" s="652">
        <v>7071</v>
      </c>
      <c r="P772" s="652">
        <v>0</v>
      </c>
      <c r="Q772" s="651">
        <v>264.67</v>
      </c>
      <c r="R772" s="651"/>
      <c r="S772" s="652">
        <v>5843</v>
      </c>
      <c r="T772" s="653">
        <v>700</v>
      </c>
      <c r="U772" s="653">
        <v>6542</v>
      </c>
    </row>
    <row r="773" spans="1:21" x14ac:dyDescent="0.25">
      <c r="A773" s="648">
        <v>98401</v>
      </c>
      <c r="B773" s="649" t="s">
        <v>3308</v>
      </c>
      <c r="C773" s="650">
        <v>2.7567999999999998E-3</v>
      </c>
      <c r="D773" s="650">
        <v>2.8057999999999998E-3</v>
      </c>
      <c r="E773" s="651">
        <v>1156444.24</v>
      </c>
      <c r="F773" s="651">
        <v>1259226</v>
      </c>
      <c r="G773" s="651">
        <v>5850853</v>
      </c>
      <c r="H773" s="651"/>
      <c r="I773" s="652">
        <v>109927.4</v>
      </c>
      <c r="J773" s="652">
        <v>5127212</v>
      </c>
      <c r="K773" s="652">
        <v>400731</v>
      </c>
      <c r="L773" s="651">
        <v>92083</v>
      </c>
      <c r="M773" s="651"/>
      <c r="N773" s="652">
        <v>205020</v>
      </c>
      <c r="O773" s="652">
        <v>1892427</v>
      </c>
      <c r="P773" s="652">
        <v>0</v>
      </c>
      <c r="Q773" s="651">
        <v>8491</v>
      </c>
      <c r="R773" s="651"/>
      <c r="S773" s="652">
        <v>1563847</v>
      </c>
      <c r="T773" s="653">
        <v>31358</v>
      </c>
      <c r="U773" s="653">
        <v>1595205</v>
      </c>
    </row>
    <row r="774" spans="1:21" x14ac:dyDescent="0.25">
      <c r="A774" s="648">
        <v>98411</v>
      </c>
      <c r="B774" s="649" t="s">
        <v>3309</v>
      </c>
      <c r="C774" s="650">
        <v>2.0076999999999998E-3</v>
      </c>
      <c r="D774" s="650">
        <v>1.9907000000000002E-3</v>
      </c>
      <c r="E774" s="651">
        <v>792048.89</v>
      </c>
      <c r="F774" s="651">
        <v>893414</v>
      </c>
      <c r="G774" s="651">
        <v>4261012</v>
      </c>
      <c r="H774" s="651"/>
      <c r="I774" s="652">
        <v>80057</v>
      </c>
      <c r="J774" s="652">
        <v>3734005</v>
      </c>
      <c r="K774" s="652">
        <v>291841</v>
      </c>
      <c r="L774" s="651">
        <v>8012</v>
      </c>
      <c r="M774" s="651"/>
      <c r="N774" s="652">
        <v>149311</v>
      </c>
      <c r="O774" s="652">
        <v>1378202</v>
      </c>
      <c r="P774" s="652">
        <v>0</v>
      </c>
      <c r="Q774" s="651">
        <v>35211</v>
      </c>
      <c r="R774" s="651"/>
      <c r="S774" s="652">
        <v>1138906</v>
      </c>
      <c r="T774" s="653">
        <v>-6790</v>
      </c>
      <c r="U774" s="653">
        <v>1132116</v>
      </c>
    </row>
    <row r="775" spans="1:21" x14ac:dyDescent="0.25">
      <c r="A775" s="648">
        <v>98417</v>
      </c>
      <c r="B775" s="649" t="s">
        <v>3310</v>
      </c>
      <c r="C775" s="650">
        <v>2.4899999999999999E-5</v>
      </c>
      <c r="D775" s="650">
        <v>2.6400000000000001E-5</v>
      </c>
      <c r="E775" s="651">
        <v>12734.51</v>
      </c>
      <c r="F775" s="651">
        <v>11848</v>
      </c>
      <c r="G775" s="651">
        <v>52846</v>
      </c>
      <c r="H775" s="651"/>
      <c r="I775" s="652">
        <v>993</v>
      </c>
      <c r="J775" s="652">
        <v>46310</v>
      </c>
      <c r="K775" s="652">
        <v>3619</v>
      </c>
      <c r="L775" s="651">
        <v>1318</v>
      </c>
      <c r="M775" s="651"/>
      <c r="N775" s="652">
        <v>1852</v>
      </c>
      <c r="O775" s="652">
        <v>17093</v>
      </c>
      <c r="P775" s="652">
        <v>0</v>
      </c>
      <c r="Q775" s="651">
        <v>852</v>
      </c>
      <c r="R775" s="651"/>
      <c r="S775" s="652">
        <v>14125</v>
      </c>
      <c r="T775" s="653">
        <v>-72</v>
      </c>
      <c r="U775" s="653">
        <v>14053</v>
      </c>
    </row>
    <row r="776" spans="1:21" x14ac:dyDescent="0.25">
      <c r="A776" s="648">
        <v>98421</v>
      </c>
      <c r="B776" s="649" t="s">
        <v>3311</v>
      </c>
      <c r="C776" s="650">
        <v>1.0840000000000001E-4</v>
      </c>
      <c r="D776" s="650">
        <v>1.021E-4</v>
      </c>
      <c r="E776" s="651">
        <v>40835</v>
      </c>
      <c r="F776" s="651">
        <v>45822</v>
      </c>
      <c r="G776" s="651">
        <v>230061</v>
      </c>
      <c r="H776" s="651"/>
      <c r="I776" s="652">
        <v>4322.45</v>
      </c>
      <c r="J776" s="652">
        <v>201607</v>
      </c>
      <c r="K776" s="652">
        <v>15757</v>
      </c>
      <c r="L776" s="651">
        <v>7887</v>
      </c>
      <c r="M776" s="651"/>
      <c r="N776" s="652">
        <v>8062</v>
      </c>
      <c r="O776" s="652">
        <v>74412</v>
      </c>
      <c r="P776" s="652">
        <v>0</v>
      </c>
      <c r="Q776" s="651">
        <v>1282</v>
      </c>
      <c r="R776" s="651"/>
      <c r="S776" s="652">
        <v>61492</v>
      </c>
      <c r="T776" s="653">
        <v>2111</v>
      </c>
      <c r="U776" s="653">
        <v>63603</v>
      </c>
    </row>
    <row r="777" spans="1:21" x14ac:dyDescent="0.25">
      <c r="A777" s="648">
        <v>98427</v>
      </c>
      <c r="B777" s="649" t="s">
        <v>3312</v>
      </c>
      <c r="C777" s="650">
        <v>4.6E-6</v>
      </c>
      <c r="D777" s="650">
        <v>5.2000000000000002E-6</v>
      </c>
      <c r="E777" s="651">
        <v>2927.04</v>
      </c>
      <c r="F777" s="651">
        <v>2334</v>
      </c>
      <c r="G777" s="651">
        <v>9763</v>
      </c>
      <c r="H777" s="651"/>
      <c r="I777" s="652">
        <v>183.42500000000001</v>
      </c>
      <c r="J777" s="652">
        <v>8555</v>
      </c>
      <c r="K777" s="652">
        <v>669</v>
      </c>
      <c r="L777" s="651">
        <v>946</v>
      </c>
      <c r="M777" s="651"/>
      <c r="N777" s="652">
        <v>342</v>
      </c>
      <c r="O777" s="652">
        <v>3158</v>
      </c>
      <c r="P777" s="652">
        <v>0</v>
      </c>
      <c r="Q777" s="651">
        <v>0</v>
      </c>
      <c r="R777" s="651"/>
      <c r="S777" s="652">
        <v>2609</v>
      </c>
      <c r="T777" s="653">
        <v>309</v>
      </c>
      <c r="U777" s="653">
        <v>2918</v>
      </c>
    </row>
    <row r="778" spans="1:21" x14ac:dyDescent="0.25">
      <c r="A778" s="648">
        <v>98431</v>
      </c>
      <c r="B778" s="649" t="s">
        <v>3313</v>
      </c>
      <c r="C778" s="650">
        <v>2.0010000000000001E-4</v>
      </c>
      <c r="D778" s="650">
        <v>2.0560000000000001E-4</v>
      </c>
      <c r="E778" s="651">
        <v>68369</v>
      </c>
      <c r="F778" s="651">
        <v>92272</v>
      </c>
      <c r="G778" s="651">
        <v>424679</v>
      </c>
      <c r="H778" s="651"/>
      <c r="I778" s="652">
        <v>7979</v>
      </c>
      <c r="J778" s="652">
        <v>372154</v>
      </c>
      <c r="K778" s="652">
        <v>29087</v>
      </c>
      <c r="L778" s="651">
        <v>2505</v>
      </c>
      <c r="M778" s="651"/>
      <c r="N778" s="652">
        <v>14881</v>
      </c>
      <c r="O778" s="652">
        <v>137360</v>
      </c>
      <c r="P778" s="652">
        <v>0</v>
      </c>
      <c r="Q778" s="651">
        <v>22555</v>
      </c>
      <c r="R778" s="651"/>
      <c r="S778" s="652">
        <v>113511</v>
      </c>
      <c r="T778" s="653">
        <v>-5398</v>
      </c>
      <c r="U778" s="653">
        <v>108113</v>
      </c>
    </row>
    <row r="779" spans="1:21" x14ac:dyDescent="0.25">
      <c r="A779" s="648">
        <v>98441</v>
      </c>
      <c r="B779" s="649" t="s">
        <v>3314</v>
      </c>
      <c r="C779" s="650">
        <v>9.1000000000000003E-5</v>
      </c>
      <c r="D779" s="650">
        <v>1.039E-4</v>
      </c>
      <c r="E779" s="651">
        <v>33724.18</v>
      </c>
      <c r="F779" s="651">
        <v>46630</v>
      </c>
      <c r="G779" s="651">
        <v>193132</v>
      </c>
      <c r="H779" s="651"/>
      <c r="I779" s="652">
        <v>3628.625</v>
      </c>
      <c r="J779" s="652">
        <v>169246</v>
      </c>
      <c r="K779" s="652">
        <v>13228</v>
      </c>
      <c r="L779" s="651">
        <v>1146</v>
      </c>
      <c r="M779" s="651"/>
      <c r="N779" s="652">
        <v>6768</v>
      </c>
      <c r="O779" s="652">
        <v>62468</v>
      </c>
      <c r="P779" s="652">
        <v>0</v>
      </c>
      <c r="Q779" s="651">
        <v>21657</v>
      </c>
      <c r="R779" s="651"/>
      <c r="S779" s="652">
        <v>51621</v>
      </c>
      <c r="T779" s="653">
        <v>-6156</v>
      </c>
      <c r="U779" s="653">
        <v>45466</v>
      </c>
    </row>
    <row r="780" spans="1:21" x14ac:dyDescent="0.25">
      <c r="A780" s="648">
        <v>98451</v>
      </c>
      <c r="B780" s="649" t="s">
        <v>3315</v>
      </c>
      <c r="C780" s="650">
        <v>5.6199999999999997E-5</v>
      </c>
      <c r="D780" s="650">
        <v>6.0300000000000002E-5</v>
      </c>
      <c r="E780" s="651">
        <v>24173</v>
      </c>
      <c r="F780" s="651">
        <v>27062</v>
      </c>
      <c r="G780" s="651">
        <v>119275</v>
      </c>
      <c r="H780" s="651"/>
      <c r="I780" s="652">
        <v>2240.9749999999999</v>
      </c>
      <c r="J780" s="652">
        <v>104523</v>
      </c>
      <c r="K780" s="652">
        <v>8169</v>
      </c>
      <c r="L780" s="651">
        <v>0</v>
      </c>
      <c r="M780" s="651"/>
      <c r="N780" s="652">
        <v>4180</v>
      </c>
      <c r="O780" s="652">
        <v>38579</v>
      </c>
      <c r="P780" s="652">
        <v>0</v>
      </c>
      <c r="Q780" s="651">
        <v>2135</v>
      </c>
      <c r="R780" s="651"/>
      <c r="S780" s="652">
        <v>31881</v>
      </c>
      <c r="T780" s="653">
        <v>-657</v>
      </c>
      <c r="U780" s="653">
        <v>31223</v>
      </c>
    </row>
    <row r="781" spans="1:21" x14ac:dyDescent="0.25">
      <c r="A781" s="648">
        <v>98481</v>
      </c>
      <c r="B781" s="649" t="s">
        <v>3316</v>
      </c>
      <c r="C781" s="650">
        <v>6.7700000000000006E-5</v>
      </c>
      <c r="D781" s="650">
        <v>6.2500000000000001E-5</v>
      </c>
      <c r="E781" s="651">
        <v>21741.83</v>
      </c>
      <c r="F781" s="651">
        <v>28049.625</v>
      </c>
      <c r="G781" s="651">
        <v>143682</v>
      </c>
      <c r="H781" s="651"/>
      <c r="I781" s="652">
        <v>2700</v>
      </c>
      <c r="J781" s="652">
        <v>125911</v>
      </c>
      <c r="K781" s="652">
        <v>9841</v>
      </c>
      <c r="L781" s="651">
        <v>3106</v>
      </c>
      <c r="M781" s="651"/>
      <c r="N781" s="652">
        <v>5035</v>
      </c>
      <c r="O781" s="652">
        <v>46473</v>
      </c>
      <c r="P781" s="652">
        <v>0</v>
      </c>
      <c r="Q781" s="651">
        <v>2045</v>
      </c>
      <c r="R781" s="651"/>
      <c r="S781" s="652">
        <v>38404</v>
      </c>
      <c r="T781" s="653">
        <v>1029</v>
      </c>
      <c r="U781" s="653">
        <v>39434</v>
      </c>
    </row>
    <row r="782" spans="1:21" x14ac:dyDescent="0.25">
      <c r="A782" s="648">
        <v>98501</v>
      </c>
      <c r="B782" s="649" t="s">
        <v>3317</v>
      </c>
      <c r="C782" s="650">
        <v>1.5690999999999999E-3</v>
      </c>
      <c r="D782" s="650">
        <v>1.5471E-3</v>
      </c>
      <c r="E782" s="651">
        <v>684836.9</v>
      </c>
      <c r="F782" s="651">
        <v>694329</v>
      </c>
      <c r="G782" s="651">
        <v>3330156</v>
      </c>
      <c r="H782" s="651"/>
      <c r="I782" s="652">
        <v>62568</v>
      </c>
      <c r="J782" s="652">
        <v>2918278</v>
      </c>
      <c r="K782" s="652">
        <v>228086</v>
      </c>
      <c r="L782" s="651">
        <v>44212</v>
      </c>
      <c r="M782" s="651"/>
      <c r="N782" s="652">
        <v>116692</v>
      </c>
      <c r="O782" s="652">
        <v>1077121</v>
      </c>
      <c r="P782" s="652">
        <v>0</v>
      </c>
      <c r="Q782" s="651">
        <v>5894</v>
      </c>
      <c r="R782" s="651"/>
      <c r="S782" s="652">
        <v>890102</v>
      </c>
      <c r="T782" s="653">
        <v>8576</v>
      </c>
      <c r="U782" s="653">
        <v>898678</v>
      </c>
    </row>
    <row r="783" spans="1:21" x14ac:dyDescent="0.25">
      <c r="A783" s="648">
        <v>98511</v>
      </c>
      <c r="B783" s="649" t="s">
        <v>3318</v>
      </c>
      <c r="C783" s="650">
        <v>4.5800000000000002E-5</v>
      </c>
      <c r="D783" s="650">
        <v>3.96E-5</v>
      </c>
      <c r="E783" s="651">
        <v>20253.45</v>
      </c>
      <c r="F783" s="651">
        <v>17772</v>
      </c>
      <c r="G783" s="651">
        <v>97203</v>
      </c>
      <c r="H783" s="651"/>
      <c r="I783" s="652">
        <v>1826.2750000000001</v>
      </c>
      <c r="J783" s="652">
        <v>85181</v>
      </c>
      <c r="K783" s="652">
        <v>6658</v>
      </c>
      <c r="L783" s="651">
        <v>4485</v>
      </c>
      <c r="M783" s="651"/>
      <c r="N783" s="652">
        <v>3406</v>
      </c>
      <c r="O783" s="652">
        <v>31440</v>
      </c>
      <c r="P783" s="652">
        <v>0</v>
      </c>
      <c r="Q783" s="651">
        <v>23108</v>
      </c>
      <c r="R783" s="651"/>
      <c r="S783" s="652">
        <v>25981</v>
      </c>
      <c r="T783" s="653">
        <v>-10027</v>
      </c>
      <c r="U783" s="653">
        <v>15954</v>
      </c>
    </row>
    <row r="784" spans="1:21" x14ac:dyDescent="0.25">
      <c r="A784" s="648">
        <v>98517</v>
      </c>
      <c r="B784" s="649" t="s">
        <v>3319</v>
      </c>
      <c r="C784" s="650">
        <v>2.6000000000000001E-6</v>
      </c>
      <c r="D784" s="650">
        <v>3.3000000000000002E-6</v>
      </c>
      <c r="E784" s="651">
        <v>2175</v>
      </c>
      <c r="F784" s="651">
        <v>1481</v>
      </c>
      <c r="G784" s="651">
        <v>5518</v>
      </c>
      <c r="H784" s="651"/>
      <c r="I784" s="652">
        <v>103.675</v>
      </c>
      <c r="J784" s="652">
        <v>4836</v>
      </c>
      <c r="K784" s="652">
        <v>378</v>
      </c>
      <c r="L784" s="651">
        <v>1036</v>
      </c>
      <c r="M784" s="651"/>
      <c r="N784" s="652">
        <v>193</v>
      </c>
      <c r="O784" s="652">
        <v>1785</v>
      </c>
      <c r="P784" s="652">
        <v>0</v>
      </c>
      <c r="Q784" s="651">
        <v>0</v>
      </c>
      <c r="R784" s="651"/>
      <c r="S784" s="652">
        <v>1475</v>
      </c>
      <c r="T784" s="653">
        <v>354</v>
      </c>
      <c r="U784" s="653">
        <v>1829</v>
      </c>
    </row>
    <row r="785" spans="1:21" x14ac:dyDescent="0.25">
      <c r="A785" s="648">
        <v>98521</v>
      </c>
      <c r="B785" s="649" t="s">
        <v>3320</v>
      </c>
      <c r="C785" s="650">
        <v>5.7059999999999999E-4</v>
      </c>
      <c r="D785" s="650">
        <v>6.3980000000000005E-4</v>
      </c>
      <c r="E785" s="651">
        <v>223042</v>
      </c>
      <c r="F785" s="651">
        <v>287138</v>
      </c>
      <c r="G785" s="651">
        <v>1211004</v>
      </c>
      <c r="H785" s="651"/>
      <c r="I785" s="652">
        <v>22753</v>
      </c>
      <c r="J785" s="652">
        <v>1061226</v>
      </c>
      <c r="K785" s="652">
        <v>82943</v>
      </c>
      <c r="L785" s="651">
        <v>0</v>
      </c>
      <c r="M785" s="651"/>
      <c r="N785" s="652">
        <v>42435</v>
      </c>
      <c r="O785" s="652">
        <v>391693</v>
      </c>
      <c r="P785" s="652">
        <v>0</v>
      </c>
      <c r="Q785" s="651">
        <v>62867</v>
      </c>
      <c r="R785" s="651"/>
      <c r="S785" s="652">
        <v>323684</v>
      </c>
      <c r="T785" s="653">
        <v>-18900</v>
      </c>
      <c r="U785" s="653">
        <v>304784</v>
      </c>
    </row>
    <row r="786" spans="1:21" x14ac:dyDescent="0.25">
      <c r="A786" s="648">
        <v>98601</v>
      </c>
      <c r="B786" s="649" t="s">
        <v>3321</v>
      </c>
      <c r="C786" s="650">
        <v>3.5065999999999999E-3</v>
      </c>
      <c r="D786" s="650">
        <v>3.3880999999999998E-3</v>
      </c>
      <c r="E786" s="651">
        <v>1331350</v>
      </c>
      <c r="F786" s="651">
        <v>1520559</v>
      </c>
      <c r="G786" s="651">
        <v>7442180</v>
      </c>
      <c r="H786" s="651"/>
      <c r="I786" s="652">
        <v>139826</v>
      </c>
      <c r="J786" s="652">
        <v>6521722</v>
      </c>
      <c r="K786" s="652">
        <v>509723</v>
      </c>
      <c r="L786" s="651">
        <v>0</v>
      </c>
      <c r="M786" s="651"/>
      <c r="N786" s="652">
        <v>260782</v>
      </c>
      <c r="O786" s="652">
        <v>2407134</v>
      </c>
      <c r="P786" s="652">
        <v>0</v>
      </c>
      <c r="Q786" s="651">
        <v>160211</v>
      </c>
      <c r="R786" s="651"/>
      <c r="S786" s="652">
        <v>1989185</v>
      </c>
      <c r="T786" s="653">
        <v>-63543</v>
      </c>
      <c r="U786" s="653">
        <v>1925643</v>
      </c>
    </row>
    <row r="787" spans="1:21" x14ac:dyDescent="0.25">
      <c r="A787" s="648">
        <v>98604</v>
      </c>
      <c r="B787" s="649" t="s">
        <v>3322</v>
      </c>
      <c r="C787" s="650">
        <v>1.59E-5</v>
      </c>
      <c r="D787" s="650">
        <v>0</v>
      </c>
      <c r="E787" s="651">
        <v>5854</v>
      </c>
      <c r="F787" s="651">
        <v>0</v>
      </c>
      <c r="G787" s="651">
        <v>33745</v>
      </c>
      <c r="H787" s="651"/>
      <c r="I787" s="652">
        <v>634</v>
      </c>
      <c r="J787" s="652">
        <v>29571</v>
      </c>
      <c r="K787" s="652">
        <v>2311</v>
      </c>
      <c r="L787" s="651">
        <v>8069</v>
      </c>
      <c r="M787" s="651"/>
      <c r="N787" s="652">
        <v>1182</v>
      </c>
      <c r="O787" s="652">
        <v>10915</v>
      </c>
      <c r="P787" s="652">
        <v>0</v>
      </c>
      <c r="Q787" s="651">
        <v>0</v>
      </c>
      <c r="R787" s="651"/>
      <c r="S787" s="652">
        <v>9020</v>
      </c>
      <c r="T787" s="653">
        <v>2090</v>
      </c>
      <c r="U787" s="653">
        <v>11110</v>
      </c>
    </row>
    <row r="788" spans="1:21" x14ac:dyDescent="0.25">
      <c r="A788" s="648">
        <v>98607</v>
      </c>
      <c r="B788" s="649" t="s">
        <v>3323</v>
      </c>
      <c r="C788" s="650">
        <v>5.9000000000000003E-6</v>
      </c>
      <c r="D788" s="650">
        <v>6.0000000000000002E-6</v>
      </c>
      <c r="E788" s="651">
        <v>2400</v>
      </c>
      <c r="F788" s="651">
        <v>2693</v>
      </c>
      <c r="G788" s="651">
        <v>12522</v>
      </c>
      <c r="H788" s="651"/>
      <c r="I788" s="652">
        <v>235</v>
      </c>
      <c r="J788" s="652">
        <v>10973</v>
      </c>
      <c r="K788" s="652">
        <v>858</v>
      </c>
      <c r="L788" s="651">
        <v>0</v>
      </c>
      <c r="M788" s="651"/>
      <c r="N788" s="652">
        <v>439</v>
      </c>
      <c r="O788" s="652">
        <v>4050</v>
      </c>
      <c r="P788" s="652">
        <v>0</v>
      </c>
      <c r="Q788" s="651">
        <v>2348</v>
      </c>
      <c r="R788" s="651"/>
      <c r="S788" s="652">
        <v>3347</v>
      </c>
      <c r="T788" s="653">
        <v>-874</v>
      </c>
      <c r="U788" s="653">
        <v>2473</v>
      </c>
    </row>
    <row r="789" spans="1:21" x14ac:dyDescent="0.25">
      <c r="A789" s="648">
        <v>98608</v>
      </c>
      <c r="B789" s="649" t="s">
        <v>3324</v>
      </c>
      <c r="C789" s="650">
        <v>4.2299999999999998E-5</v>
      </c>
      <c r="D789" s="650">
        <v>5.4500000000000003E-5</v>
      </c>
      <c r="E789" s="651">
        <v>16593</v>
      </c>
      <c r="F789" s="651">
        <v>24459</v>
      </c>
      <c r="G789" s="651">
        <v>89775</v>
      </c>
      <c r="H789" s="651"/>
      <c r="I789" s="652">
        <v>1687</v>
      </c>
      <c r="J789" s="652">
        <v>78671</v>
      </c>
      <c r="K789" s="652">
        <v>6149</v>
      </c>
      <c r="L789" s="651">
        <v>6369</v>
      </c>
      <c r="M789" s="651"/>
      <c r="N789" s="652">
        <v>3146</v>
      </c>
      <c r="O789" s="652">
        <v>29037</v>
      </c>
      <c r="P789" s="652">
        <v>0</v>
      </c>
      <c r="Q789" s="651">
        <v>7247</v>
      </c>
      <c r="R789" s="651"/>
      <c r="S789" s="652">
        <v>23995</v>
      </c>
      <c r="T789" s="653">
        <v>566</v>
      </c>
      <c r="U789" s="653">
        <v>24562</v>
      </c>
    </row>
    <row r="790" spans="1:21" x14ac:dyDescent="0.25">
      <c r="A790" s="648">
        <v>98611</v>
      </c>
      <c r="B790" s="649" t="s">
        <v>3325</v>
      </c>
      <c r="C790" s="650">
        <v>8.6700000000000007E-5</v>
      </c>
      <c r="D790" s="650">
        <v>1.2129999999999999E-4</v>
      </c>
      <c r="E790" s="651">
        <v>43078</v>
      </c>
      <c r="F790" s="651">
        <v>54439</v>
      </c>
      <c r="G790" s="651">
        <v>184006</v>
      </c>
      <c r="H790" s="651"/>
      <c r="I790" s="652">
        <v>3457</v>
      </c>
      <c r="J790" s="652">
        <v>161248</v>
      </c>
      <c r="K790" s="652">
        <v>12603</v>
      </c>
      <c r="L790" s="651">
        <v>4723</v>
      </c>
      <c r="M790" s="651"/>
      <c r="N790" s="652">
        <v>6448</v>
      </c>
      <c r="O790" s="652">
        <v>59516</v>
      </c>
      <c r="P790" s="652">
        <v>0</v>
      </c>
      <c r="Q790" s="651">
        <v>12848</v>
      </c>
      <c r="R790" s="651"/>
      <c r="S790" s="652">
        <v>49182</v>
      </c>
      <c r="T790" s="653">
        <v>-1131</v>
      </c>
      <c r="U790" s="653">
        <v>48051</v>
      </c>
    </row>
    <row r="791" spans="1:21" x14ac:dyDescent="0.25">
      <c r="A791" s="648">
        <v>98621</v>
      </c>
      <c r="B791" s="649" t="s">
        <v>3326</v>
      </c>
      <c r="C791" s="650">
        <v>1.3239999999999999E-4</v>
      </c>
      <c r="D791" s="650">
        <v>1.2740000000000001E-4</v>
      </c>
      <c r="E791" s="651">
        <v>45779.06</v>
      </c>
      <c r="F791" s="651">
        <v>57176</v>
      </c>
      <c r="G791" s="651">
        <v>280997</v>
      </c>
      <c r="H791" s="651"/>
      <c r="I791" s="652">
        <v>5279.45</v>
      </c>
      <c r="J791" s="652">
        <v>246243</v>
      </c>
      <c r="K791" s="652">
        <v>19246</v>
      </c>
      <c r="L791" s="651">
        <v>951</v>
      </c>
      <c r="M791" s="651"/>
      <c r="N791" s="652">
        <v>9846</v>
      </c>
      <c r="O791" s="652">
        <v>90887</v>
      </c>
      <c r="P791" s="652">
        <v>0</v>
      </c>
      <c r="Q791" s="651">
        <v>9470</v>
      </c>
      <c r="R791" s="651"/>
      <c r="S791" s="652">
        <v>75106</v>
      </c>
      <c r="T791" s="653">
        <v>-2481</v>
      </c>
      <c r="U791" s="653">
        <v>72625</v>
      </c>
    </row>
    <row r="792" spans="1:21" x14ac:dyDescent="0.25">
      <c r="A792" s="648">
        <v>98627</v>
      </c>
      <c r="B792" s="649" t="s">
        <v>3327</v>
      </c>
      <c r="C792" s="650">
        <v>9.3999999999999998E-6</v>
      </c>
      <c r="D792" s="650">
        <v>7.4000000000000003E-6</v>
      </c>
      <c r="E792" s="651">
        <v>3039</v>
      </c>
      <c r="F792" s="651">
        <v>3321</v>
      </c>
      <c r="G792" s="651">
        <v>19950</v>
      </c>
      <c r="H792" s="651"/>
      <c r="I792" s="652">
        <v>374.82499999999999</v>
      </c>
      <c r="J792" s="652">
        <v>17483</v>
      </c>
      <c r="K792" s="652">
        <v>1366</v>
      </c>
      <c r="L792" s="651">
        <v>426</v>
      </c>
      <c r="M792" s="651"/>
      <c r="N792" s="652">
        <v>699</v>
      </c>
      <c r="O792" s="652">
        <v>6453</v>
      </c>
      <c r="P792" s="652">
        <v>0</v>
      </c>
      <c r="Q792" s="651">
        <v>202</v>
      </c>
      <c r="R792" s="651"/>
      <c r="S792" s="652">
        <v>5332</v>
      </c>
      <c r="T792" s="653">
        <v>25</v>
      </c>
      <c r="U792" s="653">
        <v>5357</v>
      </c>
    </row>
    <row r="793" spans="1:21" x14ac:dyDescent="0.25">
      <c r="A793" s="648">
        <v>98631</v>
      </c>
      <c r="B793" s="649" t="s">
        <v>3328</v>
      </c>
      <c r="C793" s="650">
        <v>1.0415000000000001E-3</v>
      </c>
      <c r="D793" s="650">
        <v>1.1375000000000001E-3</v>
      </c>
      <c r="E793" s="651">
        <v>412487</v>
      </c>
      <c r="F793" s="651">
        <v>510503</v>
      </c>
      <c r="G793" s="651">
        <v>2210412</v>
      </c>
      <c r="H793" s="651"/>
      <c r="I793" s="652">
        <v>41530</v>
      </c>
      <c r="J793" s="652">
        <v>1937025</v>
      </c>
      <c r="K793" s="652">
        <v>151393</v>
      </c>
      <c r="L793" s="651">
        <v>0</v>
      </c>
      <c r="M793" s="651"/>
      <c r="N793" s="652">
        <v>77455</v>
      </c>
      <c r="O793" s="652">
        <v>714946</v>
      </c>
      <c r="P793" s="652">
        <v>0</v>
      </c>
      <c r="Q793" s="651">
        <v>118586</v>
      </c>
      <c r="R793" s="651"/>
      <c r="S793" s="652">
        <v>590811</v>
      </c>
      <c r="T793" s="653">
        <v>-36690</v>
      </c>
      <c r="U793" s="653">
        <v>554121</v>
      </c>
    </row>
    <row r="794" spans="1:21" x14ac:dyDescent="0.25">
      <c r="A794" s="648">
        <v>98637</v>
      </c>
      <c r="B794" s="649" t="s">
        <v>3329</v>
      </c>
      <c r="C794" s="650">
        <v>2.2200000000000001E-5</v>
      </c>
      <c r="D794" s="650">
        <v>2.3499999999999999E-5</v>
      </c>
      <c r="E794" s="651">
        <v>14030</v>
      </c>
      <c r="F794" s="651">
        <v>10547</v>
      </c>
      <c r="G794" s="651">
        <v>47116</v>
      </c>
      <c r="H794" s="651"/>
      <c r="I794" s="652">
        <v>885.22500000000002</v>
      </c>
      <c r="J794" s="652">
        <v>41288</v>
      </c>
      <c r="K794" s="652">
        <v>3227</v>
      </c>
      <c r="L794" s="651">
        <v>6585</v>
      </c>
      <c r="M794" s="651"/>
      <c r="N794" s="652">
        <v>1651</v>
      </c>
      <c r="O794" s="652">
        <v>15239</v>
      </c>
      <c r="P794" s="652">
        <v>0</v>
      </c>
      <c r="Q794" s="651">
        <v>0</v>
      </c>
      <c r="R794" s="651"/>
      <c r="S794" s="652">
        <v>12593</v>
      </c>
      <c r="T794" s="653">
        <v>2204</v>
      </c>
      <c r="U794" s="653">
        <v>14798</v>
      </c>
    </row>
    <row r="795" spans="1:21" x14ac:dyDescent="0.25">
      <c r="A795" s="648">
        <v>98641</v>
      </c>
      <c r="B795" s="649" t="s">
        <v>3330</v>
      </c>
      <c r="C795" s="650">
        <v>3.0019999999999998E-4</v>
      </c>
      <c r="D795" s="650">
        <v>3.1819999999999998E-4</v>
      </c>
      <c r="E795" s="651">
        <v>122410</v>
      </c>
      <c r="F795" s="651">
        <v>142806</v>
      </c>
      <c r="G795" s="651">
        <v>637125</v>
      </c>
      <c r="H795" s="651"/>
      <c r="I795" s="652">
        <v>11970</v>
      </c>
      <c r="J795" s="652">
        <v>558325</v>
      </c>
      <c r="K795" s="652">
        <v>43637</v>
      </c>
      <c r="L795" s="651">
        <v>4514</v>
      </c>
      <c r="M795" s="651"/>
      <c r="N795" s="652">
        <v>22326</v>
      </c>
      <c r="O795" s="652">
        <v>206075</v>
      </c>
      <c r="P795" s="652">
        <v>0</v>
      </c>
      <c r="Q795" s="651">
        <v>10581</v>
      </c>
      <c r="R795" s="651"/>
      <c r="S795" s="652">
        <v>170294</v>
      </c>
      <c r="T795" s="653">
        <v>-473</v>
      </c>
      <c r="U795" s="653">
        <v>169821</v>
      </c>
    </row>
    <row r="796" spans="1:21" x14ac:dyDescent="0.25">
      <c r="A796" s="648">
        <v>98647</v>
      </c>
      <c r="B796" s="649" t="s">
        <v>3331</v>
      </c>
      <c r="C796" s="650">
        <v>0</v>
      </c>
      <c r="D796" s="650">
        <v>1.24E-5</v>
      </c>
      <c r="E796" s="651">
        <v>0</v>
      </c>
      <c r="F796" s="651">
        <v>5565</v>
      </c>
      <c r="G796" s="651">
        <v>0</v>
      </c>
      <c r="H796" s="651"/>
      <c r="I796" s="652">
        <v>0</v>
      </c>
      <c r="J796" s="652">
        <v>0</v>
      </c>
      <c r="K796" s="652">
        <v>0</v>
      </c>
      <c r="L796" s="651">
        <v>4884</v>
      </c>
      <c r="M796" s="651"/>
      <c r="N796" s="652">
        <v>0</v>
      </c>
      <c r="O796" s="652">
        <v>0</v>
      </c>
      <c r="P796" s="652">
        <v>0</v>
      </c>
      <c r="Q796" s="651">
        <v>6717</v>
      </c>
      <c r="R796" s="651"/>
      <c r="S796" s="652">
        <v>0</v>
      </c>
      <c r="T796" s="653">
        <v>178</v>
      </c>
      <c r="U796" s="653">
        <v>178</v>
      </c>
    </row>
    <row r="797" spans="1:21" x14ac:dyDescent="0.25">
      <c r="A797" s="648">
        <v>98701</v>
      </c>
      <c r="B797" s="649" t="s">
        <v>3332</v>
      </c>
      <c r="C797" s="650">
        <v>1.1793000000000001E-3</v>
      </c>
      <c r="D797" s="650">
        <v>1.0842E-3</v>
      </c>
      <c r="E797" s="651">
        <v>425946.13</v>
      </c>
      <c r="F797" s="651">
        <v>486582</v>
      </c>
      <c r="G797" s="651">
        <v>2502870</v>
      </c>
      <c r="H797" s="651"/>
      <c r="I797" s="652">
        <v>47025</v>
      </c>
      <c r="J797" s="652">
        <v>2193312</v>
      </c>
      <c r="K797" s="652">
        <v>171424</v>
      </c>
      <c r="L797" s="651">
        <v>4631</v>
      </c>
      <c r="M797" s="651"/>
      <c r="N797" s="652">
        <v>87703</v>
      </c>
      <c r="O797" s="652">
        <v>809540</v>
      </c>
      <c r="P797" s="652">
        <v>0</v>
      </c>
      <c r="Q797" s="651">
        <v>48875</v>
      </c>
      <c r="R797" s="651"/>
      <c r="S797" s="652">
        <v>668980</v>
      </c>
      <c r="T797" s="653">
        <v>-17040</v>
      </c>
      <c r="U797" s="653">
        <v>651940</v>
      </c>
    </row>
    <row r="798" spans="1:21" x14ac:dyDescent="0.25">
      <c r="A798" s="648">
        <v>98711</v>
      </c>
      <c r="B798" s="649" t="s">
        <v>3333</v>
      </c>
      <c r="C798" s="650">
        <v>1.8039999999999999E-4</v>
      </c>
      <c r="D798" s="650">
        <v>1.7589999999999999E-4</v>
      </c>
      <c r="E798" s="651">
        <v>62580</v>
      </c>
      <c r="F798" s="651">
        <v>78943</v>
      </c>
      <c r="G798" s="651">
        <v>382869</v>
      </c>
      <c r="H798" s="651"/>
      <c r="I798" s="652">
        <v>7193.45</v>
      </c>
      <c r="J798" s="652">
        <v>335515</v>
      </c>
      <c r="K798" s="652">
        <v>26223</v>
      </c>
      <c r="L798" s="651">
        <v>2488</v>
      </c>
      <c r="M798" s="651"/>
      <c r="N798" s="652">
        <v>13416</v>
      </c>
      <c r="O798" s="652">
        <v>123837</v>
      </c>
      <c r="P798" s="652">
        <v>0</v>
      </c>
      <c r="Q798" s="651">
        <v>10451</v>
      </c>
      <c r="R798" s="651"/>
      <c r="S798" s="652">
        <v>102335</v>
      </c>
      <c r="T798" s="653">
        <v>-1808</v>
      </c>
      <c r="U798" s="653">
        <v>100527</v>
      </c>
    </row>
    <row r="799" spans="1:21" x14ac:dyDescent="0.25">
      <c r="A799" s="648">
        <v>98717</v>
      </c>
      <c r="B799" s="649" t="s">
        <v>3334</v>
      </c>
      <c r="C799" s="650">
        <v>1.8600000000000001E-5</v>
      </c>
      <c r="D799" s="650">
        <v>1.98E-5</v>
      </c>
      <c r="E799" s="651">
        <v>7761</v>
      </c>
      <c r="F799" s="651">
        <v>8886</v>
      </c>
      <c r="G799" s="651">
        <v>39475</v>
      </c>
      <c r="H799" s="651"/>
      <c r="I799" s="652">
        <v>742</v>
      </c>
      <c r="J799" s="652">
        <v>34593</v>
      </c>
      <c r="K799" s="652">
        <v>2704</v>
      </c>
      <c r="L799" s="651">
        <v>783</v>
      </c>
      <c r="M799" s="651"/>
      <c r="N799" s="652">
        <v>1383</v>
      </c>
      <c r="O799" s="652">
        <v>12768</v>
      </c>
      <c r="P799" s="652">
        <v>0</v>
      </c>
      <c r="Q799" s="651">
        <v>798</v>
      </c>
      <c r="R799" s="651"/>
      <c r="S799" s="652">
        <v>10551</v>
      </c>
      <c r="T799" s="653">
        <v>13</v>
      </c>
      <c r="U799" s="653">
        <v>10565</v>
      </c>
    </row>
    <row r="800" spans="1:21" x14ac:dyDescent="0.25">
      <c r="A800" s="648">
        <v>98801</v>
      </c>
      <c r="B800" s="649" t="s">
        <v>3335</v>
      </c>
      <c r="C800" s="650">
        <v>2.1771999999999998E-3</v>
      </c>
      <c r="D800" s="650">
        <v>2.1686000000000001E-3</v>
      </c>
      <c r="E800" s="651">
        <v>916501</v>
      </c>
      <c r="F800" s="651">
        <v>973255</v>
      </c>
      <c r="G800" s="651">
        <v>4620748</v>
      </c>
      <c r="H800" s="651"/>
      <c r="I800" s="652">
        <v>86816</v>
      </c>
      <c r="J800" s="652">
        <v>4049248</v>
      </c>
      <c r="K800" s="652">
        <v>316480</v>
      </c>
      <c r="L800" s="651">
        <v>92904</v>
      </c>
      <c r="M800" s="651"/>
      <c r="N800" s="652">
        <v>161916</v>
      </c>
      <c r="O800" s="652">
        <v>1494556</v>
      </c>
      <c r="P800" s="652">
        <v>0</v>
      </c>
      <c r="Q800" s="651">
        <v>0</v>
      </c>
      <c r="R800" s="651"/>
      <c r="S800" s="652">
        <v>1235058</v>
      </c>
      <c r="T800" s="653">
        <v>33821</v>
      </c>
      <c r="U800" s="653">
        <v>1268879</v>
      </c>
    </row>
    <row r="801" spans="1:21" x14ac:dyDescent="0.25">
      <c r="A801" s="648">
        <v>98811</v>
      </c>
      <c r="B801" s="649" t="s">
        <v>3336</v>
      </c>
      <c r="C801" s="650">
        <v>7.1120000000000005E-4</v>
      </c>
      <c r="D801" s="650">
        <v>7.737E-4</v>
      </c>
      <c r="E801" s="651">
        <v>290528</v>
      </c>
      <c r="F801" s="651">
        <v>347232</v>
      </c>
      <c r="G801" s="651">
        <v>1509405</v>
      </c>
      <c r="H801" s="651"/>
      <c r="I801" s="652">
        <v>28359</v>
      </c>
      <c r="J801" s="652">
        <v>1322720</v>
      </c>
      <c r="K801" s="652">
        <v>103381</v>
      </c>
      <c r="L801" s="651">
        <v>31001</v>
      </c>
      <c r="M801" s="651"/>
      <c r="N801" s="652">
        <v>52891</v>
      </c>
      <c r="O801" s="652">
        <v>488209</v>
      </c>
      <c r="P801" s="652">
        <v>0</v>
      </c>
      <c r="Q801" s="651">
        <v>35404</v>
      </c>
      <c r="R801" s="651"/>
      <c r="S801" s="652">
        <v>403442</v>
      </c>
      <c r="T801" s="653">
        <v>4854</v>
      </c>
      <c r="U801" s="653">
        <v>408295</v>
      </c>
    </row>
    <row r="802" spans="1:21" x14ac:dyDescent="0.25">
      <c r="A802" s="648">
        <v>98817</v>
      </c>
      <c r="B802" s="649" t="s">
        <v>3337</v>
      </c>
      <c r="C802" s="650">
        <v>2.34E-5</v>
      </c>
      <c r="D802" s="650">
        <v>2.6400000000000001E-5</v>
      </c>
      <c r="E802" s="651">
        <v>11958.25</v>
      </c>
      <c r="F802" s="651">
        <v>11848</v>
      </c>
      <c r="G802" s="651">
        <v>49663</v>
      </c>
      <c r="H802" s="651"/>
      <c r="I802" s="652">
        <v>933</v>
      </c>
      <c r="J802" s="652">
        <v>43520</v>
      </c>
      <c r="K802" s="652">
        <v>3401</v>
      </c>
      <c r="L802" s="651">
        <v>244</v>
      </c>
      <c r="M802" s="651"/>
      <c r="N802" s="652">
        <v>1740</v>
      </c>
      <c r="O802" s="652">
        <v>16063</v>
      </c>
      <c r="P802" s="652">
        <v>0</v>
      </c>
      <c r="Q802" s="651">
        <v>4380</v>
      </c>
      <c r="R802" s="651"/>
      <c r="S802" s="652">
        <v>13274</v>
      </c>
      <c r="T802" s="653">
        <v>-2136</v>
      </c>
      <c r="U802" s="653">
        <v>11138</v>
      </c>
    </row>
    <row r="803" spans="1:21" x14ac:dyDescent="0.25">
      <c r="A803" s="648">
        <v>98901</v>
      </c>
      <c r="B803" s="649" t="s">
        <v>3338</v>
      </c>
      <c r="C803" s="650">
        <v>3.392E-4</v>
      </c>
      <c r="D803" s="650">
        <v>3.4190000000000002E-4</v>
      </c>
      <c r="E803" s="651">
        <v>138121</v>
      </c>
      <c r="F803" s="651">
        <v>153443</v>
      </c>
      <c r="G803" s="651">
        <v>719896</v>
      </c>
      <c r="H803" s="651"/>
      <c r="I803" s="652">
        <v>13525.6</v>
      </c>
      <c r="J803" s="652">
        <v>630858</v>
      </c>
      <c r="K803" s="652">
        <v>49306</v>
      </c>
      <c r="L803" s="651">
        <v>2099</v>
      </c>
      <c r="M803" s="651"/>
      <c r="N803" s="652">
        <v>25226</v>
      </c>
      <c r="O803" s="652">
        <v>232847</v>
      </c>
      <c r="P803" s="652">
        <v>0</v>
      </c>
      <c r="Q803" s="651">
        <v>3837</v>
      </c>
      <c r="R803" s="651"/>
      <c r="S803" s="652">
        <v>192418</v>
      </c>
      <c r="T803" s="653">
        <v>-562</v>
      </c>
      <c r="U803" s="653">
        <v>191855</v>
      </c>
    </row>
    <row r="804" spans="1:21" x14ac:dyDescent="0.25">
      <c r="A804" s="648">
        <v>98904</v>
      </c>
      <c r="B804" s="649" t="s">
        <v>3339</v>
      </c>
      <c r="C804" s="650">
        <v>5.2000000000000002E-6</v>
      </c>
      <c r="D804" s="650">
        <v>3.4000000000000001E-6</v>
      </c>
      <c r="E804" s="651">
        <v>0</v>
      </c>
      <c r="F804" s="651">
        <v>1526</v>
      </c>
      <c r="G804" s="651">
        <v>11036</v>
      </c>
      <c r="H804" s="651"/>
      <c r="I804" s="652">
        <v>207.35</v>
      </c>
      <c r="J804" s="652">
        <v>9671</v>
      </c>
      <c r="K804" s="652">
        <v>756</v>
      </c>
      <c r="L804" s="651">
        <v>575</v>
      </c>
      <c r="M804" s="651"/>
      <c r="N804" s="652">
        <v>387</v>
      </c>
      <c r="O804" s="652">
        <v>3570</v>
      </c>
      <c r="P804" s="652">
        <v>0</v>
      </c>
      <c r="Q804" s="651">
        <v>723</v>
      </c>
      <c r="R804" s="651"/>
      <c r="S804" s="652">
        <v>2950</v>
      </c>
      <c r="T804" s="653">
        <v>22</v>
      </c>
      <c r="U804" s="653">
        <v>2972</v>
      </c>
    </row>
    <row r="805" spans="1:21" x14ac:dyDescent="0.25">
      <c r="A805" s="648">
        <v>98911</v>
      </c>
      <c r="B805" s="649" t="s">
        <v>3340</v>
      </c>
      <c r="C805" s="650">
        <v>2.8600000000000001E-5</v>
      </c>
      <c r="D805" s="650">
        <v>2.5899999999999999E-5</v>
      </c>
      <c r="E805" s="651">
        <v>16745</v>
      </c>
      <c r="F805" s="651">
        <v>11624</v>
      </c>
      <c r="G805" s="651">
        <v>60699</v>
      </c>
      <c r="H805" s="651"/>
      <c r="I805" s="652">
        <v>1140.425</v>
      </c>
      <c r="J805" s="652">
        <v>53191</v>
      </c>
      <c r="K805" s="652">
        <v>4157</v>
      </c>
      <c r="L805" s="651">
        <v>13795</v>
      </c>
      <c r="M805" s="651"/>
      <c r="N805" s="652">
        <v>2127</v>
      </c>
      <c r="O805" s="652">
        <v>19633</v>
      </c>
      <c r="P805" s="652">
        <v>0</v>
      </c>
      <c r="Q805" s="651">
        <v>0</v>
      </c>
      <c r="R805" s="651"/>
      <c r="S805" s="652">
        <v>16224</v>
      </c>
      <c r="T805" s="653">
        <v>4655</v>
      </c>
      <c r="U805" s="653">
        <v>20879</v>
      </c>
    </row>
    <row r="806" spans="1:21" x14ac:dyDescent="0.25">
      <c r="A806" s="648">
        <v>99001</v>
      </c>
      <c r="B806" s="649" t="s">
        <v>3341</v>
      </c>
      <c r="C806" s="650">
        <v>7.8098999999999998E-3</v>
      </c>
      <c r="D806" s="650">
        <v>7.5116999999999996E-3</v>
      </c>
      <c r="E806" s="651">
        <v>3132308</v>
      </c>
      <c r="F806" s="651">
        <v>3371206</v>
      </c>
      <c r="G806" s="651">
        <v>16575224</v>
      </c>
      <c r="H806" s="651"/>
      <c r="I806" s="652">
        <v>311420</v>
      </c>
      <c r="J806" s="652">
        <v>14525180</v>
      </c>
      <c r="K806" s="652">
        <v>1135255</v>
      </c>
      <c r="L806" s="651">
        <v>444444</v>
      </c>
      <c r="M806" s="651"/>
      <c r="N806" s="652">
        <v>580814</v>
      </c>
      <c r="O806" s="652">
        <v>5361168</v>
      </c>
      <c r="P806" s="652">
        <v>0</v>
      </c>
      <c r="Q806" s="651">
        <v>0</v>
      </c>
      <c r="R806" s="651"/>
      <c r="S806" s="652">
        <v>4430314</v>
      </c>
      <c r="T806" s="653">
        <v>166582</v>
      </c>
      <c r="U806" s="653">
        <v>4596896</v>
      </c>
    </row>
    <row r="807" spans="1:21" x14ac:dyDescent="0.25">
      <c r="A807" s="648">
        <v>99011</v>
      </c>
      <c r="B807" s="649" t="s">
        <v>3342</v>
      </c>
      <c r="C807" s="650">
        <v>3.9039000000000001E-3</v>
      </c>
      <c r="D807" s="650">
        <v>4.3128999999999997E-3</v>
      </c>
      <c r="E807" s="651">
        <v>1564249</v>
      </c>
      <c r="F807" s="651">
        <v>1935604</v>
      </c>
      <c r="G807" s="651">
        <v>8285384</v>
      </c>
      <c r="H807" s="651"/>
      <c r="I807" s="652">
        <v>155668</v>
      </c>
      <c r="J807" s="652">
        <v>7260637</v>
      </c>
      <c r="K807" s="652">
        <v>567475</v>
      </c>
      <c r="L807" s="651">
        <v>0</v>
      </c>
      <c r="M807" s="651"/>
      <c r="N807" s="652">
        <v>290329</v>
      </c>
      <c r="O807" s="652">
        <v>2679863</v>
      </c>
      <c r="P807" s="652">
        <v>0</v>
      </c>
      <c r="Q807" s="651">
        <v>573396</v>
      </c>
      <c r="R807" s="651"/>
      <c r="S807" s="652">
        <v>2214561</v>
      </c>
      <c r="T807" s="653">
        <v>-205801</v>
      </c>
      <c r="U807" s="653">
        <v>2008761</v>
      </c>
    </row>
    <row r="808" spans="1:21" x14ac:dyDescent="0.25">
      <c r="A808" s="648">
        <v>99013</v>
      </c>
      <c r="B808" s="649" t="s">
        <v>3343</v>
      </c>
      <c r="C808" s="650">
        <v>6.02E-5</v>
      </c>
      <c r="D808" s="650">
        <v>7.2299999999999996E-5</v>
      </c>
      <c r="E808" s="651">
        <v>23490.16</v>
      </c>
      <c r="F808" s="651">
        <v>32448</v>
      </c>
      <c r="G808" s="651">
        <v>127765</v>
      </c>
      <c r="H808" s="651"/>
      <c r="I808" s="652">
        <v>2400.4749999999999</v>
      </c>
      <c r="J808" s="652">
        <v>111962</v>
      </c>
      <c r="K808" s="652">
        <v>8751</v>
      </c>
      <c r="L808" s="651">
        <v>20</v>
      </c>
      <c r="M808" s="651"/>
      <c r="N808" s="652">
        <v>4477</v>
      </c>
      <c r="O808" s="652">
        <v>41325</v>
      </c>
      <c r="P808" s="652">
        <v>0</v>
      </c>
      <c r="Q808" s="651">
        <v>8750</v>
      </c>
      <c r="R808" s="651"/>
      <c r="S808" s="652">
        <v>34150</v>
      </c>
      <c r="T808" s="653">
        <v>-2370</v>
      </c>
      <c r="U808" s="653">
        <v>31779</v>
      </c>
    </row>
    <row r="809" spans="1:21" x14ac:dyDescent="0.25">
      <c r="A809" s="648">
        <v>99014</v>
      </c>
      <c r="B809" s="649" t="s">
        <v>3344</v>
      </c>
      <c r="C809" s="650">
        <v>2.4199999999999999E-5</v>
      </c>
      <c r="D809" s="650">
        <v>0</v>
      </c>
      <c r="E809" s="651">
        <v>13216.55</v>
      </c>
      <c r="F809" s="651">
        <v>0</v>
      </c>
      <c r="G809" s="651">
        <v>51361</v>
      </c>
      <c r="H809" s="651"/>
      <c r="I809" s="652">
        <v>965</v>
      </c>
      <c r="J809" s="652">
        <v>45008</v>
      </c>
      <c r="K809" s="652">
        <v>3518</v>
      </c>
      <c r="L809" s="651">
        <v>15702</v>
      </c>
      <c r="M809" s="651"/>
      <c r="N809" s="652">
        <v>1800</v>
      </c>
      <c r="O809" s="652">
        <v>16612</v>
      </c>
      <c r="P809" s="652">
        <v>0</v>
      </c>
      <c r="Q809" s="651">
        <v>0</v>
      </c>
      <c r="R809" s="651"/>
      <c r="S809" s="652">
        <v>13728</v>
      </c>
      <c r="T809" s="653">
        <v>4068</v>
      </c>
      <c r="U809" s="653">
        <v>17796</v>
      </c>
    </row>
    <row r="810" spans="1:21" x14ac:dyDescent="0.25">
      <c r="A810" s="648">
        <v>99017</v>
      </c>
      <c r="B810" s="649" t="s">
        <v>3345</v>
      </c>
      <c r="C810" s="650">
        <v>4.6999999999999997E-5</v>
      </c>
      <c r="D810" s="650">
        <v>4.1199999999999999E-5</v>
      </c>
      <c r="E810" s="651">
        <v>19641</v>
      </c>
      <c r="F810" s="651">
        <v>18490</v>
      </c>
      <c r="G810" s="651">
        <v>99750</v>
      </c>
      <c r="H810" s="651"/>
      <c r="I810" s="652">
        <v>1874.125</v>
      </c>
      <c r="J810" s="652">
        <v>87413</v>
      </c>
      <c r="K810" s="652">
        <v>6832</v>
      </c>
      <c r="L810" s="651">
        <v>5674</v>
      </c>
      <c r="M810" s="651"/>
      <c r="N810" s="652">
        <v>3495</v>
      </c>
      <c r="O810" s="652">
        <v>32264</v>
      </c>
      <c r="P810" s="652">
        <v>0</v>
      </c>
      <c r="Q810" s="651">
        <v>6645</v>
      </c>
      <c r="R810" s="651"/>
      <c r="S810" s="652">
        <v>26662</v>
      </c>
      <c r="T810" s="653">
        <v>-1651</v>
      </c>
      <c r="U810" s="653">
        <v>25011</v>
      </c>
    </row>
    <row r="811" spans="1:21" x14ac:dyDescent="0.25">
      <c r="A811" s="648">
        <v>99021</v>
      </c>
      <c r="B811" s="649" t="s">
        <v>3346</v>
      </c>
      <c r="C811" s="650">
        <v>1.3420000000000001E-4</v>
      </c>
      <c r="D811" s="650">
        <v>1.3990000000000001E-4</v>
      </c>
      <c r="E811" s="651">
        <v>57840</v>
      </c>
      <c r="F811" s="651">
        <v>62786</v>
      </c>
      <c r="G811" s="651">
        <v>284817</v>
      </c>
      <c r="H811" s="651"/>
      <c r="I811" s="652">
        <v>5351</v>
      </c>
      <c r="J811" s="652">
        <v>249591</v>
      </c>
      <c r="K811" s="652">
        <v>19507</v>
      </c>
      <c r="L811" s="651">
        <v>5869</v>
      </c>
      <c r="M811" s="651"/>
      <c r="N811" s="652">
        <v>9980</v>
      </c>
      <c r="O811" s="652">
        <v>92123</v>
      </c>
      <c r="P811" s="652">
        <v>0</v>
      </c>
      <c r="Q811" s="651">
        <v>982</v>
      </c>
      <c r="R811" s="651"/>
      <c r="S811" s="652">
        <v>76127</v>
      </c>
      <c r="T811" s="653">
        <v>1992</v>
      </c>
      <c r="U811" s="653">
        <v>78120</v>
      </c>
    </row>
    <row r="812" spans="1:21" x14ac:dyDescent="0.25">
      <c r="A812" s="648">
        <v>99022</v>
      </c>
      <c r="B812" s="649" t="s">
        <v>1945</v>
      </c>
      <c r="C812" s="650">
        <v>1.1800000000000001E-5</v>
      </c>
      <c r="D812" s="650">
        <v>1.33E-5</v>
      </c>
      <c r="E812" s="651">
        <v>10517</v>
      </c>
      <c r="F812" s="651">
        <v>5969</v>
      </c>
      <c r="G812" s="651">
        <v>25044</v>
      </c>
      <c r="H812" s="651"/>
      <c r="I812" s="652">
        <v>471</v>
      </c>
      <c r="J812" s="652">
        <v>21946</v>
      </c>
      <c r="K812" s="652">
        <v>1715</v>
      </c>
      <c r="L812" s="651">
        <v>6383</v>
      </c>
      <c r="M812" s="651"/>
      <c r="N812" s="652">
        <v>878</v>
      </c>
      <c r="O812" s="652">
        <v>8100</v>
      </c>
      <c r="P812" s="652">
        <v>0</v>
      </c>
      <c r="Q812" s="651">
        <v>264.67</v>
      </c>
      <c r="R812" s="651"/>
      <c r="S812" s="652">
        <v>6694</v>
      </c>
      <c r="T812" s="653">
        <v>1778</v>
      </c>
      <c r="U812" s="653">
        <v>8472</v>
      </c>
    </row>
    <row r="813" spans="1:21" x14ac:dyDescent="0.25">
      <c r="A813" s="648">
        <v>99031</v>
      </c>
      <c r="B813" s="649" t="s">
        <v>3347</v>
      </c>
      <c r="C813" s="650">
        <v>1.5970000000000001E-4</v>
      </c>
      <c r="D813" s="650">
        <v>1.2860000000000001E-4</v>
      </c>
      <c r="E813" s="651">
        <v>49299</v>
      </c>
      <c r="F813" s="651">
        <v>57715</v>
      </c>
      <c r="G813" s="651">
        <v>338937</v>
      </c>
      <c r="H813" s="651"/>
      <c r="I813" s="652">
        <v>6368</v>
      </c>
      <c r="J813" s="652">
        <v>297017</v>
      </c>
      <c r="K813" s="652">
        <v>23214</v>
      </c>
      <c r="L813" s="651">
        <v>3840</v>
      </c>
      <c r="M813" s="651"/>
      <c r="N813" s="652">
        <v>11877</v>
      </c>
      <c r="O813" s="652">
        <v>109627</v>
      </c>
      <c r="P813" s="652">
        <v>0</v>
      </c>
      <c r="Q813" s="651">
        <v>20151</v>
      </c>
      <c r="R813" s="651"/>
      <c r="S813" s="652">
        <v>90593</v>
      </c>
      <c r="T813" s="653">
        <v>-8432</v>
      </c>
      <c r="U813" s="653">
        <v>82161</v>
      </c>
    </row>
    <row r="814" spans="1:21" x14ac:dyDescent="0.25">
      <c r="A814" s="648">
        <v>99041</v>
      </c>
      <c r="B814" s="649" t="s">
        <v>3348</v>
      </c>
      <c r="C814" s="650">
        <v>5.6289999999999997E-4</v>
      </c>
      <c r="D814" s="650">
        <v>5.0670000000000001E-4</v>
      </c>
      <c r="E814" s="651">
        <v>202619</v>
      </c>
      <c r="F814" s="651">
        <v>227404</v>
      </c>
      <c r="G814" s="651">
        <v>1194662</v>
      </c>
      <c r="H814" s="651"/>
      <c r="I814" s="652">
        <v>22446</v>
      </c>
      <c r="J814" s="652">
        <v>1046905</v>
      </c>
      <c r="K814" s="652">
        <v>81824</v>
      </c>
      <c r="L814" s="651">
        <v>59009</v>
      </c>
      <c r="M814" s="651"/>
      <c r="N814" s="652">
        <v>41862</v>
      </c>
      <c r="O814" s="652">
        <v>386407</v>
      </c>
      <c r="P814" s="652">
        <v>0</v>
      </c>
      <c r="Q814" s="651">
        <v>0</v>
      </c>
      <c r="R814" s="651"/>
      <c r="S814" s="652">
        <v>319316</v>
      </c>
      <c r="T814" s="653">
        <v>24415</v>
      </c>
      <c r="U814" s="653">
        <v>343731</v>
      </c>
    </row>
    <row r="815" spans="1:21" x14ac:dyDescent="0.25">
      <c r="A815" s="648">
        <v>99047</v>
      </c>
      <c r="B815" s="649" t="s">
        <v>3349</v>
      </c>
      <c r="C815" s="650">
        <v>9.2E-6</v>
      </c>
      <c r="D815" s="650">
        <v>1.19E-5</v>
      </c>
      <c r="E815" s="651">
        <v>6483</v>
      </c>
      <c r="F815" s="651">
        <v>5341</v>
      </c>
      <c r="G815" s="651">
        <v>19525</v>
      </c>
      <c r="H815" s="651"/>
      <c r="I815" s="652">
        <v>366.85</v>
      </c>
      <c r="J815" s="652">
        <v>17111</v>
      </c>
      <c r="K815" s="652">
        <v>1337</v>
      </c>
      <c r="L815" s="651">
        <v>3322</v>
      </c>
      <c r="M815" s="651"/>
      <c r="N815" s="652">
        <v>684</v>
      </c>
      <c r="O815" s="652">
        <v>6315</v>
      </c>
      <c r="P815" s="652">
        <v>0</v>
      </c>
      <c r="Q815" s="651">
        <v>0</v>
      </c>
      <c r="R815" s="651"/>
      <c r="S815" s="652">
        <v>5219</v>
      </c>
      <c r="T815" s="653">
        <v>1258</v>
      </c>
      <c r="U815" s="653">
        <v>6477</v>
      </c>
    </row>
    <row r="816" spans="1:21" x14ac:dyDescent="0.25">
      <c r="A816" s="648">
        <v>99051</v>
      </c>
      <c r="B816" s="649" t="s">
        <v>3350</v>
      </c>
      <c r="C816" s="650">
        <v>3.3349999999999997E-4</v>
      </c>
      <c r="D816" s="650">
        <v>2.8449999999999998E-4</v>
      </c>
      <c r="E816" s="651">
        <v>116232</v>
      </c>
      <c r="F816" s="651">
        <v>127682</v>
      </c>
      <c r="G816" s="651">
        <v>707799</v>
      </c>
      <c r="H816" s="651"/>
      <c r="I816" s="652">
        <v>13298</v>
      </c>
      <c r="J816" s="652">
        <v>620257</v>
      </c>
      <c r="K816" s="652">
        <v>48478</v>
      </c>
      <c r="L816" s="651">
        <v>16843</v>
      </c>
      <c r="M816" s="651"/>
      <c r="N816" s="652">
        <v>24802</v>
      </c>
      <c r="O816" s="652">
        <v>228934</v>
      </c>
      <c r="P816" s="652">
        <v>0</v>
      </c>
      <c r="Q816" s="651">
        <v>0</v>
      </c>
      <c r="R816" s="651"/>
      <c r="S816" s="652">
        <v>189184</v>
      </c>
      <c r="T816" s="653">
        <v>5410</v>
      </c>
      <c r="U816" s="653">
        <v>194594</v>
      </c>
    </row>
    <row r="817" spans="1:21" x14ac:dyDescent="0.25">
      <c r="A817" s="648">
        <v>99061</v>
      </c>
      <c r="B817" s="649" t="s">
        <v>3351</v>
      </c>
      <c r="C817" s="650">
        <v>8.3999999999999992E-6</v>
      </c>
      <c r="D817" s="650">
        <v>8.8000000000000004E-6</v>
      </c>
      <c r="E817" s="651">
        <v>7400.82</v>
      </c>
      <c r="F817" s="651">
        <v>3949</v>
      </c>
      <c r="G817" s="651">
        <v>17828</v>
      </c>
      <c r="H817" s="651"/>
      <c r="I817" s="652">
        <v>334.95</v>
      </c>
      <c r="J817" s="652">
        <v>15623</v>
      </c>
      <c r="K817" s="652">
        <v>1221</v>
      </c>
      <c r="L817" s="651">
        <v>6023</v>
      </c>
      <c r="M817" s="651"/>
      <c r="N817" s="652">
        <v>625</v>
      </c>
      <c r="O817" s="652">
        <v>5766</v>
      </c>
      <c r="P817" s="652">
        <v>0</v>
      </c>
      <c r="Q817" s="651">
        <v>0</v>
      </c>
      <c r="R817" s="651"/>
      <c r="S817" s="652">
        <v>4765</v>
      </c>
      <c r="T817" s="653">
        <v>1888</v>
      </c>
      <c r="U817" s="653">
        <v>6653</v>
      </c>
    </row>
    <row r="818" spans="1:21" x14ac:dyDescent="0.25">
      <c r="A818" s="648">
        <v>99071</v>
      </c>
      <c r="B818" s="649" t="s">
        <v>3352</v>
      </c>
      <c r="C818" s="650">
        <v>3.0499999999999999E-5</v>
      </c>
      <c r="D818" s="650">
        <v>3.9799999999999998E-5</v>
      </c>
      <c r="E818" s="651">
        <v>18015</v>
      </c>
      <c r="F818" s="651">
        <v>17862</v>
      </c>
      <c r="G818" s="651">
        <v>64731</v>
      </c>
      <c r="H818" s="651"/>
      <c r="I818" s="652">
        <v>1216.1875</v>
      </c>
      <c r="J818" s="652">
        <v>56725</v>
      </c>
      <c r="K818" s="652">
        <v>4434</v>
      </c>
      <c r="L818" s="651">
        <v>0</v>
      </c>
      <c r="M818" s="651"/>
      <c r="N818" s="652">
        <v>2268</v>
      </c>
      <c r="O818" s="652">
        <v>20937</v>
      </c>
      <c r="P818" s="652">
        <v>0</v>
      </c>
      <c r="Q818" s="651">
        <v>3405</v>
      </c>
      <c r="R818" s="651"/>
      <c r="S818" s="652">
        <v>17302</v>
      </c>
      <c r="T818" s="653">
        <v>-1312</v>
      </c>
      <c r="U818" s="653">
        <v>15990</v>
      </c>
    </row>
    <row r="819" spans="1:21" x14ac:dyDescent="0.25">
      <c r="A819" s="648">
        <v>99081</v>
      </c>
      <c r="B819" s="649" t="s">
        <v>3353</v>
      </c>
      <c r="C819" s="650">
        <v>2.9600000000000001E-5</v>
      </c>
      <c r="D819" s="650">
        <v>3.6999999999999998E-5</v>
      </c>
      <c r="E819" s="651">
        <v>11739.53</v>
      </c>
      <c r="F819" s="651">
        <v>16605</v>
      </c>
      <c r="G819" s="651">
        <v>62821</v>
      </c>
      <c r="H819" s="651"/>
      <c r="I819" s="652">
        <v>1180.3</v>
      </c>
      <c r="J819" s="652">
        <v>55051</v>
      </c>
      <c r="K819" s="652">
        <v>4303</v>
      </c>
      <c r="L819" s="651">
        <v>5558</v>
      </c>
      <c r="M819" s="651"/>
      <c r="N819" s="652">
        <v>2201</v>
      </c>
      <c r="O819" s="652">
        <v>20319</v>
      </c>
      <c r="P819" s="652">
        <v>0</v>
      </c>
      <c r="Q819" s="651">
        <v>7640</v>
      </c>
      <c r="R819" s="651"/>
      <c r="S819" s="652">
        <v>16791</v>
      </c>
      <c r="T819" s="653">
        <v>-809</v>
      </c>
      <c r="U819" s="653">
        <v>15982</v>
      </c>
    </row>
    <row r="820" spans="1:21" x14ac:dyDescent="0.25">
      <c r="A820" s="648">
        <v>99091</v>
      </c>
      <c r="B820" s="649" t="s">
        <v>3354</v>
      </c>
      <c r="C820" s="650">
        <v>4.1999999999999996E-6</v>
      </c>
      <c r="D820" s="650">
        <v>4.7999999999999998E-6</v>
      </c>
      <c r="E820" s="651">
        <v>4170.01</v>
      </c>
      <c r="F820" s="651">
        <v>2154</v>
      </c>
      <c r="G820" s="651">
        <v>8914</v>
      </c>
      <c r="H820" s="651"/>
      <c r="I820" s="652">
        <v>167.47499999999999</v>
      </c>
      <c r="J820" s="652">
        <v>7811</v>
      </c>
      <c r="K820" s="652">
        <v>611</v>
      </c>
      <c r="L820" s="651">
        <v>2618</v>
      </c>
      <c r="M820" s="651"/>
      <c r="N820" s="652">
        <v>312</v>
      </c>
      <c r="O820" s="652">
        <v>2883</v>
      </c>
      <c r="P820" s="652">
        <v>0</v>
      </c>
      <c r="Q820" s="651">
        <v>6497.35</v>
      </c>
      <c r="R820" s="651"/>
      <c r="S820" s="652">
        <v>2383</v>
      </c>
      <c r="T820" s="653">
        <v>-2491</v>
      </c>
      <c r="U820" s="653">
        <v>-108</v>
      </c>
    </row>
    <row r="821" spans="1:21" x14ac:dyDescent="0.25">
      <c r="A821" s="648">
        <v>99101</v>
      </c>
      <c r="B821" s="649" t="s">
        <v>3355</v>
      </c>
      <c r="C821" s="650">
        <v>2.0087999999999998E-3</v>
      </c>
      <c r="D821" s="650">
        <v>2.026E-3</v>
      </c>
      <c r="E821" s="651">
        <v>792557.39</v>
      </c>
      <c r="F821" s="651">
        <v>909257</v>
      </c>
      <c r="G821" s="651">
        <v>4263347</v>
      </c>
      <c r="H821" s="651"/>
      <c r="I821" s="652">
        <v>80101</v>
      </c>
      <c r="J821" s="652">
        <v>3736051</v>
      </c>
      <c r="K821" s="652">
        <v>292001</v>
      </c>
      <c r="L821" s="651">
        <v>7868</v>
      </c>
      <c r="M821" s="651"/>
      <c r="N821" s="652">
        <v>149392</v>
      </c>
      <c r="O821" s="652">
        <v>1378957</v>
      </c>
      <c r="P821" s="652">
        <v>0</v>
      </c>
      <c r="Q821" s="651">
        <v>72656</v>
      </c>
      <c r="R821" s="651"/>
      <c r="S821" s="652">
        <v>1139530</v>
      </c>
      <c r="T821" s="653">
        <v>-24965</v>
      </c>
      <c r="U821" s="653">
        <v>1114565</v>
      </c>
    </row>
    <row r="822" spans="1:21" x14ac:dyDescent="0.25">
      <c r="A822" s="648">
        <v>99104</v>
      </c>
      <c r="B822" s="649" t="s">
        <v>3356</v>
      </c>
      <c r="C822" s="650">
        <v>3.4799999999999999E-5</v>
      </c>
      <c r="D822" s="650">
        <v>2.55E-5</v>
      </c>
      <c r="E822" s="651">
        <v>18414</v>
      </c>
      <c r="F822" s="651">
        <v>11444</v>
      </c>
      <c r="G822" s="651">
        <v>73857</v>
      </c>
      <c r="H822" s="651"/>
      <c r="I822" s="652">
        <v>1388</v>
      </c>
      <c r="J822" s="652">
        <v>64723</v>
      </c>
      <c r="K822" s="652">
        <v>5059</v>
      </c>
      <c r="L822" s="651">
        <v>14979</v>
      </c>
      <c r="M822" s="651"/>
      <c r="N822" s="652">
        <v>2588</v>
      </c>
      <c r="O822" s="652">
        <v>23889</v>
      </c>
      <c r="P822" s="652">
        <v>0</v>
      </c>
      <c r="Q822" s="651">
        <v>0</v>
      </c>
      <c r="R822" s="651"/>
      <c r="S822" s="652">
        <v>19741</v>
      </c>
      <c r="T822" s="653">
        <v>4886</v>
      </c>
      <c r="U822" s="653">
        <v>24627</v>
      </c>
    </row>
    <row r="823" spans="1:21" x14ac:dyDescent="0.25">
      <c r="A823" s="648">
        <v>99109</v>
      </c>
      <c r="B823" s="649" t="s">
        <v>3357</v>
      </c>
      <c r="C823" s="650">
        <v>1.1849999999999999E-4</v>
      </c>
      <c r="D823" s="650">
        <v>1.4129999999999999E-4</v>
      </c>
      <c r="E823" s="651">
        <v>48014.54</v>
      </c>
      <c r="F823" s="651">
        <v>63415</v>
      </c>
      <c r="G823" s="651">
        <v>251497</v>
      </c>
      <c r="H823" s="651"/>
      <c r="I823" s="652">
        <v>4725.1875</v>
      </c>
      <c r="J823" s="652">
        <v>220391</v>
      </c>
      <c r="K823" s="652">
        <v>17225</v>
      </c>
      <c r="L823" s="651">
        <v>5297</v>
      </c>
      <c r="M823" s="651"/>
      <c r="N823" s="652">
        <v>8813</v>
      </c>
      <c r="O823" s="652">
        <v>81345</v>
      </c>
      <c r="P823" s="652">
        <v>0</v>
      </c>
      <c r="Q823" s="651">
        <v>22236</v>
      </c>
      <c r="R823" s="651"/>
      <c r="S823" s="652">
        <v>67221</v>
      </c>
      <c r="T823" s="653">
        <v>-6150</v>
      </c>
      <c r="U823" s="653">
        <v>61071</v>
      </c>
    </row>
    <row r="824" spans="1:21" x14ac:dyDescent="0.25">
      <c r="A824" s="648">
        <v>99110</v>
      </c>
      <c r="B824" s="649" t="s">
        <v>3358</v>
      </c>
      <c r="C824" s="650">
        <v>1.8369999999999999E-4</v>
      </c>
      <c r="D824" s="650">
        <v>1.728E-4</v>
      </c>
      <c r="E824" s="651">
        <v>101918</v>
      </c>
      <c r="F824" s="651">
        <v>77552</v>
      </c>
      <c r="G824" s="651">
        <v>389873</v>
      </c>
      <c r="H824" s="651"/>
      <c r="I824" s="652">
        <v>7325</v>
      </c>
      <c r="J824" s="652">
        <v>341653</v>
      </c>
      <c r="K824" s="652">
        <v>26703</v>
      </c>
      <c r="L824" s="651">
        <v>63672</v>
      </c>
      <c r="M824" s="651"/>
      <c r="N824" s="652">
        <v>13662</v>
      </c>
      <c r="O824" s="652">
        <v>126102</v>
      </c>
      <c r="P824" s="652">
        <v>0</v>
      </c>
      <c r="Q824" s="651">
        <v>0</v>
      </c>
      <c r="R824" s="651"/>
      <c r="S824" s="652">
        <v>104207</v>
      </c>
      <c r="T824" s="653">
        <v>21007</v>
      </c>
      <c r="U824" s="653">
        <v>125214</v>
      </c>
    </row>
    <row r="825" spans="1:21" x14ac:dyDescent="0.25">
      <c r="A825" s="648">
        <v>99111</v>
      </c>
      <c r="B825" s="649" t="s">
        <v>3359</v>
      </c>
      <c r="C825" s="650">
        <v>1.2757000000000001E-3</v>
      </c>
      <c r="D825" s="650">
        <v>1.3278000000000001E-3</v>
      </c>
      <c r="E825" s="651">
        <v>486451</v>
      </c>
      <c r="F825" s="651">
        <v>595909</v>
      </c>
      <c r="G825" s="651">
        <v>2707463</v>
      </c>
      <c r="H825" s="651"/>
      <c r="I825" s="652">
        <v>50869</v>
      </c>
      <c r="J825" s="652">
        <v>2372600</v>
      </c>
      <c r="K825" s="652">
        <v>185437</v>
      </c>
      <c r="L825" s="651">
        <v>0</v>
      </c>
      <c r="M825" s="651"/>
      <c r="N825" s="652">
        <v>94873</v>
      </c>
      <c r="O825" s="652">
        <v>875714</v>
      </c>
      <c r="P825" s="652">
        <v>0</v>
      </c>
      <c r="Q825" s="651">
        <v>165116</v>
      </c>
      <c r="R825" s="651"/>
      <c r="S825" s="652">
        <v>723665</v>
      </c>
      <c r="T825" s="653">
        <v>-59086</v>
      </c>
      <c r="U825" s="653">
        <v>664579</v>
      </c>
    </row>
    <row r="826" spans="1:21" x14ac:dyDescent="0.25">
      <c r="A826" s="648">
        <v>99201</v>
      </c>
      <c r="B826" s="649" t="s">
        <v>3360</v>
      </c>
      <c r="C826" s="650">
        <v>3.22145E-2</v>
      </c>
      <c r="D826" s="650">
        <v>3.0831399999999998E-2</v>
      </c>
      <c r="E826" s="651">
        <v>12898805</v>
      </c>
      <c r="F826" s="651">
        <v>13836947</v>
      </c>
      <c r="G826" s="651">
        <v>68369961</v>
      </c>
      <c r="H826" s="651"/>
      <c r="I826" s="652">
        <v>1284553</v>
      </c>
      <c r="J826" s="652">
        <v>59913880</v>
      </c>
      <c r="K826" s="652">
        <v>4682732</v>
      </c>
      <c r="L826" s="651">
        <v>1101849</v>
      </c>
      <c r="M826" s="651"/>
      <c r="N826" s="652">
        <v>2395760</v>
      </c>
      <c r="O826" s="652">
        <v>22113901</v>
      </c>
      <c r="P826" s="652">
        <v>0</v>
      </c>
      <c r="Q826" s="651">
        <v>485474</v>
      </c>
      <c r="R826" s="651"/>
      <c r="S826" s="652">
        <v>18274287</v>
      </c>
      <c r="T826" s="653">
        <v>101682</v>
      </c>
      <c r="U826" s="653">
        <v>18375969</v>
      </c>
    </row>
    <row r="827" spans="1:21" x14ac:dyDescent="0.25">
      <c r="A827" s="648">
        <v>99202</v>
      </c>
      <c r="B827" s="649" t="s">
        <v>3361</v>
      </c>
      <c r="C827" s="650">
        <v>2.5138000000000001E-3</v>
      </c>
      <c r="D827" s="650">
        <v>2.6002999999999998E-3</v>
      </c>
      <c r="E827" s="651">
        <v>915266</v>
      </c>
      <c r="F827" s="651">
        <v>1166999</v>
      </c>
      <c r="G827" s="651">
        <v>5335126</v>
      </c>
      <c r="H827" s="651"/>
      <c r="I827" s="652">
        <v>100238</v>
      </c>
      <c r="J827" s="652">
        <v>4675271</v>
      </c>
      <c r="K827" s="652">
        <v>365408</v>
      </c>
      <c r="L827" s="651">
        <v>0</v>
      </c>
      <c r="M827" s="651"/>
      <c r="N827" s="652">
        <v>186949</v>
      </c>
      <c r="O827" s="652">
        <v>1725618</v>
      </c>
      <c r="P827" s="652">
        <v>0</v>
      </c>
      <c r="Q827" s="651">
        <v>202410</v>
      </c>
      <c r="R827" s="651"/>
      <c r="S827" s="652">
        <v>1426001</v>
      </c>
      <c r="T827" s="653">
        <v>-62123</v>
      </c>
      <c r="U827" s="653">
        <v>1363878</v>
      </c>
    </row>
    <row r="828" spans="1:21" x14ac:dyDescent="0.25">
      <c r="A828" s="648">
        <v>99203</v>
      </c>
      <c r="B828" s="649" t="s">
        <v>3362</v>
      </c>
      <c r="C828" s="650">
        <v>3.1990000000000002E-4</v>
      </c>
      <c r="D828" s="650">
        <v>2.5050000000000002E-4</v>
      </c>
      <c r="E828" s="651">
        <v>105117</v>
      </c>
      <c r="F828" s="651">
        <v>112423</v>
      </c>
      <c r="G828" s="651">
        <v>678935</v>
      </c>
      <c r="H828" s="651"/>
      <c r="I828" s="652">
        <v>12756</v>
      </c>
      <c r="J828" s="652">
        <v>594963</v>
      </c>
      <c r="K828" s="652">
        <v>46501</v>
      </c>
      <c r="L828" s="651">
        <v>40829</v>
      </c>
      <c r="M828" s="651"/>
      <c r="N828" s="652">
        <v>23791</v>
      </c>
      <c r="O828" s="652">
        <v>219598</v>
      </c>
      <c r="P828" s="652">
        <v>0</v>
      </c>
      <c r="Q828" s="651">
        <v>0</v>
      </c>
      <c r="R828" s="651"/>
      <c r="S828" s="652">
        <v>181469</v>
      </c>
      <c r="T828" s="653">
        <v>16396</v>
      </c>
      <c r="U828" s="653">
        <v>197865</v>
      </c>
    </row>
    <row r="829" spans="1:21" x14ac:dyDescent="0.25">
      <c r="A829" s="648">
        <v>99204</v>
      </c>
      <c r="B829" s="649" t="s">
        <v>3363</v>
      </c>
      <c r="C829" s="650">
        <v>7.4910000000000005E-4</v>
      </c>
      <c r="D829" s="650">
        <v>6.5600000000000001E-4</v>
      </c>
      <c r="E829" s="651">
        <v>316209.94</v>
      </c>
      <c r="F829" s="651">
        <v>294409</v>
      </c>
      <c r="G829" s="651">
        <v>1589841</v>
      </c>
      <c r="H829" s="651"/>
      <c r="I829" s="652">
        <v>29870</v>
      </c>
      <c r="J829" s="652">
        <v>1393208</v>
      </c>
      <c r="K829" s="652">
        <v>108890</v>
      </c>
      <c r="L829" s="651">
        <v>82158</v>
      </c>
      <c r="M829" s="651"/>
      <c r="N829" s="652">
        <v>55710</v>
      </c>
      <c r="O829" s="652">
        <v>514226</v>
      </c>
      <c r="P829" s="652">
        <v>0</v>
      </c>
      <c r="Q829" s="651">
        <v>0</v>
      </c>
      <c r="R829" s="651"/>
      <c r="S829" s="652">
        <v>424941</v>
      </c>
      <c r="T829" s="653">
        <v>24836</v>
      </c>
      <c r="U829" s="653">
        <v>449777</v>
      </c>
    </row>
    <row r="830" spans="1:21" x14ac:dyDescent="0.25">
      <c r="A830" s="648">
        <v>99206</v>
      </c>
      <c r="B830" s="649" t="s">
        <v>3364</v>
      </c>
      <c r="C830" s="650">
        <v>1.6665E-3</v>
      </c>
      <c r="D830" s="650">
        <v>1.9373999999999999E-3</v>
      </c>
      <c r="E830" s="651">
        <v>1101168.54</v>
      </c>
      <c r="F830" s="651">
        <v>869493</v>
      </c>
      <c r="G830" s="651">
        <v>3536871</v>
      </c>
      <c r="H830" s="651"/>
      <c r="I830" s="652">
        <v>66452</v>
      </c>
      <c r="J830" s="652">
        <v>3099427</v>
      </c>
      <c r="K830" s="652">
        <v>242244</v>
      </c>
      <c r="L830" s="651">
        <v>400880</v>
      </c>
      <c r="M830" s="651"/>
      <c r="N830" s="652">
        <v>123936</v>
      </c>
      <c r="O830" s="652">
        <v>1143982</v>
      </c>
      <c r="P830" s="652">
        <v>0</v>
      </c>
      <c r="Q830" s="651">
        <v>13550</v>
      </c>
      <c r="R830" s="651"/>
      <c r="S830" s="652">
        <v>945354</v>
      </c>
      <c r="T830" s="653">
        <v>117813</v>
      </c>
      <c r="U830" s="653">
        <v>1063167</v>
      </c>
    </row>
    <row r="831" spans="1:21" x14ac:dyDescent="0.25">
      <c r="A831" s="648">
        <v>99207</v>
      </c>
      <c r="B831" s="649" t="s">
        <v>3365</v>
      </c>
      <c r="C831" s="650">
        <v>1.3430000000000001E-4</v>
      </c>
      <c r="D831" s="650">
        <v>1.4320000000000001E-4</v>
      </c>
      <c r="E831" s="651">
        <v>122929.82</v>
      </c>
      <c r="F831" s="651">
        <v>64267</v>
      </c>
      <c r="G831" s="651">
        <v>285030</v>
      </c>
      <c r="H831" s="651"/>
      <c r="I831" s="652">
        <v>5355</v>
      </c>
      <c r="J831" s="652">
        <v>249777</v>
      </c>
      <c r="K831" s="652">
        <v>19522</v>
      </c>
      <c r="L831" s="651">
        <v>79584</v>
      </c>
      <c r="M831" s="651"/>
      <c r="N831" s="652">
        <v>9988</v>
      </c>
      <c r="O831" s="652">
        <v>92191</v>
      </c>
      <c r="P831" s="652">
        <v>0</v>
      </c>
      <c r="Q831" s="651">
        <v>0</v>
      </c>
      <c r="R831" s="651"/>
      <c r="S831" s="652">
        <v>76184</v>
      </c>
      <c r="T831" s="653">
        <v>24293</v>
      </c>
      <c r="U831" s="653">
        <v>100477</v>
      </c>
    </row>
    <row r="832" spans="1:21" x14ac:dyDescent="0.25">
      <c r="A832" s="648">
        <v>99208</v>
      </c>
      <c r="B832" s="649" t="s">
        <v>3366</v>
      </c>
      <c r="C832" s="650">
        <v>1.3669999999999999E-4</v>
      </c>
      <c r="D832" s="650">
        <v>1.774E-4</v>
      </c>
      <c r="E832" s="651">
        <v>46840</v>
      </c>
      <c r="F832" s="651">
        <v>79616</v>
      </c>
      <c r="G832" s="651">
        <v>290123</v>
      </c>
      <c r="H832" s="651"/>
      <c r="I832" s="652">
        <v>5451</v>
      </c>
      <c r="J832" s="652">
        <v>254240</v>
      </c>
      <c r="K832" s="652">
        <v>19871</v>
      </c>
      <c r="L832" s="651">
        <v>0</v>
      </c>
      <c r="M832" s="651"/>
      <c r="N832" s="652">
        <v>10166</v>
      </c>
      <c r="O832" s="652">
        <v>93839</v>
      </c>
      <c r="P832" s="652">
        <v>0</v>
      </c>
      <c r="Q832" s="651">
        <v>57522</v>
      </c>
      <c r="R832" s="651"/>
      <c r="S832" s="652">
        <v>77546</v>
      </c>
      <c r="T832" s="653">
        <v>-20235</v>
      </c>
      <c r="U832" s="653">
        <v>57311</v>
      </c>
    </row>
    <row r="833" spans="1:21" x14ac:dyDescent="0.25">
      <c r="A833" s="648">
        <v>99210</v>
      </c>
      <c r="B833" s="649" t="s">
        <v>3367</v>
      </c>
      <c r="C833" s="650">
        <v>1.5945E-3</v>
      </c>
      <c r="D833" s="650">
        <v>1.6262E-3</v>
      </c>
      <c r="E833" s="651">
        <v>706576</v>
      </c>
      <c r="F833" s="651">
        <v>729829</v>
      </c>
      <c r="G833" s="651">
        <v>3384063</v>
      </c>
      <c r="H833" s="651"/>
      <c r="I833" s="652">
        <v>63581</v>
      </c>
      <c r="J833" s="652">
        <v>2965518</v>
      </c>
      <c r="K833" s="652">
        <v>231778</v>
      </c>
      <c r="L833" s="651">
        <v>80869</v>
      </c>
      <c r="M833" s="651"/>
      <c r="N833" s="652">
        <v>118581</v>
      </c>
      <c r="O833" s="652">
        <v>1094557</v>
      </c>
      <c r="P833" s="652">
        <v>0</v>
      </c>
      <c r="Q833" s="651">
        <v>0</v>
      </c>
      <c r="R833" s="651"/>
      <c r="S833" s="652">
        <v>904510</v>
      </c>
      <c r="T833" s="653">
        <v>27611</v>
      </c>
      <c r="U833" s="653">
        <v>932122</v>
      </c>
    </row>
    <row r="834" spans="1:21" x14ac:dyDescent="0.25">
      <c r="A834" s="648">
        <v>99211</v>
      </c>
      <c r="B834" s="649" t="s">
        <v>3368</v>
      </c>
      <c r="C834" s="650">
        <v>3.8233999999999997E-2</v>
      </c>
      <c r="D834" s="650">
        <v>3.7564199999999999E-2</v>
      </c>
      <c r="E834" s="651">
        <v>14152947</v>
      </c>
      <c r="F834" s="651">
        <v>16858588</v>
      </c>
      <c r="G834" s="651">
        <v>81145356</v>
      </c>
      <c r="H834" s="651"/>
      <c r="I834" s="652">
        <v>1524580.75</v>
      </c>
      <c r="J834" s="652">
        <v>71109199</v>
      </c>
      <c r="K834" s="652">
        <v>5557732</v>
      </c>
      <c r="L834" s="651">
        <v>0</v>
      </c>
      <c r="M834" s="651"/>
      <c r="N834" s="652">
        <v>2843424</v>
      </c>
      <c r="O834" s="652">
        <v>26246035</v>
      </c>
      <c r="P834" s="652">
        <v>0</v>
      </c>
      <c r="Q834" s="651">
        <v>1538962</v>
      </c>
      <c r="R834" s="651"/>
      <c r="S834" s="652">
        <v>21688963</v>
      </c>
      <c r="T834" s="653">
        <v>-519725</v>
      </c>
      <c r="U834" s="653">
        <v>21169238</v>
      </c>
    </row>
    <row r="835" spans="1:21" x14ac:dyDescent="0.25">
      <c r="A835" s="648">
        <v>99212</v>
      </c>
      <c r="B835" s="649" t="s">
        <v>3369</v>
      </c>
      <c r="C835" s="650">
        <v>7.4400000000000006E-5</v>
      </c>
      <c r="D835" s="650">
        <v>1.2750000000000001E-4</v>
      </c>
      <c r="E835" s="651">
        <v>26346.03</v>
      </c>
      <c r="F835" s="651">
        <v>57221</v>
      </c>
      <c r="G835" s="651">
        <v>157902</v>
      </c>
      <c r="H835" s="651"/>
      <c r="I835" s="652">
        <v>2967</v>
      </c>
      <c r="J835" s="652">
        <v>138372</v>
      </c>
      <c r="K835" s="652">
        <v>10815</v>
      </c>
      <c r="L835" s="651">
        <v>0</v>
      </c>
      <c r="M835" s="651"/>
      <c r="N835" s="652">
        <v>5533</v>
      </c>
      <c r="O835" s="652">
        <v>51072</v>
      </c>
      <c r="P835" s="652">
        <v>0</v>
      </c>
      <c r="Q835" s="651">
        <v>49365</v>
      </c>
      <c r="R835" s="651"/>
      <c r="S835" s="652">
        <v>42205</v>
      </c>
      <c r="T835" s="653">
        <v>-15321</v>
      </c>
      <c r="U835" s="653">
        <v>26884</v>
      </c>
    </row>
    <row r="836" spans="1:21" x14ac:dyDescent="0.25">
      <c r="A836" s="648">
        <v>99213</v>
      </c>
      <c r="B836" s="649" t="s">
        <v>3370</v>
      </c>
      <c r="C836" s="650">
        <v>8.0730000000000005E-4</v>
      </c>
      <c r="D836" s="650">
        <v>8.3339999999999998E-4</v>
      </c>
      <c r="E836" s="651">
        <v>326035</v>
      </c>
      <c r="F836" s="651">
        <v>374025</v>
      </c>
      <c r="G836" s="651">
        <v>1713361</v>
      </c>
      <c r="H836" s="651"/>
      <c r="I836" s="652">
        <v>32191</v>
      </c>
      <c r="J836" s="652">
        <v>1501450</v>
      </c>
      <c r="K836" s="652">
        <v>117350</v>
      </c>
      <c r="L836" s="651">
        <v>9384</v>
      </c>
      <c r="M836" s="651"/>
      <c r="N836" s="652">
        <v>60038</v>
      </c>
      <c r="O836" s="652">
        <v>554178</v>
      </c>
      <c r="P836" s="652">
        <v>0</v>
      </c>
      <c r="Q836" s="651">
        <v>21194</v>
      </c>
      <c r="R836" s="651"/>
      <c r="S836" s="652">
        <v>457956</v>
      </c>
      <c r="T836" s="653">
        <v>-2728</v>
      </c>
      <c r="U836" s="653">
        <v>455228</v>
      </c>
    </row>
    <row r="837" spans="1:21" x14ac:dyDescent="0.25">
      <c r="A837" s="648">
        <v>99218</v>
      </c>
      <c r="B837" s="649" t="s">
        <v>3371</v>
      </c>
      <c r="C837" s="650">
        <v>3.1227999999999998E-3</v>
      </c>
      <c r="D837" s="650">
        <v>2.8506999999999998E-3</v>
      </c>
      <c r="E837" s="651">
        <v>1270452.44</v>
      </c>
      <c r="F837" s="651">
        <v>1279377</v>
      </c>
      <c r="G837" s="651">
        <v>6627628</v>
      </c>
      <c r="H837" s="651"/>
      <c r="I837" s="652">
        <v>124521.65</v>
      </c>
      <c r="J837" s="652">
        <v>5807915</v>
      </c>
      <c r="K837" s="652">
        <v>453933</v>
      </c>
      <c r="L837" s="651">
        <v>189764</v>
      </c>
      <c r="M837" s="651"/>
      <c r="N837" s="652">
        <v>232240</v>
      </c>
      <c r="O837" s="652">
        <v>2143671</v>
      </c>
      <c r="P837" s="652">
        <v>0</v>
      </c>
      <c r="Q837" s="651">
        <v>0</v>
      </c>
      <c r="R837" s="651"/>
      <c r="S837" s="652">
        <v>1771468</v>
      </c>
      <c r="T837" s="653">
        <v>55483</v>
      </c>
      <c r="U837" s="653">
        <v>1826951</v>
      </c>
    </row>
    <row r="838" spans="1:21" x14ac:dyDescent="0.25">
      <c r="A838" s="648">
        <v>99221</v>
      </c>
      <c r="B838" s="649" t="s">
        <v>3372</v>
      </c>
      <c r="C838" s="650">
        <v>1.3092700000000001E-2</v>
      </c>
      <c r="D838" s="650">
        <v>1.33233E-2</v>
      </c>
      <c r="E838" s="651">
        <v>4943528</v>
      </c>
      <c r="F838" s="651">
        <v>5979417</v>
      </c>
      <c r="G838" s="651">
        <v>27787095</v>
      </c>
      <c r="H838" s="651"/>
      <c r="I838" s="652">
        <v>522071</v>
      </c>
      <c r="J838" s="652">
        <v>24350353</v>
      </c>
      <c r="K838" s="652">
        <v>1903168</v>
      </c>
      <c r="L838" s="651">
        <v>0</v>
      </c>
      <c r="M838" s="651"/>
      <c r="N838" s="652">
        <v>973691</v>
      </c>
      <c r="O838" s="652">
        <v>8987589</v>
      </c>
      <c r="P838" s="652">
        <v>0</v>
      </c>
      <c r="Q838" s="651">
        <v>703621</v>
      </c>
      <c r="R838" s="651"/>
      <c r="S838" s="652">
        <v>7427083</v>
      </c>
      <c r="T838" s="653">
        <v>-220701</v>
      </c>
      <c r="U838" s="653">
        <v>7206381</v>
      </c>
    </row>
    <row r="839" spans="1:21" x14ac:dyDescent="0.25">
      <c r="A839" s="648">
        <v>99222</v>
      </c>
      <c r="B839" s="649" t="s">
        <v>3373</v>
      </c>
      <c r="C839" s="650">
        <v>4.0099999999999999E-5</v>
      </c>
      <c r="D839" s="650">
        <v>3.82E-5</v>
      </c>
      <c r="E839" s="651">
        <v>13647</v>
      </c>
      <c r="F839" s="651">
        <v>17144</v>
      </c>
      <c r="G839" s="651">
        <v>85106</v>
      </c>
      <c r="H839" s="651"/>
      <c r="I839" s="652">
        <v>1599</v>
      </c>
      <c r="J839" s="652">
        <v>74580</v>
      </c>
      <c r="K839" s="652">
        <v>5829</v>
      </c>
      <c r="L839" s="651">
        <v>3575</v>
      </c>
      <c r="M839" s="651"/>
      <c r="N839" s="652">
        <v>2982</v>
      </c>
      <c r="O839" s="652">
        <v>27527</v>
      </c>
      <c r="P839" s="652">
        <v>0</v>
      </c>
      <c r="Q839" s="651">
        <v>1230</v>
      </c>
      <c r="R839" s="651"/>
      <c r="S839" s="652">
        <v>22747</v>
      </c>
      <c r="T839" s="653">
        <v>949</v>
      </c>
      <c r="U839" s="653">
        <v>23697</v>
      </c>
    </row>
    <row r="840" spans="1:21" x14ac:dyDescent="0.25">
      <c r="A840" s="648">
        <v>99231</v>
      </c>
      <c r="B840" s="649" t="s">
        <v>3374</v>
      </c>
      <c r="C840" s="650">
        <v>3.7869999999999999E-4</v>
      </c>
      <c r="D840" s="650">
        <v>3.7139999999999997E-4</v>
      </c>
      <c r="E840" s="651">
        <v>142098.15</v>
      </c>
      <c r="F840" s="651">
        <v>166682</v>
      </c>
      <c r="G840" s="651">
        <v>803728</v>
      </c>
      <c r="H840" s="651"/>
      <c r="I840" s="652">
        <v>15101</v>
      </c>
      <c r="J840" s="652">
        <v>704322</v>
      </c>
      <c r="K840" s="652">
        <v>55048</v>
      </c>
      <c r="L840" s="651">
        <v>0</v>
      </c>
      <c r="M840" s="651"/>
      <c r="N840" s="652">
        <v>28164</v>
      </c>
      <c r="O840" s="652">
        <v>259962</v>
      </c>
      <c r="P840" s="652">
        <v>0</v>
      </c>
      <c r="Q840" s="651">
        <v>27202</v>
      </c>
      <c r="R840" s="651"/>
      <c r="S840" s="652">
        <v>214825</v>
      </c>
      <c r="T840" s="653">
        <v>-11082</v>
      </c>
      <c r="U840" s="653">
        <v>203743</v>
      </c>
    </row>
    <row r="841" spans="1:21" x14ac:dyDescent="0.25">
      <c r="A841" s="648">
        <v>99241</v>
      </c>
      <c r="B841" s="649" t="s">
        <v>3375</v>
      </c>
      <c r="C841" s="650">
        <v>5.6039999999999996E-4</v>
      </c>
      <c r="D841" s="650">
        <v>5.9259999999999998E-4</v>
      </c>
      <c r="E841" s="651">
        <v>196949</v>
      </c>
      <c r="F841" s="651">
        <v>265955</v>
      </c>
      <c r="G841" s="651">
        <v>1189357</v>
      </c>
      <c r="H841" s="651"/>
      <c r="I841" s="652">
        <v>22346</v>
      </c>
      <c r="J841" s="652">
        <v>1042255</v>
      </c>
      <c r="K841" s="652">
        <v>81460</v>
      </c>
      <c r="L841" s="651">
        <v>0</v>
      </c>
      <c r="M841" s="651"/>
      <c r="N841" s="652">
        <v>41676</v>
      </c>
      <c r="O841" s="652">
        <v>384691</v>
      </c>
      <c r="P841" s="652">
        <v>0</v>
      </c>
      <c r="Q841" s="651">
        <v>122254</v>
      </c>
      <c r="R841" s="651"/>
      <c r="S841" s="652">
        <v>317898</v>
      </c>
      <c r="T841" s="653">
        <v>-45505</v>
      </c>
      <c r="U841" s="653">
        <v>272393</v>
      </c>
    </row>
    <row r="842" spans="1:21" x14ac:dyDescent="0.25">
      <c r="A842" s="648">
        <v>99251</v>
      </c>
      <c r="B842" s="649" t="s">
        <v>3376</v>
      </c>
      <c r="C842" s="650">
        <v>1.6521000000000001E-3</v>
      </c>
      <c r="D842" s="650">
        <v>1.598E-3</v>
      </c>
      <c r="E842" s="651">
        <v>644905</v>
      </c>
      <c r="F842" s="651">
        <v>717173</v>
      </c>
      <c r="G842" s="651">
        <v>3506310</v>
      </c>
      <c r="H842" s="651"/>
      <c r="I842" s="652">
        <v>65877</v>
      </c>
      <c r="J842" s="652">
        <v>3072645</v>
      </c>
      <c r="K842" s="652">
        <v>240151</v>
      </c>
      <c r="L842" s="651">
        <v>3992</v>
      </c>
      <c r="M842" s="651"/>
      <c r="N842" s="652">
        <v>122865</v>
      </c>
      <c r="O842" s="652">
        <v>1134097</v>
      </c>
      <c r="P842" s="652">
        <v>0</v>
      </c>
      <c r="Q842" s="651">
        <v>14191</v>
      </c>
      <c r="R842" s="651"/>
      <c r="S842" s="652">
        <v>937185</v>
      </c>
      <c r="T842" s="653">
        <v>-5897</v>
      </c>
      <c r="U842" s="653">
        <v>931288</v>
      </c>
    </row>
    <row r="843" spans="1:21" x14ac:dyDescent="0.25">
      <c r="A843" s="648">
        <v>99252</v>
      </c>
      <c r="B843" s="649" t="s">
        <v>3377</v>
      </c>
      <c r="C843" s="650">
        <v>5.8279999999999996E-4</v>
      </c>
      <c r="D843" s="650">
        <v>7.4010000000000005E-4</v>
      </c>
      <c r="E843" s="651">
        <v>174600</v>
      </c>
      <c r="F843" s="651">
        <v>332152</v>
      </c>
      <c r="G843" s="651">
        <v>1236897</v>
      </c>
      <c r="H843" s="651"/>
      <c r="I843" s="652">
        <v>23239</v>
      </c>
      <c r="J843" s="652">
        <v>1083916</v>
      </c>
      <c r="K843" s="652">
        <v>84716</v>
      </c>
      <c r="L843" s="651">
        <v>0</v>
      </c>
      <c r="M843" s="651"/>
      <c r="N843" s="652">
        <v>43342</v>
      </c>
      <c r="O843" s="652">
        <v>400068</v>
      </c>
      <c r="P843" s="652">
        <v>0</v>
      </c>
      <c r="Q843" s="651">
        <v>244190</v>
      </c>
      <c r="R843" s="651"/>
      <c r="S843" s="652">
        <v>330604</v>
      </c>
      <c r="T843" s="653">
        <v>-77201</v>
      </c>
      <c r="U843" s="653">
        <v>253403</v>
      </c>
    </row>
    <row r="844" spans="1:21" x14ac:dyDescent="0.25">
      <c r="A844" s="648">
        <v>99261</v>
      </c>
      <c r="B844" s="649" t="s">
        <v>3378</v>
      </c>
      <c r="C844" s="650">
        <v>1.9145E-3</v>
      </c>
      <c r="D844" s="650">
        <v>1.8552E-3</v>
      </c>
      <c r="E844" s="651">
        <v>638819</v>
      </c>
      <c r="F844" s="651">
        <v>832603</v>
      </c>
      <c r="G844" s="651">
        <v>4063210</v>
      </c>
      <c r="H844" s="651"/>
      <c r="I844" s="652">
        <v>76341</v>
      </c>
      <c r="J844" s="652">
        <v>3560668</v>
      </c>
      <c r="K844" s="652">
        <v>278294</v>
      </c>
      <c r="L844" s="651">
        <v>0</v>
      </c>
      <c r="M844" s="651"/>
      <c r="N844" s="652">
        <v>142379</v>
      </c>
      <c r="O844" s="652">
        <v>1314224</v>
      </c>
      <c r="P844" s="652">
        <v>0</v>
      </c>
      <c r="Q844" s="651">
        <v>177810</v>
      </c>
      <c r="R844" s="651"/>
      <c r="S844" s="652">
        <v>1086037</v>
      </c>
      <c r="T844" s="653">
        <v>-61359</v>
      </c>
      <c r="U844" s="653">
        <v>1024677</v>
      </c>
    </row>
    <row r="845" spans="1:21" x14ac:dyDescent="0.25">
      <c r="A845" s="648">
        <v>99271</v>
      </c>
      <c r="B845" s="649" t="s">
        <v>3379</v>
      </c>
      <c r="C845" s="650">
        <v>3.9248E-3</v>
      </c>
      <c r="D845" s="650">
        <v>3.9693000000000003E-3</v>
      </c>
      <c r="E845" s="651">
        <v>1483973.83</v>
      </c>
      <c r="F845" s="651">
        <v>1781398</v>
      </c>
      <c r="G845" s="651">
        <v>8329740</v>
      </c>
      <c r="H845" s="651"/>
      <c r="I845" s="652">
        <v>156501.4</v>
      </c>
      <c r="J845" s="652">
        <v>7299508</v>
      </c>
      <c r="K845" s="652">
        <v>570513</v>
      </c>
      <c r="L845" s="651">
        <v>0</v>
      </c>
      <c r="M845" s="651"/>
      <c r="N845" s="652">
        <v>291883</v>
      </c>
      <c r="O845" s="652">
        <v>2694210</v>
      </c>
      <c r="P845" s="652">
        <v>0</v>
      </c>
      <c r="Q845" s="651">
        <v>151650</v>
      </c>
      <c r="R845" s="651"/>
      <c r="S845" s="652">
        <v>2226417</v>
      </c>
      <c r="T845" s="653">
        <v>-42013</v>
      </c>
      <c r="U845" s="653">
        <v>2184404</v>
      </c>
    </row>
    <row r="846" spans="1:21" x14ac:dyDescent="0.25">
      <c r="A846" s="648">
        <v>99281</v>
      </c>
      <c r="B846" s="649" t="s">
        <v>3380</v>
      </c>
      <c r="C846" s="650">
        <v>2.2824E-3</v>
      </c>
      <c r="D846" s="650">
        <v>2.3207000000000002E-3</v>
      </c>
      <c r="E846" s="651">
        <v>859938</v>
      </c>
      <c r="F846" s="651">
        <v>1041516</v>
      </c>
      <c r="G846" s="651">
        <v>4844017</v>
      </c>
      <c r="H846" s="651"/>
      <c r="I846" s="652">
        <v>91010.7</v>
      </c>
      <c r="J846" s="652">
        <v>4244903</v>
      </c>
      <c r="K846" s="652">
        <v>331772</v>
      </c>
      <c r="L846" s="651">
        <v>13554</v>
      </c>
      <c r="M846" s="651"/>
      <c r="N846" s="652">
        <v>169740</v>
      </c>
      <c r="O846" s="652">
        <v>1566772</v>
      </c>
      <c r="P846" s="652">
        <v>0</v>
      </c>
      <c r="Q846" s="651">
        <v>113243</v>
      </c>
      <c r="R846" s="651"/>
      <c r="S846" s="652">
        <v>1294735</v>
      </c>
      <c r="T846" s="653">
        <v>-25393</v>
      </c>
      <c r="U846" s="653">
        <v>1269342</v>
      </c>
    </row>
    <row r="847" spans="1:21" x14ac:dyDescent="0.25">
      <c r="A847" s="648">
        <v>99291</v>
      </c>
      <c r="B847" s="649" t="s">
        <v>3381</v>
      </c>
      <c r="C847" s="650">
        <v>7.7260000000000002E-4</v>
      </c>
      <c r="D847" s="650">
        <v>8.0780000000000001E-4</v>
      </c>
      <c r="E847" s="651">
        <v>267315.87</v>
      </c>
      <c r="F847" s="651">
        <v>362536</v>
      </c>
      <c r="G847" s="651">
        <v>1639716</v>
      </c>
      <c r="H847" s="651"/>
      <c r="I847" s="652">
        <v>30807</v>
      </c>
      <c r="J847" s="652">
        <v>1436914</v>
      </c>
      <c r="K847" s="652">
        <v>112306</v>
      </c>
      <c r="L847" s="651">
        <v>0</v>
      </c>
      <c r="M847" s="651"/>
      <c r="N847" s="652">
        <v>57457</v>
      </c>
      <c r="O847" s="652">
        <v>530357</v>
      </c>
      <c r="P847" s="652">
        <v>0</v>
      </c>
      <c r="Q847" s="651">
        <v>124026</v>
      </c>
      <c r="R847" s="651"/>
      <c r="S847" s="652">
        <v>438272</v>
      </c>
      <c r="T847" s="653">
        <v>-41703</v>
      </c>
      <c r="U847" s="653">
        <v>396569</v>
      </c>
    </row>
    <row r="848" spans="1:21" x14ac:dyDescent="0.25">
      <c r="A848" s="648">
        <v>99301</v>
      </c>
      <c r="B848" s="649" t="s">
        <v>3382</v>
      </c>
      <c r="C848" s="650">
        <v>1.8458000000000001E-3</v>
      </c>
      <c r="D848" s="650">
        <v>1.7903000000000001E-3</v>
      </c>
      <c r="E848" s="651">
        <v>720012.84</v>
      </c>
      <c r="F848" s="651">
        <v>803476</v>
      </c>
      <c r="G848" s="651">
        <v>3917406</v>
      </c>
      <c r="H848" s="651"/>
      <c r="I848" s="652">
        <v>73601</v>
      </c>
      <c r="J848" s="652">
        <v>3432896</v>
      </c>
      <c r="K848" s="652">
        <v>268307</v>
      </c>
      <c r="L848" s="651">
        <v>122430</v>
      </c>
      <c r="M848" s="651"/>
      <c r="N848" s="652">
        <v>137270</v>
      </c>
      <c r="O848" s="652">
        <v>1267064</v>
      </c>
      <c r="P848" s="652">
        <v>0</v>
      </c>
      <c r="Q848" s="651">
        <v>957</v>
      </c>
      <c r="R848" s="651"/>
      <c r="S848" s="652">
        <v>1047065</v>
      </c>
      <c r="T848" s="653">
        <v>54774</v>
      </c>
      <c r="U848" s="653">
        <v>1101839</v>
      </c>
    </row>
    <row r="849" spans="1:21" x14ac:dyDescent="0.25">
      <c r="A849" s="648">
        <v>99304</v>
      </c>
      <c r="B849" s="649" t="s">
        <v>3383</v>
      </c>
      <c r="C849" s="650">
        <v>9.9000000000000001E-6</v>
      </c>
      <c r="D849" s="650">
        <v>1.0000000000000001E-5</v>
      </c>
      <c r="E849" s="651">
        <v>6537</v>
      </c>
      <c r="F849" s="651">
        <v>4488</v>
      </c>
      <c r="G849" s="651">
        <v>21011</v>
      </c>
      <c r="H849" s="651"/>
      <c r="I849" s="652">
        <v>394.76249999999999</v>
      </c>
      <c r="J849" s="652">
        <v>18412</v>
      </c>
      <c r="K849" s="652">
        <v>1439</v>
      </c>
      <c r="L849" s="651">
        <v>3536</v>
      </c>
      <c r="M849" s="651"/>
      <c r="N849" s="652">
        <v>736</v>
      </c>
      <c r="O849" s="652">
        <v>6796</v>
      </c>
      <c r="P849" s="652">
        <v>0</v>
      </c>
      <c r="Q849" s="651">
        <v>498</v>
      </c>
      <c r="R849" s="651"/>
      <c r="S849" s="652">
        <v>5616</v>
      </c>
      <c r="T849" s="653">
        <v>822</v>
      </c>
      <c r="U849" s="653">
        <v>6438</v>
      </c>
    </row>
    <row r="850" spans="1:21" x14ac:dyDescent="0.25">
      <c r="A850" s="648">
        <v>99311</v>
      </c>
      <c r="B850" s="649" t="s">
        <v>3384</v>
      </c>
      <c r="C850" s="650">
        <v>5.7599999999999997E-5</v>
      </c>
      <c r="D850" s="650">
        <v>6.2100000000000005E-5</v>
      </c>
      <c r="E850" s="651">
        <v>21136.39</v>
      </c>
      <c r="F850" s="651">
        <v>27870</v>
      </c>
      <c r="G850" s="651">
        <v>122246</v>
      </c>
      <c r="H850" s="651"/>
      <c r="I850" s="652">
        <v>2297</v>
      </c>
      <c r="J850" s="652">
        <v>107127</v>
      </c>
      <c r="K850" s="652">
        <v>8373</v>
      </c>
      <c r="L850" s="651">
        <v>0</v>
      </c>
      <c r="M850" s="651"/>
      <c r="N850" s="652">
        <v>4284</v>
      </c>
      <c r="O850" s="652">
        <v>39540</v>
      </c>
      <c r="P850" s="652">
        <v>0</v>
      </c>
      <c r="Q850" s="651">
        <v>7642</v>
      </c>
      <c r="R850" s="651"/>
      <c r="S850" s="652">
        <v>32675</v>
      </c>
      <c r="T850" s="653">
        <v>-2750</v>
      </c>
      <c r="U850" s="653">
        <v>29925</v>
      </c>
    </row>
    <row r="851" spans="1:21" x14ac:dyDescent="0.25">
      <c r="A851" s="648">
        <v>99321</v>
      </c>
      <c r="B851" s="649" t="s">
        <v>3385</v>
      </c>
      <c r="C851" s="650">
        <v>1.1909999999999999E-4</v>
      </c>
      <c r="D851" s="650">
        <v>1.015E-4</v>
      </c>
      <c r="E851" s="651">
        <v>91759.74</v>
      </c>
      <c r="F851" s="651">
        <v>45553</v>
      </c>
      <c r="G851" s="651">
        <v>252770</v>
      </c>
      <c r="H851" s="651"/>
      <c r="I851" s="652">
        <v>4749</v>
      </c>
      <c r="J851" s="652">
        <v>221507</v>
      </c>
      <c r="K851" s="652">
        <v>17312</v>
      </c>
      <c r="L851" s="651">
        <v>97754</v>
      </c>
      <c r="M851" s="651"/>
      <c r="N851" s="652">
        <v>8857</v>
      </c>
      <c r="O851" s="652">
        <v>81757</v>
      </c>
      <c r="P851" s="652">
        <v>0</v>
      </c>
      <c r="Q851" s="651">
        <v>0</v>
      </c>
      <c r="R851" s="651"/>
      <c r="S851" s="652">
        <v>67562</v>
      </c>
      <c r="T851" s="653">
        <v>33905</v>
      </c>
      <c r="U851" s="653">
        <v>101467</v>
      </c>
    </row>
    <row r="852" spans="1:21" x14ac:dyDescent="0.25">
      <c r="A852" s="648">
        <v>99401</v>
      </c>
      <c r="B852" s="649" t="s">
        <v>3386</v>
      </c>
      <c r="C852" s="650">
        <v>9.3869999999999999E-4</v>
      </c>
      <c r="D852" s="650">
        <v>9.0470000000000004E-4</v>
      </c>
      <c r="E852" s="651">
        <v>380574.92</v>
      </c>
      <c r="F852" s="651">
        <v>406024</v>
      </c>
      <c r="G852" s="651">
        <v>1992236</v>
      </c>
      <c r="H852" s="651"/>
      <c r="I852" s="652">
        <v>37431</v>
      </c>
      <c r="J852" s="652">
        <v>1745834</v>
      </c>
      <c r="K852" s="652">
        <v>136450</v>
      </c>
      <c r="L852" s="651">
        <v>60934</v>
      </c>
      <c r="M852" s="651"/>
      <c r="N852" s="652">
        <v>69810</v>
      </c>
      <c r="O852" s="652">
        <v>644378</v>
      </c>
      <c r="P852" s="652">
        <v>0</v>
      </c>
      <c r="Q852" s="651">
        <v>0</v>
      </c>
      <c r="R852" s="651"/>
      <c r="S852" s="652">
        <v>532495</v>
      </c>
      <c r="T852" s="653">
        <v>26694</v>
      </c>
      <c r="U852" s="653">
        <v>559189</v>
      </c>
    </row>
    <row r="853" spans="1:21" x14ac:dyDescent="0.25">
      <c r="A853" s="648">
        <v>99404</v>
      </c>
      <c r="B853" s="649" t="s">
        <v>3387</v>
      </c>
      <c r="C853" s="650">
        <v>9.5999999999999996E-6</v>
      </c>
      <c r="D853" s="650">
        <v>9.9000000000000001E-6</v>
      </c>
      <c r="E853" s="651">
        <v>4863.32</v>
      </c>
      <c r="F853" s="651">
        <v>4443</v>
      </c>
      <c r="G853" s="651">
        <v>20374</v>
      </c>
      <c r="H853" s="651"/>
      <c r="I853" s="652">
        <v>383</v>
      </c>
      <c r="J853" s="652">
        <v>17854</v>
      </c>
      <c r="K853" s="652">
        <v>1395</v>
      </c>
      <c r="L853" s="651">
        <v>890</v>
      </c>
      <c r="M853" s="651"/>
      <c r="N853" s="652">
        <v>714</v>
      </c>
      <c r="O853" s="652">
        <v>6590</v>
      </c>
      <c r="P853" s="652">
        <v>0</v>
      </c>
      <c r="Q853" s="651">
        <v>0</v>
      </c>
      <c r="R853" s="651"/>
      <c r="S853" s="652">
        <v>5446</v>
      </c>
      <c r="T853" s="653">
        <v>284</v>
      </c>
      <c r="U853" s="653">
        <v>5730</v>
      </c>
    </row>
    <row r="854" spans="1:21" x14ac:dyDescent="0.25">
      <c r="A854" s="648">
        <v>99405</v>
      </c>
      <c r="B854" s="649" t="s">
        <v>3388</v>
      </c>
      <c r="C854" s="650">
        <v>5.8100000000000003E-5</v>
      </c>
      <c r="D854" s="650">
        <v>6.3399999999999996E-5</v>
      </c>
      <c r="E854" s="651">
        <v>32556.2</v>
      </c>
      <c r="F854" s="651">
        <v>28454</v>
      </c>
      <c r="G854" s="651">
        <v>123308</v>
      </c>
      <c r="H854" s="651"/>
      <c r="I854" s="652">
        <v>2317</v>
      </c>
      <c r="J854" s="652">
        <v>108057</v>
      </c>
      <c r="K854" s="652">
        <v>8445</v>
      </c>
      <c r="L854" s="651">
        <v>11934</v>
      </c>
      <c r="M854" s="651"/>
      <c r="N854" s="652">
        <v>4321</v>
      </c>
      <c r="O854" s="652">
        <v>39883</v>
      </c>
      <c r="P854" s="652">
        <v>0</v>
      </c>
      <c r="Q854" s="651">
        <v>675</v>
      </c>
      <c r="R854" s="651"/>
      <c r="S854" s="652">
        <v>32958</v>
      </c>
      <c r="T854" s="653">
        <v>3510</v>
      </c>
      <c r="U854" s="653">
        <v>36468</v>
      </c>
    </row>
    <row r="855" spans="1:21" x14ac:dyDescent="0.25">
      <c r="A855" s="648">
        <v>99411</v>
      </c>
      <c r="B855" s="649" t="s">
        <v>3389</v>
      </c>
      <c r="C855" s="650">
        <v>1.2510000000000001E-4</v>
      </c>
      <c r="D855" s="650">
        <v>1.07E-4</v>
      </c>
      <c r="E855" s="651">
        <v>60724</v>
      </c>
      <c r="F855" s="651">
        <v>48021</v>
      </c>
      <c r="G855" s="651">
        <v>265504</v>
      </c>
      <c r="H855" s="651"/>
      <c r="I855" s="652">
        <v>4988</v>
      </c>
      <c r="J855" s="652">
        <v>232666</v>
      </c>
      <c r="K855" s="652">
        <v>18185</v>
      </c>
      <c r="L855" s="651">
        <v>24011</v>
      </c>
      <c r="M855" s="651"/>
      <c r="N855" s="652">
        <v>9304</v>
      </c>
      <c r="O855" s="652">
        <v>85876</v>
      </c>
      <c r="P855" s="652">
        <v>0</v>
      </c>
      <c r="Q855" s="651">
        <v>8844</v>
      </c>
      <c r="R855" s="651"/>
      <c r="S855" s="652">
        <v>70965</v>
      </c>
      <c r="T855" s="653">
        <v>2430</v>
      </c>
      <c r="U855" s="653">
        <v>73395</v>
      </c>
    </row>
    <row r="856" spans="1:21" x14ac:dyDescent="0.25">
      <c r="A856" s="648">
        <v>99413</v>
      </c>
      <c r="B856" s="649" t="s">
        <v>3390</v>
      </c>
      <c r="C856" s="650">
        <v>2.76E-5</v>
      </c>
      <c r="D856" s="650">
        <v>4.21E-5</v>
      </c>
      <c r="E856" s="651">
        <v>17655.62</v>
      </c>
      <c r="F856" s="651">
        <v>18894</v>
      </c>
      <c r="G856" s="651">
        <v>58576</v>
      </c>
      <c r="H856" s="651"/>
      <c r="I856" s="652">
        <v>1100.55</v>
      </c>
      <c r="J856" s="652">
        <v>51332</v>
      </c>
      <c r="K856" s="652">
        <v>4012</v>
      </c>
      <c r="L856" s="651">
        <v>10</v>
      </c>
      <c r="M856" s="651"/>
      <c r="N856" s="652">
        <v>2053</v>
      </c>
      <c r="O856" s="652">
        <v>18946</v>
      </c>
      <c r="P856" s="652">
        <v>0</v>
      </c>
      <c r="Q856" s="651">
        <v>4264</v>
      </c>
      <c r="R856" s="651"/>
      <c r="S856" s="652">
        <v>15657</v>
      </c>
      <c r="T856" s="653">
        <v>-1235</v>
      </c>
      <c r="U856" s="653">
        <v>14422</v>
      </c>
    </row>
    <row r="857" spans="1:21" x14ac:dyDescent="0.25">
      <c r="A857" s="648">
        <v>99421</v>
      </c>
      <c r="B857" s="649" t="s">
        <v>3391</v>
      </c>
      <c r="C857" s="650">
        <v>1.5E-5</v>
      </c>
      <c r="D857" s="650">
        <v>2.2099999999999998E-5</v>
      </c>
      <c r="E857" s="651">
        <v>6577</v>
      </c>
      <c r="F857" s="651">
        <v>9918</v>
      </c>
      <c r="G857" s="651">
        <v>31835</v>
      </c>
      <c r="H857" s="651"/>
      <c r="I857" s="652">
        <v>598.125</v>
      </c>
      <c r="J857" s="652">
        <v>27897.63</v>
      </c>
      <c r="K857" s="652">
        <v>2180.415</v>
      </c>
      <c r="L857" s="651">
        <v>1536</v>
      </c>
      <c r="M857" s="651"/>
      <c r="N857" s="652">
        <v>1116</v>
      </c>
      <c r="O857" s="652">
        <v>10297</v>
      </c>
      <c r="P857" s="652">
        <v>0</v>
      </c>
      <c r="Q857" s="651">
        <v>4910</v>
      </c>
      <c r="R857" s="651"/>
      <c r="S857" s="652">
        <v>8509</v>
      </c>
      <c r="T857" s="653">
        <v>-633</v>
      </c>
      <c r="U857" s="653">
        <v>7876</v>
      </c>
    </row>
    <row r="858" spans="1:21" x14ac:dyDescent="0.25">
      <c r="A858" s="648">
        <v>99431</v>
      </c>
      <c r="B858" s="649" t="s">
        <v>3392</v>
      </c>
      <c r="C858" s="650">
        <v>2.16E-5</v>
      </c>
      <c r="D858" s="650">
        <v>2.09E-5</v>
      </c>
      <c r="E858" s="651">
        <v>6864.37</v>
      </c>
      <c r="F858" s="651">
        <v>9380</v>
      </c>
      <c r="G858" s="651">
        <v>45842</v>
      </c>
      <c r="H858" s="651"/>
      <c r="I858" s="652">
        <v>861.3</v>
      </c>
      <c r="J858" s="652">
        <v>40173</v>
      </c>
      <c r="K858" s="652">
        <v>3140</v>
      </c>
      <c r="L858" s="651">
        <v>2153</v>
      </c>
      <c r="M858" s="651"/>
      <c r="N858" s="652">
        <v>1606</v>
      </c>
      <c r="O858" s="652">
        <v>14827</v>
      </c>
      <c r="P858" s="652">
        <v>0</v>
      </c>
      <c r="Q858" s="651">
        <v>1856</v>
      </c>
      <c r="R858" s="651"/>
      <c r="S858" s="652">
        <v>12253</v>
      </c>
      <c r="T858" s="653">
        <v>541</v>
      </c>
      <c r="U858" s="653">
        <v>12794</v>
      </c>
    </row>
    <row r="859" spans="1:21" x14ac:dyDescent="0.25">
      <c r="A859" s="648">
        <v>99501</v>
      </c>
      <c r="B859" s="649" t="s">
        <v>3393</v>
      </c>
      <c r="C859" s="650">
        <v>1.7390000000000001E-3</v>
      </c>
      <c r="D859" s="650">
        <v>1.7404E-3</v>
      </c>
      <c r="E859" s="651">
        <v>717899.84</v>
      </c>
      <c r="F859" s="651">
        <v>781081</v>
      </c>
      <c r="G859" s="651">
        <v>3690741</v>
      </c>
      <c r="H859" s="651"/>
      <c r="I859" s="652">
        <v>69343</v>
      </c>
      <c r="J859" s="652">
        <v>3234265</v>
      </c>
      <c r="K859" s="652">
        <v>252783</v>
      </c>
      <c r="L859" s="651">
        <v>5725</v>
      </c>
      <c r="M859" s="651"/>
      <c r="N859" s="652">
        <v>129328</v>
      </c>
      <c r="O859" s="652">
        <v>1193750</v>
      </c>
      <c r="P859" s="652">
        <v>0</v>
      </c>
      <c r="Q859" s="651">
        <v>0</v>
      </c>
      <c r="R859" s="651"/>
      <c r="S859" s="652">
        <v>986481</v>
      </c>
      <c r="T859" s="653">
        <v>1961</v>
      </c>
      <c r="U859" s="653">
        <v>988442</v>
      </c>
    </row>
    <row r="860" spans="1:21" x14ac:dyDescent="0.25">
      <c r="A860" s="648">
        <v>99502</v>
      </c>
      <c r="B860" s="649" t="s">
        <v>3394</v>
      </c>
      <c r="C860" s="650">
        <v>1.3779999999999999E-4</v>
      </c>
      <c r="D860" s="650">
        <v>1.628E-4</v>
      </c>
      <c r="E860" s="651">
        <v>87805.53</v>
      </c>
      <c r="F860" s="651">
        <v>73064</v>
      </c>
      <c r="G860" s="651">
        <v>292458</v>
      </c>
      <c r="H860" s="651"/>
      <c r="I860" s="652">
        <v>5495</v>
      </c>
      <c r="J860" s="652">
        <v>256286</v>
      </c>
      <c r="K860" s="652">
        <v>20031</v>
      </c>
      <c r="L860" s="651">
        <v>28542</v>
      </c>
      <c r="M860" s="651"/>
      <c r="N860" s="652">
        <v>10248</v>
      </c>
      <c r="O860" s="652">
        <v>94594</v>
      </c>
      <c r="P860" s="652">
        <v>0</v>
      </c>
      <c r="Q860" s="651">
        <v>143</v>
      </c>
      <c r="R860" s="651"/>
      <c r="S860" s="652">
        <v>78170</v>
      </c>
      <c r="T860" s="653">
        <v>8980</v>
      </c>
      <c r="U860" s="653">
        <v>87150</v>
      </c>
    </row>
    <row r="861" spans="1:21" x14ac:dyDescent="0.25">
      <c r="A861" s="648">
        <v>99508</v>
      </c>
      <c r="B861" s="649" t="s">
        <v>3395</v>
      </c>
      <c r="C861" s="650">
        <v>2.1699999999999999E-5</v>
      </c>
      <c r="D861" s="650">
        <v>2.3200000000000001E-5</v>
      </c>
      <c r="E861" s="651">
        <v>8790.98</v>
      </c>
      <c r="F861" s="651">
        <v>10412</v>
      </c>
      <c r="G861" s="651">
        <v>46055</v>
      </c>
      <c r="H861" s="651"/>
      <c r="I861" s="652">
        <v>865</v>
      </c>
      <c r="J861" s="652">
        <v>40359</v>
      </c>
      <c r="K861" s="652">
        <v>3154</v>
      </c>
      <c r="L861" s="651">
        <v>0</v>
      </c>
      <c r="M861" s="651"/>
      <c r="N861" s="652">
        <v>1614</v>
      </c>
      <c r="O861" s="652">
        <v>14896</v>
      </c>
      <c r="P861" s="652">
        <v>0</v>
      </c>
      <c r="Q861" s="651">
        <v>2564</v>
      </c>
      <c r="R861" s="651"/>
      <c r="S861" s="652">
        <v>12310</v>
      </c>
      <c r="T861" s="653">
        <v>-994</v>
      </c>
      <c r="U861" s="653">
        <v>11316</v>
      </c>
    </row>
    <row r="862" spans="1:21" x14ac:dyDescent="0.25">
      <c r="A862" s="648">
        <v>99509</v>
      </c>
      <c r="B862" s="649" t="s">
        <v>3396</v>
      </c>
      <c r="C862" s="650">
        <v>2.8900000000000001E-5</v>
      </c>
      <c r="D862" s="650">
        <v>2.87E-5</v>
      </c>
      <c r="E862" s="651">
        <v>10373.91</v>
      </c>
      <c r="F862" s="651">
        <v>12880</v>
      </c>
      <c r="G862" s="651">
        <v>61335</v>
      </c>
      <c r="H862" s="651"/>
      <c r="I862" s="652">
        <v>1152.3875</v>
      </c>
      <c r="J862" s="652">
        <v>53749</v>
      </c>
      <c r="K862" s="652">
        <v>4201</v>
      </c>
      <c r="L862" s="651">
        <v>0</v>
      </c>
      <c r="M862" s="651"/>
      <c r="N862" s="652">
        <v>2149</v>
      </c>
      <c r="O862" s="652">
        <v>19839</v>
      </c>
      <c r="P862" s="652">
        <v>0</v>
      </c>
      <c r="Q862" s="651">
        <v>8463</v>
      </c>
      <c r="R862" s="651"/>
      <c r="S862" s="652">
        <v>16394</v>
      </c>
      <c r="T862" s="653">
        <v>-3831</v>
      </c>
      <c r="U862" s="653">
        <v>12563</v>
      </c>
    </row>
    <row r="863" spans="1:21" x14ac:dyDescent="0.25">
      <c r="A863" s="648">
        <v>99511</v>
      </c>
      <c r="B863" s="649" t="s">
        <v>3397</v>
      </c>
      <c r="C863" s="650">
        <v>1.3638000000000001E-3</v>
      </c>
      <c r="D863" s="650">
        <v>1.4238E-3</v>
      </c>
      <c r="E863" s="651">
        <v>513320.93</v>
      </c>
      <c r="F863" s="651">
        <v>638993</v>
      </c>
      <c r="G863" s="651">
        <v>2894440</v>
      </c>
      <c r="H863" s="651"/>
      <c r="I863" s="652">
        <v>54382</v>
      </c>
      <c r="J863" s="652">
        <v>2536453</v>
      </c>
      <c r="K863" s="652">
        <v>198243</v>
      </c>
      <c r="L863" s="651">
        <v>6972</v>
      </c>
      <c r="M863" s="651"/>
      <c r="N863" s="652">
        <v>101424</v>
      </c>
      <c r="O863" s="652">
        <v>936191</v>
      </c>
      <c r="P863" s="652">
        <v>0</v>
      </c>
      <c r="Q863" s="651">
        <v>87693</v>
      </c>
      <c r="R863" s="651"/>
      <c r="S863" s="652">
        <v>773641</v>
      </c>
      <c r="T863" s="653">
        <v>-24491</v>
      </c>
      <c r="U863" s="653">
        <v>749150</v>
      </c>
    </row>
    <row r="864" spans="1:21" x14ac:dyDescent="0.25">
      <c r="A864" s="648">
        <v>99521</v>
      </c>
      <c r="B864" s="649" t="s">
        <v>3398</v>
      </c>
      <c r="C864" s="650">
        <v>4.0180000000000001E-4</v>
      </c>
      <c r="D864" s="650">
        <v>4.0989999999999999E-4</v>
      </c>
      <c r="E864" s="651">
        <v>150146.22</v>
      </c>
      <c r="F864" s="651">
        <v>183961</v>
      </c>
      <c r="G864" s="651">
        <v>852754</v>
      </c>
      <c r="H864" s="651"/>
      <c r="I864" s="652">
        <v>16022</v>
      </c>
      <c r="J864" s="652">
        <v>747285</v>
      </c>
      <c r="K864" s="652">
        <v>58406</v>
      </c>
      <c r="L864" s="651">
        <v>1435</v>
      </c>
      <c r="M864" s="651"/>
      <c r="N864" s="652">
        <v>29881</v>
      </c>
      <c r="O864" s="652">
        <v>275819</v>
      </c>
      <c r="P864" s="652">
        <v>0</v>
      </c>
      <c r="Q864" s="651">
        <v>21691</v>
      </c>
      <c r="R864" s="651"/>
      <c r="S864" s="652">
        <v>227929</v>
      </c>
      <c r="T864" s="653">
        <v>-5406</v>
      </c>
      <c r="U864" s="653">
        <v>222522</v>
      </c>
    </row>
    <row r="865" spans="1:21" x14ac:dyDescent="0.25">
      <c r="A865" s="648">
        <v>99527</v>
      </c>
      <c r="B865" s="649" t="s">
        <v>3399</v>
      </c>
      <c r="C865" s="650">
        <v>1.2099999999999999E-5</v>
      </c>
      <c r="D865" s="650">
        <v>1.1800000000000001E-5</v>
      </c>
      <c r="E865" s="651">
        <v>5273.87</v>
      </c>
      <c r="F865" s="651">
        <v>5296</v>
      </c>
      <c r="G865" s="651">
        <v>25680</v>
      </c>
      <c r="H865" s="651"/>
      <c r="I865" s="652">
        <v>482</v>
      </c>
      <c r="J865" s="652">
        <v>22504</v>
      </c>
      <c r="K865" s="652">
        <v>1759</v>
      </c>
      <c r="L865" s="651">
        <v>1404</v>
      </c>
      <c r="M865" s="651"/>
      <c r="N865" s="652">
        <v>900</v>
      </c>
      <c r="O865" s="652">
        <v>8306</v>
      </c>
      <c r="P865" s="652">
        <v>0</v>
      </c>
      <c r="Q865" s="651">
        <v>0</v>
      </c>
      <c r="R865" s="651"/>
      <c r="S865" s="652">
        <v>6864</v>
      </c>
      <c r="T865" s="653">
        <v>529</v>
      </c>
      <c r="U865" s="653">
        <v>7393</v>
      </c>
    </row>
    <row r="866" spans="1:21" x14ac:dyDescent="0.25">
      <c r="A866" s="648">
        <v>99531</v>
      </c>
      <c r="B866" s="649" t="s">
        <v>3400</v>
      </c>
      <c r="C866" s="650">
        <v>8.7600000000000002E-5</v>
      </c>
      <c r="D866" s="650">
        <v>8.8200000000000003E-5</v>
      </c>
      <c r="E866" s="651">
        <v>67487</v>
      </c>
      <c r="F866" s="651">
        <v>39584</v>
      </c>
      <c r="G866" s="651">
        <v>185917</v>
      </c>
      <c r="H866" s="651"/>
      <c r="I866" s="652">
        <v>3493.05</v>
      </c>
      <c r="J866" s="652">
        <v>162922</v>
      </c>
      <c r="K866" s="652">
        <v>12734</v>
      </c>
      <c r="L866" s="651">
        <v>39764</v>
      </c>
      <c r="M866" s="651"/>
      <c r="N866" s="652">
        <v>6515</v>
      </c>
      <c r="O866" s="652">
        <v>60134</v>
      </c>
      <c r="P866" s="652">
        <v>0</v>
      </c>
      <c r="Q866" s="651">
        <v>0</v>
      </c>
      <c r="R866" s="651"/>
      <c r="S866" s="652">
        <v>49693</v>
      </c>
      <c r="T866" s="653">
        <v>11839</v>
      </c>
      <c r="U866" s="653">
        <v>61531</v>
      </c>
    </row>
    <row r="867" spans="1:21" x14ac:dyDescent="0.25">
      <c r="A867" s="648">
        <v>99601</v>
      </c>
      <c r="B867" s="649" t="s">
        <v>3401</v>
      </c>
      <c r="C867" s="650">
        <v>5.2824999999999999E-3</v>
      </c>
      <c r="D867" s="650">
        <v>5.3274999999999998E-3</v>
      </c>
      <c r="E867" s="651">
        <v>2087469</v>
      </c>
      <c r="F867" s="651">
        <v>2390950</v>
      </c>
      <c r="G867" s="651">
        <v>11211235</v>
      </c>
      <c r="H867" s="651"/>
      <c r="I867" s="652">
        <v>210640</v>
      </c>
      <c r="J867" s="652">
        <v>9824615</v>
      </c>
      <c r="K867" s="652">
        <v>767869</v>
      </c>
      <c r="L867" s="651">
        <v>60572</v>
      </c>
      <c r="M867" s="651"/>
      <c r="N867" s="652">
        <v>392854</v>
      </c>
      <c r="O867" s="652">
        <v>3626214</v>
      </c>
      <c r="P867" s="652">
        <v>0</v>
      </c>
      <c r="Q867" s="651">
        <v>101945</v>
      </c>
      <c r="R867" s="651"/>
      <c r="S867" s="652">
        <v>2996598</v>
      </c>
      <c r="T867" s="653">
        <v>-7395</v>
      </c>
      <c r="U867" s="653">
        <v>2989204</v>
      </c>
    </row>
    <row r="868" spans="1:21" x14ac:dyDescent="0.25">
      <c r="A868" s="648">
        <v>99602</v>
      </c>
      <c r="B868" s="649" t="s">
        <v>3402</v>
      </c>
      <c r="C868" s="650">
        <v>5.1700000000000003E-5</v>
      </c>
      <c r="D868" s="650">
        <v>5.13E-5</v>
      </c>
      <c r="E868" s="651">
        <v>23478.31</v>
      </c>
      <c r="F868" s="651">
        <v>23023</v>
      </c>
      <c r="G868" s="651">
        <v>109725</v>
      </c>
      <c r="H868" s="651"/>
      <c r="I868" s="652">
        <v>2062</v>
      </c>
      <c r="J868" s="652">
        <v>96154</v>
      </c>
      <c r="K868" s="652">
        <v>7515</v>
      </c>
      <c r="L868" s="651">
        <v>5410</v>
      </c>
      <c r="M868" s="651"/>
      <c r="N868" s="652">
        <v>3845</v>
      </c>
      <c r="O868" s="652">
        <v>35490</v>
      </c>
      <c r="P868" s="652">
        <v>0</v>
      </c>
      <c r="Q868" s="651">
        <v>4155</v>
      </c>
      <c r="R868" s="651"/>
      <c r="S868" s="652">
        <v>29328</v>
      </c>
      <c r="T868" s="653">
        <v>-358</v>
      </c>
      <c r="U868" s="653">
        <v>28969</v>
      </c>
    </row>
    <row r="869" spans="1:21" x14ac:dyDescent="0.25">
      <c r="A869" s="648">
        <v>99603</v>
      </c>
      <c r="B869" s="649" t="s">
        <v>3403</v>
      </c>
      <c r="C869" s="650">
        <v>1.4219999999999999E-4</v>
      </c>
      <c r="D869" s="650">
        <v>1.474E-4</v>
      </c>
      <c r="E869" s="651">
        <v>137623</v>
      </c>
      <c r="F869" s="651">
        <v>66152</v>
      </c>
      <c r="G869" s="651">
        <v>301796</v>
      </c>
      <c r="H869" s="651"/>
      <c r="I869" s="652">
        <v>5670</v>
      </c>
      <c r="J869" s="652">
        <v>264470</v>
      </c>
      <c r="K869" s="652">
        <v>20670</v>
      </c>
      <c r="L869" s="651">
        <v>103545</v>
      </c>
      <c r="M869" s="651"/>
      <c r="N869" s="652">
        <v>10575</v>
      </c>
      <c r="O869" s="652">
        <v>97614</v>
      </c>
      <c r="P869" s="652">
        <v>0</v>
      </c>
      <c r="Q869" s="651">
        <v>0</v>
      </c>
      <c r="R869" s="651"/>
      <c r="S869" s="652">
        <v>80666</v>
      </c>
      <c r="T869" s="653">
        <v>31526</v>
      </c>
      <c r="U869" s="653">
        <v>112191</v>
      </c>
    </row>
    <row r="870" spans="1:21" x14ac:dyDescent="0.25">
      <c r="A870" s="648">
        <v>99604</v>
      </c>
      <c r="B870" s="649" t="s">
        <v>3404</v>
      </c>
      <c r="C870" s="650">
        <v>9.6899999999999997E-5</v>
      </c>
      <c r="D870" s="650">
        <v>9.3300000000000005E-5</v>
      </c>
      <c r="E870" s="651">
        <v>45606</v>
      </c>
      <c r="F870" s="651">
        <v>41872</v>
      </c>
      <c r="G870" s="651">
        <v>205654</v>
      </c>
      <c r="H870" s="651"/>
      <c r="I870" s="652">
        <v>3864</v>
      </c>
      <c r="J870" s="652">
        <v>180219</v>
      </c>
      <c r="K870" s="652">
        <v>14085</v>
      </c>
      <c r="L870" s="651">
        <v>20600</v>
      </c>
      <c r="M870" s="651"/>
      <c r="N870" s="652">
        <v>7206</v>
      </c>
      <c r="O870" s="652">
        <v>66518</v>
      </c>
      <c r="P870" s="652">
        <v>0</v>
      </c>
      <c r="Q870" s="651">
        <v>0</v>
      </c>
      <c r="R870" s="651"/>
      <c r="S870" s="652">
        <v>54968</v>
      </c>
      <c r="T870" s="653">
        <v>7597</v>
      </c>
      <c r="U870" s="653">
        <v>62566</v>
      </c>
    </row>
    <row r="871" spans="1:21" x14ac:dyDescent="0.25">
      <c r="A871" s="648">
        <v>99609</v>
      </c>
      <c r="B871" s="649" t="s">
        <v>3405</v>
      </c>
      <c r="C871" s="650">
        <v>2.0999999999999999E-5</v>
      </c>
      <c r="D871" s="650">
        <v>1.98E-5</v>
      </c>
      <c r="E871" s="651">
        <v>10788</v>
      </c>
      <c r="F871" s="651">
        <v>8886</v>
      </c>
      <c r="G871" s="651">
        <v>44569</v>
      </c>
      <c r="H871" s="651"/>
      <c r="I871" s="652">
        <v>837.375</v>
      </c>
      <c r="J871" s="652">
        <v>39057</v>
      </c>
      <c r="K871" s="652">
        <v>3053</v>
      </c>
      <c r="L871" s="651">
        <v>5629</v>
      </c>
      <c r="M871" s="651"/>
      <c r="N871" s="652">
        <v>1562</v>
      </c>
      <c r="O871" s="652">
        <v>14416</v>
      </c>
      <c r="P871" s="652">
        <v>0</v>
      </c>
      <c r="Q871" s="651">
        <v>0</v>
      </c>
      <c r="R871" s="651"/>
      <c r="S871" s="652">
        <v>11913</v>
      </c>
      <c r="T871" s="653">
        <v>2074</v>
      </c>
      <c r="U871" s="653">
        <v>13986</v>
      </c>
    </row>
    <row r="872" spans="1:21" x14ac:dyDescent="0.25">
      <c r="A872" s="648">
        <v>99610</v>
      </c>
      <c r="B872" s="649" t="s">
        <v>3406</v>
      </c>
      <c r="C872" s="650">
        <v>1.9440000000000001E-4</v>
      </c>
      <c r="D872" s="650">
        <v>1.883E-4</v>
      </c>
      <c r="E872" s="651">
        <v>78017.36</v>
      </c>
      <c r="F872" s="651">
        <v>84508</v>
      </c>
      <c r="G872" s="651">
        <v>412582</v>
      </c>
      <c r="H872" s="651"/>
      <c r="I872" s="652">
        <v>7752</v>
      </c>
      <c r="J872" s="652">
        <v>361553</v>
      </c>
      <c r="K872" s="652">
        <v>28258</v>
      </c>
      <c r="L872" s="651">
        <v>4583</v>
      </c>
      <c r="M872" s="651"/>
      <c r="N872" s="652">
        <v>14457</v>
      </c>
      <c r="O872" s="652">
        <v>133447</v>
      </c>
      <c r="P872" s="652">
        <v>0</v>
      </c>
      <c r="Q872" s="651">
        <v>1313</v>
      </c>
      <c r="R872" s="651"/>
      <c r="S872" s="652">
        <v>110277</v>
      </c>
      <c r="T872" s="653">
        <v>1406</v>
      </c>
      <c r="U872" s="653">
        <v>111683</v>
      </c>
    </row>
    <row r="873" spans="1:21" x14ac:dyDescent="0.25">
      <c r="A873" s="648">
        <v>99611</v>
      </c>
      <c r="B873" s="649" t="s">
        <v>3407</v>
      </c>
      <c r="C873" s="650">
        <v>3.1495999999999998E-3</v>
      </c>
      <c r="D873" s="650">
        <v>3.4461000000000001E-3</v>
      </c>
      <c r="E873" s="651">
        <v>1274178.99</v>
      </c>
      <c r="F873" s="651">
        <v>1546589</v>
      </c>
      <c r="G873" s="651">
        <v>6684506</v>
      </c>
      <c r="H873" s="651"/>
      <c r="I873" s="652">
        <v>125590</v>
      </c>
      <c r="J873" s="652">
        <v>5857758</v>
      </c>
      <c r="K873" s="652">
        <v>457829</v>
      </c>
      <c r="L873" s="651">
        <v>0</v>
      </c>
      <c r="M873" s="651"/>
      <c r="N873" s="652">
        <v>234233</v>
      </c>
      <c r="O873" s="652">
        <v>2162068</v>
      </c>
      <c r="P873" s="652">
        <v>0</v>
      </c>
      <c r="Q873" s="651">
        <v>295351</v>
      </c>
      <c r="R873" s="651"/>
      <c r="S873" s="652">
        <v>1786670</v>
      </c>
      <c r="T873" s="653">
        <v>-97649</v>
      </c>
      <c r="U873" s="653">
        <v>1689022</v>
      </c>
    </row>
    <row r="874" spans="1:21" x14ac:dyDescent="0.25">
      <c r="A874" s="648">
        <v>99613</v>
      </c>
      <c r="B874" s="649" t="s">
        <v>3408</v>
      </c>
      <c r="C874" s="650">
        <v>3.369E-4</v>
      </c>
      <c r="D874" s="650">
        <v>2.6350000000000001E-4</v>
      </c>
      <c r="E874" s="651">
        <v>287693.51</v>
      </c>
      <c r="F874" s="651">
        <v>118257</v>
      </c>
      <c r="G874" s="651">
        <v>715015</v>
      </c>
      <c r="H874" s="651"/>
      <c r="I874" s="652">
        <v>13434</v>
      </c>
      <c r="J874" s="652">
        <v>626581</v>
      </c>
      <c r="K874" s="652">
        <v>48972</v>
      </c>
      <c r="L874" s="651">
        <v>227196</v>
      </c>
      <c r="M874" s="651"/>
      <c r="N874" s="652">
        <v>25055</v>
      </c>
      <c r="O874" s="652">
        <v>231268</v>
      </c>
      <c r="P874" s="652">
        <v>0</v>
      </c>
      <c r="Q874" s="651">
        <v>0</v>
      </c>
      <c r="R874" s="651"/>
      <c r="S874" s="652">
        <v>191113</v>
      </c>
      <c r="T874" s="653">
        <v>65914</v>
      </c>
      <c r="U874" s="653">
        <v>257027</v>
      </c>
    </row>
    <row r="875" spans="1:21" x14ac:dyDescent="0.25">
      <c r="A875" s="648">
        <v>99621</v>
      </c>
      <c r="B875" s="649" t="s">
        <v>3409</v>
      </c>
      <c r="C875" s="650">
        <v>3.2850000000000002E-4</v>
      </c>
      <c r="D875" s="650">
        <v>2.9550000000000003E-4</v>
      </c>
      <c r="E875" s="651">
        <v>133172.19</v>
      </c>
      <c r="F875" s="651">
        <v>132619</v>
      </c>
      <c r="G875" s="651">
        <v>697187</v>
      </c>
      <c r="H875" s="651"/>
      <c r="I875" s="652">
        <v>13098.9375</v>
      </c>
      <c r="J875" s="652">
        <v>610958</v>
      </c>
      <c r="K875" s="652">
        <v>47751</v>
      </c>
      <c r="L875" s="651">
        <v>25982</v>
      </c>
      <c r="M875" s="651"/>
      <c r="N875" s="652">
        <v>24430</v>
      </c>
      <c r="O875" s="652">
        <v>225501</v>
      </c>
      <c r="P875" s="652">
        <v>0</v>
      </c>
      <c r="Q875" s="651">
        <v>7236</v>
      </c>
      <c r="R875" s="651"/>
      <c r="S875" s="652">
        <v>186348</v>
      </c>
      <c r="T875" s="653">
        <v>6510</v>
      </c>
      <c r="U875" s="653">
        <v>192858</v>
      </c>
    </row>
    <row r="876" spans="1:21" x14ac:dyDescent="0.25">
      <c r="A876" s="648">
        <v>99623</v>
      </c>
      <c r="B876" s="649" t="s">
        <v>3410</v>
      </c>
      <c r="C876" s="650">
        <v>2.9200000000000002E-5</v>
      </c>
      <c r="D876" s="650">
        <v>2.1299999999999999E-5</v>
      </c>
      <c r="E876" s="651">
        <v>8301.6</v>
      </c>
      <c r="F876" s="651">
        <v>9559</v>
      </c>
      <c r="G876" s="651">
        <v>61972</v>
      </c>
      <c r="H876" s="651"/>
      <c r="I876" s="652">
        <v>1164</v>
      </c>
      <c r="J876" s="652">
        <v>54307</v>
      </c>
      <c r="K876" s="652">
        <v>4245</v>
      </c>
      <c r="L876" s="651">
        <v>3598</v>
      </c>
      <c r="M876" s="651"/>
      <c r="N876" s="652">
        <v>2172</v>
      </c>
      <c r="O876" s="652">
        <v>20045</v>
      </c>
      <c r="P876" s="652">
        <v>0</v>
      </c>
      <c r="Q876" s="651">
        <v>316</v>
      </c>
      <c r="R876" s="651"/>
      <c r="S876" s="652">
        <v>16564</v>
      </c>
      <c r="T876" s="653">
        <v>989</v>
      </c>
      <c r="U876" s="653">
        <v>17554</v>
      </c>
    </row>
    <row r="877" spans="1:21" x14ac:dyDescent="0.25">
      <c r="A877" s="648">
        <v>99631</v>
      </c>
      <c r="B877" s="649" t="s">
        <v>3411</v>
      </c>
      <c r="C877" s="650">
        <v>1.0340000000000001E-4</v>
      </c>
      <c r="D877" s="650">
        <v>9.8599999999999998E-5</v>
      </c>
      <c r="E877" s="651">
        <v>37652</v>
      </c>
      <c r="F877" s="651">
        <v>44251</v>
      </c>
      <c r="G877" s="651">
        <v>219449</v>
      </c>
      <c r="H877" s="651"/>
      <c r="I877" s="652">
        <v>4123</v>
      </c>
      <c r="J877" s="652">
        <v>192308</v>
      </c>
      <c r="K877" s="652">
        <v>15030</v>
      </c>
      <c r="L877" s="651">
        <v>0</v>
      </c>
      <c r="M877" s="651"/>
      <c r="N877" s="652">
        <v>7690</v>
      </c>
      <c r="O877" s="652">
        <v>70980</v>
      </c>
      <c r="P877" s="652">
        <v>0</v>
      </c>
      <c r="Q877" s="651">
        <v>9381</v>
      </c>
      <c r="R877" s="651"/>
      <c r="S877" s="652">
        <v>58656</v>
      </c>
      <c r="T877" s="653">
        <v>-4222</v>
      </c>
      <c r="U877" s="653">
        <v>54433</v>
      </c>
    </row>
    <row r="878" spans="1:21" x14ac:dyDescent="0.25">
      <c r="A878" s="648">
        <v>99651</v>
      </c>
      <c r="B878" s="649" t="s">
        <v>3412</v>
      </c>
      <c r="C878" s="650">
        <v>6.7100000000000005E-5</v>
      </c>
      <c r="D878" s="650">
        <v>5.7500000000000002E-5</v>
      </c>
      <c r="E878" s="651">
        <v>24617</v>
      </c>
      <c r="F878" s="651">
        <v>25806</v>
      </c>
      <c r="G878" s="651">
        <v>142409</v>
      </c>
      <c r="H878" s="651"/>
      <c r="I878" s="652">
        <v>2676</v>
      </c>
      <c r="J878" s="652">
        <v>124795</v>
      </c>
      <c r="K878" s="652">
        <v>9754</v>
      </c>
      <c r="L878" s="651">
        <v>8790</v>
      </c>
      <c r="M878" s="651"/>
      <c r="N878" s="652">
        <v>4990</v>
      </c>
      <c r="O878" s="652">
        <v>46061</v>
      </c>
      <c r="P878" s="652">
        <v>0</v>
      </c>
      <c r="Q878" s="651">
        <v>2840</v>
      </c>
      <c r="R878" s="651"/>
      <c r="S878" s="652">
        <v>38064</v>
      </c>
      <c r="T878" s="653">
        <v>1419</v>
      </c>
      <c r="U878" s="653">
        <v>39483</v>
      </c>
    </row>
    <row r="879" spans="1:21" x14ac:dyDescent="0.25">
      <c r="A879" s="648">
        <v>99661</v>
      </c>
      <c r="B879" s="649" t="s">
        <v>3413</v>
      </c>
      <c r="C879" s="650">
        <v>3.5500000000000002E-5</v>
      </c>
      <c r="D879" s="650">
        <v>3.4900000000000001E-5</v>
      </c>
      <c r="E879" s="651">
        <v>34311.1</v>
      </c>
      <c r="F879" s="651">
        <v>15663</v>
      </c>
      <c r="G879" s="651">
        <v>75343</v>
      </c>
      <c r="H879" s="651"/>
      <c r="I879" s="652">
        <v>1415.5625</v>
      </c>
      <c r="J879" s="652">
        <v>66024</v>
      </c>
      <c r="K879" s="652">
        <v>5160</v>
      </c>
      <c r="L879" s="651">
        <v>30447</v>
      </c>
      <c r="M879" s="651"/>
      <c r="N879" s="652">
        <v>2640</v>
      </c>
      <c r="O879" s="652">
        <v>24369</v>
      </c>
      <c r="P879" s="652">
        <v>0</v>
      </c>
      <c r="Q879" s="651">
        <v>0</v>
      </c>
      <c r="R879" s="651"/>
      <c r="S879" s="652">
        <v>20138</v>
      </c>
      <c r="T879" s="653">
        <v>9415</v>
      </c>
      <c r="U879" s="653">
        <v>29553</v>
      </c>
    </row>
    <row r="880" spans="1:21" x14ac:dyDescent="0.25">
      <c r="A880" s="648">
        <v>99701</v>
      </c>
      <c r="B880" s="649" t="s">
        <v>3414</v>
      </c>
      <c r="C880" s="650">
        <v>2.8774E-3</v>
      </c>
      <c r="D880" s="650">
        <v>2.7742000000000001E-3</v>
      </c>
      <c r="E880" s="651">
        <v>1127825</v>
      </c>
      <c r="F880" s="651">
        <v>1245044</v>
      </c>
      <c r="G880" s="651">
        <v>6106807</v>
      </c>
      <c r="H880" s="651"/>
      <c r="I880" s="652">
        <v>114736</v>
      </c>
      <c r="J880" s="652">
        <v>5351509</v>
      </c>
      <c r="K880" s="652">
        <v>418262</v>
      </c>
      <c r="L880" s="651">
        <v>31037</v>
      </c>
      <c r="M880" s="651"/>
      <c r="N880" s="652">
        <v>213989</v>
      </c>
      <c r="O880" s="652">
        <v>1975214</v>
      </c>
      <c r="P880" s="652">
        <v>0</v>
      </c>
      <c r="Q880" s="651">
        <v>19671</v>
      </c>
      <c r="R880" s="651"/>
      <c r="S880" s="652">
        <v>1632260</v>
      </c>
      <c r="T880" s="653">
        <v>-10</v>
      </c>
      <c r="U880" s="653">
        <v>1632250</v>
      </c>
    </row>
    <row r="881" spans="1:21" x14ac:dyDescent="0.25">
      <c r="A881" s="648">
        <v>99705</v>
      </c>
      <c r="B881" s="649" t="s">
        <v>3415</v>
      </c>
      <c r="C881" s="650">
        <v>1.7259999999999999E-4</v>
      </c>
      <c r="D881" s="650">
        <v>1.7660000000000001E-4</v>
      </c>
      <c r="E881" s="651">
        <v>76713.119999999995</v>
      </c>
      <c r="F881" s="651">
        <v>79257</v>
      </c>
      <c r="G881" s="651">
        <v>366315</v>
      </c>
      <c r="H881" s="651"/>
      <c r="I881" s="652">
        <v>6882</v>
      </c>
      <c r="J881" s="652">
        <v>321009</v>
      </c>
      <c r="K881" s="652">
        <v>25089</v>
      </c>
      <c r="L881" s="651">
        <v>11090</v>
      </c>
      <c r="M881" s="651"/>
      <c r="N881" s="652">
        <v>12836</v>
      </c>
      <c r="O881" s="652">
        <v>118483</v>
      </c>
      <c r="P881" s="652">
        <v>0</v>
      </c>
      <c r="Q881" s="651">
        <v>842</v>
      </c>
      <c r="R881" s="651"/>
      <c r="S881" s="652">
        <v>97911</v>
      </c>
      <c r="T881" s="653">
        <v>4693</v>
      </c>
      <c r="U881" s="653">
        <v>102604</v>
      </c>
    </row>
    <row r="882" spans="1:21" x14ac:dyDescent="0.25">
      <c r="A882" s="648">
        <v>99711</v>
      </c>
      <c r="B882" s="649" t="s">
        <v>3416</v>
      </c>
      <c r="C882" s="650">
        <v>4.3540000000000001E-4</v>
      </c>
      <c r="D882" s="650">
        <v>4.506E-4</v>
      </c>
      <c r="E882" s="651">
        <v>185440.27</v>
      </c>
      <c r="F882" s="651">
        <v>202227</v>
      </c>
      <c r="G882" s="651">
        <v>924065</v>
      </c>
      <c r="H882" s="651"/>
      <c r="I882" s="652">
        <v>17362</v>
      </c>
      <c r="J882" s="652">
        <v>809775</v>
      </c>
      <c r="K882" s="652">
        <v>63290</v>
      </c>
      <c r="L882" s="651">
        <v>1891</v>
      </c>
      <c r="M882" s="651"/>
      <c r="N882" s="652">
        <v>32380</v>
      </c>
      <c r="O882" s="652">
        <v>298884</v>
      </c>
      <c r="P882" s="652">
        <v>0</v>
      </c>
      <c r="Q882" s="651">
        <v>15994</v>
      </c>
      <c r="R882" s="651"/>
      <c r="S882" s="652">
        <v>246989</v>
      </c>
      <c r="T882" s="653">
        <v>-4419</v>
      </c>
      <c r="U882" s="653">
        <v>242569</v>
      </c>
    </row>
    <row r="883" spans="1:21" x14ac:dyDescent="0.25">
      <c r="A883" s="648">
        <v>99717</v>
      </c>
      <c r="B883" s="649" t="s">
        <v>3417</v>
      </c>
      <c r="C883" s="650">
        <v>2.3200000000000001E-5</v>
      </c>
      <c r="D883" s="650">
        <v>2.2399999999999999E-5</v>
      </c>
      <c r="E883" s="651">
        <v>7625</v>
      </c>
      <c r="F883" s="651">
        <v>10053</v>
      </c>
      <c r="G883" s="651">
        <v>49238</v>
      </c>
      <c r="H883" s="651"/>
      <c r="I883" s="652">
        <v>925.1</v>
      </c>
      <c r="J883" s="652">
        <v>43148</v>
      </c>
      <c r="K883" s="652">
        <v>3372</v>
      </c>
      <c r="L883" s="651">
        <v>0</v>
      </c>
      <c r="M883" s="651"/>
      <c r="N883" s="652">
        <v>1725</v>
      </c>
      <c r="O883" s="652">
        <v>15926</v>
      </c>
      <c r="P883" s="652">
        <v>0</v>
      </c>
      <c r="Q883" s="651">
        <v>2122</v>
      </c>
      <c r="R883" s="651"/>
      <c r="S883" s="652">
        <v>13161</v>
      </c>
      <c r="T883" s="653">
        <v>-653</v>
      </c>
      <c r="U883" s="653">
        <v>12508</v>
      </c>
    </row>
    <row r="884" spans="1:21" x14ac:dyDescent="0.25">
      <c r="A884" s="648">
        <v>99721</v>
      </c>
      <c r="B884" s="649" t="s">
        <v>3418</v>
      </c>
      <c r="C884" s="650">
        <v>6.2449999999999995E-4</v>
      </c>
      <c r="D884" s="650">
        <v>5.8460000000000001E-4</v>
      </c>
      <c r="E884" s="651">
        <v>220767.11</v>
      </c>
      <c r="F884" s="651">
        <v>262365</v>
      </c>
      <c r="G884" s="651">
        <v>1325398</v>
      </c>
      <c r="H884" s="651"/>
      <c r="I884" s="652">
        <v>24902</v>
      </c>
      <c r="J884" s="652">
        <v>1161471</v>
      </c>
      <c r="K884" s="652">
        <v>90778</v>
      </c>
      <c r="L884" s="651">
        <v>0</v>
      </c>
      <c r="M884" s="651"/>
      <c r="N884" s="652">
        <v>46443</v>
      </c>
      <c r="O884" s="652">
        <v>428693</v>
      </c>
      <c r="P884" s="652">
        <v>0</v>
      </c>
      <c r="Q884" s="651">
        <v>11340</v>
      </c>
      <c r="R884" s="651"/>
      <c r="S884" s="652">
        <v>354259</v>
      </c>
      <c r="T884" s="653">
        <v>-3889</v>
      </c>
      <c r="U884" s="653">
        <v>350371</v>
      </c>
    </row>
    <row r="885" spans="1:21" x14ac:dyDescent="0.25">
      <c r="A885" s="648">
        <v>99727</v>
      </c>
      <c r="B885" s="649" t="s">
        <v>3419</v>
      </c>
      <c r="C885" s="650">
        <v>2.5299999999999998E-5</v>
      </c>
      <c r="D885" s="650">
        <v>2.8099999999999999E-5</v>
      </c>
      <c r="E885" s="651">
        <v>45027.6</v>
      </c>
      <c r="F885" s="651">
        <v>12611</v>
      </c>
      <c r="G885" s="651">
        <v>53695</v>
      </c>
      <c r="H885" s="651"/>
      <c r="I885" s="652">
        <v>1008.8375</v>
      </c>
      <c r="J885" s="652">
        <v>47054</v>
      </c>
      <c r="K885" s="652">
        <v>3678</v>
      </c>
      <c r="L885" s="651">
        <v>46298</v>
      </c>
      <c r="M885" s="651"/>
      <c r="N885" s="652">
        <v>1882</v>
      </c>
      <c r="O885" s="652">
        <v>17367</v>
      </c>
      <c r="P885" s="652">
        <v>0</v>
      </c>
      <c r="Q885" s="651">
        <v>0</v>
      </c>
      <c r="R885" s="651"/>
      <c r="S885" s="652">
        <v>14352</v>
      </c>
      <c r="T885" s="653">
        <v>14150</v>
      </c>
      <c r="U885" s="653">
        <v>28501</v>
      </c>
    </row>
    <row r="886" spans="1:21" x14ac:dyDescent="0.25">
      <c r="A886" s="648">
        <v>99801</v>
      </c>
      <c r="B886" s="649" t="s">
        <v>3420</v>
      </c>
      <c r="C886" s="650">
        <v>5.1954999999999996E-3</v>
      </c>
      <c r="D886" s="650">
        <v>5.0806999999999996E-3</v>
      </c>
      <c r="E886" s="651">
        <v>2017956.21</v>
      </c>
      <c r="F886" s="651">
        <v>2280188</v>
      </c>
      <c r="G886" s="651">
        <v>11026591</v>
      </c>
      <c r="H886" s="651"/>
      <c r="I886" s="652">
        <v>207171</v>
      </c>
      <c r="J886" s="652">
        <v>9662809</v>
      </c>
      <c r="K886" s="652">
        <v>755223</v>
      </c>
      <c r="L886" s="651">
        <v>34255.86</v>
      </c>
      <c r="M886" s="651"/>
      <c r="N886" s="652">
        <v>386384</v>
      </c>
      <c r="O886" s="652">
        <v>3566493</v>
      </c>
      <c r="P886" s="652">
        <v>0</v>
      </c>
      <c r="Q886" s="651">
        <v>67721</v>
      </c>
      <c r="R886" s="651"/>
      <c r="S886" s="652">
        <v>2947246</v>
      </c>
      <c r="T886" s="653">
        <v>-3738</v>
      </c>
      <c r="U886" s="653">
        <v>2943508</v>
      </c>
    </row>
    <row r="887" spans="1:21" x14ac:dyDescent="0.25">
      <c r="A887" s="648">
        <v>99802</v>
      </c>
      <c r="B887" s="649" t="s">
        <v>3421</v>
      </c>
      <c r="C887" s="650">
        <v>6.4999999999999996E-6</v>
      </c>
      <c r="D887" s="650">
        <v>7.7000000000000008E-6</v>
      </c>
      <c r="E887" s="651">
        <v>3764</v>
      </c>
      <c r="F887" s="651">
        <v>3456</v>
      </c>
      <c r="G887" s="651">
        <v>13795</v>
      </c>
      <c r="H887" s="651"/>
      <c r="I887" s="652">
        <v>259.1875</v>
      </c>
      <c r="J887" s="652">
        <v>12089</v>
      </c>
      <c r="K887" s="652">
        <v>945</v>
      </c>
      <c r="L887" s="651">
        <v>358</v>
      </c>
      <c r="M887" s="651"/>
      <c r="N887" s="652">
        <v>483</v>
      </c>
      <c r="O887" s="652">
        <v>4462</v>
      </c>
      <c r="P887" s="652">
        <v>0</v>
      </c>
      <c r="Q887" s="651">
        <v>107</v>
      </c>
      <c r="R887" s="651"/>
      <c r="S887" s="652">
        <v>3687</v>
      </c>
      <c r="T887" s="653">
        <v>52</v>
      </c>
      <c r="U887" s="653">
        <v>3740</v>
      </c>
    </row>
    <row r="888" spans="1:21" x14ac:dyDescent="0.25">
      <c r="A888" s="648">
        <v>99804</v>
      </c>
      <c r="B888" s="649" t="s">
        <v>3422</v>
      </c>
      <c r="C888" s="650">
        <v>8.6600000000000004E-5</v>
      </c>
      <c r="D888" s="650">
        <v>8.7999999999999998E-5</v>
      </c>
      <c r="E888" s="651">
        <v>41607</v>
      </c>
      <c r="F888" s="651">
        <v>39494</v>
      </c>
      <c r="G888" s="651">
        <v>183794</v>
      </c>
      <c r="H888" s="651"/>
      <c r="I888" s="652">
        <v>3453</v>
      </c>
      <c r="J888" s="652">
        <v>161062</v>
      </c>
      <c r="K888" s="652">
        <v>12588</v>
      </c>
      <c r="L888" s="651">
        <v>10128</v>
      </c>
      <c r="M888" s="651"/>
      <c r="N888" s="652">
        <v>6440</v>
      </c>
      <c r="O888" s="652">
        <v>59447</v>
      </c>
      <c r="P888" s="652">
        <v>0</v>
      </c>
      <c r="Q888" s="651">
        <v>0</v>
      </c>
      <c r="R888" s="651"/>
      <c r="S888" s="652">
        <v>49125</v>
      </c>
      <c r="T888" s="653">
        <v>3221</v>
      </c>
      <c r="U888" s="653">
        <v>52347</v>
      </c>
    </row>
    <row r="889" spans="1:21" x14ac:dyDescent="0.25">
      <c r="A889" s="648">
        <v>99811</v>
      </c>
      <c r="B889" s="649" t="s">
        <v>3423</v>
      </c>
      <c r="C889" s="650">
        <v>6.8415000000000004E-3</v>
      </c>
      <c r="D889" s="650">
        <v>6.9579999999999998E-3</v>
      </c>
      <c r="E889" s="651">
        <v>2561770.62</v>
      </c>
      <c r="F889" s="651">
        <v>3122709</v>
      </c>
      <c r="G889" s="651">
        <v>14519955</v>
      </c>
      <c r="H889" s="651"/>
      <c r="I889" s="652">
        <v>272805</v>
      </c>
      <c r="J889" s="652">
        <v>12724109</v>
      </c>
      <c r="K889" s="652">
        <v>994487</v>
      </c>
      <c r="L889" s="651">
        <v>0</v>
      </c>
      <c r="M889" s="651"/>
      <c r="N889" s="652">
        <v>508796</v>
      </c>
      <c r="O889" s="652">
        <v>4696402</v>
      </c>
      <c r="P889" s="652">
        <v>0</v>
      </c>
      <c r="Q889" s="651">
        <v>526561</v>
      </c>
      <c r="R889" s="651"/>
      <c r="S889" s="652">
        <v>3880971</v>
      </c>
      <c r="T889" s="653">
        <v>-175139</v>
      </c>
      <c r="U889" s="653">
        <v>3705832</v>
      </c>
    </row>
    <row r="890" spans="1:21" x14ac:dyDescent="0.25">
      <c r="A890" s="648">
        <v>99812</v>
      </c>
      <c r="B890" s="649" t="s">
        <v>3424</v>
      </c>
      <c r="C890" s="650">
        <v>2.5599999999999999E-5</v>
      </c>
      <c r="D890" s="650">
        <v>2.7399999999999999E-5</v>
      </c>
      <c r="E890" s="651">
        <v>18003</v>
      </c>
      <c r="F890" s="651">
        <v>12297</v>
      </c>
      <c r="G890" s="651">
        <v>54332</v>
      </c>
      <c r="H890" s="651"/>
      <c r="I890" s="652">
        <v>1020.8</v>
      </c>
      <c r="J890" s="652">
        <v>47612</v>
      </c>
      <c r="K890" s="652">
        <v>3721</v>
      </c>
      <c r="L890" s="651">
        <v>8899</v>
      </c>
      <c r="M890" s="651"/>
      <c r="N890" s="652">
        <v>1904</v>
      </c>
      <c r="O890" s="652">
        <v>17573</v>
      </c>
      <c r="P890" s="652">
        <v>0</v>
      </c>
      <c r="Q890" s="651">
        <v>0</v>
      </c>
      <c r="R890" s="651"/>
      <c r="S890" s="652">
        <v>14522</v>
      </c>
      <c r="T890" s="653">
        <v>2839</v>
      </c>
      <c r="U890" s="653">
        <v>17361</v>
      </c>
    </row>
    <row r="891" spans="1:21" x14ac:dyDescent="0.25">
      <c r="A891" s="648">
        <v>99818</v>
      </c>
      <c r="B891" s="649" t="s">
        <v>3425</v>
      </c>
      <c r="C891" s="650">
        <v>3.7700000000000002E-5</v>
      </c>
      <c r="D891" s="650">
        <v>4.4199999999999997E-5</v>
      </c>
      <c r="E891" s="651">
        <v>16175</v>
      </c>
      <c r="F891" s="651">
        <v>19837</v>
      </c>
      <c r="G891" s="651">
        <v>80012</v>
      </c>
      <c r="H891" s="651"/>
      <c r="I891" s="652">
        <v>1503</v>
      </c>
      <c r="J891" s="652">
        <v>70116</v>
      </c>
      <c r="K891" s="652">
        <v>5480</v>
      </c>
      <c r="L891" s="651">
        <v>5574</v>
      </c>
      <c r="M891" s="651"/>
      <c r="N891" s="652">
        <v>2804</v>
      </c>
      <c r="O891" s="652">
        <v>25879</v>
      </c>
      <c r="P891" s="652">
        <v>0</v>
      </c>
      <c r="Q891" s="651">
        <v>2988</v>
      </c>
      <c r="R891" s="651"/>
      <c r="S891" s="652">
        <v>21386</v>
      </c>
      <c r="T891" s="653">
        <v>1745</v>
      </c>
      <c r="U891" s="653">
        <v>23131</v>
      </c>
    </row>
    <row r="892" spans="1:21" x14ac:dyDescent="0.25">
      <c r="A892" s="648">
        <v>99821</v>
      </c>
      <c r="B892" s="649" t="s">
        <v>3426</v>
      </c>
      <c r="C892" s="650">
        <v>8.2899999999999996E-5</v>
      </c>
      <c r="D892" s="650">
        <v>8.42E-5</v>
      </c>
      <c r="E892" s="651">
        <v>42679.99</v>
      </c>
      <c r="F892" s="651">
        <v>37788</v>
      </c>
      <c r="G892" s="651">
        <v>175942</v>
      </c>
      <c r="H892" s="651"/>
      <c r="I892" s="652">
        <v>3306</v>
      </c>
      <c r="J892" s="652">
        <v>154181</v>
      </c>
      <c r="K892" s="652">
        <v>12050</v>
      </c>
      <c r="L892" s="651">
        <v>17868</v>
      </c>
      <c r="M892" s="651"/>
      <c r="N892" s="652">
        <v>6165</v>
      </c>
      <c r="O892" s="652">
        <v>56907</v>
      </c>
      <c r="P892" s="652">
        <v>0</v>
      </c>
      <c r="Q892" s="651">
        <v>860</v>
      </c>
      <c r="R892" s="651"/>
      <c r="S892" s="652">
        <v>47027</v>
      </c>
      <c r="T892" s="653">
        <v>7184</v>
      </c>
      <c r="U892" s="653">
        <v>54211</v>
      </c>
    </row>
    <row r="893" spans="1:21" x14ac:dyDescent="0.25">
      <c r="A893" s="648">
        <v>99831</v>
      </c>
      <c r="B893" s="649" t="s">
        <v>3427</v>
      </c>
      <c r="C893" s="650">
        <v>5.5899999999999997E-5</v>
      </c>
      <c r="D893" s="650">
        <v>5.0699999999999999E-5</v>
      </c>
      <c r="E893" s="651">
        <v>23539.8</v>
      </c>
      <c r="F893" s="651">
        <v>22754</v>
      </c>
      <c r="G893" s="651">
        <v>118639</v>
      </c>
      <c r="H893" s="651"/>
      <c r="I893" s="652">
        <v>2229</v>
      </c>
      <c r="J893" s="652">
        <v>103965</v>
      </c>
      <c r="K893" s="652">
        <v>8126</v>
      </c>
      <c r="L893" s="651">
        <v>3830</v>
      </c>
      <c r="M893" s="651"/>
      <c r="N893" s="652">
        <v>4157</v>
      </c>
      <c r="O893" s="652">
        <v>38373</v>
      </c>
      <c r="P893" s="652">
        <v>0</v>
      </c>
      <c r="Q893" s="651">
        <v>873</v>
      </c>
      <c r="R893" s="651"/>
      <c r="S893" s="652">
        <v>31710</v>
      </c>
      <c r="T893" s="653">
        <v>823</v>
      </c>
      <c r="U893" s="653">
        <v>32533</v>
      </c>
    </row>
    <row r="894" spans="1:21" x14ac:dyDescent="0.25">
      <c r="A894" s="648">
        <v>99841</v>
      </c>
      <c r="B894" s="649" t="s">
        <v>3428</v>
      </c>
      <c r="C894" s="650">
        <v>4.6E-5</v>
      </c>
      <c r="D894" s="650">
        <v>4.6699999999999997E-5</v>
      </c>
      <c r="E894" s="651">
        <v>18090.39</v>
      </c>
      <c r="F894" s="651">
        <v>20959</v>
      </c>
      <c r="G894" s="651">
        <v>97627.41</v>
      </c>
      <c r="H894" s="651"/>
      <c r="I894" s="652">
        <v>1834.25</v>
      </c>
      <c r="J894" s="652">
        <v>85553</v>
      </c>
      <c r="K894" s="652">
        <v>6687</v>
      </c>
      <c r="L894" s="651">
        <v>1970</v>
      </c>
      <c r="M894" s="651"/>
      <c r="N894" s="652">
        <v>3421</v>
      </c>
      <c r="O894" s="652">
        <v>31577</v>
      </c>
      <c r="P894" s="652">
        <v>0</v>
      </c>
      <c r="Q894" s="651">
        <v>3207</v>
      </c>
      <c r="R894" s="651"/>
      <c r="S894" s="652">
        <v>26094</v>
      </c>
      <c r="T894" s="653">
        <v>-661</v>
      </c>
      <c r="U894" s="653">
        <v>25434</v>
      </c>
    </row>
    <row r="895" spans="1:21" x14ac:dyDescent="0.25">
      <c r="A895" s="648">
        <v>99851</v>
      </c>
      <c r="B895" s="649" t="s">
        <v>3429</v>
      </c>
      <c r="C895" s="650">
        <v>2.1999999999999999E-5</v>
      </c>
      <c r="D895" s="650">
        <v>2.0299999999999999E-5</v>
      </c>
      <c r="E895" s="651">
        <v>6172</v>
      </c>
      <c r="F895" s="651">
        <v>9111</v>
      </c>
      <c r="G895" s="651">
        <v>46691</v>
      </c>
      <c r="H895" s="651"/>
      <c r="I895" s="652">
        <v>877.25</v>
      </c>
      <c r="J895" s="652">
        <v>40917</v>
      </c>
      <c r="K895" s="652">
        <v>3198</v>
      </c>
      <c r="L895" s="651">
        <v>221</v>
      </c>
      <c r="M895" s="651"/>
      <c r="N895" s="652">
        <v>1636</v>
      </c>
      <c r="O895" s="652">
        <v>15102</v>
      </c>
      <c r="P895" s="652">
        <v>0</v>
      </c>
      <c r="Q895" s="651">
        <v>1432</v>
      </c>
      <c r="R895" s="651"/>
      <c r="S895" s="652">
        <v>12480</v>
      </c>
      <c r="T895" s="653">
        <v>-310</v>
      </c>
      <c r="U895" s="653">
        <v>12170</v>
      </c>
    </row>
    <row r="896" spans="1:21" x14ac:dyDescent="0.25">
      <c r="A896" s="648">
        <v>99901</v>
      </c>
      <c r="B896" s="649" t="s">
        <v>3430</v>
      </c>
      <c r="C896" s="650">
        <v>1.6371999999999999E-3</v>
      </c>
      <c r="D896" s="650">
        <v>1.5259E-3</v>
      </c>
      <c r="E896" s="651">
        <v>635103.91</v>
      </c>
      <c r="F896" s="651">
        <v>684815</v>
      </c>
      <c r="G896" s="651">
        <v>3474687</v>
      </c>
      <c r="H896" s="651"/>
      <c r="I896" s="652">
        <v>65283.35</v>
      </c>
      <c r="J896" s="652">
        <v>3044933</v>
      </c>
      <c r="K896" s="652">
        <v>237985</v>
      </c>
      <c r="L896" s="651">
        <v>67178</v>
      </c>
      <c r="M896" s="651"/>
      <c r="N896" s="652">
        <v>121757</v>
      </c>
      <c r="O896" s="652">
        <v>1123869</v>
      </c>
      <c r="P896" s="652">
        <v>0</v>
      </c>
      <c r="Q896" s="651">
        <v>24162.58</v>
      </c>
      <c r="R896" s="651"/>
      <c r="S896" s="652">
        <v>928733</v>
      </c>
      <c r="T896" s="653">
        <v>8817</v>
      </c>
      <c r="U896" s="653">
        <v>937550</v>
      </c>
    </row>
    <row r="897" spans="1:21" x14ac:dyDescent="0.25">
      <c r="A897" s="648">
        <v>99911</v>
      </c>
      <c r="B897" s="649" t="s">
        <v>3431</v>
      </c>
      <c r="C897" s="650">
        <v>2.5520000000000002E-4</v>
      </c>
      <c r="D897" s="650">
        <v>2.766E-4</v>
      </c>
      <c r="E897" s="651">
        <v>106882</v>
      </c>
      <c r="F897" s="651">
        <v>124136</v>
      </c>
      <c r="G897" s="651">
        <v>541620</v>
      </c>
      <c r="H897" s="651"/>
      <c r="I897" s="652">
        <v>10176.1</v>
      </c>
      <c r="J897" s="652">
        <v>474632</v>
      </c>
      <c r="K897" s="652">
        <v>37096</v>
      </c>
      <c r="L897" s="651">
        <v>2863</v>
      </c>
      <c r="M897" s="651"/>
      <c r="N897" s="652">
        <v>18979</v>
      </c>
      <c r="O897" s="652">
        <v>175184</v>
      </c>
      <c r="P897" s="652">
        <v>0</v>
      </c>
      <c r="Q897" s="651">
        <v>20527</v>
      </c>
      <c r="R897" s="651"/>
      <c r="S897" s="652">
        <v>144767</v>
      </c>
      <c r="T897" s="653">
        <v>-6851</v>
      </c>
      <c r="U897" s="653">
        <v>137916</v>
      </c>
    </row>
    <row r="898" spans="1:21" x14ac:dyDescent="0.25">
      <c r="A898" s="648">
        <v>99921</v>
      </c>
      <c r="B898" s="649" t="s">
        <v>3432</v>
      </c>
      <c r="C898" s="654">
        <v>1.5129999999999999E-4</v>
      </c>
      <c r="D898" s="654">
        <v>1.3889999999999999E-4</v>
      </c>
      <c r="E898" s="651">
        <v>55802.77</v>
      </c>
      <c r="F898" s="651">
        <v>62337</v>
      </c>
      <c r="G898" s="655">
        <v>321109</v>
      </c>
      <c r="H898" s="655"/>
      <c r="I898" s="656">
        <v>6033</v>
      </c>
      <c r="J898" s="656">
        <v>281394</v>
      </c>
      <c r="K898" s="656">
        <v>21993</v>
      </c>
      <c r="L898" s="655">
        <v>4809</v>
      </c>
      <c r="M898" s="655"/>
      <c r="N898" s="656">
        <v>11252</v>
      </c>
      <c r="O898" s="656">
        <v>103861</v>
      </c>
      <c r="P898" s="656">
        <v>0</v>
      </c>
      <c r="Q898" s="655">
        <v>7353</v>
      </c>
      <c r="R898" s="655"/>
      <c r="S898" s="656">
        <v>85828</v>
      </c>
      <c r="T898" s="657">
        <v>-2145</v>
      </c>
      <c r="U898" s="657">
        <v>83683</v>
      </c>
    </row>
    <row r="899" spans="1:21" s="643" customFormat="1" x14ac:dyDescent="0.25">
      <c r="A899" s="648">
        <v>99931</v>
      </c>
      <c r="B899" s="658" t="s">
        <v>3433</v>
      </c>
      <c r="C899" s="659">
        <v>2.51E-5</v>
      </c>
      <c r="D899" s="659">
        <v>2.5700000000000001E-5</v>
      </c>
      <c r="E899" s="651">
        <v>9194.32</v>
      </c>
      <c r="F899" s="651">
        <v>11534</v>
      </c>
      <c r="G899" s="660">
        <v>53271</v>
      </c>
      <c r="H899" s="660"/>
      <c r="I899" s="660">
        <v>1000.8625</v>
      </c>
      <c r="J899" s="660">
        <v>46682</v>
      </c>
      <c r="K899" s="660">
        <v>3649</v>
      </c>
      <c r="L899" s="660">
        <v>0</v>
      </c>
      <c r="N899" s="660">
        <v>1867</v>
      </c>
      <c r="O899" s="660">
        <v>17230</v>
      </c>
      <c r="P899" s="661">
        <v>0</v>
      </c>
      <c r="Q899" s="660">
        <v>5581</v>
      </c>
      <c r="R899" s="660"/>
      <c r="S899" s="660">
        <v>14238</v>
      </c>
      <c r="T899" s="660">
        <v>-2038</v>
      </c>
      <c r="U899" s="660">
        <v>12201</v>
      </c>
    </row>
    <row r="900" spans="1:21" x14ac:dyDescent="0.25">
      <c r="A900" s="648">
        <v>99941</v>
      </c>
      <c r="B900" s="644" t="s">
        <v>3434</v>
      </c>
      <c r="C900" s="654">
        <v>7.8200000000000003E-5</v>
      </c>
      <c r="D900" s="654">
        <v>8.7899999999999995E-5</v>
      </c>
      <c r="E900" s="651">
        <v>27969.51</v>
      </c>
      <c r="F900" s="651">
        <v>39449</v>
      </c>
      <c r="G900" s="660">
        <v>165967</v>
      </c>
      <c r="H900" s="660"/>
      <c r="I900" s="660">
        <v>3118</v>
      </c>
      <c r="J900" s="660">
        <v>145440</v>
      </c>
      <c r="K900" s="660">
        <v>11367</v>
      </c>
      <c r="L900" s="660">
        <v>0</v>
      </c>
      <c r="N900" s="660">
        <v>5816</v>
      </c>
      <c r="O900" s="660">
        <v>53681</v>
      </c>
      <c r="P900" s="661">
        <v>0</v>
      </c>
      <c r="Q900" s="660">
        <v>11883</v>
      </c>
      <c r="R900" s="660"/>
      <c r="S900" s="660">
        <v>44360</v>
      </c>
      <c r="T900" s="660">
        <v>-3675</v>
      </c>
      <c r="U900" s="660">
        <v>40686</v>
      </c>
    </row>
    <row r="901" spans="1:21" x14ac:dyDescent="0.25">
      <c r="A901" s="648">
        <v>99991</v>
      </c>
      <c r="B901" s="644" t="s">
        <v>3435</v>
      </c>
      <c r="C901" s="654">
        <v>5.6990000000000003E-4</v>
      </c>
      <c r="D901" s="654">
        <v>5.1539999999999995E-4</v>
      </c>
      <c r="E901" s="651">
        <v>214761.88</v>
      </c>
      <c r="F901" s="651">
        <v>231308</v>
      </c>
      <c r="G901" s="660">
        <v>1209519</v>
      </c>
      <c r="H901" s="660"/>
      <c r="I901" s="660">
        <v>22725</v>
      </c>
      <c r="J901" s="660">
        <v>1059924</v>
      </c>
      <c r="K901" s="660">
        <v>82841</v>
      </c>
      <c r="L901" s="660">
        <v>48305</v>
      </c>
      <c r="N901" s="660">
        <v>42383</v>
      </c>
      <c r="O901" s="660">
        <v>391212</v>
      </c>
      <c r="P901" s="661">
        <v>0</v>
      </c>
      <c r="Q901" s="660">
        <v>0</v>
      </c>
      <c r="R901" s="660"/>
      <c r="S901" s="660">
        <v>323287</v>
      </c>
      <c r="T901" s="660">
        <v>19414</v>
      </c>
      <c r="U901" s="660">
        <v>342701</v>
      </c>
    </row>
    <row r="902" spans="1:21" x14ac:dyDescent="0.25">
      <c r="A902" s="648">
        <v>99999</v>
      </c>
      <c r="B902" s="644" t="s">
        <v>3436</v>
      </c>
      <c r="C902" s="654">
        <v>1.0101000000000001E-3</v>
      </c>
      <c r="D902" s="654">
        <v>9.3599999999999998E-4</v>
      </c>
      <c r="E902" s="651">
        <v>441362</v>
      </c>
      <c r="F902" s="651">
        <v>420071</v>
      </c>
      <c r="G902" s="660">
        <v>2143771</v>
      </c>
      <c r="H902" s="660"/>
      <c r="I902" s="660">
        <v>40278</v>
      </c>
      <c r="J902" s="660">
        <v>1878626</v>
      </c>
      <c r="K902" s="660">
        <v>146829</v>
      </c>
      <c r="L902" s="660">
        <v>111413</v>
      </c>
      <c r="N902" s="660">
        <v>75120</v>
      </c>
      <c r="O902" s="660">
        <v>693391</v>
      </c>
      <c r="P902" s="661">
        <v>0</v>
      </c>
      <c r="Q902" s="660">
        <v>43600.9</v>
      </c>
      <c r="R902" s="660"/>
      <c r="S902" s="660">
        <v>572998</v>
      </c>
      <c r="T902" s="660">
        <v>11793</v>
      </c>
      <c r="U902" s="660">
        <v>584791</v>
      </c>
    </row>
    <row r="903" spans="1:21" x14ac:dyDescent="0.25">
      <c r="A903" s="623" t="s">
        <v>2526</v>
      </c>
      <c r="B903" s="624" t="s">
        <v>2525</v>
      </c>
      <c r="C903" s="650">
        <v>2.6160000000000002E-4</v>
      </c>
      <c r="D903" s="650">
        <v>2.9179999999999999E-4</v>
      </c>
      <c r="E903" s="651">
        <v>124242</v>
      </c>
      <c r="F903" s="651">
        <v>130958</v>
      </c>
      <c r="G903" s="651">
        <v>555203</v>
      </c>
      <c r="H903" s="651"/>
      <c r="I903" s="652">
        <v>10431</v>
      </c>
      <c r="J903" s="652">
        <v>486535</v>
      </c>
      <c r="K903" s="652">
        <v>38026</v>
      </c>
      <c r="L903" s="651">
        <v>2390</v>
      </c>
      <c r="M903" s="651"/>
      <c r="N903" s="652">
        <v>19455</v>
      </c>
      <c r="O903" s="652">
        <v>179577</v>
      </c>
      <c r="P903" s="652">
        <v>0</v>
      </c>
      <c r="Q903" s="651">
        <v>5043</v>
      </c>
      <c r="R903" s="651"/>
      <c r="S903" s="652">
        <v>148398</v>
      </c>
      <c r="T903" s="653">
        <v>-926</v>
      </c>
      <c r="U903" s="653">
        <v>147472</v>
      </c>
    </row>
    <row r="904" spans="1:21" x14ac:dyDescent="0.25">
      <c r="B904" s="662" t="s">
        <v>2036</v>
      </c>
      <c r="C904" s="663">
        <f>SUM(C4:C902)</f>
        <v>1</v>
      </c>
      <c r="D904" s="663">
        <f>SUM(D4:D902)</f>
        <v>1</v>
      </c>
      <c r="E904" s="664">
        <f>SUM(E4:E902)</f>
        <v>411243363</v>
      </c>
      <c r="F904" s="664">
        <f>SUM(F4:F902)</f>
        <v>448793979</v>
      </c>
      <c r="G904" s="664">
        <f>SUM(G4:G902)</f>
        <v>2122335002</v>
      </c>
      <c r="H904" s="664"/>
      <c r="I904" s="664">
        <f>SUM(I4:I902)</f>
        <v>39875005</v>
      </c>
      <c r="J904" s="664">
        <f>SUM(J4:J902)</f>
        <v>1859842000</v>
      </c>
      <c r="K904" s="664">
        <f>SUM(K4:K902)</f>
        <v>145360990</v>
      </c>
      <c r="L904" s="664">
        <f>SUM(L4:L902)</f>
        <v>47059867</v>
      </c>
      <c r="M904" s="664"/>
      <c r="N904" s="664">
        <f>SUM(N4:N902)</f>
        <v>74369003</v>
      </c>
      <c r="O904" s="664">
        <f>SUM(O4:O902)</f>
        <v>686457998</v>
      </c>
      <c r="P904" s="664">
        <f>SUM(P4:P902)</f>
        <v>0</v>
      </c>
      <c r="Q904" s="664">
        <f>SUM(Q4:Q902)</f>
        <v>47059539</v>
      </c>
      <c r="R904" s="664"/>
      <c r="S904" s="664">
        <f>SUM(S4:S902)</f>
        <v>567268993</v>
      </c>
      <c r="T904" s="664">
        <f>SUM(T4:T902)</f>
        <v>95</v>
      </c>
      <c r="U904" s="664">
        <f>SUM(U4:U902)</f>
        <v>567269105</v>
      </c>
    </row>
    <row r="905" spans="1:21" x14ac:dyDescent="0.25">
      <c r="G905" s="665"/>
      <c r="H905" s="665"/>
      <c r="I905" s="665"/>
      <c r="J905" s="665"/>
      <c r="K905" s="665"/>
      <c r="L905" s="665"/>
      <c r="M905" s="665"/>
      <c r="N905" s="665"/>
      <c r="O905" s="665"/>
      <c r="P905" s="665"/>
      <c r="Q905" s="665"/>
      <c r="R905" s="665"/>
      <c r="S905" s="665"/>
      <c r="T905" s="665"/>
      <c r="U905" s="665"/>
    </row>
    <row r="906" spans="1:21" x14ac:dyDescent="0.25">
      <c r="G906" s="666"/>
      <c r="H906" s="666"/>
      <c r="I906" s="666"/>
      <c r="J906" s="666"/>
      <c r="K906" s="666"/>
      <c r="L906" s="666"/>
      <c r="M906" s="666"/>
      <c r="N906" s="666"/>
      <c r="O906" s="666"/>
      <c r="P906" s="666"/>
      <c r="Q906" s="666"/>
      <c r="R906" s="666"/>
      <c r="S906" s="666"/>
      <c r="T906" s="666"/>
      <c r="U906" s="666"/>
    </row>
    <row r="907" spans="1:21" x14ac:dyDescent="0.25">
      <c r="B907" s="644" t="s">
        <v>2094</v>
      </c>
      <c r="C907" s="646" t="s">
        <v>480</v>
      </c>
    </row>
    <row r="908" spans="1:21" x14ac:dyDescent="0.25">
      <c r="B908" s="644" t="s">
        <v>1708</v>
      </c>
      <c r="C908" s="648">
        <v>96331</v>
      </c>
    </row>
    <row r="909" spans="1:21" x14ac:dyDescent="0.25">
      <c r="B909" s="644" t="s">
        <v>1583</v>
      </c>
      <c r="C909" s="648">
        <v>94611</v>
      </c>
    </row>
    <row r="910" spans="1:21" x14ac:dyDescent="0.25">
      <c r="B910" s="644" t="s">
        <v>1461</v>
      </c>
      <c r="C910" s="648">
        <v>93402</v>
      </c>
      <c r="G910" s="643"/>
      <c r="H910" s="643"/>
      <c r="I910" s="643"/>
      <c r="J910" s="643"/>
      <c r="K910" s="643"/>
      <c r="L910" s="643"/>
      <c r="M910" s="643"/>
      <c r="N910" s="643"/>
      <c r="O910" s="643"/>
      <c r="P910" s="643"/>
      <c r="Q910" s="643"/>
      <c r="R910" s="643"/>
      <c r="S910" s="643"/>
      <c r="T910" s="643"/>
      <c r="U910" s="643"/>
    </row>
    <row r="911" spans="1:21" x14ac:dyDescent="0.25">
      <c r="B911" s="644" t="s">
        <v>1526</v>
      </c>
      <c r="C911" s="648">
        <v>94109</v>
      </c>
      <c r="D911" s="667"/>
      <c r="E911" s="667"/>
      <c r="F911" s="667"/>
    </row>
    <row r="912" spans="1:21" x14ac:dyDescent="0.25">
      <c r="B912" s="644" t="s">
        <v>1155</v>
      </c>
      <c r="C912" s="648">
        <v>90101</v>
      </c>
      <c r="D912" s="667"/>
      <c r="E912" s="667"/>
      <c r="F912" s="667"/>
    </row>
    <row r="913" spans="2:6" x14ac:dyDescent="0.25">
      <c r="B913" s="644" t="s">
        <v>3437</v>
      </c>
      <c r="C913" s="648">
        <v>90117</v>
      </c>
      <c r="D913" s="667"/>
      <c r="E913" s="667"/>
      <c r="F913" s="667"/>
    </row>
    <row r="914" spans="2:6" x14ac:dyDescent="0.25">
      <c r="B914" s="644" t="s">
        <v>1162</v>
      </c>
      <c r="C914" s="648">
        <v>90151</v>
      </c>
      <c r="D914" s="667"/>
      <c r="E914" s="667"/>
      <c r="F914" s="667"/>
    </row>
    <row r="915" spans="2:6" x14ac:dyDescent="0.25">
      <c r="B915" s="644" t="s">
        <v>1910</v>
      </c>
      <c r="C915" s="648">
        <v>98417</v>
      </c>
      <c r="D915" s="667"/>
      <c r="E915" s="667"/>
      <c r="F915" s="667"/>
    </row>
    <row r="916" spans="2:6" x14ac:dyDescent="0.25">
      <c r="B916" s="644" t="s">
        <v>1770</v>
      </c>
      <c r="C916" s="648">
        <v>97008</v>
      </c>
      <c r="D916" s="667"/>
      <c r="E916" s="667"/>
      <c r="F916" s="667"/>
    </row>
    <row r="917" spans="2:6" x14ac:dyDescent="0.25">
      <c r="B917" s="644" t="s">
        <v>1771</v>
      </c>
      <c r="C917" s="648">
        <v>97010</v>
      </c>
      <c r="D917" s="667"/>
      <c r="E917" s="667"/>
      <c r="F917" s="667"/>
    </row>
    <row r="918" spans="2:6" x14ac:dyDescent="0.25">
      <c r="B918" s="644" t="s">
        <v>3438</v>
      </c>
      <c r="C918" s="648">
        <v>90096</v>
      </c>
      <c r="D918" s="667"/>
      <c r="E918" s="667"/>
      <c r="F918" s="667"/>
    </row>
    <row r="919" spans="2:6" x14ac:dyDescent="0.25">
      <c r="B919" s="644" t="s">
        <v>1204</v>
      </c>
      <c r="C919" s="648">
        <v>90805</v>
      </c>
      <c r="D919" s="667"/>
      <c r="E919" s="667"/>
      <c r="F919" s="667"/>
    </row>
    <row r="920" spans="2:6" x14ac:dyDescent="0.25">
      <c r="B920" s="644" t="s">
        <v>1348</v>
      </c>
      <c r="C920" s="648">
        <v>92109</v>
      </c>
      <c r="D920" s="667"/>
      <c r="E920" s="667"/>
      <c r="F920" s="667"/>
    </row>
    <row r="921" spans="2:6" x14ac:dyDescent="0.25">
      <c r="B921" s="644" t="s">
        <v>1909</v>
      </c>
      <c r="C921" s="648">
        <v>98411</v>
      </c>
      <c r="D921" s="667"/>
      <c r="E921" s="667"/>
      <c r="F921" s="667"/>
    </row>
    <row r="922" spans="2:6" x14ac:dyDescent="0.25">
      <c r="B922" s="644" t="s">
        <v>1164</v>
      </c>
      <c r="C922" s="648">
        <v>90201</v>
      </c>
      <c r="D922" s="667"/>
      <c r="E922" s="667"/>
      <c r="F922" s="667"/>
    </row>
    <row r="923" spans="2:6" x14ac:dyDescent="0.25">
      <c r="B923" s="644" t="s">
        <v>1165</v>
      </c>
      <c r="C923" s="648">
        <v>90203</v>
      </c>
      <c r="D923" s="667"/>
      <c r="E923" s="667"/>
      <c r="F923" s="667"/>
    </row>
    <row r="924" spans="2:6" x14ac:dyDescent="0.25">
      <c r="B924" s="644" t="s">
        <v>1166</v>
      </c>
      <c r="C924" s="648">
        <v>90205</v>
      </c>
    </row>
    <row r="925" spans="2:6" x14ac:dyDescent="0.25">
      <c r="B925" s="644" t="s">
        <v>1167</v>
      </c>
      <c r="C925" s="648">
        <v>90206</v>
      </c>
      <c r="D925" s="667"/>
      <c r="E925" s="667"/>
      <c r="F925" s="667"/>
    </row>
    <row r="926" spans="2:6" x14ac:dyDescent="0.25">
      <c r="B926" s="644" t="s">
        <v>1169</v>
      </c>
      <c r="C926" s="648">
        <v>90301</v>
      </c>
    </row>
    <row r="927" spans="2:6" x14ac:dyDescent="0.25">
      <c r="B927" s="644" t="s">
        <v>1444</v>
      </c>
      <c r="C927" s="648">
        <v>93209</v>
      </c>
      <c r="D927" s="667"/>
      <c r="E927" s="667"/>
      <c r="F927" s="667"/>
    </row>
    <row r="928" spans="2:6" x14ac:dyDescent="0.25">
      <c r="B928" s="644" t="s">
        <v>1345</v>
      </c>
      <c r="C928" s="648">
        <v>92021</v>
      </c>
    </row>
    <row r="929" spans="2:3" x14ac:dyDescent="0.25">
      <c r="B929" s="644" t="s">
        <v>1557</v>
      </c>
      <c r="C929" s="648">
        <v>94347</v>
      </c>
    </row>
    <row r="930" spans="2:3" x14ac:dyDescent="0.25">
      <c r="B930" s="644" t="s">
        <v>1558</v>
      </c>
      <c r="C930" s="648">
        <v>94351</v>
      </c>
    </row>
    <row r="931" spans="2:3" x14ac:dyDescent="0.25">
      <c r="B931" s="644" t="s">
        <v>1172</v>
      </c>
      <c r="C931" s="648">
        <v>90401</v>
      </c>
    </row>
    <row r="932" spans="2:3" x14ac:dyDescent="0.25">
      <c r="B932" s="644" t="s">
        <v>1179</v>
      </c>
      <c r="C932" s="648">
        <v>90451</v>
      </c>
    </row>
    <row r="933" spans="2:3" x14ac:dyDescent="0.25">
      <c r="B933" s="644" t="s">
        <v>1978</v>
      </c>
      <c r="C933" s="648">
        <v>99271</v>
      </c>
    </row>
    <row r="934" spans="2:3" x14ac:dyDescent="0.25">
      <c r="B934" s="644" t="s">
        <v>1154</v>
      </c>
      <c r="C934" s="648">
        <v>90099</v>
      </c>
    </row>
    <row r="935" spans="2:3" x14ac:dyDescent="0.25">
      <c r="B935" s="644" t="s">
        <v>2014</v>
      </c>
      <c r="C935" s="648">
        <v>99705</v>
      </c>
    </row>
    <row r="936" spans="2:3" x14ac:dyDescent="0.25">
      <c r="B936" s="644" t="s">
        <v>1822</v>
      </c>
      <c r="C936" s="648">
        <v>97651</v>
      </c>
    </row>
    <row r="937" spans="2:3" x14ac:dyDescent="0.25">
      <c r="B937" s="644" t="s">
        <v>1613</v>
      </c>
      <c r="C937" s="648">
        <v>95106</v>
      </c>
    </row>
    <row r="938" spans="2:3" x14ac:dyDescent="0.25">
      <c r="B938" s="644" t="s">
        <v>1181</v>
      </c>
      <c r="C938" s="648">
        <v>90501</v>
      </c>
    </row>
    <row r="939" spans="2:3" x14ac:dyDescent="0.25">
      <c r="B939" s="644" t="s">
        <v>1813</v>
      </c>
      <c r="C939" s="648">
        <v>97607</v>
      </c>
    </row>
    <row r="940" spans="2:3" x14ac:dyDescent="0.25">
      <c r="B940" s="644" t="s">
        <v>1815</v>
      </c>
      <c r="C940" s="648">
        <v>97613</v>
      </c>
    </row>
    <row r="941" spans="2:3" x14ac:dyDescent="0.25">
      <c r="B941" s="644" t="s">
        <v>1814</v>
      </c>
      <c r="C941" s="648">
        <v>97611</v>
      </c>
    </row>
    <row r="942" spans="2:3" x14ac:dyDescent="0.25">
      <c r="B942" s="644" t="s">
        <v>1257</v>
      </c>
      <c r="C942" s="648">
        <v>91127</v>
      </c>
    </row>
    <row r="943" spans="2:3" x14ac:dyDescent="0.25">
      <c r="B943" s="644" t="s">
        <v>1258</v>
      </c>
      <c r="C943" s="648">
        <v>91128</v>
      </c>
    </row>
    <row r="944" spans="2:3" x14ac:dyDescent="0.25">
      <c r="B944" s="644" t="s">
        <v>1256</v>
      </c>
      <c r="C944" s="648">
        <v>91121</v>
      </c>
    </row>
    <row r="945" spans="2:3" x14ac:dyDescent="0.25">
      <c r="B945" s="644" t="s">
        <v>1314</v>
      </c>
      <c r="C945" s="648">
        <v>91681</v>
      </c>
    </row>
    <row r="946" spans="2:3" x14ac:dyDescent="0.25">
      <c r="B946" s="644" t="s">
        <v>1206</v>
      </c>
      <c r="C946" s="648">
        <v>90811</v>
      </c>
    </row>
    <row r="947" spans="2:3" x14ac:dyDescent="0.25">
      <c r="B947" s="644" t="s">
        <v>1198</v>
      </c>
      <c r="C947" s="648">
        <v>90721</v>
      </c>
    </row>
    <row r="948" spans="2:3" x14ac:dyDescent="0.25">
      <c r="B948" s="644" t="s">
        <v>1900</v>
      </c>
      <c r="C948" s="648">
        <v>98271</v>
      </c>
    </row>
    <row r="949" spans="2:3" x14ac:dyDescent="0.25">
      <c r="B949" s="644" t="s">
        <v>1185</v>
      </c>
      <c r="C949" s="648">
        <v>90601</v>
      </c>
    </row>
    <row r="950" spans="2:3" x14ac:dyDescent="0.25">
      <c r="B950" s="644" t="s">
        <v>2095</v>
      </c>
      <c r="C950" s="648">
        <v>90602</v>
      </c>
    </row>
    <row r="951" spans="2:3" x14ac:dyDescent="0.25">
      <c r="B951" s="644" t="s">
        <v>1186</v>
      </c>
      <c r="C951" s="648">
        <v>90605</v>
      </c>
    </row>
    <row r="952" spans="2:3" x14ac:dyDescent="0.25">
      <c r="B952" s="644" t="s">
        <v>1804</v>
      </c>
      <c r="C952" s="648">
        <v>97463</v>
      </c>
    </row>
    <row r="953" spans="2:3" x14ac:dyDescent="0.25">
      <c r="B953" s="644" t="s">
        <v>1803</v>
      </c>
      <c r="C953" s="648">
        <v>97461</v>
      </c>
    </row>
    <row r="954" spans="2:3" x14ac:dyDescent="0.25">
      <c r="B954" s="644" t="s">
        <v>1195</v>
      </c>
      <c r="C954" s="648">
        <v>90705</v>
      </c>
    </row>
    <row r="955" spans="2:3" x14ac:dyDescent="0.25">
      <c r="B955" s="644" t="s">
        <v>1915</v>
      </c>
      <c r="C955" s="648">
        <v>98451</v>
      </c>
    </row>
    <row r="956" spans="2:3" x14ac:dyDescent="0.25">
      <c r="B956" s="644" t="s">
        <v>1722</v>
      </c>
      <c r="C956" s="648">
        <v>96451</v>
      </c>
    </row>
    <row r="957" spans="2:3" x14ac:dyDescent="0.25">
      <c r="B957" s="644" t="s">
        <v>1692</v>
      </c>
      <c r="C957" s="648">
        <v>96121</v>
      </c>
    </row>
    <row r="958" spans="2:3" x14ac:dyDescent="0.25">
      <c r="B958" s="644" t="s">
        <v>1246</v>
      </c>
      <c r="C958" s="648">
        <v>91091</v>
      </c>
    </row>
    <row r="959" spans="2:3" x14ac:dyDescent="0.25">
      <c r="B959" s="644" t="s">
        <v>1187</v>
      </c>
      <c r="C959" s="648">
        <v>90611</v>
      </c>
    </row>
    <row r="960" spans="2:3" x14ac:dyDescent="0.25">
      <c r="B960" s="644" t="s">
        <v>1765</v>
      </c>
      <c r="C960" s="648">
        <v>96918</v>
      </c>
    </row>
    <row r="961" spans="2:3" x14ac:dyDescent="0.25">
      <c r="B961" s="644" t="s">
        <v>1763</v>
      </c>
      <c r="C961" s="648">
        <v>96911</v>
      </c>
    </row>
    <row r="962" spans="2:3" x14ac:dyDescent="0.25">
      <c r="B962" s="644" t="s">
        <v>1965</v>
      </c>
      <c r="C962" s="648">
        <v>99208</v>
      </c>
    </row>
    <row r="963" spans="2:3" x14ac:dyDescent="0.25">
      <c r="B963" s="644" t="s">
        <v>1193</v>
      </c>
      <c r="C963" s="648">
        <v>90701</v>
      </c>
    </row>
    <row r="964" spans="2:3" x14ac:dyDescent="0.25">
      <c r="B964" s="644" t="s">
        <v>1194</v>
      </c>
      <c r="C964" s="648">
        <v>90704</v>
      </c>
    </row>
    <row r="965" spans="2:3" x14ac:dyDescent="0.25">
      <c r="B965" s="644" t="s">
        <v>1309</v>
      </c>
      <c r="C965" s="648">
        <v>91633</v>
      </c>
    </row>
    <row r="966" spans="2:3" x14ac:dyDescent="0.25">
      <c r="B966" s="644" t="s">
        <v>1308</v>
      </c>
      <c r="C966" s="648">
        <v>91631</v>
      </c>
    </row>
    <row r="967" spans="2:3" x14ac:dyDescent="0.25">
      <c r="B967" s="644" t="s">
        <v>1190</v>
      </c>
      <c r="C967" s="648">
        <v>90631</v>
      </c>
    </row>
    <row r="968" spans="2:3" x14ac:dyDescent="0.25">
      <c r="B968" s="644" t="s">
        <v>1199</v>
      </c>
      <c r="C968" s="648">
        <v>90731</v>
      </c>
    </row>
    <row r="969" spans="2:3" x14ac:dyDescent="0.25">
      <c r="B969" s="644" t="s">
        <v>1490</v>
      </c>
      <c r="C969" s="648">
        <v>93623</v>
      </c>
    </row>
    <row r="970" spans="2:3" x14ac:dyDescent="0.25">
      <c r="B970" s="644" t="s">
        <v>1489</v>
      </c>
      <c r="C970" s="648">
        <v>93621</v>
      </c>
    </row>
    <row r="971" spans="2:3" x14ac:dyDescent="0.25">
      <c r="B971" s="644" t="s">
        <v>1230</v>
      </c>
      <c r="C971" s="648">
        <v>91020</v>
      </c>
    </row>
    <row r="972" spans="2:3" x14ac:dyDescent="0.25">
      <c r="B972" s="644" t="s">
        <v>1610</v>
      </c>
      <c r="C972" s="648">
        <v>95103</v>
      </c>
    </row>
    <row r="973" spans="2:3" x14ac:dyDescent="0.25">
      <c r="B973" s="644" t="s">
        <v>1621</v>
      </c>
      <c r="C973" s="648">
        <v>95141</v>
      </c>
    </row>
    <row r="974" spans="2:3" x14ac:dyDescent="0.25">
      <c r="B974" s="644" t="s">
        <v>1424</v>
      </c>
      <c r="C974" s="648">
        <v>93021</v>
      </c>
    </row>
    <row r="975" spans="2:3" x14ac:dyDescent="0.25">
      <c r="B975" s="644" t="s">
        <v>1202</v>
      </c>
      <c r="C975" s="648">
        <v>90801</v>
      </c>
    </row>
    <row r="976" spans="2:3" x14ac:dyDescent="0.25">
      <c r="B976" s="644" t="s">
        <v>1203</v>
      </c>
      <c r="C976" s="648">
        <v>90804</v>
      </c>
    </row>
    <row r="977" spans="2:3" x14ac:dyDescent="0.25">
      <c r="B977" s="644" t="s">
        <v>1205</v>
      </c>
      <c r="C977" s="648">
        <v>90808</v>
      </c>
    </row>
    <row r="978" spans="2:3" x14ac:dyDescent="0.25">
      <c r="B978" s="644" t="s">
        <v>1497</v>
      </c>
      <c r="C978" s="648">
        <v>93677</v>
      </c>
    </row>
    <row r="979" spans="2:3" x14ac:dyDescent="0.25">
      <c r="B979" s="644" t="s">
        <v>1496</v>
      </c>
      <c r="C979" s="648">
        <v>93671</v>
      </c>
    </row>
    <row r="980" spans="2:3" x14ac:dyDescent="0.25">
      <c r="B980" s="644" t="s">
        <v>1801</v>
      </c>
      <c r="C980" s="648">
        <v>97441</v>
      </c>
    </row>
    <row r="981" spans="2:3" x14ac:dyDescent="0.25">
      <c r="B981" s="644" t="s">
        <v>1429</v>
      </c>
      <c r="C981" s="648">
        <v>93111</v>
      </c>
    </row>
    <row r="982" spans="2:3" x14ac:dyDescent="0.25">
      <c r="B982" s="644" t="s">
        <v>1253</v>
      </c>
      <c r="C982" s="648">
        <v>91111</v>
      </c>
    </row>
    <row r="983" spans="2:3" x14ac:dyDescent="0.25">
      <c r="B983" s="644" t="s">
        <v>1697</v>
      </c>
      <c r="C983" s="648">
        <v>96231</v>
      </c>
    </row>
    <row r="984" spans="2:3" x14ac:dyDescent="0.25">
      <c r="B984" s="644" t="s">
        <v>2026</v>
      </c>
      <c r="C984" s="648">
        <v>99831</v>
      </c>
    </row>
    <row r="985" spans="2:3" x14ac:dyDescent="0.25">
      <c r="B985" s="644" t="s">
        <v>1263</v>
      </c>
      <c r="C985" s="648">
        <v>91154</v>
      </c>
    </row>
    <row r="986" spans="2:3" x14ac:dyDescent="0.25">
      <c r="B986" s="644" t="s">
        <v>1262</v>
      </c>
      <c r="C986" s="648">
        <v>91151</v>
      </c>
    </row>
    <row r="987" spans="2:3" x14ac:dyDescent="0.25">
      <c r="B987" s="644" t="s">
        <v>1210</v>
      </c>
      <c r="C987" s="648">
        <v>90901</v>
      </c>
    </row>
    <row r="988" spans="2:3" x14ac:dyDescent="0.25">
      <c r="B988" s="644" t="s">
        <v>1216</v>
      </c>
      <c r="C988" s="648">
        <v>90941</v>
      </c>
    </row>
    <row r="989" spans="2:3" x14ac:dyDescent="0.25">
      <c r="B989" s="644" t="s">
        <v>1998</v>
      </c>
      <c r="C989" s="648">
        <v>99527</v>
      </c>
    </row>
    <row r="990" spans="2:3" x14ac:dyDescent="0.25">
      <c r="B990" s="644" t="s">
        <v>1994</v>
      </c>
      <c r="C990" s="648">
        <v>99508</v>
      </c>
    </row>
    <row r="991" spans="2:3" x14ac:dyDescent="0.25">
      <c r="B991" s="644" t="s">
        <v>1997</v>
      </c>
      <c r="C991" s="648">
        <v>99521</v>
      </c>
    </row>
    <row r="992" spans="2:3" x14ac:dyDescent="0.25">
      <c r="B992" s="644" t="s">
        <v>1576</v>
      </c>
      <c r="C992" s="648">
        <v>94532</v>
      </c>
    </row>
    <row r="993" spans="2:3" x14ac:dyDescent="0.25">
      <c r="B993" s="644" t="s">
        <v>1244</v>
      </c>
      <c r="C993" s="648">
        <v>91077</v>
      </c>
    </row>
    <row r="994" spans="2:3" x14ac:dyDescent="0.25">
      <c r="B994" s="644" t="s">
        <v>1243</v>
      </c>
      <c r="C994" s="648">
        <v>91071</v>
      </c>
    </row>
    <row r="995" spans="2:3" x14ac:dyDescent="0.25">
      <c r="B995" s="644" t="s">
        <v>1358</v>
      </c>
      <c r="C995" s="648">
        <v>92331</v>
      </c>
    </row>
    <row r="996" spans="2:3" x14ac:dyDescent="0.25">
      <c r="B996" s="644" t="s">
        <v>1996</v>
      </c>
      <c r="C996" s="648">
        <v>99511</v>
      </c>
    </row>
    <row r="997" spans="2:3" x14ac:dyDescent="0.25">
      <c r="B997" s="644" t="s">
        <v>2033</v>
      </c>
      <c r="C997" s="648">
        <v>99941</v>
      </c>
    </row>
    <row r="998" spans="2:3" x14ac:dyDescent="0.25">
      <c r="B998" s="644" t="s">
        <v>1717</v>
      </c>
      <c r="C998" s="648">
        <v>96405</v>
      </c>
    </row>
    <row r="999" spans="2:3" x14ac:dyDescent="0.25">
      <c r="B999" s="644" t="s">
        <v>1936</v>
      </c>
      <c r="C999" s="648">
        <v>98817</v>
      </c>
    </row>
    <row r="1000" spans="2:3" x14ac:dyDescent="0.25">
      <c r="B1000" s="644" t="s">
        <v>1935</v>
      </c>
      <c r="C1000" s="648">
        <v>98811</v>
      </c>
    </row>
    <row r="1001" spans="2:3" x14ac:dyDescent="0.25">
      <c r="B1001" s="644" t="s">
        <v>1386</v>
      </c>
      <c r="C1001" s="648">
        <v>92561</v>
      </c>
    </row>
    <row r="1002" spans="2:3" x14ac:dyDescent="0.25">
      <c r="B1002" s="644" t="s">
        <v>1879</v>
      </c>
      <c r="C1002" s="648">
        <v>98102</v>
      </c>
    </row>
    <row r="1003" spans="2:3" x14ac:dyDescent="0.25">
      <c r="B1003" s="644" t="s">
        <v>1635</v>
      </c>
      <c r="C1003" s="648">
        <v>95321</v>
      </c>
    </row>
    <row r="1004" spans="2:3" x14ac:dyDescent="0.25">
      <c r="B1004" s="644" t="s">
        <v>1331</v>
      </c>
      <c r="C1004" s="648">
        <v>91861</v>
      </c>
    </row>
    <row r="1005" spans="2:3" x14ac:dyDescent="0.25">
      <c r="B1005" s="644" t="s">
        <v>1217</v>
      </c>
      <c r="C1005" s="648">
        <v>91001</v>
      </c>
    </row>
    <row r="1006" spans="2:3" x14ac:dyDescent="0.25">
      <c r="B1006" s="644" t="s">
        <v>1220</v>
      </c>
      <c r="C1006" s="648">
        <v>91004</v>
      </c>
    </row>
    <row r="1007" spans="2:3" x14ac:dyDescent="0.25">
      <c r="B1007" s="644" t="s">
        <v>3439</v>
      </c>
      <c r="C1007" s="648">
        <v>91006</v>
      </c>
    </row>
    <row r="1008" spans="2:3" x14ac:dyDescent="0.25">
      <c r="B1008" s="644" t="s">
        <v>1219</v>
      </c>
      <c r="C1008" s="648">
        <v>91003</v>
      </c>
    </row>
    <row r="1009" spans="2:3" x14ac:dyDescent="0.25">
      <c r="B1009" s="644" t="s">
        <v>1224</v>
      </c>
      <c r="C1009" s="648">
        <v>91009</v>
      </c>
    </row>
    <row r="1010" spans="2:3" x14ac:dyDescent="0.25">
      <c r="B1010" s="644" t="s">
        <v>3440</v>
      </c>
      <c r="C1010" s="648">
        <v>91042</v>
      </c>
    </row>
    <row r="1011" spans="2:3" x14ac:dyDescent="0.25">
      <c r="B1011" s="644" t="s">
        <v>1366</v>
      </c>
      <c r="C1011" s="648">
        <v>92421</v>
      </c>
    </row>
    <row r="1012" spans="2:3" x14ac:dyDescent="0.25">
      <c r="B1012" s="644" t="s">
        <v>1933</v>
      </c>
      <c r="C1012" s="648">
        <v>98717</v>
      </c>
    </row>
    <row r="1013" spans="2:3" x14ac:dyDescent="0.25">
      <c r="B1013" s="644" t="s">
        <v>1932</v>
      </c>
      <c r="C1013" s="648">
        <v>98711</v>
      </c>
    </row>
    <row r="1014" spans="2:3" x14ac:dyDescent="0.25">
      <c r="B1014" s="644" t="s">
        <v>1247</v>
      </c>
      <c r="C1014" s="648">
        <v>91101</v>
      </c>
    </row>
    <row r="1015" spans="2:3" x14ac:dyDescent="0.25">
      <c r="B1015" s="644" t="s">
        <v>1480</v>
      </c>
      <c r="C1015" s="648">
        <v>93537</v>
      </c>
    </row>
    <row r="1016" spans="2:3" x14ac:dyDescent="0.25">
      <c r="B1016" s="644" t="s">
        <v>1479</v>
      </c>
      <c r="C1016" s="648">
        <v>93531</v>
      </c>
    </row>
    <row r="1017" spans="2:3" x14ac:dyDescent="0.25">
      <c r="B1017" s="644" t="s">
        <v>1779</v>
      </c>
      <c r="C1017" s="648">
        <v>97111</v>
      </c>
    </row>
    <row r="1018" spans="2:3" x14ac:dyDescent="0.25">
      <c r="B1018" s="644" t="s">
        <v>1266</v>
      </c>
      <c r="C1018" s="648">
        <v>91201</v>
      </c>
    </row>
    <row r="1019" spans="2:3" x14ac:dyDescent="0.25">
      <c r="B1019" s="644" t="s">
        <v>3441</v>
      </c>
      <c r="C1019" s="648">
        <v>91206</v>
      </c>
    </row>
    <row r="1020" spans="2:3" x14ac:dyDescent="0.25">
      <c r="B1020" s="644" t="s">
        <v>1268</v>
      </c>
      <c r="C1020" s="648">
        <v>91203</v>
      </c>
    </row>
    <row r="1021" spans="2:3" x14ac:dyDescent="0.25">
      <c r="B1021" s="644" t="s">
        <v>1270</v>
      </c>
      <c r="C1021" s="648">
        <v>91208</v>
      </c>
    </row>
    <row r="1022" spans="2:3" x14ac:dyDescent="0.25">
      <c r="B1022" s="644" t="s">
        <v>1267</v>
      </c>
      <c r="C1022" s="648">
        <v>91202</v>
      </c>
    </row>
    <row r="1023" spans="2:3" x14ac:dyDescent="0.25">
      <c r="B1023" s="644" t="s">
        <v>1156</v>
      </c>
      <c r="C1023" s="648">
        <v>90111</v>
      </c>
    </row>
    <row r="1024" spans="2:3" x14ac:dyDescent="0.25">
      <c r="B1024" s="644" t="s">
        <v>1150</v>
      </c>
      <c r="C1024" s="648">
        <v>90011</v>
      </c>
    </row>
    <row r="1025" spans="2:3" x14ac:dyDescent="0.25">
      <c r="B1025" s="644" t="s">
        <v>1515</v>
      </c>
      <c r="C1025" s="648">
        <v>93931</v>
      </c>
    </row>
    <row r="1026" spans="2:3" x14ac:dyDescent="0.25">
      <c r="B1026" s="644" t="s">
        <v>1283</v>
      </c>
      <c r="C1026" s="648">
        <v>91306</v>
      </c>
    </row>
    <row r="1027" spans="2:3" x14ac:dyDescent="0.25">
      <c r="B1027" s="644" t="s">
        <v>1284</v>
      </c>
      <c r="C1027" s="648">
        <v>91308</v>
      </c>
    </row>
    <row r="1028" spans="2:3" x14ac:dyDescent="0.25">
      <c r="B1028" s="644" t="s">
        <v>1281</v>
      </c>
      <c r="C1028" s="648">
        <v>91301</v>
      </c>
    </row>
    <row r="1029" spans="2:3" x14ac:dyDescent="0.25">
      <c r="B1029" s="644" t="s">
        <v>1300</v>
      </c>
      <c r="C1029" s="648">
        <v>91461</v>
      </c>
    </row>
    <row r="1030" spans="2:3" x14ac:dyDescent="0.25">
      <c r="B1030" s="644" t="s">
        <v>1222</v>
      </c>
      <c r="C1030" s="648">
        <v>91007</v>
      </c>
    </row>
    <row r="1031" spans="2:3" x14ac:dyDescent="0.25">
      <c r="B1031" s="644" t="s">
        <v>1225</v>
      </c>
      <c r="C1031" s="648">
        <v>91010</v>
      </c>
    </row>
    <row r="1032" spans="2:3" x14ac:dyDescent="0.25">
      <c r="B1032" s="644" t="s">
        <v>1291</v>
      </c>
      <c r="C1032" s="648">
        <v>91401</v>
      </c>
    </row>
    <row r="1033" spans="2:3" x14ac:dyDescent="0.25">
      <c r="B1033" s="644" t="s">
        <v>1438</v>
      </c>
      <c r="C1033" s="648">
        <v>93171</v>
      </c>
    </row>
    <row r="1034" spans="2:3" x14ac:dyDescent="0.25">
      <c r="B1034" s="644" t="s">
        <v>1301</v>
      </c>
      <c r="C1034" s="648">
        <v>91501</v>
      </c>
    </row>
    <row r="1035" spans="2:3" x14ac:dyDescent="0.25">
      <c r="B1035" s="644" t="s">
        <v>1302</v>
      </c>
      <c r="C1035" s="648">
        <v>91504</v>
      </c>
    </row>
    <row r="1036" spans="2:3" x14ac:dyDescent="0.25">
      <c r="B1036" s="644" t="s">
        <v>1706</v>
      </c>
      <c r="C1036" s="648">
        <v>96312</v>
      </c>
    </row>
    <row r="1037" spans="2:3" x14ac:dyDescent="0.25">
      <c r="B1037" s="644" t="s">
        <v>1698</v>
      </c>
      <c r="C1037" s="648">
        <v>96241</v>
      </c>
    </row>
    <row r="1038" spans="2:3" x14ac:dyDescent="0.25">
      <c r="B1038" s="644" t="s">
        <v>1568</v>
      </c>
      <c r="C1038" s="648">
        <v>94437</v>
      </c>
    </row>
    <row r="1039" spans="2:3" x14ac:dyDescent="0.25">
      <c r="B1039" s="644" t="s">
        <v>1567</v>
      </c>
      <c r="C1039" s="648">
        <v>94431</v>
      </c>
    </row>
    <row r="1040" spans="2:3" x14ac:dyDescent="0.25">
      <c r="B1040" s="644" t="s">
        <v>1313</v>
      </c>
      <c r="C1040" s="648">
        <v>91671</v>
      </c>
    </row>
    <row r="1041" spans="2:3" x14ac:dyDescent="0.25">
      <c r="B1041" s="644" t="s">
        <v>1223</v>
      </c>
      <c r="C1041" s="648">
        <v>91008</v>
      </c>
    </row>
    <row r="1042" spans="2:3" x14ac:dyDescent="0.25">
      <c r="B1042" s="644" t="s">
        <v>1731</v>
      </c>
      <c r="C1042" s="648">
        <v>96512</v>
      </c>
    </row>
    <row r="1043" spans="2:3" x14ac:dyDescent="0.25">
      <c r="B1043" s="644" t="s">
        <v>1728</v>
      </c>
      <c r="C1043" s="648">
        <v>96507</v>
      </c>
    </row>
    <row r="1044" spans="2:3" x14ac:dyDescent="0.25">
      <c r="B1044" s="644" t="s">
        <v>1733</v>
      </c>
      <c r="C1044" s="648">
        <v>96521</v>
      </c>
    </row>
    <row r="1045" spans="2:3" x14ac:dyDescent="0.25">
      <c r="B1045" s="644" t="s">
        <v>1232</v>
      </c>
      <c r="C1045" s="648">
        <v>91024</v>
      </c>
    </row>
    <row r="1046" spans="2:3" x14ac:dyDescent="0.25">
      <c r="B1046" s="644" t="s">
        <v>1760</v>
      </c>
      <c r="C1046" s="648">
        <v>96821</v>
      </c>
    </row>
    <row r="1047" spans="2:3" x14ac:dyDescent="0.25">
      <c r="B1047" s="644" t="s">
        <v>1303</v>
      </c>
      <c r="C1047" s="648">
        <v>91601</v>
      </c>
    </row>
    <row r="1048" spans="2:3" x14ac:dyDescent="0.25">
      <c r="B1048" s="644" t="s">
        <v>1304</v>
      </c>
      <c r="C1048" s="648">
        <v>91604</v>
      </c>
    </row>
    <row r="1049" spans="2:3" x14ac:dyDescent="0.25">
      <c r="B1049" s="644" t="s">
        <v>1714</v>
      </c>
      <c r="C1049" s="648">
        <v>96391</v>
      </c>
    </row>
    <row r="1050" spans="2:3" x14ac:dyDescent="0.25">
      <c r="B1050" s="644" t="s">
        <v>1971</v>
      </c>
      <c r="C1050" s="648">
        <v>99221</v>
      </c>
    </row>
    <row r="1051" spans="2:3" x14ac:dyDescent="0.25">
      <c r="B1051" s="644" t="s">
        <v>1239</v>
      </c>
      <c r="C1051" s="648">
        <v>91051</v>
      </c>
    </row>
    <row r="1052" spans="2:3" x14ac:dyDescent="0.25">
      <c r="B1052" s="644" t="s">
        <v>1316</v>
      </c>
      <c r="C1052" s="648">
        <v>91701</v>
      </c>
    </row>
    <row r="1053" spans="2:3" x14ac:dyDescent="0.25">
      <c r="B1053" s="644" t="s">
        <v>1317</v>
      </c>
      <c r="C1053" s="648">
        <v>91704</v>
      </c>
    </row>
    <row r="1054" spans="2:3" x14ac:dyDescent="0.25">
      <c r="B1054" s="644" t="s">
        <v>3442</v>
      </c>
      <c r="C1054" s="648">
        <v>91706</v>
      </c>
    </row>
    <row r="1055" spans="2:3" x14ac:dyDescent="0.25">
      <c r="B1055" s="644" t="s">
        <v>1320</v>
      </c>
      <c r="C1055" s="648">
        <v>91801</v>
      </c>
    </row>
    <row r="1056" spans="2:3" x14ac:dyDescent="0.25">
      <c r="B1056" s="644" t="s">
        <v>1321</v>
      </c>
      <c r="C1056" s="648">
        <v>91804</v>
      </c>
    </row>
    <row r="1057" spans="2:3" x14ac:dyDescent="0.25">
      <c r="B1057" s="644" t="s">
        <v>1333</v>
      </c>
      <c r="C1057" s="648">
        <v>91881</v>
      </c>
    </row>
    <row r="1058" spans="2:3" x14ac:dyDescent="0.25">
      <c r="B1058" s="644" t="s">
        <v>1315</v>
      </c>
      <c r="C1058" s="648">
        <v>91691</v>
      </c>
    </row>
    <row r="1059" spans="2:3" x14ac:dyDescent="0.25">
      <c r="B1059" s="644" t="s">
        <v>1972</v>
      </c>
      <c r="C1059" s="648">
        <v>99222</v>
      </c>
    </row>
    <row r="1060" spans="2:3" x14ac:dyDescent="0.25">
      <c r="B1060" s="644" t="s">
        <v>3443</v>
      </c>
      <c r="C1060" s="648">
        <v>93408</v>
      </c>
    </row>
    <row r="1061" spans="2:3" x14ac:dyDescent="0.25">
      <c r="B1061" s="644" t="s">
        <v>1678</v>
      </c>
      <c r="C1061" s="648">
        <v>96009</v>
      </c>
    </row>
    <row r="1062" spans="2:3" x14ac:dyDescent="0.25">
      <c r="B1062" s="644" t="s">
        <v>1369</v>
      </c>
      <c r="C1062" s="648">
        <v>92441</v>
      </c>
    </row>
    <row r="1063" spans="2:3" x14ac:dyDescent="0.25">
      <c r="B1063" s="644" t="s">
        <v>1759</v>
      </c>
      <c r="C1063" s="648">
        <v>96811</v>
      </c>
    </row>
    <row r="1064" spans="2:3" x14ac:dyDescent="0.25">
      <c r="B1064" s="644" t="s">
        <v>1674</v>
      </c>
      <c r="C1064" s="648">
        <v>96003</v>
      </c>
    </row>
    <row r="1065" spans="2:3" x14ac:dyDescent="0.25">
      <c r="B1065" s="644" t="s">
        <v>1681</v>
      </c>
      <c r="C1065" s="648">
        <v>96018</v>
      </c>
    </row>
    <row r="1066" spans="2:3" x14ac:dyDescent="0.25">
      <c r="B1066" s="644" t="s">
        <v>3444</v>
      </c>
      <c r="C1066" s="648">
        <v>96012</v>
      </c>
    </row>
    <row r="1067" spans="2:3" x14ac:dyDescent="0.25">
      <c r="B1067" s="644" t="s">
        <v>1679</v>
      </c>
      <c r="C1067" s="648">
        <v>96011</v>
      </c>
    </row>
    <row r="1068" spans="2:3" x14ac:dyDescent="0.25">
      <c r="B1068" s="644" t="s">
        <v>1676</v>
      </c>
      <c r="C1068" s="648">
        <v>96005</v>
      </c>
    </row>
    <row r="1069" spans="2:3" x14ac:dyDescent="0.25">
      <c r="B1069" s="644" t="s">
        <v>1334</v>
      </c>
      <c r="C1069" s="648">
        <v>91901</v>
      </c>
    </row>
    <row r="1070" spans="2:3" x14ac:dyDescent="0.25">
      <c r="B1070" s="644" t="s">
        <v>1336</v>
      </c>
      <c r="C1070" s="648">
        <v>91904</v>
      </c>
    </row>
    <row r="1071" spans="2:3" x14ac:dyDescent="0.25">
      <c r="B1071" s="644" t="s">
        <v>1335</v>
      </c>
      <c r="C1071" s="648">
        <v>91903</v>
      </c>
    </row>
    <row r="1072" spans="2:3" x14ac:dyDescent="0.25">
      <c r="B1072" s="644" t="s">
        <v>1341</v>
      </c>
      <c r="C1072" s="648">
        <v>92001</v>
      </c>
    </row>
    <row r="1073" spans="2:3" x14ac:dyDescent="0.25">
      <c r="B1073" s="644" t="s">
        <v>1493</v>
      </c>
      <c r="C1073" s="648">
        <v>93647</v>
      </c>
    </row>
    <row r="1074" spans="2:3" x14ac:dyDescent="0.25">
      <c r="B1074" s="644" t="s">
        <v>1492</v>
      </c>
      <c r="C1074" s="648">
        <v>93641</v>
      </c>
    </row>
    <row r="1075" spans="2:3" x14ac:dyDescent="0.25">
      <c r="B1075" s="644" t="s">
        <v>1872</v>
      </c>
      <c r="C1075" s="648">
        <v>98041</v>
      </c>
    </row>
    <row r="1076" spans="2:3" x14ac:dyDescent="0.25">
      <c r="B1076" s="644" t="s">
        <v>1739</v>
      </c>
      <c r="C1076" s="648">
        <v>96612</v>
      </c>
    </row>
    <row r="1077" spans="2:3" x14ac:dyDescent="0.25">
      <c r="B1077" s="644" t="s">
        <v>1201</v>
      </c>
      <c r="C1077" s="648">
        <v>90751</v>
      </c>
    </row>
    <row r="1078" spans="2:3" x14ac:dyDescent="0.25">
      <c r="B1078" s="644" t="s">
        <v>1346</v>
      </c>
      <c r="C1078" s="648">
        <v>92101</v>
      </c>
    </row>
    <row r="1079" spans="2:3" x14ac:dyDescent="0.25">
      <c r="B1079" s="644" t="s">
        <v>1347</v>
      </c>
      <c r="C1079" s="648">
        <v>92104</v>
      </c>
    </row>
    <row r="1080" spans="2:3" x14ac:dyDescent="0.25">
      <c r="B1080" s="644" t="s">
        <v>2024</v>
      </c>
      <c r="C1080" s="648">
        <v>99818</v>
      </c>
    </row>
    <row r="1081" spans="2:3" x14ac:dyDescent="0.25">
      <c r="B1081" s="644" t="s">
        <v>1327</v>
      </c>
      <c r="C1081" s="648">
        <v>91821</v>
      </c>
    </row>
    <row r="1082" spans="2:3" x14ac:dyDescent="0.25">
      <c r="B1082" s="644" t="s">
        <v>1215</v>
      </c>
      <c r="C1082" s="648">
        <v>90931</v>
      </c>
    </row>
    <row r="1083" spans="2:3" x14ac:dyDescent="0.25">
      <c r="B1083" s="644" t="s">
        <v>1351</v>
      </c>
      <c r="C1083" s="648">
        <v>92201</v>
      </c>
    </row>
    <row r="1084" spans="2:3" x14ac:dyDescent="0.25">
      <c r="B1084" s="644" t="s">
        <v>1620</v>
      </c>
      <c r="C1084" s="648">
        <v>95131</v>
      </c>
    </row>
    <row r="1085" spans="2:3" x14ac:dyDescent="0.25">
      <c r="B1085" s="644" t="s">
        <v>1470</v>
      </c>
      <c r="C1085" s="648">
        <v>93442</v>
      </c>
    </row>
    <row r="1086" spans="2:3" x14ac:dyDescent="0.25">
      <c r="B1086" s="644" t="s">
        <v>1469</v>
      </c>
      <c r="C1086" s="648">
        <v>93441</v>
      </c>
    </row>
    <row r="1087" spans="2:3" x14ac:dyDescent="0.25">
      <c r="B1087" s="644" t="s">
        <v>1352</v>
      </c>
      <c r="C1087" s="648">
        <v>92301</v>
      </c>
    </row>
    <row r="1088" spans="2:3" x14ac:dyDescent="0.25">
      <c r="B1088" s="644" t="s">
        <v>1353</v>
      </c>
      <c r="C1088" s="648">
        <v>92302</v>
      </c>
    </row>
    <row r="1089" spans="2:3" x14ac:dyDescent="0.25">
      <c r="B1089" s="644" t="s">
        <v>1877</v>
      </c>
      <c r="C1089" s="648">
        <v>98091</v>
      </c>
    </row>
    <row r="1090" spans="2:3" x14ac:dyDescent="0.25">
      <c r="B1090" s="644" t="s">
        <v>1893</v>
      </c>
      <c r="C1090" s="648">
        <v>98218</v>
      </c>
    </row>
    <row r="1091" spans="2:3" x14ac:dyDescent="0.25">
      <c r="B1091" s="644" t="s">
        <v>1892</v>
      </c>
      <c r="C1091" s="648">
        <v>98211</v>
      </c>
    </row>
    <row r="1092" spans="2:3" x14ac:dyDescent="0.25">
      <c r="B1092" s="644" t="s">
        <v>1732</v>
      </c>
      <c r="C1092" s="648">
        <v>96519</v>
      </c>
    </row>
    <row r="1093" spans="2:3" x14ac:dyDescent="0.25">
      <c r="B1093" s="644" t="s">
        <v>1379</v>
      </c>
      <c r="C1093" s="648">
        <v>92508</v>
      </c>
    </row>
    <row r="1094" spans="2:3" x14ac:dyDescent="0.25">
      <c r="B1094" s="644" t="s">
        <v>1556</v>
      </c>
      <c r="C1094" s="648">
        <v>94341</v>
      </c>
    </row>
    <row r="1095" spans="2:3" x14ac:dyDescent="0.25">
      <c r="B1095" s="644" t="s">
        <v>1586</v>
      </c>
      <c r="C1095" s="648">
        <v>94641</v>
      </c>
    </row>
    <row r="1096" spans="2:3" x14ac:dyDescent="0.25">
      <c r="B1096" s="644" t="s">
        <v>1208</v>
      </c>
      <c r="C1096" s="648">
        <v>90813</v>
      </c>
    </row>
    <row r="1097" spans="2:3" x14ac:dyDescent="0.25">
      <c r="B1097" s="644" t="s">
        <v>1537</v>
      </c>
      <c r="C1097" s="648">
        <v>94168</v>
      </c>
    </row>
    <row r="1098" spans="2:3" x14ac:dyDescent="0.25">
      <c r="B1098" s="644" t="s">
        <v>1939</v>
      </c>
      <c r="C1098" s="648">
        <v>98911</v>
      </c>
    </row>
    <row r="1099" spans="2:3" x14ac:dyDescent="0.25">
      <c r="B1099" s="644" t="s">
        <v>1361</v>
      </c>
      <c r="C1099" s="648">
        <v>92401</v>
      </c>
    </row>
    <row r="1100" spans="2:3" x14ac:dyDescent="0.25">
      <c r="B1100" s="644" t="s">
        <v>1810</v>
      </c>
      <c r="C1100" s="648">
        <v>97521</v>
      </c>
    </row>
    <row r="1101" spans="2:3" x14ac:dyDescent="0.25">
      <c r="B1101" s="644" t="s">
        <v>1286</v>
      </c>
      <c r="C1101" s="648">
        <v>91317</v>
      </c>
    </row>
    <row r="1102" spans="2:3" x14ac:dyDescent="0.25">
      <c r="B1102" s="644" t="s">
        <v>1285</v>
      </c>
      <c r="C1102" s="648">
        <v>91311</v>
      </c>
    </row>
    <row r="1103" spans="2:3" x14ac:dyDescent="0.25">
      <c r="B1103" s="644" t="s">
        <v>1280</v>
      </c>
      <c r="C1103" s="648">
        <v>91261</v>
      </c>
    </row>
    <row r="1104" spans="2:3" x14ac:dyDescent="0.25">
      <c r="B1104" s="644" t="s">
        <v>1330</v>
      </c>
      <c r="C1104" s="648">
        <v>91851</v>
      </c>
    </row>
    <row r="1105" spans="2:3" x14ac:dyDescent="0.25">
      <c r="B1105" s="644" t="s">
        <v>3445</v>
      </c>
      <c r="C1105" s="648">
        <v>97408</v>
      </c>
    </row>
    <row r="1106" spans="2:3" x14ac:dyDescent="0.25">
      <c r="B1106" s="644" t="s">
        <v>1742</v>
      </c>
      <c r="C1106" s="648">
        <v>96641</v>
      </c>
    </row>
    <row r="1107" spans="2:3" x14ac:dyDescent="0.25">
      <c r="B1107" s="644" t="s">
        <v>1425</v>
      </c>
      <c r="C1107" s="648">
        <v>93027</v>
      </c>
    </row>
    <row r="1108" spans="2:3" x14ac:dyDescent="0.25">
      <c r="B1108" s="644" t="s">
        <v>1426</v>
      </c>
      <c r="C1108" s="648">
        <v>93031</v>
      </c>
    </row>
    <row r="1109" spans="2:3" x14ac:dyDescent="0.25">
      <c r="B1109" s="644" t="s">
        <v>1685</v>
      </c>
      <c r="C1109" s="648">
        <v>96051</v>
      </c>
    </row>
    <row r="1110" spans="2:3" x14ac:dyDescent="0.25">
      <c r="B1110" s="644" t="s">
        <v>1387</v>
      </c>
      <c r="C1110" s="648">
        <v>92571</v>
      </c>
    </row>
    <row r="1111" spans="2:3" x14ac:dyDescent="0.25">
      <c r="B1111" s="644" t="s">
        <v>1491</v>
      </c>
      <c r="C1111" s="648">
        <v>93631</v>
      </c>
    </row>
    <row r="1112" spans="2:3" x14ac:dyDescent="0.25">
      <c r="B1112" s="644" t="s">
        <v>1373</v>
      </c>
      <c r="C1112" s="648">
        <v>92501</v>
      </c>
    </row>
    <row r="1113" spans="2:3" x14ac:dyDescent="0.25">
      <c r="B1113" s="644" t="s">
        <v>1375</v>
      </c>
      <c r="C1113" s="648">
        <v>92504</v>
      </c>
    </row>
    <row r="1114" spans="2:3" x14ac:dyDescent="0.25">
      <c r="B1114" s="644" t="s">
        <v>1377</v>
      </c>
      <c r="C1114" s="648">
        <v>92506</v>
      </c>
    </row>
    <row r="1115" spans="2:3" x14ac:dyDescent="0.25">
      <c r="B1115" s="644" t="s">
        <v>1376</v>
      </c>
      <c r="C1115" s="648">
        <v>92505</v>
      </c>
    </row>
    <row r="1116" spans="2:3" x14ac:dyDescent="0.25">
      <c r="B1116" s="644" t="s">
        <v>1514</v>
      </c>
      <c r="C1116" s="648">
        <v>93921</v>
      </c>
    </row>
    <row r="1117" spans="2:3" x14ac:dyDescent="0.25">
      <c r="B1117" s="644" t="s">
        <v>1991</v>
      </c>
      <c r="C1117" s="648">
        <v>99431</v>
      </c>
    </row>
    <row r="1118" spans="2:3" x14ac:dyDescent="0.25">
      <c r="B1118" s="644" t="s">
        <v>1388</v>
      </c>
      <c r="C1118" s="648">
        <v>92601</v>
      </c>
    </row>
    <row r="1119" spans="2:3" x14ac:dyDescent="0.25">
      <c r="B1119" s="644" t="s">
        <v>1390</v>
      </c>
      <c r="C1119" s="648">
        <v>92604</v>
      </c>
    </row>
    <row r="1120" spans="2:3" x14ac:dyDescent="0.25">
      <c r="B1120" s="644" t="s">
        <v>1392</v>
      </c>
      <c r="C1120" s="648">
        <v>92608</v>
      </c>
    </row>
    <row r="1121" spans="2:3" x14ac:dyDescent="0.25">
      <c r="B1121" s="644" t="s">
        <v>1403</v>
      </c>
      <c r="C1121" s="648">
        <v>92701</v>
      </c>
    </row>
    <row r="1122" spans="2:3" x14ac:dyDescent="0.25">
      <c r="B1122" s="644" t="s">
        <v>1404</v>
      </c>
      <c r="C1122" s="648">
        <v>92704</v>
      </c>
    </row>
    <row r="1123" spans="2:3" x14ac:dyDescent="0.25">
      <c r="B1123" s="644" t="s">
        <v>1494</v>
      </c>
      <c r="C1123" s="648">
        <v>93651</v>
      </c>
    </row>
    <row r="1124" spans="2:3" x14ac:dyDescent="0.25">
      <c r="B1124" s="644" t="s">
        <v>1405</v>
      </c>
      <c r="C1124" s="648">
        <v>92801</v>
      </c>
    </row>
    <row r="1125" spans="2:3" x14ac:dyDescent="0.25">
      <c r="B1125" s="644" t="s">
        <v>1407</v>
      </c>
      <c r="C1125" s="648">
        <v>92804</v>
      </c>
    </row>
    <row r="1126" spans="2:3" x14ac:dyDescent="0.25">
      <c r="B1126" s="644" t="s">
        <v>1406</v>
      </c>
      <c r="C1126" s="648">
        <v>92802</v>
      </c>
    </row>
    <row r="1127" spans="2:3" x14ac:dyDescent="0.25">
      <c r="B1127" s="644" t="s">
        <v>1414</v>
      </c>
      <c r="C1127" s="648">
        <v>92901</v>
      </c>
    </row>
    <row r="1128" spans="2:3" x14ac:dyDescent="0.25">
      <c r="B1128" s="644" t="s">
        <v>1688</v>
      </c>
      <c r="C1128" s="648">
        <v>96081</v>
      </c>
    </row>
    <row r="1129" spans="2:3" x14ac:dyDescent="0.25">
      <c r="B1129" s="644" t="s">
        <v>1421</v>
      </c>
      <c r="C1129" s="648">
        <v>93001</v>
      </c>
    </row>
    <row r="1130" spans="2:3" x14ac:dyDescent="0.25">
      <c r="B1130" s="644" t="s">
        <v>1422</v>
      </c>
      <c r="C1130" s="648">
        <v>93009</v>
      </c>
    </row>
    <row r="1131" spans="2:3" x14ac:dyDescent="0.25">
      <c r="B1131" s="644" t="s">
        <v>1418</v>
      </c>
      <c r="C1131" s="648">
        <v>92921</v>
      </c>
    </row>
    <row r="1132" spans="2:3" x14ac:dyDescent="0.25">
      <c r="B1132" s="644" t="s">
        <v>1926</v>
      </c>
      <c r="C1132" s="648">
        <v>98627</v>
      </c>
    </row>
    <row r="1133" spans="2:3" x14ac:dyDescent="0.25">
      <c r="B1133" s="644" t="s">
        <v>1925</v>
      </c>
      <c r="C1133" s="648">
        <v>98621</v>
      </c>
    </row>
    <row r="1134" spans="2:3" x14ac:dyDescent="0.25">
      <c r="B1134" s="644" t="s">
        <v>1275</v>
      </c>
      <c r="C1134" s="648">
        <v>91221</v>
      </c>
    </row>
    <row r="1135" spans="2:3" x14ac:dyDescent="0.25">
      <c r="B1135" s="644" t="s">
        <v>1413</v>
      </c>
      <c r="C1135" s="648">
        <v>92861</v>
      </c>
    </row>
    <row r="1136" spans="2:3" x14ac:dyDescent="0.25">
      <c r="B1136" s="644" t="s">
        <v>1553</v>
      </c>
      <c r="C1136" s="648">
        <v>94317</v>
      </c>
    </row>
    <row r="1137" spans="2:3" x14ac:dyDescent="0.25">
      <c r="B1137" s="644" t="s">
        <v>1552</v>
      </c>
      <c r="C1137" s="648">
        <v>94313</v>
      </c>
    </row>
    <row r="1138" spans="2:3" x14ac:dyDescent="0.25">
      <c r="B1138" s="644" t="s">
        <v>1551</v>
      </c>
      <c r="C1138" s="648">
        <v>94311</v>
      </c>
    </row>
    <row r="1139" spans="2:3" x14ac:dyDescent="0.25">
      <c r="B1139" s="644" t="s">
        <v>1427</v>
      </c>
      <c r="C1139" s="648">
        <v>93101</v>
      </c>
    </row>
    <row r="1140" spans="2:3" x14ac:dyDescent="0.25">
      <c r="B1140" s="644" t="s">
        <v>2096</v>
      </c>
      <c r="C1140" s="648">
        <v>93103</v>
      </c>
    </row>
    <row r="1141" spans="2:3" x14ac:dyDescent="0.25">
      <c r="B1141" s="644" t="s">
        <v>1446</v>
      </c>
      <c r="C1141" s="648">
        <v>93212</v>
      </c>
    </row>
    <row r="1142" spans="2:3" x14ac:dyDescent="0.25">
      <c r="B1142" s="644" t="s">
        <v>1441</v>
      </c>
      <c r="C1142" s="648">
        <v>93201</v>
      </c>
    </row>
    <row r="1143" spans="2:3" x14ac:dyDescent="0.25">
      <c r="B1143" s="644" t="s">
        <v>1443</v>
      </c>
      <c r="C1143" s="648">
        <v>93204</v>
      </c>
    </row>
    <row r="1144" spans="2:3" x14ac:dyDescent="0.25">
      <c r="B1144" s="644" t="s">
        <v>1968</v>
      </c>
      <c r="C1144" s="648">
        <v>99212</v>
      </c>
    </row>
    <row r="1145" spans="2:3" x14ac:dyDescent="0.25">
      <c r="B1145" s="644" t="s">
        <v>1445</v>
      </c>
      <c r="C1145" s="648">
        <v>93211</v>
      </c>
    </row>
    <row r="1146" spans="2:3" x14ac:dyDescent="0.25">
      <c r="B1146" s="644" t="s">
        <v>1769</v>
      </c>
      <c r="C1146" s="648">
        <v>97005</v>
      </c>
    </row>
    <row r="1147" spans="2:3" x14ac:dyDescent="0.25">
      <c r="B1147" s="644" t="s">
        <v>2032</v>
      </c>
      <c r="C1147" s="648">
        <v>99931</v>
      </c>
    </row>
    <row r="1148" spans="2:3" x14ac:dyDescent="0.25">
      <c r="B1148" s="644" t="s">
        <v>3446</v>
      </c>
      <c r="C1148" s="648">
        <v>92509</v>
      </c>
    </row>
    <row r="1149" spans="2:3" x14ac:dyDescent="0.25">
      <c r="B1149" s="644" t="s">
        <v>1870</v>
      </c>
      <c r="C1149" s="648">
        <v>98023</v>
      </c>
    </row>
    <row r="1150" spans="2:3" x14ac:dyDescent="0.25">
      <c r="B1150" s="644" t="s">
        <v>1869</v>
      </c>
      <c r="C1150" s="648">
        <v>98021</v>
      </c>
    </row>
    <row r="1151" spans="2:3" x14ac:dyDescent="0.25">
      <c r="B1151" s="644" t="s">
        <v>1144</v>
      </c>
      <c r="C1151" s="648">
        <v>70505</v>
      </c>
    </row>
    <row r="1152" spans="2:3" x14ac:dyDescent="0.25">
      <c r="B1152" s="644" t="s">
        <v>2002</v>
      </c>
      <c r="C1152" s="648">
        <v>99603</v>
      </c>
    </row>
    <row r="1153" spans="2:3" x14ac:dyDescent="0.25">
      <c r="B1153" s="644" t="s">
        <v>2005</v>
      </c>
      <c r="C1153" s="648">
        <v>99610</v>
      </c>
    </row>
    <row r="1154" spans="2:3" x14ac:dyDescent="0.25">
      <c r="B1154" s="644" t="s">
        <v>1402</v>
      </c>
      <c r="C1154" s="648">
        <v>92681</v>
      </c>
    </row>
    <row r="1155" spans="2:3" x14ac:dyDescent="0.25">
      <c r="B1155" s="644" t="s">
        <v>3447</v>
      </c>
      <c r="C1155" s="648">
        <v>93108</v>
      </c>
    </row>
    <row r="1156" spans="2:3" x14ac:dyDescent="0.25">
      <c r="B1156" s="644" t="s">
        <v>1861</v>
      </c>
      <c r="C1156" s="648">
        <v>97957</v>
      </c>
    </row>
    <row r="1157" spans="2:3" x14ac:dyDescent="0.25">
      <c r="B1157" s="644" t="s">
        <v>1860</v>
      </c>
      <c r="C1157" s="648">
        <v>97951</v>
      </c>
    </row>
    <row r="1158" spans="2:3" x14ac:dyDescent="0.25">
      <c r="B1158" s="644" t="s">
        <v>1349</v>
      </c>
      <c r="C1158" s="648">
        <v>92111</v>
      </c>
    </row>
    <row r="1159" spans="2:3" x14ac:dyDescent="0.25">
      <c r="B1159" s="644" t="s">
        <v>1448</v>
      </c>
      <c r="C1159" s="648">
        <v>93301</v>
      </c>
    </row>
    <row r="1160" spans="2:3" x14ac:dyDescent="0.25">
      <c r="B1160" s="644" t="s">
        <v>1449</v>
      </c>
      <c r="C1160" s="648">
        <v>93304</v>
      </c>
    </row>
    <row r="1161" spans="2:3" x14ac:dyDescent="0.25">
      <c r="B1161" s="644" t="s">
        <v>1450</v>
      </c>
      <c r="C1161" s="648">
        <v>93305</v>
      </c>
    </row>
    <row r="1162" spans="2:3" x14ac:dyDescent="0.25">
      <c r="B1162" s="644" t="s">
        <v>1966</v>
      </c>
      <c r="C1162" s="648">
        <v>99210</v>
      </c>
    </row>
    <row r="1163" spans="2:3" x14ac:dyDescent="0.25">
      <c r="B1163" s="644" t="s">
        <v>1772</v>
      </c>
      <c r="C1163" s="648">
        <v>97011</v>
      </c>
    </row>
    <row r="1164" spans="2:3" x14ac:dyDescent="0.25">
      <c r="B1164" s="644" t="s">
        <v>1774</v>
      </c>
      <c r="C1164" s="648">
        <v>97013</v>
      </c>
    </row>
    <row r="1165" spans="2:3" x14ac:dyDescent="0.25">
      <c r="B1165" s="644" t="s">
        <v>1773</v>
      </c>
      <c r="C1165" s="648">
        <v>97012</v>
      </c>
    </row>
    <row r="1166" spans="2:3" x14ac:dyDescent="0.25">
      <c r="B1166" s="644" t="s">
        <v>1776</v>
      </c>
      <c r="C1166" s="648">
        <v>97018</v>
      </c>
    </row>
    <row r="1167" spans="2:3" x14ac:dyDescent="0.25">
      <c r="B1167" s="644" t="s">
        <v>1212</v>
      </c>
      <c r="C1167" s="648">
        <v>90917</v>
      </c>
    </row>
    <row r="1168" spans="2:3" x14ac:dyDescent="0.25">
      <c r="B1168" s="644" t="s">
        <v>1211</v>
      </c>
      <c r="C1168" s="648">
        <v>90911</v>
      </c>
    </row>
    <row r="1169" spans="2:3" x14ac:dyDescent="0.25">
      <c r="B1169" s="644" t="s">
        <v>1191</v>
      </c>
      <c r="C1169" s="648">
        <v>90641</v>
      </c>
    </row>
    <row r="1170" spans="2:3" x14ac:dyDescent="0.25">
      <c r="B1170" s="644" t="s">
        <v>1930</v>
      </c>
      <c r="C1170" s="648">
        <v>98647</v>
      </c>
    </row>
    <row r="1171" spans="2:3" x14ac:dyDescent="0.25">
      <c r="B1171" s="644" t="s">
        <v>1929</v>
      </c>
      <c r="C1171" s="648">
        <v>98641</v>
      </c>
    </row>
    <row r="1172" spans="2:3" x14ac:dyDescent="0.25">
      <c r="B1172" s="644" t="s">
        <v>1889</v>
      </c>
      <c r="C1172" s="648">
        <v>98161</v>
      </c>
    </row>
    <row r="1173" spans="2:3" x14ac:dyDescent="0.25">
      <c r="B1173" s="644" t="s">
        <v>1831</v>
      </c>
      <c r="C1173" s="648">
        <v>97731</v>
      </c>
    </row>
    <row r="1174" spans="2:3" x14ac:dyDescent="0.25">
      <c r="B1174" s="644" t="s">
        <v>2028</v>
      </c>
      <c r="C1174" s="648">
        <v>99851</v>
      </c>
    </row>
    <row r="1175" spans="2:3" x14ac:dyDescent="0.25">
      <c r="B1175" s="644" t="s">
        <v>1160</v>
      </c>
      <c r="C1175" s="648">
        <v>90131</v>
      </c>
    </row>
    <row r="1176" spans="2:3" x14ac:dyDescent="0.25">
      <c r="B1176" s="644" t="s">
        <v>1311</v>
      </c>
      <c r="C1176" s="648">
        <v>91651</v>
      </c>
    </row>
    <row r="1177" spans="2:3" x14ac:dyDescent="0.25">
      <c r="B1177" s="644" t="s">
        <v>1544</v>
      </c>
      <c r="C1177" s="648">
        <v>94211</v>
      </c>
    </row>
    <row r="1178" spans="2:3" x14ac:dyDescent="0.25">
      <c r="B1178" s="644" t="s">
        <v>1555</v>
      </c>
      <c r="C1178" s="648">
        <v>94331</v>
      </c>
    </row>
    <row r="1179" spans="2:3" x14ac:dyDescent="0.25">
      <c r="B1179" s="644" t="s">
        <v>1368</v>
      </c>
      <c r="C1179" s="648">
        <v>92431</v>
      </c>
    </row>
    <row r="1180" spans="2:3" x14ac:dyDescent="0.25">
      <c r="B1180" s="644" t="s">
        <v>1840</v>
      </c>
      <c r="C1180" s="648">
        <v>97823</v>
      </c>
    </row>
    <row r="1181" spans="2:3" x14ac:dyDescent="0.25">
      <c r="B1181" s="644" t="s">
        <v>1839</v>
      </c>
      <c r="C1181" s="648">
        <v>97821</v>
      </c>
    </row>
    <row r="1182" spans="2:3" x14ac:dyDescent="0.25">
      <c r="B1182" s="644" t="s">
        <v>1434</v>
      </c>
      <c r="C1182" s="648">
        <v>93141</v>
      </c>
    </row>
    <row r="1183" spans="2:3" x14ac:dyDescent="0.25">
      <c r="B1183" s="644" t="s">
        <v>1876</v>
      </c>
      <c r="C1183" s="648">
        <v>98081</v>
      </c>
    </row>
    <row r="1184" spans="2:3" x14ac:dyDescent="0.25">
      <c r="B1184" s="644" t="s">
        <v>1401</v>
      </c>
      <c r="C1184" s="648">
        <v>92671</v>
      </c>
    </row>
    <row r="1185" spans="2:3" x14ac:dyDescent="0.25">
      <c r="B1185" s="644" t="s">
        <v>1799</v>
      </c>
      <c r="C1185" s="648">
        <v>97423</v>
      </c>
    </row>
    <row r="1186" spans="2:3" x14ac:dyDescent="0.25">
      <c r="B1186" s="644" t="s">
        <v>1798</v>
      </c>
      <c r="C1186" s="648">
        <v>97421</v>
      </c>
    </row>
    <row r="1187" spans="2:3" x14ac:dyDescent="0.25">
      <c r="B1187" s="644" t="s">
        <v>1394</v>
      </c>
      <c r="C1187" s="648">
        <v>92613</v>
      </c>
    </row>
    <row r="1188" spans="2:3" x14ac:dyDescent="0.25">
      <c r="B1188" s="644" t="s">
        <v>1395</v>
      </c>
      <c r="C1188" s="648">
        <v>92614</v>
      </c>
    </row>
    <row r="1189" spans="2:3" x14ac:dyDescent="0.25">
      <c r="B1189" s="644" t="s">
        <v>1393</v>
      </c>
      <c r="C1189" s="648">
        <v>92611</v>
      </c>
    </row>
    <row r="1190" spans="2:3" x14ac:dyDescent="0.25">
      <c r="B1190" s="644" t="s">
        <v>1374</v>
      </c>
      <c r="C1190" s="648">
        <v>92502</v>
      </c>
    </row>
    <row r="1191" spans="2:3" x14ac:dyDescent="0.25">
      <c r="B1191" s="644" t="s">
        <v>1575</v>
      </c>
      <c r="C1191" s="648">
        <v>94531</v>
      </c>
    </row>
    <row r="1192" spans="2:3" x14ac:dyDescent="0.25">
      <c r="B1192" s="644" t="s">
        <v>1578</v>
      </c>
      <c r="C1192" s="648">
        <v>94547</v>
      </c>
    </row>
    <row r="1193" spans="2:3" x14ac:dyDescent="0.25">
      <c r="B1193" s="644" t="s">
        <v>1577</v>
      </c>
      <c r="C1193" s="648">
        <v>94541</v>
      </c>
    </row>
    <row r="1194" spans="2:3" x14ac:dyDescent="0.25">
      <c r="B1194" s="644" t="s">
        <v>1604</v>
      </c>
      <c r="C1194" s="648">
        <v>95005</v>
      </c>
    </row>
    <row r="1195" spans="2:3" x14ac:dyDescent="0.25">
      <c r="B1195" s="644" t="s">
        <v>1883</v>
      </c>
      <c r="C1195" s="648">
        <v>98111</v>
      </c>
    </row>
    <row r="1196" spans="2:3" x14ac:dyDescent="0.25">
      <c r="B1196" s="644" t="s">
        <v>1881</v>
      </c>
      <c r="C1196" s="648">
        <v>98107</v>
      </c>
    </row>
    <row r="1197" spans="2:3" x14ac:dyDescent="0.25">
      <c r="B1197" s="644" t="s">
        <v>1884</v>
      </c>
      <c r="C1197" s="648">
        <v>98113</v>
      </c>
    </row>
    <row r="1198" spans="2:3" x14ac:dyDescent="0.25">
      <c r="B1198" s="644" t="s">
        <v>2001</v>
      </c>
      <c r="C1198" s="648">
        <v>99602</v>
      </c>
    </row>
    <row r="1199" spans="2:3" x14ac:dyDescent="0.25">
      <c r="B1199" s="644" t="s">
        <v>1460</v>
      </c>
      <c r="C1199" s="648">
        <v>93401</v>
      </c>
    </row>
    <row r="1200" spans="2:3" x14ac:dyDescent="0.25">
      <c r="B1200" s="644" t="s">
        <v>1807</v>
      </c>
      <c r="C1200" s="648">
        <v>97491</v>
      </c>
    </row>
    <row r="1201" spans="2:3" x14ac:dyDescent="0.25">
      <c r="B1201" s="644" t="s">
        <v>1622</v>
      </c>
      <c r="C1201" s="648">
        <v>95151</v>
      </c>
    </row>
    <row r="1202" spans="2:3" x14ac:dyDescent="0.25">
      <c r="B1202" s="644" t="s">
        <v>1713</v>
      </c>
      <c r="C1202" s="648">
        <v>96381</v>
      </c>
    </row>
    <row r="1203" spans="2:3" x14ac:dyDescent="0.25">
      <c r="B1203" s="644" t="s">
        <v>1474</v>
      </c>
      <c r="C1203" s="648">
        <v>93501</v>
      </c>
    </row>
    <row r="1204" spans="2:3" x14ac:dyDescent="0.25">
      <c r="B1204" s="644" t="s">
        <v>1651</v>
      </c>
      <c r="C1204" s="648">
        <v>95611</v>
      </c>
    </row>
    <row r="1205" spans="2:3" x14ac:dyDescent="0.25">
      <c r="B1205" s="644" t="s">
        <v>1476</v>
      </c>
      <c r="C1205" s="648">
        <v>93517</v>
      </c>
    </row>
    <row r="1206" spans="2:3" x14ac:dyDescent="0.25">
      <c r="B1206" s="644" t="s">
        <v>1475</v>
      </c>
      <c r="C1206" s="648">
        <v>93511</v>
      </c>
    </row>
    <row r="1207" spans="2:3" x14ac:dyDescent="0.25">
      <c r="B1207" s="644" t="s">
        <v>2010</v>
      </c>
      <c r="C1207" s="648">
        <v>99631</v>
      </c>
    </row>
    <row r="1208" spans="2:3" x14ac:dyDescent="0.25">
      <c r="B1208" s="644" t="s">
        <v>1977</v>
      </c>
      <c r="C1208" s="648">
        <v>99261</v>
      </c>
    </row>
    <row r="1209" spans="2:3" x14ac:dyDescent="0.25">
      <c r="B1209" s="644" t="s">
        <v>1897</v>
      </c>
      <c r="C1209" s="648">
        <v>98241</v>
      </c>
    </row>
    <row r="1210" spans="2:3" x14ac:dyDescent="0.25">
      <c r="B1210" s="644" t="s">
        <v>1976</v>
      </c>
      <c r="C1210" s="648">
        <v>99252</v>
      </c>
    </row>
    <row r="1211" spans="2:3" x14ac:dyDescent="0.25">
      <c r="B1211" s="644" t="s">
        <v>1975</v>
      </c>
      <c r="C1211" s="648">
        <v>99251</v>
      </c>
    </row>
    <row r="1212" spans="2:3" x14ac:dyDescent="0.25">
      <c r="B1212" s="644" t="s">
        <v>1741</v>
      </c>
      <c r="C1212" s="648">
        <v>96631</v>
      </c>
    </row>
    <row r="1213" spans="2:3" x14ac:dyDescent="0.25">
      <c r="B1213" s="644" t="s">
        <v>1488</v>
      </c>
      <c r="C1213" s="648">
        <v>93618</v>
      </c>
    </row>
    <row r="1214" spans="2:3" x14ac:dyDescent="0.25">
      <c r="B1214" s="644" t="s">
        <v>1482</v>
      </c>
      <c r="C1214" s="648">
        <v>93601</v>
      </c>
    </row>
    <row r="1215" spans="2:3" x14ac:dyDescent="0.25">
      <c r="B1215" s="644" t="s">
        <v>1743</v>
      </c>
      <c r="C1215" s="648">
        <v>96651</v>
      </c>
    </row>
    <row r="1216" spans="2:3" x14ac:dyDescent="0.25">
      <c r="B1216" s="644" t="s">
        <v>1487</v>
      </c>
      <c r="C1216" s="648">
        <v>93617</v>
      </c>
    </row>
    <row r="1217" spans="2:3" x14ac:dyDescent="0.25">
      <c r="B1217" s="644" t="s">
        <v>1486</v>
      </c>
      <c r="C1217" s="648">
        <v>93611</v>
      </c>
    </row>
    <row r="1218" spans="2:3" x14ac:dyDescent="0.25">
      <c r="B1218" s="644" t="s">
        <v>1500</v>
      </c>
      <c r="C1218" s="648">
        <v>93701</v>
      </c>
    </row>
    <row r="1219" spans="2:3" x14ac:dyDescent="0.25">
      <c r="B1219" s="644" t="s">
        <v>1501</v>
      </c>
      <c r="C1219" s="648">
        <v>93704</v>
      </c>
    </row>
    <row r="1220" spans="2:3" x14ac:dyDescent="0.25">
      <c r="B1220" s="644" t="s">
        <v>1907</v>
      </c>
      <c r="C1220" s="648">
        <v>98331</v>
      </c>
    </row>
    <row r="1221" spans="2:3" x14ac:dyDescent="0.25">
      <c r="B1221" s="644" t="s">
        <v>1535</v>
      </c>
      <c r="C1221" s="648">
        <v>94157</v>
      </c>
    </row>
    <row r="1222" spans="2:3" x14ac:dyDescent="0.25">
      <c r="B1222" s="644" t="s">
        <v>1534</v>
      </c>
      <c r="C1222" s="648">
        <v>94151</v>
      </c>
    </row>
    <row r="1223" spans="2:3" x14ac:dyDescent="0.25">
      <c r="B1223" s="644" t="s">
        <v>1278</v>
      </c>
      <c r="C1223" s="648">
        <v>91241</v>
      </c>
    </row>
    <row r="1224" spans="2:3" x14ac:dyDescent="0.25">
      <c r="B1224" s="644" t="s">
        <v>1640</v>
      </c>
      <c r="C1224" s="648">
        <v>95412</v>
      </c>
    </row>
    <row r="1225" spans="2:3" x14ac:dyDescent="0.25">
      <c r="B1225" s="644" t="s">
        <v>3448</v>
      </c>
      <c r="C1225" s="648">
        <v>99613</v>
      </c>
    </row>
    <row r="1226" spans="2:3" x14ac:dyDescent="0.25">
      <c r="B1226" s="644" t="s">
        <v>2006</v>
      </c>
      <c r="C1226" s="648">
        <v>99611</v>
      </c>
    </row>
    <row r="1227" spans="2:3" x14ac:dyDescent="0.25">
      <c r="B1227" s="644" t="s">
        <v>1337</v>
      </c>
      <c r="C1227" s="648">
        <v>91908</v>
      </c>
    </row>
    <row r="1228" spans="2:3" x14ac:dyDescent="0.25">
      <c r="B1228" s="644" t="s">
        <v>1502</v>
      </c>
      <c r="C1228" s="648">
        <v>93801</v>
      </c>
    </row>
    <row r="1229" spans="2:3" x14ac:dyDescent="0.25">
      <c r="B1229" s="644" t="s">
        <v>3449</v>
      </c>
      <c r="C1229" s="648">
        <v>93806</v>
      </c>
    </row>
    <row r="1230" spans="2:3" x14ac:dyDescent="0.25">
      <c r="B1230" s="644" t="s">
        <v>1503</v>
      </c>
      <c r="C1230" s="648">
        <v>93803</v>
      </c>
    </row>
    <row r="1231" spans="2:3" x14ac:dyDescent="0.25">
      <c r="B1231" s="644" t="s">
        <v>1159</v>
      </c>
      <c r="C1231" s="648">
        <v>90121</v>
      </c>
    </row>
    <row r="1232" spans="2:3" x14ac:dyDescent="0.25">
      <c r="B1232" s="644" t="s">
        <v>1293</v>
      </c>
      <c r="C1232" s="648">
        <v>91417</v>
      </c>
    </row>
    <row r="1233" spans="2:3" x14ac:dyDescent="0.25">
      <c r="B1233" s="644" t="s">
        <v>1292</v>
      </c>
      <c r="C1233" s="648">
        <v>91411</v>
      </c>
    </row>
    <row r="1234" spans="2:3" x14ac:dyDescent="0.25">
      <c r="B1234" s="644" t="s">
        <v>1874</v>
      </c>
      <c r="C1234" s="648">
        <v>98061</v>
      </c>
    </row>
    <row r="1235" spans="2:3" x14ac:dyDescent="0.25">
      <c r="B1235" s="644" t="s">
        <v>1506</v>
      </c>
      <c r="C1235" s="648">
        <v>93901</v>
      </c>
    </row>
    <row r="1236" spans="2:3" x14ac:dyDescent="0.25">
      <c r="B1236" s="644" t="s">
        <v>1507</v>
      </c>
      <c r="C1236" s="648">
        <v>93904</v>
      </c>
    </row>
    <row r="1237" spans="2:3" x14ac:dyDescent="0.25">
      <c r="B1237" s="644" t="s">
        <v>1508</v>
      </c>
      <c r="C1237" s="648">
        <v>93906</v>
      </c>
    </row>
    <row r="1238" spans="2:3" x14ac:dyDescent="0.25">
      <c r="B1238" s="644" t="s">
        <v>1509</v>
      </c>
      <c r="C1238" s="648">
        <v>93908</v>
      </c>
    </row>
    <row r="1239" spans="2:3" x14ac:dyDescent="0.25">
      <c r="B1239" s="644" t="s">
        <v>1594</v>
      </c>
      <c r="C1239" s="648">
        <v>94908</v>
      </c>
    </row>
    <row r="1240" spans="2:3" x14ac:dyDescent="0.25">
      <c r="B1240" s="644" t="s">
        <v>1163</v>
      </c>
      <c r="C1240" s="648">
        <v>90161</v>
      </c>
    </row>
    <row r="1241" spans="2:3" x14ac:dyDescent="0.25">
      <c r="B1241" s="644" t="s">
        <v>1516</v>
      </c>
      <c r="C1241" s="648">
        <v>94001</v>
      </c>
    </row>
    <row r="1242" spans="2:3" x14ac:dyDescent="0.25">
      <c r="B1242" s="644" t="s">
        <v>1518</v>
      </c>
      <c r="C1242" s="648">
        <v>94004</v>
      </c>
    </row>
    <row r="1243" spans="2:3" x14ac:dyDescent="0.25">
      <c r="B1243" s="644" t="s">
        <v>1529</v>
      </c>
      <c r="C1243" s="648">
        <v>94117</v>
      </c>
    </row>
    <row r="1244" spans="2:3" x14ac:dyDescent="0.25">
      <c r="B1244" s="644" t="s">
        <v>1527</v>
      </c>
      <c r="C1244" s="648">
        <v>94111</v>
      </c>
    </row>
    <row r="1245" spans="2:3" x14ac:dyDescent="0.25">
      <c r="B1245" s="644" t="s">
        <v>1797</v>
      </c>
      <c r="C1245" s="648">
        <v>97413</v>
      </c>
    </row>
    <row r="1246" spans="2:3" x14ac:dyDescent="0.25">
      <c r="B1246" s="644" t="s">
        <v>1796</v>
      </c>
      <c r="C1246" s="648">
        <v>97412</v>
      </c>
    </row>
    <row r="1247" spans="2:3" x14ac:dyDescent="0.25">
      <c r="B1247" s="644" t="s">
        <v>1795</v>
      </c>
      <c r="C1247" s="648">
        <v>97411</v>
      </c>
    </row>
    <row r="1248" spans="2:3" x14ac:dyDescent="0.25">
      <c r="B1248" s="644" t="s">
        <v>1800</v>
      </c>
      <c r="C1248" s="648">
        <v>97431</v>
      </c>
    </row>
    <row r="1249" spans="2:3" x14ac:dyDescent="0.25">
      <c r="B1249" s="644" t="s">
        <v>1805</v>
      </c>
      <c r="C1249" s="648">
        <v>97471</v>
      </c>
    </row>
    <row r="1250" spans="2:3" x14ac:dyDescent="0.25">
      <c r="B1250" s="644" t="s">
        <v>1360</v>
      </c>
      <c r="C1250" s="648">
        <v>92351</v>
      </c>
    </row>
    <row r="1251" spans="2:3" x14ac:dyDescent="0.25">
      <c r="B1251" s="644" t="s">
        <v>1530</v>
      </c>
      <c r="C1251" s="648">
        <v>94118</v>
      </c>
    </row>
    <row r="1252" spans="2:3" x14ac:dyDescent="0.25">
      <c r="B1252" s="644" t="s">
        <v>1523</v>
      </c>
      <c r="C1252" s="648">
        <v>94101</v>
      </c>
    </row>
    <row r="1253" spans="2:3" x14ac:dyDescent="0.25">
      <c r="B1253" s="644" t="s">
        <v>1524</v>
      </c>
      <c r="C1253" s="648">
        <v>94102</v>
      </c>
    </row>
    <row r="1254" spans="2:3" x14ac:dyDescent="0.25">
      <c r="B1254" s="644" t="s">
        <v>1540</v>
      </c>
      <c r="C1254" s="648">
        <v>94201</v>
      </c>
    </row>
    <row r="1255" spans="2:3" x14ac:dyDescent="0.25">
      <c r="B1255" s="644" t="s">
        <v>1541</v>
      </c>
      <c r="C1255" s="648">
        <v>94204</v>
      </c>
    </row>
    <row r="1256" spans="2:3" x14ac:dyDescent="0.25">
      <c r="B1256" s="644" t="s">
        <v>1542</v>
      </c>
      <c r="C1256" s="648">
        <v>94205</v>
      </c>
    </row>
    <row r="1257" spans="2:3" x14ac:dyDescent="0.25">
      <c r="B1257" s="644" t="s">
        <v>1664</v>
      </c>
      <c r="C1257" s="648">
        <v>95831</v>
      </c>
    </row>
    <row r="1258" spans="2:3" x14ac:dyDescent="0.25">
      <c r="B1258" s="644" t="s">
        <v>1828</v>
      </c>
      <c r="C1258" s="648">
        <v>97717</v>
      </c>
    </row>
    <row r="1259" spans="2:3" x14ac:dyDescent="0.25">
      <c r="B1259" s="644" t="s">
        <v>1829</v>
      </c>
      <c r="C1259" s="648">
        <v>97721</v>
      </c>
    </row>
    <row r="1260" spans="2:3" x14ac:dyDescent="0.25">
      <c r="B1260" s="644" t="s">
        <v>1550</v>
      </c>
      <c r="C1260" s="648">
        <v>94301</v>
      </c>
    </row>
    <row r="1261" spans="2:3" x14ac:dyDescent="0.25">
      <c r="B1261" s="644" t="s">
        <v>1297</v>
      </c>
      <c r="C1261" s="648">
        <v>91441</v>
      </c>
    </row>
    <row r="1262" spans="2:3" x14ac:dyDescent="0.25">
      <c r="B1262" s="644" t="s">
        <v>1383</v>
      </c>
      <c r="C1262" s="648">
        <v>92531</v>
      </c>
    </row>
    <row r="1263" spans="2:3" x14ac:dyDescent="0.25">
      <c r="B1263" s="644" t="s">
        <v>1161</v>
      </c>
      <c r="C1263" s="648">
        <v>90141</v>
      </c>
    </row>
    <row r="1264" spans="2:3" x14ac:dyDescent="0.25">
      <c r="B1264" s="644" t="s">
        <v>1559</v>
      </c>
      <c r="C1264" s="648">
        <v>94401</v>
      </c>
    </row>
    <row r="1265" spans="2:3" x14ac:dyDescent="0.25">
      <c r="B1265" s="644" t="s">
        <v>1560</v>
      </c>
      <c r="C1265" s="648">
        <v>94402</v>
      </c>
    </row>
    <row r="1266" spans="2:3" x14ac:dyDescent="0.25">
      <c r="B1266" s="644" t="s">
        <v>1569</v>
      </c>
      <c r="C1266" s="648">
        <v>94501</v>
      </c>
    </row>
    <row r="1267" spans="2:3" x14ac:dyDescent="0.25">
      <c r="B1267" s="644" t="s">
        <v>1958</v>
      </c>
      <c r="C1267" s="648">
        <v>99111</v>
      </c>
    </row>
    <row r="1268" spans="2:3" x14ac:dyDescent="0.25">
      <c r="B1268" s="644" t="s">
        <v>1572</v>
      </c>
      <c r="C1268" s="648">
        <v>94517</v>
      </c>
    </row>
    <row r="1269" spans="2:3" x14ac:dyDescent="0.25">
      <c r="B1269" s="644" t="s">
        <v>1571</v>
      </c>
      <c r="C1269" s="648">
        <v>94512</v>
      </c>
    </row>
    <row r="1270" spans="2:3" x14ac:dyDescent="0.25">
      <c r="B1270" s="644" t="s">
        <v>1570</v>
      </c>
      <c r="C1270" s="648">
        <v>94511</v>
      </c>
    </row>
    <row r="1271" spans="2:3" x14ac:dyDescent="0.25">
      <c r="B1271" s="644" t="s">
        <v>1785</v>
      </c>
      <c r="C1271" s="648">
        <v>97217</v>
      </c>
    </row>
    <row r="1272" spans="2:3" x14ac:dyDescent="0.25">
      <c r="B1272" s="644" t="s">
        <v>1580</v>
      </c>
      <c r="C1272" s="648">
        <v>94601</v>
      </c>
    </row>
    <row r="1273" spans="2:3" x14ac:dyDescent="0.25">
      <c r="B1273" s="644" t="s">
        <v>1581</v>
      </c>
      <c r="C1273" s="648">
        <v>94604</v>
      </c>
    </row>
    <row r="1274" spans="2:3" x14ac:dyDescent="0.25">
      <c r="B1274" s="644" t="s">
        <v>1582</v>
      </c>
      <c r="C1274" s="648">
        <v>94606</v>
      </c>
    </row>
    <row r="1275" spans="2:3" x14ac:dyDescent="0.25">
      <c r="B1275" s="644" t="s">
        <v>1784</v>
      </c>
      <c r="C1275" s="648">
        <v>97213</v>
      </c>
    </row>
    <row r="1276" spans="2:3" x14ac:dyDescent="0.25">
      <c r="B1276" s="644" t="s">
        <v>1783</v>
      </c>
      <c r="C1276" s="648">
        <v>97211</v>
      </c>
    </row>
    <row r="1277" spans="2:3" x14ac:dyDescent="0.25">
      <c r="B1277" s="644" t="s">
        <v>1324</v>
      </c>
      <c r="C1277" s="648">
        <v>91813</v>
      </c>
    </row>
    <row r="1278" spans="2:3" x14ac:dyDescent="0.25">
      <c r="B1278" s="644" t="s">
        <v>1322</v>
      </c>
      <c r="C1278" s="648">
        <v>91811</v>
      </c>
    </row>
    <row r="1279" spans="2:3" x14ac:dyDescent="0.25">
      <c r="B1279" s="644" t="s">
        <v>1323</v>
      </c>
      <c r="C1279" s="648">
        <v>91812</v>
      </c>
    </row>
    <row r="1280" spans="2:3" x14ac:dyDescent="0.25">
      <c r="B1280" s="644" t="s">
        <v>1188</v>
      </c>
      <c r="C1280" s="648">
        <v>90617</v>
      </c>
    </row>
    <row r="1281" spans="2:3" x14ac:dyDescent="0.25">
      <c r="B1281" s="644" t="s">
        <v>1532</v>
      </c>
      <c r="C1281" s="648">
        <v>94127</v>
      </c>
    </row>
    <row r="1282" spans="2:3" x14ac:dyDescent="0.25">
      <c r="B1282" s="644" t="s">
        <v>1531</v>
      </c>
      <c r="C1282" s="648">
        <v>94121</v>
      </c>
    </row>
    <row r="1283" spans="2:3" x14ac:dyDescent="0.25">
      <c r="B1283" s="644" t="s">
        <v>1652</v>
      </c>
      <c r="C1283" s="648">
        <v>95617</v>
      </c>
    </row>
    <row r="1284" spans="2:3" x14ac:dyDescent="0.25">
      <c r="B1284" s="644" t="s">
        <v>1653</v>
      </c>
      <c r="C1284" s="648">
        <v>95621</v>
      </c>
    </row>
    <row r="1285" spans="2:3" x14ac:dyDescent="0.25">
      <c r="B1285" s="644" t="s">
        <v>1279</v>
      </c>
      <c r="C1285" s="648">
        <v>91251</v>
      </c>
    </row>
    <row r="1286" spans="2:3" x14ac:dyDescent="0.25">
      <c r="B1286" s="644" t="s">
        <v>1761</v>
      </c>
      <c r="C1286" s="648">
        <v>96831</v>
      </c>
    </row>
    <row r="1287" spans="2:3" x14ac:dyDescent="0.25">
      <c r="B1287" s="644" t="s">
        <v>1548</v>
      </c>
      <c r="C1287" s="648">
        <v>94251</v>
      </c>
    </row>
    <row r="1288" spans="2:3" x14ac:dyDescent="0.25">
      <c r="B1288" s="644" t="s">
        <v>1587</v>
      </c>
      <c r="C1288" s="648">
        <v>94701</v>
      </c>
    </row>
    <row r="1289" spans="2:3" x14ac:dyDescent="0.25">
      <c r="B1289" s="644" t="s">
        <v>1588</v>
      </c>
      <c r="C1289" s="648">
        <v>94704</v>
      </c>
    </row>
    <row r="1290" spans="2:3" x14ac:dyDescent="0.25">
      <c r="B1290" s="644" t="s">
        <v>1228</v>
      </c>
      <c r="C1290" s="648">
        <v>91014</v>
      </c>
    </row>
    <row r="1291" spans="2:3" x14ac:dyDescent="0.25">
      <c r="B1291" s="644" t="s">
        <v>1753</v>
      </c>
      <c r="C1291" s="648">
        <v>96733</v>
      </c>
    </row>
    <row r="1292" spans="2:3" x14ac:dyDescent="0.25">
      <c r="B1292" s="644" t="s">
        <v>1752</v>
      </c>
      <c r="C1292" s="648">
        <v>96731</v>
      </c>
    </row>
    <row r="1293" spans="2:3" x14ac:dyDescent="0.25">
      <c r="B1293" s="644" t="s">
        <v>1960</v>
      </c>
      <c r="C1293" s="648">
        <v>99202</v>
      </c>
    </row>
    <row r="1294" spans="2:3" x14ac:dyDescent="0.25">
      <c r="B1294" s="644" t="s">
        <v>1520</v>
      </c>
      <c r="C1294" s="648">
        <v>94011</v>
      </c>
    </row>
    <row r="1295" spans="2:3" x14ac:dyDescent="0.25">
      <c r="B1295" s="644" t="s">
        <v>1397</v>
      </c>
      <c r="C1295" s="648">
        <v>92631</v>
      </c>
    </row>
    <row r="1296" spans="2:3" x14ac:dyDescent="0.25">
      <c r="B1296" s="644" t="s">
        <v>1657</v>
      </c>
      <c r="C1296" s="648">
        <v>95733</v>
      </c>
    </row>
    <row r="1297" spans="2:3" x14ac:dyDescent="0.25">
      <c r="B1297" s="644" t="s">
        <v>1296</v>
      </c>
      <c r="C1297" s="648">
        <v>91431</v>
      </c>
    </row>
    <row r="1298" spans="2:3" x14ac:dyDescent="0.25">
      <c r="B1298" s="644" t="s">
        <v>1684</v>
      </c>
      <c r="C1298" s="648">
        <v>96041</v>
      </c>
    </row>
    <row r="1299" spans="2:3" x14ac:dyDescent="0.25">
      <c r="B1299" s="644" t="s">
        <v>1590</v>
      </c>
      <c r="C1299" s="648">
        <v>94801</v>
      </c>
    </row>
    <row r="1300" spans="2:3" x14ac:dyDescent="0.25">
      <c r="B1300" s="644" t="s">
        <v>1591</v>
      </c>
      <c r="C1300" s="648">
        <v>94804</v>
      </c>
    </row>
    <row r="1301" spans="2:3" x14ac:dyDescent="0.25">
      <c r="B1301" s="644" t="s">
        <v>1312</v>
      </c>
      <c r="C1301" s="648">
        <v>91661</v>
      </c>
    </row>
    <row r="1302" spans="2:3" x14ac:dyDescent="0.25">
      <c r="B1302" s="644" t="s">
        <v>3450</v>
      </c>
      <c r="C1302" s="648">
        <v>99014</v>
      </c>
    </row>
    <row r="1303" spans="2:3" x14ac:dyDescent="0.25">
      <c r="B1303" s="644" t="s">
        <v>1949</v>
      </c>
      <c r="C1303" s="648">
        <v>99051</v>
      </c>
    </row>
    <row r="1304" spans="2:3" x14ac:dyDescent="0.25">
      <c r="B1304" s="644" t="s">
        <v>1593</v>
      </c>
      <c r="C1304" s="648">
        <v>94901</v>
      </c>
    </row>
    <row r="1305" spans="2:3" x14ac:dyDescent="0.25">
      <c r="B1305" s="644" t="s">
        <v>1882</v>
      </c>
      <c r="C1305" s="648">
        <v>98109</v>
      </c>
    </row>
    <row r="1306" spans="2:3" x14ac:dyDescent="0.25">
      <c r="B1306" s="644" t="s">
        <v>1891</v>
      </c>
      <c r="C1306" s="648">
        <v>98205</v>
      </c>
    </row>
    <row r="1307" spans="2:3" x14ac:dyDescent="0.25">
      <c r="B1307" s="644" t="s">
        <v>1602</v>
      </c>
      <c r="C1307" s="648">
        <v>95001</v>
      </c>
    </row>
    <row r="1308" spans="2:3" x14ac:dyDescent="0.25">
      <c r="B1308" s="644" t="s">
        <v>3451</v>
      </c>
      <c r="C1308" s="648">
        <v>95017</v>
      </c>
    </row>
    <row r="1309" spans="2:3" x14ac:dyDescent="0.25">
      <c r="B1309" s="644" t="s">
        <v>1744</v>
      </c>
      <c r="C1309" s="648">
        <v>96661</v>
      </c>
    </row>
    <row r="1310" spans="2:3" x14ac:dyDescent="0.25">
      <c r="B1310" s="644" t="s">
        <v>1750</v>
      </c>
      <c r="C1310" s="648">
        <v>96711</v>
      </c>
    </row>
    <row r="1311" spans="2:3" x14ac:dyDescent="0.25">
      <c r="B1311" s="644" t="s">
        <v>1533</v>
      </c>
      <c r="C1311" s="648">
        <v>94131</v>
      </c>
    </row>
    <row r="1312" spans="2:3" x14ac:dyDescent="0.25">
      <c r="B1312" s="644" t="s">
        <v>1665</v>
      </c>
      <c r="C1312" s="648">
        <v>95841</v>
      </c>
    </row>
    <row r="1313" spans="2:3" x14ac:dyDescent="0.25">
      <c r="B1313" s="644" t="s">
        <v>1183</v>
      </c>
      <c r="C1313" s="648">
        <v>90511</v>
      </c>
    </row>
    <row r="1314" spans="2:3" x14ac:dyDescent="0.25">
      <c r="B1314" s="644" t="s">
        <v>1609</v>
      </c>
      <c r="C1314" s="648">
        <v>95101</v>
      </c>
    </row>
    <row r="1315" spans="2:3" x14ac:dyDescent="0.25">
      <c r="B1315" s="644" t="s">
        <v>1611</v>
      </c>
      <c r="C1315" s="648">
        <v>95104</v>
      </c>
    </row>
    <row r="1316" spans="2:3" x14ac:dyDescent="0.25">
      <c r="B1316" s="644" t="s">
        <v>1612</v>
      </c>
      <c r="C1316" s="648">
        <v>95105</v>
      </c>
    </row>
    <row r="1317" spans="2:3" x14ac:dyDescent="0.25">
      <c r="B1317" s="644" t="s">
        <v>3452</v>
      </c>
      <c r="C1317" s="648">
        <v>95110</v>
      </c>
    </row>
    <row r="1318" spans="2:3" x14ac:dyDescent="0.25">
      <c r="B1318" s="644" t="s">
        <v>1627</v>
      </c>
      <c r="C1318" s="648">
        <v>95201</v>
      </c>
    </row>
    <row r="1319" spans="2:3" x14ac:dyDescent="0.25">
      <c r="B1319" s="644" t="s">
        <v>1628</v>
      </c>
      <c r="C1319" s="648">
        <v>95204</v>
      </c>
    </row>
    <row r="1320" spans="2:3" x14ac:dyDescent="0.25">
      <c r="B1320" s="644" t="s">
        <v>2031</v>
      </c>
      <c r="C1320" s="648">
        <v>99921</v>
      </c>
    </row>
    <row r="1321" spans="2:3" x14ac:dyDescent="0.25">
      <c r="B1321" s="644" t="s">
        <v>1561</v>
      </c>
      <c r="C1321" s="648">
        <v>94408</v>
      </c>
    </row>
    <row r="1322" spans="2:3" x14ac:dyDescent="0.25">
      <c r="B1322" s="644" t="s">
        <v>1289</v>
      </c>
      <c r="C1322" s="648">
        <v>91331</v>
      </c>
    </row>
    <row r="1323" spans="2:3" x14ac:dyDescent="0.25">
      <c r="B1323" s="644" t="s">
        <v>1431</v>
      </c>
      <c r="C1323" s="648">
        <v>93127</v>
      </c>
    </row>
    <row r="1324" spans="2:3" x14ac:dyDescent="0.25">
      <c r="B1324" s="644" t="s">
        <v>1430</v>
      </c>
      <c r="C1324" s="648">
        <v>93121</v>
      </c>
    </row>
    <row r="1325" spans="2:3" x14ac:dyDescent="0.25">
      <c r="B1325" s="644" t="s">
        <v>1624</v>
      </c>
      <c r="C1325" s="648">
        <v>95171</v>
      </c>
    </row>
    <row r="1326" spans="2:3" x14ac:dyDescent="0.25">
      <c r="B1326" s="644" t="s">
        <v>1467</v>
      </c>
      <c r="C1326" s="648">
        <v>93421</v>
      </c>
    </row>
    <row r="1327" spans="2:3" x14ac:dyDescent="0.25">
      <c r="B1327" s="644" t="s">
        <v>1957</v>
      </c>
      <c r="C1327" s="648">
        <v>99110</v>
      </c>
    </row>
    <row r="1328" spans="2:3" x14ac:dyDescent="0.25">
      <c r="B1328" s="644" t="s">
        <v>1956</v>
      </c>
      <c r="C1328" s="648">
        <v>99109</v>
      </c>
    </row>
    <row r="1329" spans="2:3" x14ac:dyDescent="0.25">
      <c r="B1329" s="644" t="s">
        <v>1409</v>
      </c>
      <c r="C1329" s="648">
        <v>92821</v>
      </c>
    </row>
    <row r="1330" spans="2:3" x14ac:dyDescent="0.25">
      <c r="B1330" s="644" t="s">
        <v>1920</v>
      </c>
      <c r="C1330" s="648">
        <v>98521</v>
      </c>
    </row>
    <row r="1331" spans="2:3" x14ac:dyDescent="0.25">
      <c r="B1331" s="644" t="s">
        <v>1357</v>
      </c>
      <c r="C1331" s="648">
        <v>92327</v>
      </c>
    </row>
    <row r="1332" spans="2:3" x14ac:dyDescent="0.25">
      <c r="B1332" s="644" t="s">
        <v>1356</v>
      </c>
      <c r="C1332" s="648">
        <v>92321</v>
      </c>
    </row>
    <row r="1333" spans="2:3" x14ac:dyDescent="0.25">
      <c r="B1333" s="644" t="s">
        <v>1641</v>
      </c>
      <c r="C1333" s="648">
        <v>95413</v>
      </c>
    </row>
    <row r="1334" spans="2:3" x14ac:dyDescent="0.25">
      <c r="B1334" s="644" t="s">
        <v>1639</v>
      </c>
      <c r="C1334" s="648">
        <v>95411</v>
      </c>
    </row>
    <row r="1335" spans="2:3" x14ac:dyDescent="0.25">
      <c r="B1335" s="644" t="s">
        <v>1642</v>
      </c>
      <c r="C1335" s="648">
        <v>95415</v>
      </c>
    </row>
    <row r="1336" spans="2:3" x14ac:dyDescent="0.25">
      <c r="B1336" s="644" t="s">
        <v>1412</v>
      </c>
      <c r="C1336" s="648">
        <v>92851</v>
      </c>
    </row>
    <row r="1337" spans="2:3" x14ac:dyDescent="0.25">
      <c r="B1337" s="644" t="s">
        <v>1980</v>
      </c>
      <c r="C1337" s="648">
        <v>99291</v>
      </c>
    </row>
    <row r="1338" spans="2:3" x14ac:dyDescent="0.25">
      <c r="B1338" s="644" t="s">
        <v>1735</v>
      </c>
      <c r="C1338" s="648">
        <v>96541</v>
      </c>
    </row>
    <row r="1339" spans="2:3" x14ac:dyDescent="0.25">
      <c r="B1339" s="644" t="s">
        <v>1644</v>
      </c>
      <c r="C1339" s="648">
        <v>95431</v>
      </c>
    </row>
    <row r="1340" spans="2:3" x14ac:dyDescent="0.25">
      <c r="B1340" s="644" t="s">
        <v>1886</v>
      </c>
      <c r="C1340" s="648">
        <v>98131</v>
      </c>
    </row>
    <row r="1341" spans="2:3" x14ac:dyDescent="0.25">
      <c r="B1341" s="644" t="s">
        <v>1367</v>
      </c>
      <c r="C1341" s="648">
        <v>92427</v>
      </c>
    </row>
    <row r="1342" spans="2:3" x14ac:dyDescent="0.25">
      <c r="B1342" s="644" t="s">
        <v>1372</v>
      </c>
      <c r="C1342" s="648">
        <v>92461</v>
      </c>
    </row>
    <row r="1343" spans="2:3" x14ac:dyDescent="0.25">
      <c r="B1343" s="644" t="s">
        <v>1873</v>
      </c>
      <c r="C1343" s="648">
        <v>98051</v>
      </c>
    </row>
    <row r="1344" spans="2:3" x14ac:dyDescent="0.25">
      <c r="B1344" s="644" t="s">
        <v>1248</v>
      </c>
      <c r="C1344" s="648">
        <v>91102</v>
      </c>
    </row>
    <row r="1345" spans="2:3" x14ac:dyDescent="0.25">
      <c r="B1345" s="644" t="s">
        <v>1574</v>
      </c>
      <c r="C1345" s="648">
        <v>94527</v>
      </c>
    </row>
    <row r="1346" spans="2:3" x14ac:dyDescent="0.25">
      <c r="B1346" s="644" t="s">
        <v>1573</v>
      </c>
      <c r="C1346" s="648">
        <v>94521</v>
      </c>
    </row>
    <row r="1347" spans="2:3" x14ac:dyDescent="0.25">
      <c r="B1347" s="644" t="s">
        <v>1905</v>
      </c>
      <c r="C1347" s="648">
        <v>98313</v>
      </c>
    </row>
    <row r="1348" spans="2:3" x14ac:dyDescent="0.25">
      <c r="B1348" s="644" t="s">
        <v>1904</v>
      </c>
      <c r="C1348" s="648">
        <v>98311</v>
      </c>
    </row>
    <row r="1349" spans="2:3" x14ac:dyDescent="0.25">
      <c r="B1349" s="644" t="s">
        <v>1903</v>
      </c>
      <c r="C1349" s="648">
        <v>98308</v>
      </c>
    </row>
    <row r="1350" spans="2:3" x14ac:dyDescent="0.25">
      <c r="B1350" s="644" t="s">
        <v>1359</v>
      </c>
      <c r="C1350" s="648">
        <v>92341</v>
      </c>
    </row>
    <row r="1351" spans="2:3" x14ac:dyDescent="0.25">
      <c r="B1351" s="644" t="s">
        <v>1632</v>
      </c>
      <c r="C1351" s="648">
        <v>95301</v>
      </c>
    </row>
    <row r="1352" spans="2:3" x14ac:dyDescent="0.25">
      <c r="B1352" s="644" t="s">
        <v>1218</v>
      </c>
      <c r="C1352" s="648">
        <v>91002</v>
      </c>
    </row>
    <row r="1353" spans="2:3" x14ac:dyDescent="0.25">
      <c r="B1353" s="644" t="s">
        <v>1299</v>
      </c>
      <c r="C1353" s="648">
        <v>91457</v>
      </c>
    </row>
    <row r="1354" spans="2:3" x14ac:dyDescent="0.25">
      <c r="B1354" s="644" t="s">
        <v>1636</v>
      </c>
      <c r="C1354" s="648">
        <v>95401</v>
      </c>
    </row>
    <row r="1355" spans="2:3" x14ac:dyDescent="0.25">
      <c r="B1355" s="644" t="s">
        <v>1637</v>
      </c>
      <c r="C1355" s="648">
        <v>95404</v>
      </c>
    </row>
    <row r="1356" spans="2:3" x14ac:dyDescent="0.25">
      <c r="B1356" s="644" t="s">
        <v>1295</v>
      </c>
      <c r="C1356" s="648">
        <v>91423</v>
      </c>
    </row>
    <row r="1357" spans="2:3" x14ac:dyDescent="0.25">
      <c r="B1357" s="644" t="s">
        <v>1298</v>
      </c>
      <c r="C1357" s="648">
        <v>91451</v>
      </c>
    </row>
    <row r="1358" spans="2:3" x14ac:dyDescent="0.25">
      <c r="B1358" s="644" t="s">
        <v>1209</v>
      </c>
      <c r="C1358" s="648">
        <v>90861</v>
      </c>
    </row>
    <row r="1359" spans="2:3" x14ac:dyDescent="0.25">
      <c r="B1359" s="644" t="s">
        <v>1471</v>
      </c>
      <c r="C1359" s="648">
        <v>93451</v>
      </c>
    </row>
    <row r="1360" spans="2:3" x14ac:dyDescent="0.25">
      <c r="B1360" s="644" t="s">
        <v>1417</v>
      </c>
      <c r="C1360" s="648">
        <v>92917</v>
      </c>
    </row>
    <row r="1361" spans="2:3" x14ac:dyDescent="0.25">
      <c r="B1361" s="644" t="s">
        <v>1419</v>
      </c>
      <c r="C1361" s="648">
        <v>92931</v>
      </c>
    </row>
    <row r="1362" spans="2:3" x14ac:dyDescent="0.25">
      <c r="B1362" s="644" t="s">
        <v>1820</v>
      </c>
      <c r="C1362" s="648">
        <v>97637</v>
      </c>
    </row>
    <row r="1363" spans="2:3" x14ac:dyDescent="0.25">
      <c r="B1363" s="644" t="s">
        <v>1819</v>
      </c>
      <c r="C1363" s="648">
        <v>97631</v>
      </c>
    </row>
    <row r="1364" spans="2:3" x14ac:dyDescent="0.25">
      <c r="B1364" s="644" t="s">
        <v>1176</v>
      </c>
      <c r="C1364" s="648">
        <v>90421</v>
      </c>
    </row>
    <row r="1365" spans="2:3" x14ac:dyDescent="0.25">
      <c r="B1365" s="644" t="s">
        <v>1554</v>
      </c>
      <c r="C1365" s="648">
        <v>94321</v>
      </c>
    </row>
    <row r="1366" spans="2:3" x14ac:dyDescent="0.25">
      <c r="B1366" s="644" t="s">
        <v>1645</v>
      </c>
      <c r="C1366" s="648">
        <v>95501</v>
      </c>
    </row>
    <row r="1367" spans="2:3" x14ac:dyDescent="0.25">
      <c r="B1367" s="644" t="s">
        <v>1646</v>
      </c>
      <c r="C1367" s="648">
        <v>95504</v>
      </c>
    </row>
    <row r="1368" spans="2:3" x14ac:dyDescent="0.25">
      <c r="B1368" s="644" t="s">
        <v>1649</v>
      </c>
      <c r="C1368" s="648">
        <v>95517</v>
      </c>
    </row>
    <row r="1369" spans="2:3" x14ac:dyDescent="0.25">
      <c r="B1369" s="644" t="s">
        <v>1648</v>
      </c>
      <c r="C1369" s="648">
        <v>95513</v>
      </c>
    </row>
    <row r="1370" spans="2:3" x14ac:dyDescent="0.25">
      <c r="B1370" s="644" t="s">
        <v>1647</v>
      </c>
      <c r="C1370" s="648">
        <v>95511</v>
      </c>
    </row>
    <row r="1371" spans="2:3" x14ac:dyDescent="0.25">
      <c r="B1371" s="644" t="s">
        <v>1399</v>
      </c>
      <c r="C1371" s="648">
        <v>92651</v>
      </c>
    </row>
    <row r="1372" spans="2:3" x14ac:dyDescent="0.25">
      <c r="B1372" s="644" t="s">
        <v>1549</v>
      </c>
      <c r="C1372" s="648">
        <v>94261</v>
      </c>
    </row>
    <row r="1373" spans="2:3" x14ac:dyDescent="0.25">
      <c r="B1373" s="644" t="s">
        <v>1913</v>
      </c>
      <c r="C1373" s="648">
        <v>98431</v>
      </c>
    </row>
    <row r="1374" spans="2:3" x14ac:dyDescent="0.25">
      <c r="B1374" s="644" t="s">
        <v>1329</v>
      </c>
      <c r="C1374" s="648">
        <v>91841</v>
      </c>
    </row>
    <row r="1375" spans="2:3" x14ac:dyDescent="0.25">
      <c r="B1375" s="644" t="s">
        <v>1478</v>
      </c>
      <c r="C1375" s="648">
        <v>93527</v>
      </c>
    </row>
    <row r="1376" spans="2:3" x14ac:dyDescent="0.25">
      <c r="B1376" s="644" t="s">
        <v>1477</v>
      </c>
      <c r="C1376" s="648">
        <v>93521</v>
      </c>
    </row>
    <row r="1377" spans="2:3" x14ac:dyDescent="0.25">
      <c r="B1377" s="644" t="s">
        <v>1495</v>
      </c>
      <c r="C1377" s="648">
        <v>93661</v>
      </c>
    </row>
    <row r="1378" spans="2:3" x14ac:dyDescent="0.25">
      <c r="B1378" s="644" t="s">
        <v>1729</v>
      </c>
      <c r="C1378" s="648">
        <v>96508</v>
      </c>
    </row>
    <row r="1379" spans="2:3" x14ac:dyDescent="0.25">
      <c r="B1379" s="644" t="s">
        <v>2027</v>
      </c>
      <c r="C1379" s="648">
        <v>99841</v>
      </c>
    </row>
    <row r="1380" spans="2:3" x14ac:dyDescent="0.25">
      <c r="B1380" s="644" t="s">
        <v>1833</v>
      </c>
      <c r="C1380" s="648">
        <v>97802</v>
      </c>
    </row>
    <row r="1381" spans="2:3" x14ac:dyDescent="0.25">
      <c r="B1381" s="644" t="s">
        <v>1837</v>
      </c>
      <c r="C1381" s="648">
        <v>97817</v>
      </c>
    </row>
    <row r="1382" spans="2:3" x14ac:dyDescent="0.25">
      <c r="B1382" s="644" t="s">
        <v>1838</v>
      </c>
      <c r="C1382" s="648">
        <v>97818</v>
      </c>
    </row>
    <row r="1383" spans="2:3" x14ac:dyDescent="0.25">
      <c r="B1383" s="644" t="s">
        <v>1836</v>
      </c>
      <c r="C1383" s="648">
        <v>97811</v>
      </c>
    </row>
    <row r="1384" spans="2:3" x14ac:dyDescent="0.25">
      <c r="B1384" s="644" t="s">
        <v>1458</v>
      </c>
      <c r="C1384" s="648">
        <v>93341</v>
      </c>
    </row>
    <row r="1385" spans="2:3" x14ac:dyDescent="0.25">
      <c r="B1385" s="644" t="s">
        <v>1650</v>
      </c>
      <c r="C1385" s="648">
        <v>95601</v>
      </c>
    </row>
    <row r="1386" spans="2:3" x14ac:dyDescent="0.25">
      <c r="B1386" s="644" t="s">
        <v>1858</v>
      </c>
      <c r="C1386" s="648">
        <v>97947</v>
      </c>
    </row>
    <row r="1387" spans="2:3" x14ac:dyDescent="0.25">
      <c r="B1387" s="644" t="s">
        <v>1654</v>
      </c>
      <c r="C1387" s="648">
        <v>95701</v>
      </c>
    </row>
    <row r="1388" spans="2:3" x14ac:dyDescent="0.25">
      <c r="B1388" s="644" t="s">
        <v>1857</v>
      </c>
      <c r="C1388" s="648">
        <v>97941</v>
      </c>
    </row>
    <row r="1389" spans="2:3" x14ac:dyDescent="0.25">
      <c r="B1389" s="644" t="s">
        <v>1859</v>
      </c>
      <c r="C1389" s="648">
        <v>97948</v>
      </c>
    </row>
    <row r="1390" spans="2:3" x14ac:dyDescent="0.25">
      <c r="B1390" s="644" t="s">
        <v>1565</v>
      </c>
      <c r="C1390" s="648">
        <v>94427</v>
      </c>
    </row>
    <row r="1391" spans="2:3" x14ac:dyDescent="0.25">
      <c r="B1391" s="644" t="s">
        <v>1566</v>
      </c>
      <c r="C1391" s="648">
        <v>94428</v>
      </c>
    </row>
    <row r="1392" spans="2:3" x14ac:dyDescent="0.25">
      <c r="B1392" s="644" t="s">
        <v>1564</v>
      </c>
      <c r="C1392" s="648">
        <v>94421</v>
      </c>
    </row>
    <row r="1393" spans="2:3" x14ac:dyDescent="0.25">
      <c r="B1393" s="644" t="s">
        <v>1440</v>
      </c>
      <c r="C1393" s="648">
        <v>93191</v>
      </c>
    </row>
    <row r="1394" spans="2:3" x14ac:dyDescent="0.25">
      <c r="B1394" s="644" t="s">
        <v>1328</v>
      </c>
      <c r="C1394" s="648">
        <v>91831</v>
      </c>
    </row>
    <row r="1395" spans="2:3" x14ac:dyDescent="0.25">
      <c r="B1395" s="644" t="s">
        <v>1410</v>
      </c>
      <c r="C1395" s="648">
        <v>92831</v>
      </c>
    </row>
    <row r="1396" spans="2:3" x14ac:dyDescent="0.25">
      <c r="B1396" s="644" t="s">
        <v>1671</v>
      </c>
      <c r="C1396" s="648">
        <v>95917</v>
      </c>
    </row>
    <row r="1397" spans="2:3" x14ac:dyDescent="0.25">
      <c r="B1397" s="644" t="s">
        <v>1670</v>
      </c>
      <c r="C1397" s="648">
        <v>95911</v>
      </c>
    </row>
    <row r="1398" spans="2:3" x14ac:dyDescent="0.25">
      <c r="B1398" s="644" t="s">
        <v>1655</v>
      </c>
      <c r="C1398" s="648">
        <v>95711</v>
      </c>
    </row>
    <row r="1399" spans="2:3" x14ac:dyDescent="0.25">
      <c r="B1399" s="644" t="s">
        <v>1656</v>
      </c>
      <c r="C1399" s="648">
        <v>95721</v>
      </c>
    </row>
    <row r="1400" spans="2:3" x14ac:dyDescent="0.25">
      <c r="B1400" s="644" t="s">
        <v>1944</v>
      </c>
      <c r="C1400" s="648">
        <v>99021</v>
      </c>
    </row>
    <row r="1401" spans="2:3" x14ac:dyDescent="0.25">
      <c r="B1401" s="644" t="s">
        <v>1658</v>
      </c>
      <c r="C1401" s="648">
        <v>95801</v>
      </c>
    </row>
    <row r="1402" spans="2:3" x14ac:dyDescent="0.25">
      <c r="B1402" s="644" t="s">
        <v>1660</v>
      </c>
      <c r="C1402" s="648">
        <v>95804</v>
      </c>
    </row>
    <row r="1403" spans="2:3" x14ac:dyDescent="0.25">
      <c r="B1403" s="644" t="s">
        <v>1659</v>
      </c>
      <c r="C1403" s="648">
        <v>95802</v>
      </c>
    </row>
    <row r="1404" spans="2:3" x14ac:dyDescent="0.25">
      <c r="B1404" s="644" t="s">
        <v>1151</v>
      </c>
      <c r="C1404" s="648">
        <v>90092</v>
      </c>
    </row>
    <row r="1405" spans="2:3" x14ac:dyDescent="0.25">
      <c r="B1405" s="644" t="s">
        <v>1952</v>
      </c>
      <c r="C1405" s="648">
        <v>99081</v>
      </c>
    </row>
    <row r="1406" spans="2:3" x14ac:dyDescent="0.25">
      <c r="B1406" s="644" t="s">
        <v>1687</v>
      </c>
      <c r="C1406" s="648">
        <v>96071</v>
      </c>
    </row>
    <row r="1407" spans="2:3" x14ac:dyDescent="0.25">
      <c r="B1407" s="644" t="s">
        <v>1517</v>
      </c>
      <c r="C1407" s="648">
        <v>94002</v>
      </c>
    </row>
    <row r="1408" spans="2:3" x14ac:dyDescent="0.25">
      <c r="B1408" s="644" t="s">
        <v>1845</v>
      </c>
      <c r="C1408" s="648">
        <v>97847</v>
      </c>
    </row>
    <row r="1409" spans="2:3" x14ac:dyDescent="0.25">
      <c r="B1409" s="644" t="s">
        <v>1843</v>
      </c>
      <c r="C1409" s="648">
        <v>97840</v>
      </c>
    </row>
    <row r="1410" spans="2:3" x14ac:dyDescent="0.25">
      <c r="B1410" s="644" t="s">
        <v>1855</v>
      </c>
      <c r="C1410" s="648">
        <v>97921</v>
      </c>
    </row>
    <row r="1411" spans="2:3" x14ac:dyDescent="0.25">
      <c r="B1411" s="644" t="s">
        <v>1631</v>
      </c>
      <c r="C1411" s="648">
        <v>95221</v>
      </c>
    </row>
    <row r="1412" spans="2:3" x14ac:dyDescent="0.25">
      <c r="B1412" s="644" t="s">
        <v>1485</v>
      </c>
      <c r="C1412" s="648">
        <v>93610</v>
      </c>
    </row>
    <row r="1413" spans="2:3" x14ac:dyDescent="0.25">
      <c r="B1413" s="644" t="s">
        <v>3453</v>
      </c>
      <c r="C1413" s="648">
        <v>95901</v>
      </c>
    </row>
    <row r="1414" spans="2:3" x14ac:dyDescent="0.25">
      <c r="B1414" s="644" t="s">
        <v>1157</v>
      </c>
      <c r="C1414" s="648">
        <v>90114</v>
      </c>
    </row>
    <row r="1415" spans="2:3" x14ac:dyDescent="0.25">
      <c r="B1415" s="644" t="s">
        <v>1673</v>
      </c>
      <c r="C1415" s="648">
        <v>96001</v>
      </c>
    </row>
    <row r="1416" spans="2:3" x14ac:dyDescent="0.25">
      <c r="B1416" s="644" t="s">
        <v>1675</v>
      </c>
      <c r="C1416" s="648">
        <v>96004</v>
      </c>
    </row>
    <row r="1417" spans="2:3" x14ac:dyDescent="0.25">
      <c r="B1417" s="644" t="s">
        <v>1677</v>
      </c>
      <c r="C1417" s="648">
        <v>96008</v>
      </c>
    </row>
    <row r="1418" spans="2:3" x14ac:dyDescent="0.25">
      <c r="B1418" s="644" t="s">
        <v>1251</v>
      </c>
      <c r="C1418" s="648">
        <v>91108</v>
      </c>
    </row>
    <row r="1419" spans="2:3" x14ac:dyDescent="0.25">
      <c r="B1419" s="644" t="s">
        <v>1601</v>
      </c>
      <c r="C1419" s="648">
        <v>94941</v>
      </c>
    </row>
    <row r="1420" spans="2:3" x14ac:dyDescent="0.25">
      <c r="B1420" s="644" t="s">
        <v>1618</v>
      </c>
      <c r="C1420" s="648">
        <v>95122</v>
      </c>
    </row>
    <row r="1421" spans="2:3" x14ac:dyDescent="0.25">
      <c r="B1421" s="644" t="s">
        <v>3454</v>
      </c>
      <c r="C1421" s="648">
        <v>92607</v>
      </c>
    </row>
    <row r="1422" spans="2:3" x14ac:dyDescent="0.25">
      <c r="B1422" s="644" t="s">
        <v>1720</v>
      </c>
      <c r="C1422" s="648">
        <v>96431</v>
      </c>
    </row>
    <row r="1423" spans="2:3" x14ac:dyDescent="0.25">
      <c r="B1423" s="644" t="s">
        <v>3455</v>
      </c>
      <c r="C1423" s="648">
        <v>90709</v>
      </c>
    </row>
    <row r="1424" spans="2:3" x14ac:dyDescent="0.25">
      <c r="B1424" s="644" t="s">
        <v>1290</v>
      </c>
      <c r="C1424" s="648">
        <v>91341</v>
      </c>
    </row>
    <row r="1425" spans="2:3" x14ac:dyDescent="0.25">
      <c r="B1425" s="644" t="s">
        <v>1579</v>
      </c>
      <c r="C1425" s="648">
        <v>94551</v>
      </c>
    </row>
    <row r="1426" spans="2:3" x14ac:dyDescent="0.25">
      <c r="B1426" s="644" t="s">
        <v>3456</v>
      </c>
      <c r="C1426" s="648">
        <v>99022</v>
      </c>
    </row>
    <row r="1427" spans="2:3" x14ac:dyDescent="0.25">
      <c r="B1427" s="644" t="s">
        <v>1683</v>
      </c>
      <c r="C1427" s="648">
        <v>96031</v>
      </c>
    </row>
    <row r="1428" spans="2:3" x14ac:dyDescent="0.25">
      <c r="B1428" s="644" t="s">
        <v>1145</v>
      </c>
      <c r="C1428" s="648">
        <v>71786</v>
      </c>
    </row>
    <row r="1429" spans="2:3" x14ac:dyDescent="0.25">
      <c r="B1429" s="644" t="s">
        <v>1689</v>
      </c>
      <c r="C1429" s="648">
        <v>96101</v>
      </c>
    </row>
    <row r="1430" spans="2:3" x14ac:dyDescent="0.25">
      <c r="B1430" s="644" t="s">
        <v>1690</v>
      </c>
      <c r="C1430" s="648">
        <v>96102</v>
      </c>
    </row>
    <row r="1431" spans="2:3" x14ac:dyDescent="0.25">
      <c r="B1431" s="644" t="s">
        <v>1423</v>
      </c>
      <c r="C1431" s="648">
        <v>93011</v>
      </c>
    </row>
    <row r="1432" spans="2:3" x14ac:dyDescent="0.25">
      <c r="B1432" s="644" t="s">
        <v>1943</v>
      </c>
      <c r="C1432" s="648">
        <v>99017</v>
      </c>
    </row>
    <row r="1433" spans="2:3" x14ac:dyDescent="0.25">
      <c r="B1433" s="644" t="s">
        <v>1942</v>
      </c>
      <c r="C1433" s="648">
        <v>99013</v>
      </c>
    </row>
    <row r="1434" spans="2:3" x14ac:dyDescent="0.25">
      <c r="B1434" s="644" t="s">
        <v>1941</v>
      </c>
      <c r="C1434" s="648">
        <v>99011</v>
      </c>
    </row>
    <row r="1435" spans="2:3" x14ac:dyDescent="0.25">
      <c r="B1435" s="644" t="s">
        <v>1693</v>
      </c>
      <c r="C1435" s="648">
        <v>96201</v>
      </c>
    </row>
    <row r="1436" spans="2:3" x14ac:dyDescent="0.25">
      <c r="B1436" s="644" t="s">
        <v>1694</v>
      </c>
      <c r="C1436" s="648">
        <v>96204</v>
      </c>
    </row>
    <row r="1437" spans="2:3" x14ac:dyDescent="0.25">
      <c r="B1437" s="644" t="s">
        <v>1264</v>
      </c>
      <c r="C1437" s="648">
        <v>91161</v>
      </c>
    </row>
    <row r="1438" spans="2:3" x14ac:dyDescent="0.25">
      <c r="B1438" s="644" t="s">
        <v>1700</v>
      </c>
      <c r="C1438" s="648">
        <v>96301</v>
      </c>
    </row>
    <row r="1439" spans="2:3" x14ac:dyDescent="0.25">
      <c r="B1439" s="644" t="s">
        <v>1702</v>
      </c>
      <c r="C1439" s="648">
        <v>96304</v>
      </c>
    </row>
    <row r="1440" spans="2:3" x14ac:dyDescent="0.25">
      <c r="B1440" s="644" t="s">
        <v>1704</v>
      </c>
      <c r="C1440" s="648">
        <v>96310</v>
      </c>
    </row>
    <row r="1441" spans="2:3" x14ac:dyDescent="0.25">
      <c r="B1441" s="644" t="s">
        <v>1703</v>
      </c>
      <c r="C1441" s="648">
        <v>96305</v>
      </c>
    </row>
    <row r="1442" spans="2:3" x14ac:dyDescent="0.25">
      <c r="B1442" s="644" t="s">
        <v>1599</v>
      </c>
      <c r="C1442" s="648">
        <v>94927</v>
      </c>
    </row>
    <row r="1443" spans="2:3" x14ac:dyDescent="0.25">
      <c r="B1443" s="644" t="s">
        <v>1598</v>
      </c>
      <c r="C1443" s="648">
        <v>94923</v>
      </c>
    </row>
    <row r="1444" spans="2:3" x14ac:dyDescent="0.25">
      <c r="B1444" s="644" t="s">
        <v>1597</v>
      </c>
      <c r="C1444" s="648">
        <v>94921</v>
      </c>
    </row>
    <row r="1445" spans="2:3" x14ac:dyDescent="0.25">
      <c r="B1445" s="644" t="s">
        <v>1306</v>
      </c>
      <c r="C1445" s="648">
        <v>91611</v>
      </c>
    </row>
    <row r="1446" spans="2:3" x14ac:dyDescent="0.25">
      <c r="B1446" s="644" t="s">
        <v>1274</v>
      </c>
      <c r="C1446" s="648">
        <v>91217</v>
      </c>
    </row>
    <row r="1447" spans="2:3" x14ac:dyDescent="0.25">
      <c r="B1447" s="644" t="s">
        <v>1277</v>
      </c>
      <c r="C1447" s="648">
        <v>91233</v>
      </c>
    </row>
    <row r="1448" spans="2:3" x14ac:dyDescent="0.25">
      <c r="B1448" s="644" t="s">
        <v>1276</v>
      </c>
      <c r="C1448" s="648">
        <v>91231</v>
      </c>
    </row>
    <row r="1449" spans="2:3" x14ac:dyDescent="0.25">
      <c r="B1449" s="644" t="s">
        <v>1963</v>
      </c>
      <c r="C1449" s="648">
        <v>99206</v>
      </c>
    </row>
    <row r="1450" spans="2:3" x14ac:dyDescent="0.25">
      <c r="B1450" s="644" t="s">
        <v>1180</v>
      </c>
      <c r="C1450" s="648">
        <v>90461</v>
      </c>
    </row>
    <row r="1451" spans="2:3" x14ac:dyDescent="0.25">
      <c r="B1451" s="644" t="s">
        <v>1927</v>
      </c>
      <c r="C1451" s="648">
        <v>98631</v>
      </c>
    </row>
    <row r="1452" spans="2:3" x14ac:dyDescent="0.25">
      <c r="B1452" s="644" t="s">
        <v>1699</v>
      </c>
      <c r="C1452" s="648">
        <v>96251</v>
      </c>
    </row>
    <row r="1453" spans="2:3" x14ac:dyDescent="0.25">
      <c r="B1453" s="644" t="s">
        <v>2009</v>
      </c>
      <c r="C1453" s="648">
        <v>99623</v>
      </c>
    </row>
    <row r="1454" spans="2:3" x14ac:dyDescent="0.25">
      <c r="B1454" s="644" t="s">
        <v>2008</v>
      </c>
      <c r="C1454" s="648">
        <v>99621</v>
      </c>
    </row>
    <row r="1455" spans="2:3" x14ac:dyDescent="0.25">
      <c r="B1455" s="644" t="s">
        <v>1287</v>
      </c>
      <c r="C1455" s="648">
        <v>91321</v>
      </c>
    </row>
    <row r="1456" spans="2:3" x14ac:dyDescent="0.25">
      <c r="B1456" s="644" t="s">
        <v>1928</v>
      </c>
      <c r="C1456" s="648">
        <v>98637</v>
      </c>
    </row>
    <row r="1457" spans="2:3" x14ac:dyDescent="0.25">
      <c r="B1457" s="644" t="s">
        <v>1499</v>
      </c>
      <c r="C1457" s="648">
        <v>93691</v>
      </c>
    </row>
    <row r="1458" spans="2:3" x14ac:dyDescent="0.25">
      <c r="B1458" s="644" t="s">
        <v>1288</v>
      </c>
      <c r="C1458" s="648">
        <v>91327</v>
      </c>
    </row>
    <row r="1459" spans="2:3" x14ac:dyDescent="0.25">
      <c r="B1459" s="644" t="s">
        <v>1584</v>
      </c>
      <c r="C1459" s="648">
        <v>94621</v>
      </c>
    </row>
    <row r="1460" spans="2:3" x14ac:dyDescent="0.25">
      <c r="B1460" s="644" t="s">
        <v>1344</v>
      </c>
      <c r="C1460" s="648">
        <v>92017</v>
      </c>
    </row>
    <row r="1461" spans="2:3" x14ac:dyDescent="0.25">
      <c r="B1461" s="644" t="s">
        <v>1343</v>
      </c>
      <c r="C1461" s="648">
        <v>92011</v>
      </c>
    </row>
    <row r="1462" spans="2:3" x14ac:dyDescent="0.25">
      <c r="B1462" s="644" t="s">
        <v>2034</v>
      </c>
      <c r="C1462" s="648">
        <v>99991</v>
      </c>
    </row>
    <row r="1463" spans="2:3" x14ac:dyDescent="0.25">
      <c r="B1463" s="644" t="s">
        <v>2035</v>
      </c>
      <c r="C1463" s="648">
        <v>99999</v>
      </c>
    </row>
    <row r="1464" spans="2:3" x14ac:dyDescent="0.25">
      <c r="B1464" s="644" t="s">
        <v>1408</v>
      </c>
      <c r="C1464" s="648">
        <v>92811</v>
      </c>
    </row>
    <row r="1465" spans="2:3" x14ac:dyDescent="0.25">
      <c r="B1465" s="644" t="s">
        <v>1342</v>
      </c>
      <c r="C1465" s="648">
        <v>92005</v>
      </c>
    </row>
    <row r="1466" spans="2:3" x14ac:dyDescent="0.25">
      <c r="B1466" s="644" t="s">
        <v>1715</v>
      </c>
      <c r="C1466" s="648">
        <v>96401</v>
      </c>
    </row>
    <row r="1467" spans="2:3" x14ac:dyDescent="0.25">
      <c r="B1467" s="644" t="s">
        <v>1716</v>
      </c>
      <c r="C1467" s="648">
        <v>96404</v>
      </c>
    </row>
    <row r="1468" spans="2:3" x14ac:dyDescent="0.25">
      <c r="B1468" s="644" t="s">
        <v>1719</v>
      </c>
      <c r="C1468" s="648">
        <v>96421</v>
      </c>
    </row>
    <row r="1469" spans="2:3" x14ac:dyDescent="0.25">
      <c r="B1469" s="644" t="s">
        <v>1638</v>
      </c>
      <c r="C1469" s="648">
        <v>95405</v>
      </c>
    </row>
    <row r="1470" spans="2:3" x14ac:dyDescent="0.25">
      <c r="B1470" s="644" t="s">
        <v>1519</v>
      </c>
      <c r="C1470" s="648">
        <v>94005</v>
      </c>
    </row>
    <row r="1471" spans="2:3" x14ac:dyDescent="0.25">
      <c r="B1471" s="644" t="s">
        <v>1629</v>
      </c>
      <c r="C1471" s="648">
        <v>95205</v>
      </c>
    </row>
    <row r="1472" spans="2:3" x14ac:dyDescent="0.25">
      <c r="B1472" s="644" t="s">
        <v>1378</v>
      </c>
      <c r="C1472" s="648">
        <v>92507</v>
      </c>
    </row>
    <row r="1473" spans="2:3" x14ac:dyDescent="0.25">
      <c r="B1473" s="644" t="s">
        <v>1381</v>
      </c>
      <c r="C1473" s="648">
        <v>92511</v>
      </c>
    </row>
    <row r="1474" spans="2:3" x14ac:dyDescent="0.25">
      <c r="B1474" s="644" t="s">
        <v>1725</v>
      </c>
      <c r="C1474" s="648">
        <v>96502</v>
      </c>
    </row>
    <row r="1475" spans="2:3" x14ac:dyDescent="0.25">
      <c r="B1475" s="644" t="s">
        <v>1724</v>
      </c>
      <c r="C1475" s="648">
        <v>96501</v>
      </c>
    </row>
    <row r="1476" spans="2:3" x14ac:dyDescent="0.25">
      <c r="B1476" s="644" t="s">
        <v>1727</v>
      </c>
      <c r="C1476" s="648">
        <v>96504</v>
      </c>
    </row>
    <row r="1477" spans="2:3" x14ac:dyDescent="0.25">
      <c r="B1477" s="644" t="s">
        <v>1853</v>
      </c>
      <c r="C1477" s="648">
        <v>97913</v>
      </c>
    </row>
    <row r="1478" spans="2:3" x14ac:dyDescent="0.25">
      <c r="B1478" s="644" t="s">
        <v>1189</v>
      </c>
      <c r="C1478" s="648">
        <v>90621</v>
      </c>
    </row>
    <row r="1479" spans="2:3" x14ac:dyDescent="0.25">
      <c r="B1479" s="644" t="s">
        <v>1307</v>
      </c>
      <c r="C1479" s="648">
        <v>91621</v>
      </c>
    </row>
    <row r="1480" spans="2:3" x14ac:dyDescent="0.25">
      <c r="B1480" s="644" t="s">
        <v>1895</v>
      </c>
      <c r="C1480" s="648">
        <v>98231</v>
      </c>
    </row>
    <row r="1481" spans="2:3" x14ac:dyDescent="0.25">
      <c r="B1481" s="644" t="s">
        <v>1332</v>
      </c>
      <c r="C1481" s="648">
        <v>91871</v>
      </c>
    </row>
    <row r="1482" spans="2:3" x14ac:dyDescent="0.25">
      <c r="B1482" s="644" t="s">
        <v>1983</v>
      </c>
      <c r="C1482" s="648">
        <v>99311</v>
      </c>
    </row>
    <row r="1483" spans="2:3" x14ac:dyDescent="0.25">
      <c r="B1483" s="644" t="s">
        <v>1755</v>
      </c>
      <c r="C1483" s="648">
        <v>96751</v>
      </c>
    </row>
    <row r="1484" spans="2:3" x14ac:dyDescent="0.25">
      <c r="B1484" s="644" t="s">
        <v>2016</v>
      </c>
      <c r="C1484" s="648">
        <v>99717</v>
      </c>
    </row>
    <row r="1485" spans="2:3" x14ac:dyDescent="0.25">
      <c r="B1485" s="644" t="s">
        <v>2015</v>
      </c>
      <c r="C1485" s="648">
        <v>99711</v>
      </c>
    </row>
    <row r="1486" spans="2:3" x14ac:dyDescent="0.25">
      <c r="B1486" s="644" t="s">
        <v>1736</v>
      </c>
      <c r="C1486" s="648">
        <v>96601</v>
      </c>
    </row>
    <row r="1487" spans="2:3" x14ac:dyDescent="0.25">
      <c r="B1487" s="644" t="s">
        <v>1737</v>
      </c>
      <c r="C1487" s="648">
        <v>96604</v>
      </c>
    </row>
    <row r="1488" spans="2:3" x14ac:dyDescent="0.25">
      <c r="B1488" s="644" t="s">
        <v>1227</v>
      </c>
      <c r="C1488" s="648">
        <v>91012</v>
      </c>
    </row>
    <row r="1489" spans="2:3" x14ac:dyDescent="0.25">
      <c r="B1489" s="644" t="s">
        <v>1170</v>
      </c>
      <c r="C1489" s="648">
        <v>90305</v>
      </c>
    </row>
    <row r="1490" spans="2:3" x14ac:dyDescent="0.25">
      <c r="B1490" s="644" t="s">
        <v>1912</v>
      </c>
      <c r="C1490" s="648">
        <v>98427</v>
      </c>
    </row>
    <row r="1491" spans="2:3" x14ac:dyDescent="0.25">
      <c r="B1491" s="644" t="s">
        <v>1911</v>
      </c>
      <c r="C1491" s="648">
        <v>98421</v>
      </c>
    </row>
    <row r="1492" spans="2:3" x14ac:dyDescent="0.25">
      <c r="B1492" s="644" t="s">
        <v>1663</v>
      </c>
      <c r="C1492" s="648">
        <v>95821</v>
      </c>
    </row>
    <row r="1493" spans="2:3" x14ac:dyDescent="0.25">
      <c r="B1493" s="644" t="s">
        <v>1234</v>
      </c>
      <c r="C1493" s="648">
        <v>91027</v>
      </c>
    </row>
    <row r="1494" spans="2:3" x14ac:dyDescent="0.25">
      <c r="B1494" s="644" t="s">
        <v>1231</v>
      </c>
      <c r="C1494" s="648">
        <v>91021</v>
      </c>
    </row>
    <row r="1495" spans="2:3" x14ac:dyDescent="0.25">
      <c r="B1495" s="644" t="s">
        <v>1536</v>
      </c>
      <c r="C1495" s="648">
        <v>94161</v>
      </c>
    </row>
    <row r="1496" spans="2:3" x14ac:dyDescent="0.25">
      <c r="B1496" s="644" t="s">
        <v>1914</v>
      </c>
      <c r="C1496" s="648">
        <v>98441</v>
      </c>
    </row>
    <row r="1497" spans="2:3" x14ac:dyDescent="0.25">
      <c r="B1497" s="644" t="s">
        <v>1242</v>
      </c>
      <c r="C1497" s="648">
        <v>91067</v>
      </c>
    </row>
    <row r="1498" spans="2:3" x14ac:dyDescent="0.25">
      <c r="B1498" s="644" t="s">
        <v>1241</v>
      </c>
      <c r="C1498" s="648">
        <v>91061</v>
      </c>
    </row>
    <row r="1499" spans="2:3" x14ac:dyDescent="0.25">
      <c r="B1499" s="644" t="s">
        <v>1592</v>
      </c>
      <c r="C1499" s="648">
        <v>94812</v>
      </c>
    </row>
    <row r="1500" spans="2:3" x14ac:dyDescent="0.25">
      <c r="B1500" s="644" t="s">
        <v>1672</v>
      </c>
      <c r="C1500" s="648">
        <v>95921</v>
      </c>
    </row>
    <row r="1501" spans="2:3" x14ac:dyDescent="0.25">
      <c r="B1501" s="644" t="s">
        <v>1747</v>
      </c>
      <c r="C1501" s="648">
        <v>96701</v>
      </c>
    </row>
    <row r="1502" spans="2:3" x14ac:dyDescent="0.25">
      <c r="B1502" s="644" t="s">
        <v>1748</v>
      </c>
      <c r="C1502" s="648">
        <v>96704</v>
      </c>
    </row>
    <row r="1503" spans="2:3" x14ac:dyDescent="0.25">
      <c r="B1503" s="644" t="s">
        <v>1749</v>
      </c>
      <c r="C1503" s="648">
        <v>96708</v>
      </c>
    </row>
    <row r="1504" spans="2:3" x14ac:dyDescent="0.25">
      <c r="B1504" s="644" t="s">
        <v>1756</v>
      </c>
      <c r="C1504" s="648">
        <v>96801</v>
      </c>
    </row>
    <row r="1505" spans="2:3" x14ac:dyDescent="0.25">
      <c r="B1505" s="644" t="s">
        <v>1757</v>
      </c>
      <c r="C1505" s="648">
        <v>96804</v>
      </c>
    </row>
    <row r="1506" spans="2:3" x14ac:dyDescent="0.25">
      <c r="B1506" s="644" t="s">
        <v>1758</v>
      </c>
      <c r="C1506" s="648">
        <v>96808</v>
      </c>
    </row>
    <row r="1507" spans="2:3" x14ac:dyDescent="0.25">
      <c r="B1507" s="644" t="s">
        <v>1764</v>
      </c>
      <c r="C1507" s="648">
        <v>96912</v>
      </c>
    </row>
    <row r="1508" spans="2:3" x14ac:dyDescent="0.25">
      <c r="B1508" s="644" t="s">
        <v>1512</v>
      </c>
      <c r="C1508" s="648">
        <v>93913</v>
      </c>
    </row>
    <row r="1509" spans="2:3" x14ac:dyDescent="0.25">
      <c r="B1509" s="644" t="s">
        <v>1511</v>
      </c>
      <c r="C1509" s="648">
        <v>93911</v>
      </c>
    </row>
    <row r="1510" spans="2:3" x14ac:dyDescent="0.25">
      <c r="B1510" s="644" t="s">
        <v>1762</v>
      </c>
      <c r="C1510" s="648">
        <v>96901</v>
      </c>
    </row>
    <row r="1511" spans="2:3" x14ac:dyDescent="0.25">
      <c r="B1511" s="644" t="s">
        <v>3457</v>
      </c>
      <c r="C1511" s="648">
        <v>97841</v>
      </c>
    </row>
    <row r="1512" spans="2:3" x14ac:dyDescent="0.25">
      <c r="B1512" s="644" t="s">
        <v>1442</v>
      </c>
      <c r="C1512" s="648">
        <v>93202</v>
      </c>
    </row>
    <row r="1513" spans="2:3" x14ac:dyDescent="0.25">
      <c r="B1513" s="644" t="s">
        <v>3458</v>
      </c>
      <c r="C1513" s="648">
        <v>93609</v>
      </c>
    </row>
    <row r="1514" spans="2:3" x14ac:dyDescent="0.25">
      <c r="B1514" s="644" t="s">
        <v>1766</v>
      </c>
      <c r="C1514" s="648">
        <v>97001</v>
      </c>
    </row>
    <row r="1515" spans="2:3" x14ac:dyDescent="0.25">
      <c r="B1515" s="644" t="s">
        <v>1768</v>
      </c>
      <c r="C1515" s="648">
        <v>97004</v>
      </c>
    </row>
    <row r="1516" spans="2:3" x14ac:dyDescent="0.25">
      <c r="B1516" s="644" t="s">
        <v>1767</v>
      </c>
      <c r="C1516" s="648">
        <v>97002</v>
      </c>
    </row>
    <row r="1517" spans="2:3" x14ac:dyDescent="0.25">
      <c r="B1517" s="644" t="s">
        <v>1775</v>
      </c>
      <c r="C1517" s="648">
        <v>97015</v>
      </c>
    </row>
    <row r="1518" spans="2:3" x14ac:dyDescent="0.25">
      <c r="B1518" s="644" t="s">
        <v>1178</v>
      </c>
      <c r="C1518" s="648">
        <v>90441</v>
      </c>
    </row>
    <row r="1519" spans="2:3" x14ac:dyDescent="0.25">
      <c r="B1519" s="644" t="s">
        <v>1847</v>
      </c>
      <c r="C1519" s="648">
        <v>97853</v>
      </c>
    </row>
    <row r="1520" spans="2:3" x14ac:dyDescent="0.25">
      <c r="B1520" s="644" t="s">
        <v>1846</v>
      </c>
      <c r="C1520" s="648">
        <v>97851</v>
      </c>
    </row>
    <row r="1521" spans="2:3" x14ac:dyDescent="0.25">
      <c r="B1521" s="644" t="s">
        <v>1777</v>
      </c>
      <c r="C1521" s="648">
        <v>97101</v>
      </c>
    </row>
    <row r="1522" spans="2:3" x14ac:dyDescent="0.25">
      <c r="B1522" s="644" t="s">
        <v>1778</v>
      </c>
      <c r="C1522" s="648">
        <v>97104</v>
      </c>
    </row>
    <row r="1523" spans="2:3" x14ac:dyDescent="0.25">
      <c r="B1523" s="644" t="s">
        <v>1782</v>
      </c>
      <c r="C1523" s="648">
        <v>97201</v>
      </c>
    </row>
    <row r="1524" spans="2:3" x14ac:dyDescent="0.25">
      <c r="B1524" s="644" t="s">
        <v>1787</v>
      </c>
      <c r="C1524" s="648">
        <v>97301</v>
      </c>
    </row>
    <row r="1525" spans="2:3" x14ac:dyDescent="0.25">
      <c r="B1525" s="644" t="s">
        <v>1788</v>
      </c>
      <c r="C1525" s="648">
        <v>97304</v>
      </c>
    </row>
    <row r="1526" spans="2:3" x14ac:dyDescent="0.25">
      <c r="B1526" s="644" t="s">
        <v>1987</v>
      </c>
      <c r="C1526" s="648">
        <v>99405</v>
      </c>
    </row>
    <row r="1527" spans="2:3" x14ac:dyDescent="0.25">
      <c r="B1527" s="644" t="s">
        <v>1146</v>
      </c>
      <c r="C1527" s="648">
        <v>72265</v>
      </c>
    </row>
    <row r="1528" spans="2:3" x14ac:dyDescent="0.25">
      <c r="B1528" s="644" t="s">
        <v>1462</v>
      </c>
      <c r="C1528" s="648">
        <v>93406</v>
      </c>
    </row>
    <row r="1529" spans="2:3" x14ac:dyDescent="0.25">
      <c r="B1529" s="644" t="s">
        <v>1528</v>
      </c>
      <c r="C1529" s="648">
        <v>94112</v>
      </c>
    </row>
    <row r="1530" spans="2:3" x14ac:dyDescent="0.25">
      <c r="B1530" s="644" t="s">
        <v>2011</v>
      </c>
      <c r="C1530" s="648">
        <v>99651</v>
      </c>
    </row>
    <row r="1531" spans="2:3" x14ac:dyDescent="0.25">
      <c r="B1531" s="644" t="s">
        <v>1922</v>
      </c>
      <c r="C1531" s="648">
        <v>98607</v>
      </c>
    </row>
    <row r="1532" spans="2:3" x14ac:dyDescent="0.25">
      <c r="B1532" s="644" t="s">
        <v>1924</v>
      </c>
      <c r="C1532" s="648">
        <v>98611</v>
      </c>
    </row>
    <row r="1533" spans="2:3" x14ac:dyDescent="0.25">
      <c r="B1533" s="644" t="s">
        <v>1310</v>
      </c>
      <c r="C1533" s="648">
        <v>91641</v>
      </c>
    </row>
    <row r="1534" spans="2:3" x14ac:dyDescent="0.25">
      <c r="B1534" s="644" t="s">
        <v>1623</v>
      </c>
      <c r="C1534" s="648">
        <v>95161</v>
      </c>
    </row>
    <row r="1535" spans="2:3" x14ac:dyDescent="0.25">
      <c r="B1535" s="644" t="s">
        <v>1711</v>
      </c>
      <c r="C1535" s="648">
        <v>96361</v>
      </c>
    </row>
    <row r="1536" spans="2:3" x14ac:dyDescent="0.25">
      <c r="B1536" s="644" t="s">
        <v>1525</v>
      </c>
      <c r="C1536" s="648">
        <v>94108</v>
      </c>
    </row>
    <row r="1537" spans="2:3" x14ac:dyDescent="0.25">
      <c r="B1537" s="644" t="s">
        <v>1710</v>
      </c>
      <c r="C1537" s="648">
        <v>96351</v>
      </c>
    </row>
    <row r="1538" spans="2:3" x14ac:dyDescent="0.25">
      <c r="B1538" s="644" t="s">
        <v>1456</v>
      </c>
      <c r="C1538" s="648">
        <v>93331</v>
      </c>
    </row>
    <row r="1539" spans="2:3" x14ac:dyDescent="0.25">
      <c r="B1539" s="644" t="s">
        <v>1682</v>
      </c>
      <c r="C1539" s="648">
        <v>96021</v>
      </c>
    </row>
    <row r="1540" spans="2:3" x14ac:dyDescent="0.25">
      <c r="B1540" s="644" t="s">
        <v>1643</v>
      </c>
      <c r="C1540" s="648">
        <v>95421</v>
      </c>
    </row>
    <row r="1541" spans="2:3" x14ac:dyDescent="0.25">
      <c r="B1541" s="644" t="s">
        <v>1790</v>
      </c>
      <c r="C1541" s="648">
        <v>97401</v>
      </c>
    </row>
    <row r="1542" spans="2:3" x14ac:dyDescent="0.25">
      <c r="B1542" s="644" t="s">
        <v>1792</v>
      </c>
      <c r="C1542" s="648">
        <v>97404</v>
      </c>
    </row>
    <row r="1543" spans="2:3" x14ac:dyDescent="0.25">
      <c r="B1543" s="644" t="s">
        <v>1791</v>
      </c>
      <c r="C1543" s="648">
        <v>97402</v>
      </c>
    </row>
    <row r="1544" spans="2:3" x14ac:dyDescent="0.25">
      <c r="B1544" s="644" t="s">
        <v>1340</v>
      </c>
      <c r="C1544" s="648">
        <v>91921</v>
      </c>
    </row>
    <row r="1545" spans="2:3" x14ac:dyDescent="0.25">
      <c r="B1545" s="644" t="s">
        <v>1669</v>
      </c>
      <c r="C1545" s="648">
        <v>95908</v>
      </c>
    </row>
    <row r="1546" spans="2:3" x14ac:dyDescent="0.25">
      <c r="B1546" s="644" t="s">
        <v>1989</v>
      </c>
      <c r="C1546" s="648">
        <v>99413</v>
      </c>
    </row>
    <row r="1547" spans="2:3" x14ac:dyDescent="0.25">
      <c r="B1547" s="644" t="s">
        <v>1988</v>
      </c>
      <c r="C1547" s="648">
        <v>99411</v>
      </c>
    </row>
    <row r="1548" spans="2:3" x14ac:dyDescent="0.25">
      <c r="B1548" s="644" t="s">
        <v>1808</v>
      </c>
      <c r="C1548" s="648">
        <v>97501</v>
      </c>
    </row>
    <row r="1549" spans="2:3" x14ac:dyDescent="0.25">
      <c r="B1549" s="644" t="s">
        <v>1177</v>
      </c>
      <c r="C1549" s="648">
        <v>90431</v>
      </c>
    </row>
    <row r="1550" spans="2:3" x14ac:dyDescent="0.25">
      <c r="B1550" s="644" t="s">
        <v>1630</v>
      </c>
      <c r="C1550" s="648">
        <v>95211</v>
      </c>
    </row>
    <row r="1551" spans="2:3" x14ac:dyDescent="0.25">
      <c r="B1551" s="644" t="s">
        <v>1625</v>
      </c>
      <c r="C1551" s="648">
        <v>95181</v>
      </c>
    </row>
    <row r="1552" spans="2:3" x14ac:dyDescent="0.25">
      <c r="B1552" s="644" t="s">
        <v>1459</v>
      </c>
      <c r="C1552" s="648">
        <v>93351</v>
      </c>
    </row>
    <row r="1553" spans="2:3" x14ac:dyDescent="0.25">
      <c r="B1553" s="644" t="s">
        <v>1589</v>
      </c>
      <c r="C1553" s="648">
        <v>94711</v>
      </c>
    </row>
    <row r="1554" spans="2:3" x14ac:dyDescent="0.25">
      <c r="B1554" s="644" t="s">
        <v>1969</v>
      </c>
      <c r="C1554" s="648">
        <v>99213</v>
      </c>
    </row>
    <row r="1555" spans="2:3" x14ac:dyDescent="0.25">
      <c r="B1555" s="644" t="s">
        <v>1967</v>
      </c>
      <c r="C1555" s="648">
        <v>99211</v>
      </c>
    </row>
    <row r="1556" spans="2:3" x14ac:dyDescent="0.25">
      <c r="B1556" s="644" t="s">
        <v>1970</v>
      </c>
      <c r="C1556" s="648">
        <v>99218</v>
      </c>
    </row>
    <row r="1557" spans="2:3" x14ac:dyDescent="0.25">
      <c r="B1557" s="644" t="s">
        <v>1821</v>
      </c>
      <c r="C1557" s="648">
        <v>97641</v>
      </c>
    </row>
    <row r="1558" spans="2:3" x14ac:dyDescent="0.25">
      <c r="B1558" s="644" t="s">
        <v>1818</v>
      </c>
      <c r="C1558" s="648">
        <v>97627</v>
      </c>
    </row>
    <row r="1559" spans="2:3" x14ac:dyDescent="0.25">
      <c r="B1559" s="644" t="s">
        <v>1817</v>
      </c>
      <c r="C1559" s="648">
        <v>97623</v>
      </c>
    </row>
    <row r="1560" spans="2:3" x14ac:dyDescent="0.25">
      <c r="B1560" s="644" t="s">
        <v>1816</v>
      </c>
      <c r="C1560" s="648">
        <v>97621</v>
      </c>
    </row>
    <row r="1561" spans="2:3" x14ac:dyDescent="0.25">
      <c r="B1561" s="644" t="s">
        <v>1812</v>
      </c>
      <c r="C1561" s="648">
        <v>97601</v>
      </c>
    </row>
    <row r="1562" spans="2:3" x14ac:dyDescent="0.25">
      <c r="B1562" s="644" t="s">
        <v>1498</v>
      </c>
      <c r="C1562" s="648">
        <v>93681</v>
      </c>
    </row>
    <row r="1563" spans="2:3" x14ac:dyDescent="0.25">
      <c r="B1563" s="644" t="s">
        <v>1850</v>
      </c>
      <c r="C1563" s="648">
        <v>97877</v>
      </c>
    </row>
    <row r="1564" spans="2:3" x14ac:dyDescent="0.25">
      <c r="B1564" s="644" t="s">
        <v>1849</v>
      </c>
      <c r="C1564" s="648">
        <v>97871</v>
      </c>
    </row>
    <row r="1565" spans="2:3" x14ac:dyDescent="0.25">
      <c r="B1565" s="644" t="s">
        <v>1993</v>
      </c>
      <c r="C1565" s="648">
        <v>99502</v>
      </c>
    </row>
    <row r="1566" spans="2:3" x14ac:dyDescent="0.25">
      <c r="B1566" s="644" t="s">
        <v>1854</v>
      </c>
      <c r="C1566" s="648">
        <v>97917</v>
      </c>
    </row>
    <row r="1567" spans="2:3" x14ac:dyDescent="0.25">
      <c r="B1567" s="644" t="s">
        <v>1852</v>
      </c>
      <c r="C1567" s="648">
        <v>97911</v>
      </c>
    </row>
    <row r="1568" spans="2:3" x14ac:dyDescent="0.25">
      <c r="B1568" s="644" t="s">
        <v>1738</v>
      </c>
      <c r="C1568" s="648">
        <v>96611</v>
      </c>
    </row>
    <row r="1569" spans="2:3" x14ac:dyDescent="0.25">
      <c r="B1569" s="644" t="s">
        <v>1754</v>
      </c>
      <c r="C1569" s="648">
        <v>96741</v>
      </c>
    </row>
    <row r="1570" spans="2:3" x14ac:dyDescent="0.25">
      <c r="B1570" s="644" t="s">
        <v>1824</v>
      </c>
      <c r="C1570" s="648">
        <v>97701</v>
      </c>
    </row>
    <row r="1571" spans="2:3" x14ac:dyDescent="0.25">
      <c r="B1571" s="644" t="s">
        <v>1384</v>
      </c>
      <c r="C1571" s="648">
        <v>92541</v>
      </c>
    </row>
    <row r="1572" spans="2:3" x14ac:dyDescent="0.25">
      <c r="B1572" s="644" t="s">
        <v>1543</v>
      </c>
      <c r="C1572" s="648">
        <v>94209</v>
      </c>
    </row>
    <row r="1573" spans="2:3" x14ac:dyDescent="0.25">
      <c r="B1573" s="644" t="s">
        <v>1545</v>
      </c>
      <c r="C1573" s="648">
        <v>94221</v>
      </c>
    </row>
    <row r="1574" spans="2:3" x14ac:dyDescent="0.25">
      <c r="B1574" s="644" t="s">
        <v>1709</v>
      </c>
      <c r="C1574" s="648">
        <v>96341</v>
      </c>
    </row>
    <row r="1575" spans="2:3" x14ac:dyDescent="0.25">
      <c r="B1575" s="644" t="s">
        <v>1505</v>
      </c>
      <c r="C1575" s="648">
        <v>93821</v>
      </c>
    </row>
    <row r="1576" spans="2:3" x14ac:dyDescent="0.25">
      <c r="B1576" s="644" t="s">
        <v>1667</v>
      </c>
      <c r="C1576" s="648">
        <v>95853</v>
      </c>
    </row>
    <row r="1577" spans="2:3" x14ac:dyDescent="0.25">
      <c r="B1577" s="644" t="s">
        <v>1666</v>
      </c>
      <c r="C1577" s="648">
        <v>95851</v>
      </c>
    </row>
    <row r="1578" spans="2:3" x14ac:dyDescent="0.25">
      <c r="B1578" s="644" t="s">
        <v>1832</v>
      </c>
      <c r="C1578" s="648">
        <v>97801</v>
      </c>
    </row>
    <row r="1579" spans="2:3" x14ac:dyDescent="0.25">
      <c r="B1579" s="644" t="s">
        <v>1834</v>
      </c>
      <c r="C1579" s="648">
        <v>97803</v>
      </c>
    </row>
    <row r="1580" spans="2:3" x14ac:dyDescent="0.25">
      <c r="B1580" s="644" t="s">
        <v>1835</v>
      </c>
      <c r="C1580" s="648">
        <v>97805</v>
      </c>
    </row>
    <row r="1581" spans="2:3" x14ac:dyDescent="0.25">
      <c r="B1581" s="644" t="s">
        <v>1830</v>
      </c>
      <c r="C1581" s="648">
        <v>97727</v>
      </c>
    </row>
    <row r="1582" spans="2:3" x14ac:dyDescent="0.25">
      <c r="B1582" s="644" t="s">
        <v>1851</v>
      </c>
      <c r="C1582" s="648">
        <v>97901</v>
      </c>
    </row>
    <row r="1583" spans="2:3" x14ac:dyDescent="0.25">
      <c r="B1583" s="644" t="s">
        <v>1827</v>
      </c>
      <c r="C1583" s="648">
        <v>97713</v>
      </c>
    </row>
    <row r="1584" spans="2:3" x14ac:dyDescent="0.25">
      <c r="B1584" s="644" t="s">
        <v>1826</v>
      </c>
      <c r="C1584" s="648">
        <v>97711</v>
      </c>
    </row>
    <row r="1585" spans="2:3" x14ac:dyDescent="0.25">
      <c r="B1585" s="644" t="s">
        <v>1875</v>
      </c>
      <c r="C1585" s="648">
        <v>98071</v>
      </c>
    </row>
    <row r="1586" spans="2:3" x14ac:dyDescent="0.25">
      <c r="B1586" s="644" t="s">
        <v>1457</v>
      </c>
      <c r="C1586" s="648">
        <v>93333</v>
      </c>
    </row>
    <row r="1587" spans="2:3" x14ac:dyDescent="0.25">
      <c r="B1587" s="644" t="s">
        <v>1454</v>
      </c>
      <c r="C1587" s="648">
        <v>93321</v>
      </c>
    </row>
    <row r="1588" spans="2:3" x14ac:dyDescent="0.25">
      <c r="B1588" s="644" t="s">
        <v>1455</v>
      </c>
      <c r="C1588" s="648">
        <v>93323</v>
      </c>
    </row>
    <row r="1589" spans="2:3" x14ac:dyDescent="0.25">
      <c r="B1589" s="644" t="s">
        <v>1961</v>
      </c>
      <c r="C1589" s="648">
        <v>99203</v>
      </c>
    </row>
    <row r="1590" spans="2:3" x14ac:dyDescent="0.25">
      <c r="B1590" s="644" t="s">
        <v>1990</v>
      </c>
      <c r="C1590" s="648">
        <v>99421</v>
      </c>
    </row>
    <row r="1591" spans="2:3" x14ac:dyDescent="0.25">
      <c r="B1591" s="644" t="s">
        <v>1437</v>
      </c>
      <c r="C1591" s="648">
        <v>93161</v>
      </c>
    </row>
    <row r="1592" spans="2:3" x14ac:dyDescent="0.25">
      <c r="B1592" s="644" t="s">
        <v>1896</v>
      </c>
      <c r="C1592" s="648">
        <v>98237</v>
      </c>
    </row>
    <row r="1593" spans="2:3" x14ac:dyDescent="0.25">
      <c r="B1593" s="644" t="s">
        <v>1899</v>
      </c>
      <c r="C1593" s="648">
        <v>98261</v>
      </c>
    </row>
    <row r="1594" spans="2:3" x14ac:dyDescent="0.25">
      <c r="B1594" s="644" t="s">
        <v>3459</v>
      </c>
      <c r="C1594" s="648">
        <v>98002</v>
      </c>
    </row>
    <row r="1595" spans="2:3" x14ac:dyDescent="0.25">
      <c r="B1595" s="644" t="s">
        <v>1862</v>
      </c>
      <c r="C1595" s="648">
        <v>98001</v>
      </c>
    </row>
    <row r="1596" spans="2:3" x14ac:dyDescent="0.25">
      <c r="B1596" s="644" t="s">
        <v>1865</v>
      </c>
      <c r="C1596" s="648">
        <v>98004</v>
      </c>
    </row>
    <row r="1597" spans="2:3" x14ac:dyDescent="0.25">
      <c r="B1597" s="644" t="s">
        <v>1864</v>
      </c>
      <c r="C1597" s="648">
        <v>98003</v>
      </c>
    </row>
    <row r="1598" spans="2:3" x14ac:dyDescent="0.25">
      <c r="B1598" s="644" t="s">
        <v>1866</v>
      </c>
      <c r="C1598" s="648">
        <v>98008</v>
      </c>
    </row>
    <row r="1599" spans="2:3" x14ac:dyDescent="0.25">
      <c r="B1599" s="644" t="s">
        <v>1848</v>
      </c>
      <c r="C1599" s="648">
        <v>97861</v>
      </c>
    </row>
    <row r="1600" spans="2:3" x14ac:dyDescent="0.25">
      <c r="B1600" s="644" t="s">
        <v>1789</v>
      </c>
      <c r="C1600" s="648">
        <v>97311</v>
      </c>
    </row>
    <row r="1601" spans="2:3" x14ac:dyDescent="0.25">
      <c r="B1601" s="644" t="s">
        <v>1468</v>
      </c>
      <c r="C1601" s="648">
        <v>93431</v>
      </c>
    </row>
    <row r="1602" spans="2:3" x14ac:dyDescent="0.25">
      <c r="B1602" s="644" t="s">
        <v>1273</v>
      </c>
      <c r="C1602" s="648">
        <v>91214</v>
      </c>
    </row>
    <row r="1603" spans="2:3" x14ac:dyDescent="0.25">
      <c r="B1603" s="644" t="s">
        <v>1878</v>
      </c>
      <c r="C1603" s="648">
        <v>98101</v>
      </c>
    </row>
    <row r="1604" spans="2:3" x14ac:dyDescent="0.25">
      <c r="B1604" s="644" t="s">
        <v>1880</v>
      </c>
      <c r="C1604" s="648">
        <v>98103</v>
      </c>
    </row>
    <row r="1605" spans="2:3" x14ac:dyDescent="0.25">
      <c r="B1605" s="644" t="s">
        <v>1888</v>
      </c>
      <c r="C1605" s="648">
        <v>98147</v>
      </c>
    </row>
    <row r="1606" spans="2:3" x14ac:dyDescent="0.25">
      <c r="B1606" s="644" t="s">
        <v>1887</v>
      </c>
      <c r="C1606" s="648">
        <v>98141</v>
      </c>
    </row>
    <row r="1607" spans="2:3" x14ac:dyDescent="0.25">
      <c r="B1607" s="644" t="s">
        <v>1842</v>
      </c>
      <c r="C1607" s="648">
        <v>97837</v>
      </c>
    </row>
    <row r="1608" spans="2:3" x14ac:dyDescent="0.25">
      <c r="B1608" s="644" t="s">
        <v>1894</v>
      </c>
      <c r="C1608" s="648">
        <v>98221</v>
      </c>
    </row>
    <row r="1609" spans="2:3" x14ac:dyDescent="0.25">
      <c r="B1609" s="644" t="s">
        <v>1868</v>
      </c>
      <c r="C1609" s="648">
        <v>98013</v>
      </c>
    </row>
    <row r="1610" spans="2:3" x14ac:dyDescent="0.25">
      <c r="B1610" s="644" t="s">
        <v>1867</v>
      </c>
      <c r="C1610" s="648">
        <v>98011</v>
      </c>
    </row>
    <row r="1611" spans="2:3" x14ac:dyDescent="0.25">
      <c r="B1611" s="644" t="s">
        <v>1811</v>
      </c>
      <c r="C1611" s="648">
        <v>97531</v>
      </c>
    </row>
    <row r="1612" spans="2:3" x14ac:dyDescent="0.25">
      <c r="B1612" s="644" t="s">
        <v>1890</v>
      </c>
      <c r="C1612" s="648">
        <v>98201</v>
      </c>
    </row>
    <row r="1613" spans="2:3" x14ac:dyDescent="0.25">
      <c r="B1613" s="644" t="s">
        <v>1825</v>
      </c>
      <c r="C1613" s="648">
        <v>97705</v>
      </c>
    </row>
    <row r="1614" spans="2:3" x14ac:dyDescent="0.25">
      <c r="B1614" s="644" t="s">
        <v>3460</v>
      </c>
      <c r="C1614" s="648">
        <v>96318</v>
      </c>
    </row>
    <row r="1615" spans="2:3" x14ac:dyDescent="0.25">
      <c r="B1615" s="644" t="s">
        <v>1634</v>
      </c>
      <c r="C1615" s="648">
        <v>95317</v>
      </c>
    </row>
    <row r="1616" spans="2:3" x14ac:dyDescent="0.25">
      <c r="B1616" s="644" t="s">
        <v>1633</v>
      </c>
      <c r="C1616" s="648">
        <v>95311</v>
      </c>
    </row>
    <row r="1617" spans="2:3" x14ac:dyDescent="0.25">
      <c r="B1617" s="644" t="s">
        <v>1294</v>
      </c>
      <c r="C1617" s="648">
        <v>91421</v>
      </c>
    </row>
    <row r="1618" spans="2:3" x14ac:dyDescent="0.25">
      <c r="B1618" s="644" t="s">
        <v>1901</v>
      </c>
      <c r="C1618" s="648">
        <v>98301</v>
      </c>
    </row>
    <row r="1619" spans="2:3" x14ac:dyDescent="0.25">
      <c r="B1619" s="644" t="s">
        <v>1902</v>
      </c>
      <c r="C1619" s="648">
        <v>98304</v>
      </c>
    </row>
    <row r="1620" spans="2:3" x14ac:dyDescent="0.25">
      <c r="B1620" s="644" t="s">
        <v>1547</v>
      </c>
      <c r="C1620" s="648">
        <v>94241</v>
      </c>
    </row>
    <row r="1621" spans="2:3" x14ac:dyDescent="0.25">
      <c r="B1621" s="644" t="s">
        <v>1746</v>
      </c>
      <c r="C1621" s="648">
        <v>96681</v>
      </c>
    </row>
    <row r="1622" spans="2:3" x14ac:dyDescent="0.25">
      <c r="B1622" s="644" t="s">
        <v>1619</v>
      </c>
      <c r="C1622" s="648">
        <v>95123</v>
      </c>
    </row>
    <row r="1623" spans="2:3" x14ac:dyDescent="0.25">
      <c r="B1623" s="644" t="s">
        <v>1617</v>
      </c>
      <c r="C1623" s="648">
        <v>95121</v>
      </c>
    </row>
    <row r="1624" spans="2:3" x14ac:dyDescent="0.25">
      <c r="B1624" s="644" t="s">
        <v>1999</v>
      </c>
      <c r="C1624" s="648">
        <v>99531</v>
      </c>
    </row>
    <row r="1625" spans="2:3" x14ac:dyDescent="0.25">
      <c r="B1625" s="644" t="s">
        <v>1745</v>
      </c>
      <c r="C1625" s="648">
        <v>96671</v>
      </c>
    </row>
    <row r="1626" spans="2:3" x14ac:dyDescent="0.25">
      <c r="B1626" s="644" t="s">
        <v>1240</v>
      </c>
      <c r="C1626" s="648">
        <v>91057</v>
      </c>
    </row>
    <row r="1627" spans="2:3" x14ac:dyDescent="0.25">
      <c r="B1627" s="644" t="s">
        <v>1245</v>
      </c>
      <c r="C1627" s="648">
        <v>91081</v>
      </c>
    </row>
    <row r="1628" spans="2:3" x14ac:dyDescent="0.25">
      <c r="B1628" s="644" t="s">
        <v>1723</v>
      </c>
      <c r="C1628" s="648">
        <v>96461</v>
      </c>
    </row>
    <row r="1629" spans="2:3" x14ac:dyDescent="0.25">
      <c r="B1629" s="644" t="s">
        <v>1355</v>
      </c>
      <c r="C1629" s="648">
        <v>92317</v>
      </c>
    </row>
    <row r="1630" spans="2:3" x14ac:dyDescent="0.25">
      <c r="B1630" s="644" t="s">
        <v>1354</v>
      </c>
      <c r="C1630" s="648">
        <v>92311</v>
      </c>
    </row>
    <row r="1631" spans="2:3" x14ac:dyDescent="0.25">
      <c r="B1631" s="644" t="s">
        <v>1793</v>
      </c>
      <c r="C1631" s="648">
        <v>97405</v>
      </c>
    </row>
    <row r="1632" spans="2:3" x14ac:dyDescent="0.25">
      <c r="B1632" s="644" t="s">
        <v>1339</v>
      </c>
      <c r="C1632" s="648">
        <v>91917</v>
      </c>
    </row>
    <row r="1633" spans="2:3" x14ac:dyDescent="0.25">
      <c r="B1633" s="644" t="s">
        <v>1338</v>
      </c>
      <c r="C1633" s="648">
        <v>91911</v>
      </c>
    </row>
    <row r="1634" spans="2:3" x14ac:dyDescent="0.25">
      <c r="B1634" s="644" t="s">
        <v>1806</v>
      </c>
      <c r="C1634" s="648">
        <v>97481</v>
      </c>
    </row>
    <row r="1635" spans="2:3" x14ac:dyDescent="0.25">
      <c r="B1635" s="644" t="s">
        <v>1259</v>
      </c>
      <c r="C1635" s="648">
        <v>91138</v>
      </c>
    </row>
    <row r="1636" spans="2:3" x14ac:dyDescent="0.25">
      <c r="B1636" s="644" t="s">
        <v>1616</v>
      </c>
      <c r="C1636" s="648">
        <v>95113</v>
      </c>
    </row>
    <row r="1637" spans="2:3" x14ac:dyDescent="0.25">
      <c r="B1637" s="644" t="s">
        <v>1615</v>
      </c>
      <c r="C1637" s="648">
        <v>95111</v>
      </c>
    </row>
    <row r="1638" spans="2:3" x14ac:dyDescent="0.25">
      <c r="B1638" s="644" t="s">
        <v>1606</v>
      </c>
      <c r="C1638" s="648">
        <v>95009</v>
      </c>
    </row>
    <row r="1639" spans="2:3" x14ac:dyDescent="0.25">
      <c r="B1639" s="644" t="s">
        <v>1521</v>
      </c>
      <c r="C1639" s="648">
        <v>94021</v>
      </c>
    </row>
    <row r="1640" spans="2:3" x14ac:dyDescent="0.25">
      <c r="B1640" s="644" t="s">
        <v>1510</v>
      </c>
      <c r="C1640" s="648">
        <v>93910</v>
      </c>
    </row>
    <row r="1641" spans="2:3" x14ac:dyDescent="0.25">
      <c r="B1641" s="644" t="s">
        <v>3461</v>
      </c>
      <c r="C1641" s="648">
        <v>91013</v>
      </c>
    </row>
    <row r="1642" spans="2:3" x14ac:dyDescent="0.25">
      <c r="B1642" s="644" t="s">
        <v>1213</v>
      </c>
      <c r="C1642" s="648">
        <v>90918</v>
      </c>
    </row>
    <row r="1643" spans="2:3" x14ac:dyDescent="0.25">
      <c r="B1643" s="644" t="s">
        <v>1705</v>
      </c>
      <c r="C1643" s="648">
        <v>96311</v>
      </c>
    </row>
    <row r="1644" spans="2:3" x14ac:dyDescent="0.25">
      <c r="B1644" s="644" t="s">
        <v>1411</v>
      </c>
      <c r="C1644" s="648">
        <v>92841</v>
      </c>
    </row>
    <row r="1645" spans="2:3" x14ac:dyDescent="0.25">
      <c r="B1645" s="644" t="s">
        <v>2004</v>
      </c>
      <c r="C1645" s="648">
        <v>99609</v>
      </c>
    </row>
    <row r="1646" spans="2:3" x14ac:dyDescent="0.25">
      <c r="B1646" s="644" t="s">
        <v>1229</v>
      </c>
      <c r="C1646" s="648">
        <v>91017</v>
      </c>
    </row>
    <row r="1647" spans="2:3" x14ac:dyDescent="0.25">
      <c r="B1647" s="644" t="s">
        <v>1226</v>
      </c>
      <c r="C1647" s="648">
        <v>91011</v>
      </c>
    </row>
    <row r="1648" spans="2:3" x14ac:dyDescent="0.25">
      <c r="B1648" s="644" t="s">
        <v>1605</v>
      </c>
      <c r="C1648" s="648">
        <v>95008</v>
      </c>
    </row>
    <row r="1649" spans="2:3" x14ac:dyDescent="0.25">
      <c r="B1649" s="644" t="s">
        <v>1171</v>
      </c>
      <c r="C1649" s="648">
        <v>90307</v>
      </c>
    </row>
    <row r="1650" spans="2:3" x14ac:dyDescent="0.25">
      <c r="B1650" s="644" t="s">
        <v>1147</v>
      </c>
      <c r="C1650" s="648">
        <v>72657</v>
      </c>
    </row>
    <row r="1651" spans="2:3" x14ac:dyDescent="0.25">
      <c r="B1651" s="644" t="s">
        <v>1871</v>
      </c>
      <c r="C1651" s="648">
        <v>98031</v>
      </c>
    </row>
    <row r="1652" spans="2:3" x14ac:dyDescent="0.25">
      <c r="B1652" s="644" t="s">
        <v>1885</v>
      </c>
      <c r="C1652" s="648">
        <v>98121</v>
      </c>
    </row>
    <row r="1653" spans="2:3" x14ac:dyDescent="0.25">
      <c r="B1653" s="644" t="s">
        <v>1718</v>
      </c>
      <c r="C1653" s="648">
        <v>96411</v>
      </c>
    </row>
    <row r="1654" spans="2:3" x14ac:dyDescent="0.25">
      <c r="B1654" s="644" t="s">
        <v>1400</v>
      </c>
      <c r="C1654" s="648">
        <v>92661</v>
      </c>
    </row>
    <row r="1655" spans="2:3" x14ac:dyDescent="0.25">
      <c r="B1655" s="644" t="s">
        <v>1691</v>
      </c>
      <c r="C1655" s="648">
        <v>96111</v>
      </c>
    </row>
    <row r="1656" spans="2:3" x14ac:dyDescent="0.25">
      <c r="B1656" s="644" t="s">
        <v>1235</v>
      </c>
      <c r="C1656" s="648">
        <v>91032</v>
      </c>
    </row>
    <row r="1657" spans="2:3" x14ac:dyDescent="0.25">
      <c r="B1657" s="644" t="s">
        <v>1841</v>
      </c>
      <c r="C1657" s="648">
        <v>97831</v>
      </c>
    </row>
    <row r="1658" spans="2:3" x14ac:dyDescent="0.25">
      <c r="B1658" s="644" t="s">
        <v>1686</v>
      </c>
      <c r="C1658" s="648">
        <v>96061</v>
      </c>
    </row>
    <row r="1659" spans="2:3" x14ac:dyDescent="0.25">
      <c r="B1659" s="644" t="s">
        <v>1916</v>
      </c>
      <c r="C1659" s="648">
        <v>98481</v>
      </c>
    </row>
    <row r="1660" spans="2:3" x14ac:dyDescent="0.25">
      <c r="B1660" s="644" t="s">
        <v>1483</v>
      </c>
      <c r="C1660" s="648">
        <v>93602</v>
      </c>
    </row>
    <row r="1661" spans="2:3" x14ac:dyDescent="0.25">
      <c r="B1661" s="644" t="s">
        <v>1908</v>
      </c>
      <c r="C1661" s="648">
        <v>98401</v>
      </c>
    </row>
    <row r="1662" spans="2:3" x14ac:dyDescent="0.25">
      <c r="B1662" s="644" t="s">
        <v>2025</v>
      </c>
      <c r="C1662" s="648">
        <v>99821</v>
      </c>
    </row>
    <row r="1663" spans="2:3" x14ac:dyDescent="0.25">
      <c r="B1663" s="644" t="s">
        <v>1695</v>
      </c>
      <c r="C1663" s="648">
        <v>96211</v>
      </c>
    </row>
    <row r="1664" spans="2:3" x14ac:dyDescent="0.25">
      <c r="B1664" s="644" t="s">
        <v>1596</v>
      </c>
      <c r="C1664" s="648">
        <v>94917</v>
      </c>
    </row>
    <row r="1665" spans="2:3" x14ac:dyDescent="0.25">
      <c r="B1665" s="644" t="s">
        <v>1595</v>
      </c>
      <c r="C1665" s="648">
        <v>94911</v>
      </c>
    </row>
    <row r="1666" spans="2:3" x14ac:dyDescent="0.25">
      <c r="B1666" s="644" t="s">
        <v>1396</v>
      </c>
      <c r="C1666" s="648">
        <v>92621</v>
      </c>
    </row>
    <row r="1667" spans="2:3" x14ac:dyDescent="0.25">
      <c r="B1667" s="644" t="s">
        <v>1917</v>
      </c>
      <c r="C1667" s="648">
        <v>98501</v>
      </c>
    </row>
    <row r="1668" spans="2:3" x14ac:dyDescent="0.25">
      <c r="B1668" s="644" t="s">
        <v>1856</v>
      </c>
      <c r="C1668" s="648">
        <v>97931</v>
      </c>
    </row>
    <row r="1669" spans="2:3" x14ac:dyDescent="0.25">
      <c r="B1669" s="644" t="s">
        <v>1513</v>
      </c>
      <c r="C1669" s="648">
        <v>93914</v>
      </c>
    </row>
    <row r="1670" spans="2:3" x14ac:dyDescent="0.25">
      <c r="B1670" s="644" t="s">
        <v>1192</v>
      </c>
      <c r="C1670" s="648">
        <v>90651</v>
      </c>
    </row>
    <row r="1671" spans="2:3" x14ac:dyDescent="0.25">
      <c r="B1671" s="644" t="s">
        <v>1539</v>
      </c>
      <c r="C1671" s="648">
        <v>94172</v>
      </c>
    </row>
    <row r="1672" spans="2:3" x14ac:dyDescent="0.25">
      <c r="B1672" s="644" t="s">
        <v>1538</v>
      </c>
      <c r="C1672" s="648">
        <v>94171</v>
      </c>
    </row>
    <row r="1673" spans="2:3" x14ac:dyDescent="0.25">
      <c r="B1673" s="644" t="s">
        <v>1238</v>
      </c>
      <c r="C1673" s="648">
        <v>91047</v>
      </c>
    </row>
    <row r="1674" spans="2:3" x14ac:dyDescent="0.25">
      <c r="B1674" s="644" t="s">
        <v>1236</v>
      </c>
      <c r="C1674" s="648">
        <v>91041</v>
      </c>
    </row>
    <row r="1675" spans="2:3" x14ac:dyDescent="0.25">
      <c r="B1675" s="644" t="s">
        <v>1781</v>
      </c>
      <c r="C1675" s="648">
        <v>97131</v>
      </c>
    </row>
    <row r="1676" spans="2:3" x14ac:dyDescent="0.25">
      <c r="B1676" s="644" t="s">
        <v>1921</v>
      </c>
      <c r="C1676" s="648">
        <v>98601</v>
      </c>
    </row>
    <row r="1677" spans="2:3" x14ac:dyDescent="0.25">
      <c r="B1677" s="644" t="s">
        <v>1931</v>
      </c>
      <c r="C1677" s="648">
        <v>98701</v>
      </c>
    </row>
    <row r="1678" spans="2:3" x14ac:dyDescent="0.25">
      <c r="B1678" s="644" t="s">
        <v>1751</v>
      </c>
      <c r="C1678" s="648">
        <v>96721</v>
      </c>
    </row>
    <row r="1679" spans="2:3" x14ac:dyDescent="0.25">
      <c r="B1679" s="644" t="s">
        <v>1607</v>
      </c>
      <c r="C1679" s="648">
        <v>95011</v>
      </c>
    </row>
    <row r="1680" spans="2:3" x14ac:dyDescent="0.25">
      <c r="B1680" s="644" t="s">
        <v>1371</v>
      </c>
      <c r="C1680" s="648">
        <v>92451</v>
      </c>
    </row>
    <row r="1681" spans="2:3" x14ac:dyDescent="0.25">
      <c r="B1681" s="644" t="s">
        <v>1453</v>
      </c>
      <c r="C1681" s="648">
        <v>93317</v>
      </c>
    </row>
    <row r="1682" spans="2:3" x14ac:dyDescent="0.25">
      <c r="B1682" s="644" t="s">
        <v>1452</v>
      </c>
      <c r="C1682" s="648">
        <v>93311</v>
      </c>
    </row>
    <row r="1683" spans="2:3" x14ac:dyDescent="0.25">
      <c r="B1683" s="644" t="s">
        <v>1168</v>
      </c>
      <c r="C1683" s="648">
        <v>90211</v>
      </c>
    </row>
    <row r="1684" spans="2:3" x14ac:dyDescent="0.25">
      <c r="B1684" s="644" t="s">
        <v>1701</v>
      </c>
      <c r="C1684" s="648">
        <v>96302</v>
      </c>
    </row>
    <row r="1685" spans="2:3" x14ac:dyDescent="0.25">
      <c r="B1685" s="644" t="s">
        <v>1439</v>
      </c>
      <c r="C1685" s="648">
        <v>93181</v>
      </c>
    </row>
    <row r="1686" spans="2:3" x14ac:dyDescent="0.25">
      <c r="B1686" s="644" t="s">
        <v>1350</v>
      </c>
      <c r="C1686" s="648">
        <v>92113</v>
      </c>
    </row>
    <row r="1687" spans="2:3" x14ac:dyDescent="0.25">
      <c r="B1687" s="644" t="s">
        <v>1416</v>
      </c>
      <c r="C1687" s="648">
        <v>92913</v>
      </c>
    </row>
    <row r="1688" spans="2:3" x14ac:dyDescent="0.25">
      <c r="B1688" s="644" t="s">
        <v>1415</v>
      </c>
      <c r="C1688" s="648">
        <v>92911</v>
      </c>
    </row>
    <row r="1689" spans="2:3" x14ac:dyDescent="0.25">
      <c r="B1689" s="644" t="s">
        <v>1473</v>
      </c>
      <c r="C1689" s="648">
        <v>93471</v>
      </c>
    </row>
    <row r="1690" spans="2:3" x14ac:dyDescent="0.25">
      <c r="B1690" s="644" t="s">
        <v>1153</v>
      </c>
      <c r="C1690" s="648">
        <v>90098</v>
      </c>
    </row>
    <row r="1691" spans="2:3" x14ac:dyDescent="0.25">
      <c r="B1691" s="644" t="s">
        <v>1780</v>
      </c>
      <c r="C1691" s="648">
        <v>97121</v>
      </c>
    </row>
    <row r="1692" spans="2:3" x14ac:dyDescent="0.25">
      <c r="B1692" s="644" t="s">
        <v>1364</v>
      </c>
      <c r="C1692" s="648">
        <v>92414</v>
      </c>
    </row>
    <row r="1693" spans="2:3" x14ac:dyDescent="0.25">
      <c r="B1693" s="644" t="s">
        <v>1420</v>
      </c>
      <c r="C1693" s="648">
        <v>92941</v>
      </c>
    </row>
    <row r="1694" spans="2:3" x14ac:dyDescent="0.25">
      <c r="B1694" s="644" t="s">
        <v>1233</v>
      </c>
      <c r="C1694" s="648">
        <v>91026</v>
      </c>
    </row>
    <row r="1695" spans="2:3" x14ac:dyDescent="0.25">
      <c r="B1695" s="644" t="s">
        <v>1934</v>
      </c>
      <c r="C1695" s="648">
        <v>98801</v>
      </c>
    </row>
    <row r="1696" spans="2:3" x14ac:dyDescent="0.25">
      <c r="B1696" s="644" t="s">
        <v>1382</v>
      </c>
      <c r="C1696" s="648">
        <v>92521</v>
      </c>
    </row>
    <row r="1697" spans="2:3" x14ac:dyDescent="0.25">
      <c r="B1697" s="644" t="s">
        <v>3462</v>
      </c>
      <c r="C1697" s="648">
        <v>93417</v>
      </c>
    </row>
    <row r="1698" spans="2:3" x14ac:dyDescent="0.25">
      <c r="B1698" s="644" t="s">
        <v>1447</v>
      </c>
      <c r="C1698" s="648">
        <v>93219</v>
      </c>
    </row>
    <row r="1699" spans="2:3" x14ac:dyDescent="0.25">
      <c r="B1699" s="644" t="s">
        <v>3463</v>
      </c>
      <c r="C1699" s="648">
        <v>92513</v>
      </c>
    </row>
    <row r="1700" spans="2:3" x14ac:dyDescent="0.25">
      <c r="B1700" s="644" t="s">
        <v>1823</v>
      </c>
      <c r="C1700" s="648">
        <v>97661</v>
      </c>
    </row>
    <row r="1701" spans="2:3" x14ac:dyDescent="0.25">
      <c r="B1701" s="644" t="s">
        <v>1600</v>
      </c>
      <c r="C1701" s="648">
        <v>94931</v>
      </c>
    </row>
    <row r="1702" spans="2:3" x14ac:dyDescent="0.25">
      <c r="B1702" s="644" t="s">
        <v>1696</v>
      </c>
      <c r="C1702" s="648">
        <v>96221</v>
      </c>
    </row>
    <row r="1703" spans="2:3" x14ac:dyDescent="0.25">
      <c r="B1703" s="644" t="s">
        <v>1809</v>
      </c>
      <c r="C1703" s="648">
        <v>97511</v>
      </c>
    </row>
    <row r="1704" spans="2:3" x14ac:dyDescent="0.25">
      <c r="B1704" s="644" t="s">
        <v>1603</v>
      </c>
      <c r="C1704" s="648">
        <v>95002</v>
      </c>
    </row>
    <row r="1705" spans="2:3" x14ac:dyDescent="0.25">
      <c r="B1705" s="644" t="s">
        <v>1898</v>
      </c>
      <c r="C1705" s="648">
        <v>98251</v>
      </c>
    </row>
    <row r="1706" spans="2:3" x14ac:dyDescent="0.25">
      <c r="B1706" s="644" t="s">
        <v>1937</v>
      </c>
      <c r="C1706" s="648">
        <v>98901</v>
      </c>
    </row>
    <row r="1707" spans="2:3" x14ac:dyDescent="0.25">
      <c r="B1707" s="644" t="s">
        <v>1938</v>
      </c>
      <c r="C1707" s="648">
        <v>98904</v>
      </c>
    </row>
    <row r="1708" spans="2:3" x14ac:dyDescent="0.25">
      <c r="B1708" s="644" t="s">
        <v>1940</v>
      </c>
      <c r="C1708" s="648">
        <v>99001</v>
      </c>
    </row>
    <row r="1709" spans="2:3" x14ac:dyDescent="0.25">
      <c r="B1709" s="644" t="s">
        <v>1950</v>
      </c>
      <c r="C1709" s="648">
        <v>99061</v>
      </c>
    </row>
    <row r="1710" spans="2:3" x14ac:dyDescent="0.25">
      <c r="B1710" s="644" t="s">
        <v>3464</v>
      </c>
      <c r="C1710" s="648">
        <v>93309</v>
      </c>
    </row>
    <row r="1711" spans="2:3" x14ac:dyDescent="0.25">
      <c r="B1711" s="644" t="s">
        <v>1272</v>
      </c>
      <c r="C1711" s="648">
        <v>91213</v>
      </c>
    </row>
    <row r="1712" spans="2:3" x14ac:dyDescent="0.25">
      <c r="B1712" s="644" t="s">
        <v>1271</v>
      </c>
      <c r="C1712" s="648">
        <v>91211</v>
      </c>
    </row>
    <row r="1713" spans="2:3" x14ac:dyDescent="0.25">
      <c r="B1713" s="644" t="s">
        <v>1954</v>
      </c>
      <c r="C1713" s="648">
        <v>99101</v>
      </c>
    </row>
    <row r="1714" spans="2:3" x14ac:dyDescent="0.25">
      <c r="B1714" s="644" t="s">
        <v>1955</v>
      </c>
      <c r="C1714" s="648">
        <v>99104</v>
      </c>
    </row>
    <row r="1715" spans="2:3" x14ac:dyDescent="0.25">
      <c r="B1715" s="644" t="s">
        <v>1385</v>
      </c>
      <c r="C1715" s="648">
        <v>92551</v>
      </c>
    </row>
    <row r="1716" spans="2:3" x14ac:dyDescent="0.25">
      <c r="B1716" s="644" t="s">
        <v>1707</v>
      </c>
      <c r="C1716" s="648">
        <v>96321</v>
      </c>
    </row>
    <row r="1717" spans="2:3" x14ac:dyDescent="0.25">
      <c r="B1717" s="644" t="s">
        <v>1398</v>
      </c>
      <c r="C1717" s="648">
        <v>92641</v>
      </c>
    </row>
    <row r="1718" spans="2:3" x14ac:dyDescent="0.25">
      <c r="B1718" s="644" t="s">
        <v>1175</v>
      </c>
      <c r="C1718" s="648">
        <v>90417</v>
      </c>
    </row>
    <row r="1719" spans="2:3" x14ac:dyDescent="0.25">
      <c r="B1719" s="644" t="s">
        <v>1174</v>
      </c>
      <c r="C1719" s="648">
        <v>90413</v>
      </c>
    </row>
    <row r="1720" spans="2:3" x14ac:dyDescent="0.25">
      <c r="B1720" s="644" t="s">
        <v>1173</v>
      </c>
      <c r="C1720" s="648">
        <v>90411</v>
      </c>
    </row>
    <row r="1721" spans="2:3" x14ac:dyDescent="0.25">
      <c r="B1721" s="644" t="s">
        <v>1906</v>
      </c>
      <c r="C1721" s="648">
        <v>98321</v>
      </c>
    </row>
    <row r="1722" spans="2:3" x14ac:dyDescent="0.25">
      <c r="B1722" s="644" t="s">
        <v>1959</v>
      </c>
      <c r="C1722" s="648">
        <v>99201</v>
      </c>
    </row>
    <row r="1723" spans="2:3" x14ac:dyDescent="0.25">
      <c r="B1723" s="644" t="s">
        <v>1962</v>
      </c>
      <c r="C1723" s="648">
        <v>99204</v>
      </c>
    </row>
    <row r="1724" spans="2:3" x14ac:dyDescent="0.25">
      <c r="B1724" s="644" t="s">
        <v>1964</v>
      </c>
      <c r="C1724" s="648">
        <v>99207</v>
      </c>
    </row>
    <row r="1725" spans="2:3" x14ac:dyDescent="0.25">
      <c r="B1725" s="644" t="s">
        <v>1979</v>
      </c>
      <c r="C1725" s="648">
        <v>99281</v>
      </c>
    </row>
    <row r="1726" spans="2:3" x14ac:dyDescent="0.25">
      <c r="B1726" s="644" t="s">
        <v>1472</v>
      </c>
      <c r="C1726" s="648">
        <v>93461</v>
      </c>
    </row>
    <row r="1727" spans="2:3" x14ac:dyDescent="0.25">
      <c r="B1727" s="644" t="s">
        <v>1436</v>
      </c>
      <c r="C1727" s="648">
        <v>93157</v>
      </c>
    </row>
    <row r="1728" spans="2:3" x14ac:dyDescent="0.25">
      <c r="B1728" s="644" t="s">
        <v>1435</v>
      </c>
      <c r="C1728" s="648">
        <v>93151</v>
      </c>
    </row>
    <row r="1729" spans="2:3" x14ac:dyDescent="0.25">
      <c r="B1729" s="644" t="s">
        <v>1919</v>
      </c>
      <c r="C1729" s="648">
        <v>98517</v>
      </c>
    </row>
    <row r="1730" spans="2:3" x14ac:dyDescent="0.25">
      <c r="B1730" s="644" t="s">
        <v>1918</v>
      </c>
      <c r="C1730" s="648">
        <v>98511</v>
      </c>
    </row>
    <row r="1731" spans="2:3" x14ac:dyDescent="0.25">
      <c r="B1731" s="644" t="s">
        <v>2012</v>
      </c>
      <c r="C1731" s="648">
        <v>99661</v>
      </c>
    </row>
    <row r="1732" spans="2:3" x14ac:dyDescent="0.25">
      <c r="B1732" s="644" t="s">
        <v>1522</v>
      </c>
      <c r="C1732" s="648">
        <v>94031</v>
      </c>
    </row>
    <row r="1733" spans="2:3" x14ac:dyDescent="0.25">
      <c r="B1733" s="644" t="s">
        <v>1981</v>
      </c>
      <c r="C1733" s="648">
        <v>99301</v>
      </c>
    </row>
    <row r="1734" spans="2:3" x14ac:dyDescent="0.25">
      <c r="B1734" s="644" t="s">
        <v>1982</v>
      </c>
      <c r="C1734" s="648">
        <v>99304</v>
      </c>
    </row>
    <row r="1735" spans="2:3" x14ac:dyDescent="0.25">
      <c r="B1735" s="644" t="s">
        <v>1984</v>
      </c>
      <c r="C1735" s="648">
        <v>99321</v>
      </c>
    </row>
    <row r="1736" spans="2:3" x14ac:dyDescent="0.25">
      <c r="B1736" s="644" t="s">
        <v>1433</v>
      </c>
      <c r="C1736" s="648">
        <v>93137</v>
      </c>
    </row>
    <row r="1737" spans="2:3" x14ac:dyDescent="0.25">
      <c r="B1737" s="644" t="s">
        <v>1432</v>
      </c>
      <c r="C1737" s="648">
        <v>93131</v>
      </c>
    </row>
    <row r="1738" spans="2:3" x14ac:dyDescent="0.25">
      <c r="B1738" s="644" t="s">
        <v>1985</v>
      </c>
      <c r="C1738" s="648">
        <v>99401</v>
      </c>
    </row>
    <row r="1739" spans="2:3" x14ac:dyDescent="0.25">
      <c r="B1739" s="644" t="s">
        <v>1986</v>
      </c>
      <c r="C1739" s="648">
        <v>99404</v>
      </c>
    </row>
    <row r="1740" spans="2:3" x14ac:dyDescent="0.25">
      <c r="B1740" s="644" t="s">
        <v>1200</v>
      </c>
      <c r="C1740" s="648">
        <v>90741</v>
      </c>
    </row>
    <row r="1741" spans="2:3" x14ac:dyDescent="0.25">
      <c r="B1741" s="644" t="s">
        <v>1197</v>
      </c>
      <c r="C1741" s="648">
        <v>90711</v>
      </c>
    </row>
    <row r="1742" spans="2:3" x14ac:dyDescent="0.25">
      <c r="B1742" s="644" t="s">
        <v>1992</v>
      </c>
      <c r="C1742" s="648">
        <v>99501</v>
      </c>
    </row>
    <row r="1743" spans="2:3" x14ac:dyDescent="0.25">
      <c r="B1743" s="644" t="s">
        <v>1995</v>
      </c>
      <c r="C1743" s="648">
        <v>99509</v>
      </c>
    </row>
    <row r="1744" spans="2:3" x14ac:dyDescent="0.25">
      <c r="B1744" s="644" t="s">
        <v>1282</v>
      </c>
      <c r="C1744" s="648">
        <v>91302</v>
      </c>
    </row>
    <row r="1745" spans="2:3" x14ac:dyDescent="0.25">
      <c r="B1745" s="644" t="s">
        <v>1948</v>
      </c>
      <c r="C1745" s="648">
        <v>99047</v>
      </c>
    </row>
    <row r="1746" spans="2:3" x14ac:dyDescent="0.25">
      <c r="B1746" s="644" t="s">
        <v>1947</v>
      </c>
      <c r="C1746" s="648">
        <v>99041</v>
      </c>
    </row>
    <row r="1747" spans="2:3" x14ac:dyDescent="0.25">
      <c r="B1747" s="644" t="s">
        <v>2000</v>
      </c>
      <c r="C1747" s="648">
        <v>99601</v>
      </c>
    </row>
    <row r="1748" spans="2:3" x14ac:dyDescent="0.25">
      <c r="B1748" s="644" t="s">
        <v>2003</v>
      </c>
      <c r="C1748" s="648">
        <v>99604</v>
      </c>
    </row>
    <row r="1749" spans="2:3" x14ac:dyDescent="0.25">
      <c r="B1749" s="644" t="s">
        <v>1563</v>
      </c>
      <c r="C1749" s="648">
        <v>94412</v>
      </c>
    </row>
    <row r="1750" spans="2:3" x14ac:dyDescent="0.25">
      <c r="B1750" s="644" t="s">
        <v>1562</v>
      </c>
      <c r="C1750" s="648">
        <v>94411</v>
      </c>
    </row>
    <row r="1751" spans="2:3" x14ac:dyDescent="0.25">
      <c r="B1751" s="644" t="s">
        <v>1261</v>
      </c>
      <c r="C1751" s="648">
        <v>91147</v>
      </c>
    </row>
    <row r="1752" spans="2:3" x14ac:dyDescent="0.25">
      <c r="B1752" s="644" t="s">
        <v>1260</v>
      </c>
      <c r="C1752" s="648">
        <v>91141</v>
      </c>
    </row>
    <row r="1753" spans="2:3" x14ac:dyDescent="0.25">
      <c r="B1753" s="644" t="s">
        <v>1951</v>
      </c>
      <c r="C1753" s="648">
        <v>99071</v>
      </c>
    </row>
    <row r="1754" spans="2:3" x14ac:dyDescent="0.25">
      <c r="B1754" s="644" t="s">
        <v>1546</v>
      </c>
      <c r="C1754" s="648">
        <v>94231</v>
      </c>
    </row>
    <row r="1755" spans="2:3" x14ac:dyDescent="0.25">
      <c r="B1755" s="644" t="s">
        <v>1973</v>
      </c>
      <c r="C1755" s="648">
        <v>99231</v>
      </c>
    </row>
    <row r="1756" spans="2:3" x14ac:dyDescent="0.25">
      <c r="B1756" s="644" t="s">
        <v>1953</v>
      </c>
      <c r="C1756" s="648">
        <v>99091</v>
      </c>
    </row>
    <row r="1757" spans="2:3" x14ac:dyDescent="0.25">
      <c r="B1757" s="644" t="s">
        <v>1255</v>
      </c>
      <c r="C1757" s="648">
        <v>91120</v>
      </c>
    </row>
    <row r="1758" spans="2:3" x14ac:dyDescent="0.25">
      <c r="B1758" s="644" t="s">
        <v>3465</v>
      </c>
      <c r="C1758" s="648">
        <v>92444</v>
      </c>
    </row>
    <row r="1759" spans="2:3" x14ac:dyDescent="0.25">
      <c r="B1759" s="644" t="s">
        <v>1182</v>
      </c>
      <c r="C1759" s="648">
        <v>90507</v>
      </c>
    </row>
    <row r="1760" spans="2:3" x14ac:dyDescent="0.25">
      <c r="B1760" s="644" t="s">
        <v>1184</v>
      </c>
      <c r="C1760" s="648">
        <v>90521</v>
      </c>
    </row>
    <row r="1761" spans="2:3" x14ac:dyDescent="0.25">
      <c r="B1761" s="644" t="s">
        <v>1389</v>
      </c>
      <c r="C1761" s="648">
        <v>92602</v>
      </c>
    </row>
    <row r="1762" spans="2:3" x14ac:dyDescent="0.25">
      <c r="B1762" s="644" t="s">
        <v>1305</v>
      </c>
      <c r="C1762" s="648">
        <v>91608</v>
      </c>
    </row>
    <row r="1763" spans="2:3" x14ac:dyDescent="0.25">
      <c r="B1763" s="644" t="s">
        <v>1254</v>
      </c>
      <c r="C1763" s="648">
        <v>91119</v>
      </c>
    </row>
    <row r="1764" spans="2:3" x14ac:dyDescent="0.25">
      <c r="B1764" s="644" t="s">
        <v>1250</v>
      </c>
      <c r="C1764" s="648">
        <v>91107</v>
      </c>
    </row>
    <row r="1765" spans="2:3" x14ac:dyDescent="0.25">
      <c r="B1765" s="644" t="s">
        <v>1325</v>
      </c>
      <c r="C1765" s="648">
        <v>91818</v>
      </c>
    </row>
    <row r="1766" spans="2:3" x14ac:dyDescent="0.25">
      <c r="B1766" s="644" t="s">
        <v>1326</v>
      </c>
      <c r="C1766" s="648">
        <v>91819</v>
      </c>
    </row>
    <row r="1767" spans="2:3" x14ac:dyDescent="0.25">
      <c r="B1767" s="644" t="s">
        <v>1712</v>
      </c>
      <c r="C1767" s="648">
        <v>96371</v>
      </c>
    </row>
    <row r="1768" spans="2:3" x14ac:dyDescent="0.25">
      <c r="B1768" s="644" t="s">
        <v>1721</v>
      </c>
      <c r="C1768" s="648">
        <v>96441</v>
      </c>
    </row>
    <row r="1769" spans="2:3" x14ac:dyDescent="0.25">
      <c r="B1769" s="644" t="s">
        <v>1214</v>
      </c>
      <c r="C1769" s="648">
        <v>90921</v>
      </c>
    </row>
    <row r="1770" spans="2:3" x14ac:dyDescent="0.25">
      <c r="B1770" s="644" t="s">
        <v>1365</v>
      </c>
      <c r="C1770" s="648">
        <v>92417</v>
      </c>
    </row>
    <row r="1771" spans="2:3" x14ac:dyDescent="0.25">
      <c r="B1771" s="644" t="s">
        <v>1362</v>
      </c>
      <c r="C1771" s="648">
        <v>92403</v>
      </c>
    </row>
    <row r="1772" spans="2:3" x14ac:dyDescent="0.25">
      <c r="B1772" s="644" t="s">
        <v>1363</v>
      </c>
      <c r="C1772" s="648">
        <v>92411</v>
      </c>
    </row>
    <row r="1773" spans="2:3" x14ac:dyDescent="0.25">
      <c r="B1773" s="644" t="s">
        <v>2013</v>
      </c>
      <c r="C1773" s="648">
        <v>99701</v>
      </c>
    </row>
    <row r="1774" spans="2:3" x14ac:dyDescent="0.25">
      <c r="B1774" s="644" t="s">
        <v>2018</v>
      </c>
      <c r="C1774" s="648">
        <v>99727</v>
      </c>
    </row>
    <row r="1775" spans="2:3" x14ac:dyDescent="0.25">
      <c r="B1775" s="644" t="s">
        <v>2017</v>
      </c>
      <c r="C1775" s="648">
        <v>99721</v>
      </c>
    </row>
    <row r="1776" spans="2:3" x14ac:dyDescent="0.25">
      <c r="B1776" s="644" t="s">
        <v>1662</v>
      </c>
      <c r="C1776" s="648">
        <v>95813</v>
      </c>
    </row>
    <row r="1777" spans="2:3" x14ac:dyDescent="0.25">
      <c r="B1777" s="644" t="s">
        <v>1661</v>
      </c>
      <c r="C1777" s="648">
        <v>95811</v>
      </c>
    </row>
    <row r="1778" spans="2:3" x14ac:dyDescent="0.25">
      <c r="B1778" s="644" t="s">
        <v>1726</v>
      </c>
      <c r="C1778" s="648">
        <v>96503</v>
      </c>
    </row>
    <row r="1779" spans="2:3" x14ac:dyDescent="0.25">
      <c r="B1779" s="644" t="s">
        <v>1734</v>
      </c>
      <c r="C1779" s="648">
        <v>96531</v>
      </c>
    </row>
    <row r="1780" spans="2:3" x14ac:dyDescent="0.25">
      <c r="B1780" s="644" t="s">
        <v>2019</v>
      </c>
      <c r="C1780" s="648">
        <v>99801</v>
      </c>
    </row>
    <row r="1781" spans="2:3" x14ac:dyDescent="0.25">
      <c r="B1781" s="644" t="s">
        <v>2021</v>
      </c>
      <c r="C1781" s="648">
        <v>99804</v>
      </c>
    </row>
    <row r="1782" spans="2:3" x14ac:dyDescent="0.25">
      <c r="B1782" s="644" t="s">
        <v>2020</v>
      </c>
      <c r="C1782" s="648">
        <v>99802</v>
      </c>
    </row>
    <row r="1783" spans="2:3" x14ac:dyDescent="0.25">
      <c r="B1783" s="644" t="s">
        <v>2023</v>
      </c>
      <c r="C1783" s="648">
        <v>99812</v>
      </c>
    </row>
    <row r="1784" spans="2:3" x14ac:dyDescent="0.25">
      <c r="B1784" s="644" t="s">
        <v>2022</v>
      </c>
      <c r="C1784" s="648">
        <v>99811</v>
      </c>
    </row>
    <row r="1785" spans="2:3" x14ac:dyDescent="0.25">
      <c r="B1785" s="644" t="s">
        <v>1626</v>
      </c>
      <c r="C1785" s="648">
        <v>95191</v>
      </c>
    </row>
    <row r="1786" spans="2:3" x14ac:dyDescent="0.25">
      <c r="B1786" s="644" t="s">
        <v>1207</v>
      </c>
      <c r="C1786" s="648">
        <v>90812</v>
      </c>
    </row>
    <row r="1787" spans="2:3" x14ac:dyDescent="0.25">
      <c r="B1787" s="644" t="s">
        <v>1786</v>
      </c>
      <c r="C1787" s="648">
        <v>97221</v>
      </c>
    </row>
    <row r="1788" spans="2:3" x14ac:dyDescent="0.25">
      <c r="B1788" s="644" t="s">
        <v>1946</v>
      </c>
      <c r="C1788" s="648">
        <v>99031</v>
      </c>
    </row>
    <row r="1789" spans="2:3" x14ac:dyDescent="0.25">
      <c r="B1789" s="644" t="s">
        <v>1465</v>
      </c>
      <c r="C1789" s="648">
        <v>93413</v>
      </c>
    </row>
    <row r="1790" spans="2:3" x14ac:dyDescent="0.25">
      <c r="B1790" s="644" t="s">
        <v>1464</v>
      </c>
      <c r="C1790" s="648">
        <v>93411</v>
      </c>
    </row>
    <row r="1791" spans="2:3" x14ac:dyDescent="0.25">
      <c r="B1791" s="644" t="s">
        <v>1802</v>
      </c>
      <c r="C1791" s="648">
        <v>97451</v>
      </c>
    </row>
    <row r="1792" spans="2:3" x14ac:dyDescent="0.25">
      <c r="B1792" s="644" t="s">
        <v>1585</v>
      </c>
      <c r="C1792" s="648">
        <v>94631</v>
      </c>
    </row>
    <row r="1793" spans="2:3" x14ac:dyDescent="0.25">
      <c r="B1793" s="644" t="s">
        <v>1249</v>
      </c>
      <c r="C1793" s="648">
        <v>91104</v>
      </c>
    </row>
    <row r="1794" spans="2:3" x14ac:dyDescent="0.25">
      <c r="B1794" s="644" t="s">
        <v>1252</v>
      </c>
      <c r="C1794" s="648">
        <v>91109</v>
      </c>
    </row>
    <row r="1795" spans="2:3" x14ac:dyDescent="0.25">
      <c r="B1795" s="644" t="s">
        <v>1265</v>
      </c>
      <c r="C1795" s="648">
        <v>91171</v>
      </c>
    </row>
    <row r="1796" spans="2:3" x14ac:dyDescent="0.25">
      <c r="B1796" s="644" t="s">
        <v>1740</v>
      </c>
      <c r="C1796" s="648">
        <v>96621</v>
      </c>
    </row>
    <row r="1797" spans="2:3" x14ac:dyDescent="0.25">
      <c r="B1797" s="644" t="s">
        <v>1730</v>
      </c>
      <c r="C1797" s="648">
        <v>96511</v>
      </c>
    </row>
    <row r="1798" spans="2:3" x14ac:dyDescent="0.25">
      <c r="B1798" s="644" t="s">
        <v>2029</v>
      </c>
      <c r="C1798" s="648">
        <v>99901</v>
      </c>
    </row>
    <row r="1799" spans="2:3" x14ac:dyDescent="0.25">
      <c r="B1799" s="644" t="s">
        <v>3466</v>
      </c>
      <c r="C1799" s="648">
        <v>98604</v>
      </c>
    </row>
    <row r="1800" spans="2:3" x14ac:dyDescent="0.25">
      <c r="B1800" s="644" t="s">
        <v>1923</v>
      </c>
      <c r="C1800" s="648">
        <v>98608</v>
      </c>
    </row>
    <row r="1801" spans="2:3" x14ac:dyDescent="0.25">
      <c r="B1801" s="644" t="s">
        <v>2030</v>
      </c>
      <c r="C1801" s="648">
        <v>99911</v>
      </c>
    </row>
    <row r="1802" spans="2:3" x14ac:dyDescent="0.25">
      <c r="B1802" s="644" t="s">
        <v>1148</v>
      </c>
      <c r="C1802" s="648">
        <v>90001</v>
      </c>
    </row>
    <row r="1803" spans="2:3" x14ac:dyDescent="0.25">
      <c r="B1803" s="644" t="s">
        <v>1149</v>
      </c>
      <c r="C1803" s="648">
        <v>90002</v>
      </c>
    </row>
    <row r="1804" spans="2:3" x14ac:dyDescent="0.25">
      <c r="B1804" s="644" t="s">
        <v>1319</v>
      </c>
      <c r="C1804" s="648">
        <v>91719</v>
      </c>
    </row>
    <row r="1805" spans="2:3" x14ac:dyDescent="0.25">
      <c r="B1805" s="644" t="s">
        <v>1481</v>
      </c>
      <c r="C1805" s="648">
        <v>93541</v>
      </c>
    </row>
    <row r="1806" spans="2:3" x14ac:dyDescent="0.25">
      <c r="B1806" s="644" t="s">
        <v>1974</v>
      </c>
      <c r="C1806" s="648">
        <v>99241</v>
      </c>
    </row>
    <row r="1807" spans="2:3" x14ac:dyDescent="0.25">
      <c r="B1807" s="644" t="s">
        <v>2525</v>
      </c>
      <c r="C1807" s="668" t="s">
        <v>2526</v>
      </c>
    </row>
  </sheetData>
  <pageMargins left="0" right="0" top="0.75" bottom="0.75" header="0.3" footer="0.3"/>
  <pageSetup scale="46"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V1804"/>
  <sheetViews>
    <sheetView workbookViewId="0"/>
  </sheetViews>
  <sheetFormatPr defaultColWidth="9.140625" defaultRowHeight="15" x14ac:dyDescent="0.25"/>
  <cols>
    <col min="1" max="1" width="15.28515625" style="619" customWidth="1"/>
    <col min="2" max="2" width="38.85546875" style="619" customWidth="1"/>
    <col min="3" max="3" width="16.140625" style="619" customWidth="1"/>
    <col min="4" max="4" width="16.42578125" style="619" customWidth="1"/>
    <col min="5" max="5" width="25.85546875" style="619" customWidth="1"/>
    <col min="6" max="6" width="25.42578125" style="619" customWidth="1"/>
    <col min="7" max="7" width="18.28515625" style="619" customWidth="1"/>
    <col min="8" max="8" width="3.85546875" style="619" customWidth="1"/>
    <col min="9" max="9" width="10.5703125" style="619" customWidth="1"/>
    <col min="10" max="10" width="20" style="619" customWidth="1"/>
    <col min="11" max="11" width="7.140625" style="619" customWidth="1"/>
    <col min="12" max="12" width="19.42578125" style="619" customWidth="1"/>
    <col min="13" max="13" width="4.85546875" style="619" customWidth="1"/>
    <col min="14" max="14" width="18.28515625" style="619" customWidth="1"/>
    <col min="15" max="15" width="20" style="619" customWidth="1"/>
    <col min="16" max="16" width="8" style="619" customWidth="1"/>
    <col min="17" max="17" width="19.42578125" style="619" customWidth="1"/>
    <col min="18" max="18" width="3.85546875" style="619" customWidth="1"/>
    <col min="19" max="19" width="13.85546875" style="619" customWidth="1"/>
    <col min="20" max="20" width="18.5703125" style="619" customWidth="1"/>
    <col min="21" max="21" width="13.5703125" style="619" customWidth="1"/>
    <col min="22" max="16384" width="9.140625" style="619"/>
  </cols>
  <sheetData>
    <row r="1" spans="1:22" x14ac:dyDescent="0.25">
      <c r="A1" s="618"/>
      <c r="I1" s="620" t="s">
        <v>1131</v>
      </c>
      <c r="J1" s="620"/>
      <c r="K1" s="620"/>
      <c r="L1" s="620"/>
      <c r="N1" s="620" t="s">
        <v>1132</v>
      </c>
      <c r="O1" s="620"/>
      <c r="P1" s="620"/>
      <c r="Q1" s="620"/>
      <c r="S1" s="620" t="s">
        <v>1133</v>
      </c>
      <c r="T1" s="620"/>
      <c r="U1" s="620"/>
    </row>
    <row r="2" spans="1:22" ht="167.25" customHeight="1" x14ac:dyDescent="0.25">
      <c r="A2" s="621" t="s">
        <v>1130</v>
      </c>
      <c r="B2" s="621" t="s">
        <v>1134</v>
      </c>
      <c r="C2" s="621" t="s">
        <v>2090</v>
      </c>
      <c r="D2" s="621" t="s">
        <v>2091</v>
      </c>
      <c r="E2" s="621" t="s">
        <v>2092</v>
      </c>
      <c r="F2" s="621" t="s">
        <v>2093</v>
      </c>
      <c r="G2" s="621" t="s">
        <v>1135</v>
      </c>
      <c r="H2" s="621"/>
      <c r="I2" s="621" t="s">
        <v>1136</v>
      </c>
      <c r="J2" s="621" t="s">
        <v>1137</v>
      </c>
      <c r="K2" s="621" t="s">
        <v>1138</v>
      </c>
      <c r="L2" s="621" t="s">
        <v>1139</v>
      </c>
      <c r="M2" s="621"/>
      <c r="N2" s="621" t="s">
        <v>1136</v>
      </c>
      <c r="O2" s="621" t="s">
        <v>1137</v>
      </c>
      <c r="P2" s="621" t="s">
        <v>1138</v>
      </c>
      <c r="Q2" s="621" t="s">
        <v>1139</v>
      </c>
      <c r="R2" s="621"/>
      <c r="S2" s="621" t="s">
        <v>1140</v>
      </c>
      <c r="T2" s="621" t="s">
        <v>1141</v>
      </c>
      <c r="U2" s="621" t="s">
        <v>1142</v>
      </c>
      <c r="V2" s="621"/>
    </row>
    <row r="3" spans="1:22" ht="14.25" customHeight="1" x14ac:dyDescent="0.25">
      <c r="A3" s="621" t="s">
        <v>480</v>
      </c>
      <c r="B3" s="622" t="s">
        <v>2094</v>
      </c>
      <c r="C3" s="621"/>
      <c r="D3" s="621"/>
      <c r="E3" s="621"/>
      <c r="F3" s="621"/>
      <c r="G3" s="621"/>
      <c r="H3" s="621"/>
      <c r="I3" s="621"/>
      <c r="J3" s="621"/>
      <c r="K3" s="621"/>
      <c r="L3" s="621"/>
      <c r="M3" s="621"/>
      <c r="N3" s="621"/>
      <c r="O3" s="621"/>
      <c r="P3" s="621"/>
      <c r="Q3" s="621"/>
      <c r="R3" s="621"/>
      <c r="S3" s="621"/>
      <c r="T3" s="621"/>
      <c r="U3" s="621"/>
      <c r="V3" s="621"/>
    </row>
    <row r="4" spans="1:22" x14ac:dyDescent="0.25">
      <c r="A4" s="623">
        <v>70505</v>
      </c>
      <c r="B4" s="624" t="s">
        <v>1144</v>
      </c>
      <c r="C4" s="625">
        <v>5.0319999999999998E-4</v>
      </c>
      <c r="D4" s="625">
        <v>4.8840000000000005E-4</v>
      </c>
      <c r="E4" s="626">
        <v>192244</v>
      </c>
      <c r="F4" s="626">
        <v>-269557</v>
      </c>
      <c r="G4" s="626">
        <v>225833</v>
      </c>
      <c r="H4" s="626"/>
      <c r="I4" s="627">
        <v>0</v>
      </c>
      <c r="J4" s="627">
        <v>453844</v>
      </c>
      <c r="K4" s="627">
        <v>0</v>
      </c>
      <c r="L4" s="626">
        <v>0</v>
      </c>
      <c r="M4" s="626"/>
      <c r="N4" s="627">
        <v>53084</v>
      </c>
      <c r="O4" s="627">
        <v>518138</v>
      </c>
      <c r="P4" s="627">
        <v>0</v>
      </c>
      <c r="Q4" s="626">
        <v>12609</v>
      </c>
      <c r="R4" s="626"/>
      <c r="S4" s="627">
        <v>103107</v>
      </c>
      <c r="T4" s="628">
        <v>-4212</v>
      </c>
      <c r="U4" s="628">
        <v>98895</v>
      </c>
    </row>
    <row r="5" spans="1:22" x14ac:dyDescent="0.25">
      <c r="A5" s="623">
        <v>71786</v>
      </c>
      <c r="B5" s="624" t="s">
        <v>1145</v>
      </c>
      <c r="C5" s="625">
        <v>4.3699999999999998E-5</v>
      </c>
      <c r="D5" s="625">
        <v>4.2799999999999997E-5</v>
      </c>
      <c r="E5" s="626">
        <v>14665</v>
      </c>
      <c r="F5" s="626">
        <v>-23622</v>
      </c>
      <c r="G5" s="626">
        <v>19612</v>
      </c>
      <c r="H5" s="626"/>
      <c r="I5" s="627">
        <v>0</v>
      </c>
      <c r="J5" s="627">
        <v>39414</v>
      </c>
      <c r="K5" s="627">
        <v>0</v>
      </c>
      <c r="L5" s="626">
        <v>0</v>
      </c>
      <c r="M5" s="626"/>
      <c r="N5" s="627">
        <v>4610</v>
      </c>
      <c r="O5" s="627">
        <v>44997</v>
      </c>
      <c r="P5" s="627">
        <v>0</v>
      </c>
      <c r="Q5" s="626">
        <v>5334</v>
      </c>
      <c r="R5" s="626"/>
      <c r="S5" s="627">
        <v>8954</v>
      </c>
      <c r="T5" s="628">
        <v>-1647</v>
      </c>
      <c r="U5" s="628">
        <v>7307</v>
      </c>
    </row>
    <row r="6" spans="1:22" x14ac:dyDescent="0.25">
      <c r="A6" s="623">
        <v>72265</v>
      </c>
      <c r="B6" s="624" t="s">
        <v>1146</v>
      </c>
      <c r="C6" s="625">
        <v>1.3329999999999999E-4</v>
      </c>
      <c r="D6" s="625">
        <v>1.25E-4</v>
      </c>
      <c r="E6" s="626">
        <v>46669</v>
      </c>
      <c r="F6" s="626">
        <v>-68989.75</v>
      </c>
      <c r="G6" s="626">
        <v>59824</v>
      </c>
      <c r="H6" s="626"/>
      <c r="I6" s="627">
        <v>0</v>
      </c>
      <c r="J6" s="627">
        <v>120225</v>
      </c>
      <c r="K6" s="627">
        <v>0</v>
      </c>
      <c r="L6" s="626">
        <v>10838.75</v>
      </c>
      <c r="M6" s="626"/>
      <c r="N6" s="627">
        <v>14062</v>
      </c>
      <c r="O6" s="627">
        <v>137257</v>
      </c>
      <c r="P6" s="627">
        <v>0</v>
      </c>
      <c r="Q6" s="626">
        <v>321</v>
      </c>
      <c r="R6" s="626"/>
      <c r="S6" s="627">
        <v>27313</v>
      </c>
      <c r="T6" s="628">
        <v>3541</v>
      </c>
      <c r="U6" s="628">
        <v>30854</v>
      </c>
    </row>
    <row r="7" spans="1:22" x14ac:dyDescent="0.25">
      <c r="A7" s="623">
        <v>72657</v>
      </c>
      <c r="B7" s="624" t="s">
        <v>1147</v>
      </c>
      <c r="C7" s="625">
        <v>4.0800000000000002E-5</v>
      </c>
      <c r="D7" s="625">
        <v>4.6799999999999999E-5</v>
      </c>
      <c r="E7" s="626">
        <v>15231</v>
      </c>
      <c r="F7" s="626">
        <v>-25830</v>
      </c>
      <c r="G7" s="626">
        <v>18311</v>
      </c>
      <c r="H7" s="626"/>
      <c r="I7" s="627">
        <v>0</v>
      </c>
      <c r="J7" s="627">
        <v>36798</v>
      </c>
      <c r="K7" s="627">
        <v>0</v>
      </c>
      <c r="L7" s="626">
        <v>9882</v>
      </c>
      <c r="M7" s="626"/>
      <c r="N7" s="627">
        <v>4304</v>
      </c>
      <c r="O7" s="627">
        <v>42011</v>
      </c>
      <c r="P7" s="627">
        <v>0</v>
      </c>
      <c r="Q7" s="626">
        <v>5342</v>
      </c>
      <c r="R7" s="626"/>
      <c r="S7" s="627">
        <v>8360</v>
      </c>
      <c r="T7" s="628">
        <v>1907</v>
      </c>
      <c r="U7" s="628">
        <v>10267</v>
      </c>
    </row>
    <row r="8" spans="1:22" x14ac:dyDescent="0.25">
      <c r="A8" s="623">
        <v>90001</v>
      </c>
      <c r="B8" s="624" t="s">
        <v>1148</v>
      </c>
      <c r="C8" s="625">
        <v>8.2339999999999996E-4</v>
      </c>
      <c r="D8" s="625">
        <v>8.3210000000000001E-4</v>
      </c>
      <c r="E8" s="626">
        <v>336108</v>
      </c>
      <c r="F8" s="626">
        <v>-459251</v>
      </c>
      <c r="G8" s="626">
        <v>369537</v>
      </c>
      <c r="H8" s="626"/>
      <c r="I8" s="627">
        <v>0</v>
      </c>
      <c r="J8" s="627">
        <v>742638</v>
      </c>
      <c r="K8" s="627">
        <v>0</v>
      </c>
      <c r="L8" s="626">
        <v>6644</v>
      </c>
      <c r="M8" s="626"/>
      <c r="N8" s="627">
        <v>86863</v>
      </c>
      <c r="O8" s="627">
        <v>847844</v>
      </c>
      <c r="P8" s="627">
        <v>0</v>
      </c>
      <c r="Q8" s="626">
        <v>6162</v>
      </c>
      <c r="R8" s="626"/>
      <c r="S8" s="627">
        <v>168716</v>
      </c>
      <c r="T8" s="628">
        <v>609</v>
      </c>
      <c r="U8" s="628">
        <v>169325</v>
      </c>
    </row>
    <row r="9" spans="1:22" x14ac:dyDescent="0.25">
      <c r="A9" s="623">
        <v>90002</v>
      </c>
      <c r="B9" s="624" t="s">
        <v>1149</v>
      </c>
      <c r="C9" s="625">
        <v>1.15E-5</v>
      </c>
      <c r="D9" s="625">
        <v>1.24E-5</v>
      </c>
      <c r="E9" s="626">
        <v>6024</v>
      </c>
      <c r="F9" s="626">
        <v>-6844</v>
      </c>
      <c r="G9" s="626">
        <v>5161</v>
      </c>
      <c r="H9" s="626"/>
      <c r="I9" s="627">
        <v>0</v>
      </c>
      <c r="J9" s="627">
        <v>10372</v>
      </c>
      <c r="K9" s="627">
        <v>0</v>
      </c>
      <c r="L9" s="626">
        <v>648</v>
      </c>
      <c r="M9" s="626"/>
      <c r="N9" s="627">
        <v>1213</v>
      </c>
      <c r="O9" s="627">
        <v>11841</v>
      </c>
      <c r="P9" s="627">
        <v>0</v>
      </c>
      <c r="Q9" s="626">
        <v>0</v>
      </c>
      <c r="R9" s="626"/>
      <c r="S9" s="627">
        <v>2356</v>
      </c>
      <c r="T9" s="628">
        <v>186</v>
      </c>
      <c r="U9" s="628">
        <v>2543</v>
      </c>
    </row>
    <row r="10" spans="1:22" x14ac:dyDescent="0.25">
      <c r="A10" s="623">
        <v>90011</v>
      </c>
      <c r="B10" s="624" t="s">
        <v>1150</v>
      </c>
      <c r="C10" s="625">
        <v>2.2800000000000001E-4</v>
      </c>
      <c r="D10" s="625">
        <v>2.24E-4</v>
      </c>
      <c r="E10" s="626">
        <v>80949</v>
      </c>
      <c r="F10" s="626">
        <v>-123630</v>
      </c>
      <c r="G10" s="626">
        <v>102325</v>
      </c>
      <c r="H10" s="626"/>
      <c r="I10" s="627">
        <v>0</v>
      </c>
      <c r="J10" s="627">
        <v>205637</v>
      </c>
      <c r="K10" s="627">
        <v>0</v>
      </c>
      <c r="L10" s="626">
        <v>6945.77</v>
      </c>
      <c r="M10" s="626"/>
      <c r="N10" s="627">
        <v>24052</v>
      </c>
      <c r="O10" s="627">
        <v>234769</v>
      </c>
      <c r="P10" s="627">
        <v>0</v>
      </c>
      <c r="Q10" s="626">
        <v>6814</v>
      </c>
      <c r="R10" s="626"/>
      <c r="S10" s="627">
        <v>46718</v>
      </c>
      <c r="T10" s="628">
        <v>539</v>
      </c>
      <c r="U10" s="628">
        <v>47257</v>
      </c>
    </row>
    <row r="11" spans="1:22" x14ac:dyDescent="0.25">
      <c r="A11" s="623">
        <v>90092</v>
      </c>
      <c r="B11" s="624" t="s">
        <v>1151</v>
      </c>
      <c r="C11" s="625">
        <v>4.8670000000000001E-4</v>
      </c>
      <c r="D11" s="625">
        <v>5.7660000000000003E-4</v>
      </c>
      <c r="E11" s="626">
        <v>201021</v>
      </c>
      <c r="F11" s="626">
        <v>-318236</v>
      </c>
      <c r="G11" s="626">
        <v>218428</v>
      </c>
      <c r="H11" s="626"/>
      <c r="I11" s="627">
        <v>0</v>
      </c>
      <c r="J11" s="627">
        <v>438963</v>
      </c>
      <c r="K11" s="627">
        <v>0</v>
      </c>
      <c r="L11" s="626">
        <v>0</v>
      </c>
      <c r="M11" s="626"/>
      <c r="N11" s="627">
        <v>51343</v>
      </c>
      <c r="O11" s="627">
        <v>501149</v>
      </c>
      <c r="P11" s="627">
        <v>0</v>
      </c>
      <c r="Q11" s="626">
        <v>100977</v>
      </c>
      <c r="R11" s="626"/>
      <c r="S11" s="627">
        <v>99726</v>
      </c>
      <c r="T11" s="628">
        <v>-29320</v>
      </c>
      <c r="U11" s="628">
        <v>70405</v>
      </c>
    </row>
    <row r="12" spans="1:22" x14ac:dyDescent="0.25">
      <c r="A12" s="623">
        <v>90096</v>
      </c>
      <c r="B12" s="624" t="s">
        <v>1152</v>
      </c>
      <c r="C12" s="625">
        <v>1.4866E-3</v>
      </c>
      <c r="D12" s="625">
        <v>1.5548999999999999E-3</v>
      </c>
      <c r="E12" s="626">
        <v>717058</v>
      </c>
      <c r="F12" s="626">
        <v>-858177</v>
      </c>
      <c r="G12" s="626">
        <v>667177</v>
      </c>
      <c r="H12" s="626"/>
      <c r="I12" s="627">
        <v>0</v>
      </c>
      <c r="J12" s="627">
        <v>1340788</v>
      </c>
      <c r="K12" s="627">
        <v>0</v>
      </c>
      <c r="L12" s="626">
        <v>114407</v>
      </c>
      <c r="M12" s="626"/>
      <c r="N12" s="627">
        <v>156826</v>
      </c>
      <c r="O12" s="627">
        <v>1530733</v>
      </c>
      <c r="P12" s="627">
        <v>0</v>
      </c>
      <c r="Q12" s="626">
        <v>0</v>
      </c>
      <c r="R12" s="626"/>
      <c r="S12" s="627">
        <v>304607</v>
      </c>
      <c r="T12" s="628">
        <v>35405</v>
      </c>
      <c r="U12" s="628">
        <v>340012</v>
      </c>
    </row>
    <row r="13" spans="1:22" x14ac:dyDescent="0.25">
      <c r="A13" s="623">
        <v>90098</v>
      </c>
      <c r="B13" s="624" t="s">
        <v>1153</v>
      </c>
      <c r="C13" s="625">
        <v>5.0869999999999995E-4</v>
      </c>
      <c r="D13" s="625">
        <v>5.4469999999999996E-4</v>
      </c>
      <c r="E13" s="626">
        <v>208078</v>
      </c>
      <c r="F13" s="626">
        <v>-300630</v>
      </c>
      <c r="G13" s="626">
        <v>228302</v>
      </c>
      <c r="H13" s="626"/>
      <c r="I13" s="627">
        <v>0</v>
      </c>
      <c r="J13" s="627">
        <v>458805</v>
      </c>
      <c r="K13" s="627">
        <v>0</v>
      </c>
      <c r="L13" s="626">
        <v>0</v>
      </c>
      <c r="M13" s="626"/>
      <c r="N13" s="627">
        <v>53664</v>
      </c>
      <c r="O13" s="627">
        <v>523802</v>
      </c>
      <c r="P13" s="627">
        <v>0</v>
      </c>
      <c r="Q13" s="626">
        <v>78092</v>
      </c>
      <c r="R13" s="626"/>
      <c r="S13" s="627">
        <v>104234</v>
      </c>
      <c r="T13" s="628">
        <v>-24304</v>
      </c>
      <c r="U13" s="628">
        <v>79929</v>
      </c>
    </row>
    <row r="14" spans="1:22" x14ac:dyDescent="0.25">
      <c r="A14" s="623">
        <v>90099</v>
      </c>
      <c r="B14" s="624" t="s">
        <v>1154</v>
      </c>
      <c r="C14" s="625">
        <v>5.9599999999999996E-4</v>
      </c>
      <c r="D14" s="625">
        <v>6.1160000000000001E-4</v>
      </c>
      <c r="E14" s="626">
        <v>242589</v>
      </c>
      <c r="F14" s="626">
        <v>-337553</v>
      </c>
      <c r="G14" s="626">
        <v>267481</v>
      </c>
      <c r="H14" s="626"/>
      <c r="I14" s="627">
        <v>0</v>
      </c>
      <c r="J14" s="627">
        <v>537542</v>
      </c>
      <c r="K14" s="627">
        <v>0</v>
      </c>
      <c r="L14" s="626">
        <v>7269</v>
      </c>
      <c r="M14" s="626"/>
      <c r="N14" s="627">
        <v>62874</v>
      </c>
      <c r="O14" s="627">
        <v>613693</v>
      </c>
      <c r="P14" s="627">
        <v>0</v>
      </c>
      <c r="Q14" s="626">
        <v>11539</v>
      </c>
      <c r="R14" s="626"/>
      <c r="S14" s="627">
        <v>122122</v>
      </c>
      <c r="T14" s="628">
        <v>-590</v>
      </c>
      <c r="U14" s="628">
        <v>121532</v>
      </c>
    </row>
    <row r="15" spans="1:22" x14ac:dyDescent="0.25">
      <c r="A15" s="623">
        <v>90101</v>
      </c>
      <c r="B15" s="624" t="s">
        <v>1155</v>
      </c>
      <c r="C15" s="625">
        <v>6.1599000000000003E-3</v>
      </c>
      <c r="D15" s="625">
        <v>5.9338999999999998E-3</v>
      </c>
      <c r="E15" s="626">
        <v>2535237</v>
      </c>
      <c r="F15" s="626">
        <v>-3275026</v>
      </c>
      <c r="G15" s="626">
        <v>2764526</v>
      </c>
      <c r="H15" s="626"/>
      <c r="I15" s="627">
        <v>0</v>
      </c>
      <c r="J15" s="627">
        <v>5555712</v>
      </c>
      <c r="K15" s="627">
        <v>0</v>
      </c>
      <c r="L15" s="626">
        <v>174650</v>
      </c>
      <c r="M15" s="626"/>
      <c r="N15" s="627">
        <v>649826</v>
      </c>
      <c r="O15" s="627">
        <v>6342769</v>
      </c>
      <c r="P15" s="627">
        <v>0</v>
      </c>
      <c r="Q15" s="626">
        <v>77366.25</v>
      </c>
      <c r="R15" s="626"/>
      <c r="S15" s="627">
        <v>1262176</v>
      </c>
      <c r="T15" s="628">
        <v>19845</v>
      </c>
      <c r="U15" s="628">
        <v>1282021</v>
      </c>
    </row>
    <row r="16" spans="1:22" x14ac:dyDescent="0.25">
      <c r="A16" s="623">
        <v>90111</v>
      </c>
      <c r="B16" s="624" t="s">
        <v>1156</v>
      </c>
      <c r="C16" s="625">
        <v>4.9893000000000003E-3</v>
      </c>
      <c r="D16" s="625">
        <v>4.9829000000000002E-3</v>
      </c>
      <c r="E16" s="626">
        <v>1978901</v>
      </c>
      <c r="F16" s="626">
        <v>-2750152</v>
      </c>
      <c r="G16" s="626">
        <v>2239168</v>
      </c>
      <c r="H16" s="626"/>
      <c r="I16" s="627">
        <v>0</v>
      </c>
      <c r="J16" s="627">
        <v>4499929</v>
      </c>
      <c r="K16" s="627">
        <v>0</v>
      </c>
      <c r="L16" s="626">
        <v>0</v>
      </c>
      <c r="M16" s="626"/>
      <c r="N16" s="627">
        <v>526336</v>
      </c>
      <c r="O16" s="627">
        <v>5137417</v>
      </c>
      <c r="P16" s="627">
        <v>0</v>
      </c>
      <c r="Q16" s="626">
        <v>115434</v>
      </c>
      <c r="R16" s="626"/>
      <c r="S16" s="627">
        <v>1022318</v>
      </c>
      <c r="T16" s="628">
        <v>-35585</v>
      </c>
      <c r="U16" s="628">
        <v>986733</v>
      </c>
    </row>
    <row r="17" spans="1:21" x14ac:dyDescent="0.25">
      <c r="A17" s="623">
        <v>90114</v>
      </c>
      <c r="B17" s="624" t="s">
        <v>1157</v>
      </c>
      <c r="C17" s="625">
        <v>1.0043000000000001E-3</v>
      </c>
      <c r="D17" s="625">
        <v>9.8620000000000001E-4</v>
      </c>
      <c r="E17" s="626">
        <v>920587</v>
      </c>
      <c r="F17" s="626">
        <v>-544302</v>
      </c>
      <c r="G17" s="626">
        <v>450724</v>
      </c>
      <c r="H17" s="626"/>
      <c r="I17" s="627">
        <v>0</v>
      </c>
      <c r="J17" s="627">
        <v>905794</v>
      </c>
      <c r="K17" s="627">
        <v>0</v>
      </c>
      <c r="L17" s="626">
        <v>439606</v>
      </c>
      <c r="M17" s="626"/>
      <c r="N17" s="627">
        <v>105947</v>
      </c>
      <c r="O17" s="627">
        <v>1034115</v>
      </c>
      <c r="P17" s="627">
        <v>0</v>
      </c>
      <c r="Q17" s="626">
        <v>0</v>
      </c>
      <c r="R17" s="626"/>
      <c r="S17" s="627">
        <v>205783</v>
      </c>
      <c r="T17" s="628">
        <v>116699</v>
      </c>
      <c r="U17" s="628">
        <v>322482</v>
      </c>
    </row>
    <row r="18" spans="1:21" x14ac:dyDescent="0.25">
      <c r="A18" s="623">
        <v>90117</v>
      </c>
      <c r="B18" s="624" t="s">
        <v>1158</v>
      </c>
      <c r="C18" s="625">
        <v>1.3019999999999999E-4</v>
      </c>
      <c r="D18" s="625">
        <v>1.3349999999999999E-4</v>
      </c>
      <c r="E18" s="626">
        <v>78347</v>
      </c>
      <c r="F18" s="626">
        <v>-73681</v>
      </c>
      <c r="G18" s="626">
        <v>58433</v>
      </c>
      <c r="H18" s="626"/>
      <c r="I18" s="627">
        <v>0</v>
      </c>
      <c r="J18" s="627">
        <v>117429</v>
      </c>
      <c r="K18" s="627">
        <v>0</v>
      </c>
      <c r="L18" s="626">
        <v>30136</v>
      </c>
      <c r="M18" s="626"/>
      <c r="N18" s="627">
        <v>13735</v>
      </c>
      <c r="O18" s="627">
        <v>134065</v>
      </c>
      <c r="P18" s="627">
        <v>0</v>
      </c>
      <c r="Q18" s="626">
        <v>0</v>
      </c>
      <c r="R18" s="626"/>
      <c r="S18" s="627">
        <v>26678</v>
      </c>
      <c r="T18" s="628">
        <v>8797</v>
      </c>
      <c r="U18" s="628">
        <v>35475</v>
      </c>
    </row>
    <row r="19" spans="1:21" x14ac:dyDescent="0.25">
      <c r="A19" s="623">
        <v>90121</v>
      </c>
      <c r="B19" s="624" t="s">
        <v>1159</v>
      </c>
      <c r="C19" s="625">
        <v>1.1057E-3</v>
      </c>
      <c r="D19" s="625">
        <v>1.0882000000000001E-3</v>
      </c>
      <c r="E19" s="626">
        <v>400927</v>
      </c>
      <c r="F19" s="626">
        <v>-600597</v>
      </c>
      <c r="G19" s="626">
        <v>496232</v>
      </c>
      <c r="H19" s="626"/>
      <c r="I19" s="627">
        <v>0</v>
      </c>
      <c r="J19" s="627">
        <v>997249</v>
      </c>
      <c r="K19" s="627">
        <v>0</v>
      </c>
      <c r="L19" s="626">
        <v>9798</v>
      </c>
      <c r="M19" s="626"/>
      <c r="N19" s="627">
        <v>116644</v>
      </c>
      <c r="O19" s="627">
        <v>1138525</v>
      </c>
      <c r="P19" s="627">
        <v>0</v>
      </c>
      <c r="Q19" s="626">
        <v>27750</v>
      </c>
      <c r="R19" s="626"/>
      <c r="S19" s="627">
        <v>226560</v>
      </c>
      <c r="T19" s="628">
        <v>-3988</v>
      </c>
      <c r="U19" s="628">
        <v>222573</v>
      </c>
    </row>
    <row r="20" spans="1:21" x14ac:dyDescent="0.25">
      <c r="A20" s="623">
        <v>90131</v>
      </c>
      <c r="B20" s="624" t="s">
        <v>1160</v>
      </c>
      <c r="C20" s="625">
        <v>4.727E-4</v>
      </c>
      <c r="D20" s="625">
        <v>4.504E-4</v>
      </c>
      <c r="E20" s="626">
        <v>169756</v>
      </c>
      <c r="F20" s="626">
        <v>-248584</v>
      </c>
      <c r="G20" s="626">
        <v>212145</v>
      </c>
      <c r="H20" s="626"/>
      <c r="I20" s="627">
        <v>0</v>
      </c>
      <c r="J20" s="627">
        <v>426336</v>
      </c>
      <c r="K20" s="627">
        <v>0</v>
      </c>
      <c r="L20" s="626">
        <v>0</v>
      </c>
      <c r="M20" s="626"/>
      <c r="N20" s="627">
        <v>49867</v>
      </c>
      <c r="O20" s="627">
        <v>486733</v>
      </c>
      <c r="P20" s="627">
        <v>0</v>
      </c>
      <c r="Q20" s="626">
        <v>19916</v>
      </c>
      <c r="R20" s="626"/>
      <c r="S20" s="627">
        <v>96857</v>
      </c>
      <c r="T20" s="628">
        <v>-6460</v>
      </c>
      <c r="U20" s="628">
        <v>90397</v>
      </c>
    </row>
    <row r="21" spans="1:21" x14ac:dyDescent="0.25">
      <c r="A21" s="623">
        <v>90141</v>
      </c>
      <c r="B21" s="624" t="s">
        <v>1161</v>
      </c>
      <c r="C21" s="625">
        <v>1.5919999999999999E-4</v>
      </c>
      <c r="D21" s="625">
        <v>1.56E-4</v>
      </c>
      <c r="E21" s="626">
        <v>64709</v>
      </c>
      <c r="F21" s="626">
        <v>-86099</v>
      </c>
      <c r="G21" s="626">
        <v>71448</v>
      </c>
      <c r="H21" s="626"/>
      <c r="I21" s="627">
        <v>0</v>
      </c>
      <c r="J21" s="627">
        <v>143585</v>
      </c>
      <c r="K21" s="627">
        <v>0</v>
      </c>
      <c r="L21" s="626">
        <v>3000</v>
      </c>
      <c r="M21" s="626"/>
      <c r="N21" s="627">
        <v>16794</v>
      </c>
      <c r="O21" s="627">
        <v>163926</v>
      </c>
      <c r="P21" s="627">
        <v>0</v>
      </c>
      <c r="Q21" s="626">
        <v>0</v>
      </c>
      <c r="R21" s="626"/>
      <c r="S21" s="627">
        <v>32620</v>
      </c>
      <c r="T21" s="628">
        <v>857</v>
      </c>
      <c r="U21" s="628">
        <v>33477</v>
      </c>
    </row>
    <row r="22" spans="1:21" x14ac:dyDescent="0.25">
      <c r="A22" s="623">
        <v>90151</v>
      </c>
      <c r="B22" s="624" t="s">
        <v>1162</v>
      </c>
      <c r="C22" s="625">
        <v>9.7999999999999993E-6</v>
      </c>
      <c r="D22" s="625">
        <v>9.9000000000000001E-6</v>
      </c>
      <c r="E22" s="626">
        <v>2809</v>
      </c>
      <c r="F22" s="626">
        <v>-5464</v>
      </c>
      <c r="G22" s="626">
        <v>4398</v>
      </c>
      <c r="H22" s="626"/>
      <c r="I22" s="627">
        <v>0</v>
      </c>
      <c r="J22" s="627">
        <v>8839</v>
      </c>
      <c r="K22" s="627">
        <v>0</v>
      </c>
      <c r="L22" s="626">
        <v>0</v>
      </c>
      <c r="M22" s="626"/>
      <c r="N22" s="627">
        <v>1034</v>
      </c>
      <c r="O22" s="627">
        <v>10091</v>
      </c>
      <c r="P22" s="627">
        <v>0</v>
      </c>
      <c r="Q22" s="626">
        <v>1774</v>
      </c>
      <c r="R22" s="626"/>
      <c r="S22" s="627">
        <v>2008</v>
      </c>
      <c r="T22" s="628">
        <v>-520</v>
      </c>
      <c r="U22" s="628">
        <v>1488</v>
      </c>
    </row>
    <row r="23" spans="1:21" x14ac:dyDescent="0.25">
      <c r="A23" s="623">
        <v>90161</v>
      </c>
      <c r="B23" s="624" t="s">
        <v>1163</v>
      </c>
      <c r="C23" s="625">
        <v>2.6299999999999999E-5</v>
      </c>
      <c r="D23" s="625">
        <v>2.6100000000000001E-5</v>
      </c>
      <c r="E23" s="626">
        <v>13826</v>
      </c>
      <c r="F23" s="626">
        <v>-14405</v>
      </c>
      <c r="G23" s="626">
        <v>11803</v>
      </c>
      <c r="H23" s="626"/>
      <c r="I23" s="627">
        <v>0</v>
      </c>
      <c r="J23" s="627">
        <v>23720</v>
      </c>
      <c r="K23" s="627">
        <v>0</v>
      </c>
      <c r="L23" s="626">
        <v>2833</v>
      </c>
      <c r="M23" s="626"/>
      <c r="N23" s="627">
        <v>2774</v>
      </c>
      <c r="O23" s="627">
        <v>27081</v>
      </c>
      <c r="P23" s="627">
        <v>0</v>
      </c>
      <c r="Q23" s="626">
        <v>0</v>
      </c>
      <c r="R23" s="626"/>
      <c r="S23" s="627">
        <v>5389</v>
      </c>
      <c r="T23" s="628">
        <v>759</v>
      </c>
      <c r="U23" s="628">
        <v>6148</v>
      </c>
    </row>
    <row r="24" spans="1:21" x14ac:dyDescent="0.25">
      <c r="A24" s="623">
        <v>90201</v>
      </c>
      <c r="B24" s="624" t="s">
        <v>1164</v>
      </c>
      <c r="C24" s="625">
        <v>1.1842999999999999E-3</v>
      </c>
      <c r="D24" s="625">
        <v>1.1757E-3</v>
      </c>
      <c r="E24" s="626">
        <v>492684</v>
      </c>
      <c r="F24" s="626">
        <v>-648890</v>
      </c>
      <c r="G24" s="626">
        <v>531507</v>
      </c>
      <c r="H24" s="626"/>
      <c r="I24" s="627">
        <v>0</v>
      </c>
      <c r="J24" s="627">
        <v>1068139</v>
      </c>
      <c r="K24" s="627">
        <v>0</v>
      </c>
      <c r="L24" s="626">
        <v>104767</v>
      </c>
      <c r="M24" s="626"/>
      <c r="N24" s="627">
        <v>124935</v>
      </c>
      <c r="O24" s="627">
        <v>1219458</v>
      </c>
      <c r="P24" s="627">
        <v>0</v>
      </c>
      <c r="Q24" s="626">
        <v>0</v>
      </c>
      <c r="R24" s="626"/>
      <c r="S24" s="627">
        <v>242665</v>
      </c>
      <c r="T24" s="628">
        <v>34073</v>
      </c>
      <c r="U24" s="628">
        <v>276739</v>
      </c>
    </row>
    <row r="25" spans="1:21" x14ac:dyDescent="0.25">
      <c r="A25" s="623">
        <v>90203</v>
      </c>
      <c r="B25" s="624" t="s">
        <v>1165</v>
      </c>
      <c r="C25" s="625">
        <v>2.7530000000000002E-4</v>
      </c>
      <c r="D25" s="625">
        <v>2.6909999999999998E-4</v>
      </c>
      <c r="E25" s="626">
        <v>112616</v>
      </c>
      <c r="F25" s="626">
        <v>-148521</v>
      </c>
      <c r="G25" s="626">
        <v>123553</v>
      </c>
      <c r="H25" s="626"/>
      <c r="I25" s="627">
        <v>0</v>
      </c>
      <c r="J25" s="627">
        <v>248297</v>
      </c>
      <c r="K25" s="627">
        <v>0</v>
      </c>
      <c r="L25" s="626">
        <v>4522</v>
      </c>
      <c r="M25" s="626"/>
      <c r="N25" s="627">
        <v>29042</v>
      </c>
      <c r="O25" s="627">
        <v>283473</v>
      </c>
      <c r="P25" s="627">
        <v>0</v>
      </c>
      <c r="Q25" s="626">
        <v>20977.84</v>
      </c>
      <c r="R25" s="626"/>
      <c r="S25" s="627">
        <v>56410</v>
      </c>
      <c r="T25" s="628">
        <v>-5832</v>
      </c>
      <c r="U25" s="628">
        <v>50577</v>
      </c>
    </row>
    <row r="26" spans="1:21" x14ac:dyDescent="0.25">
      <c r="A26" s="623">
        <v>90205</v>
      </c>
      <c r="B26" s="624" t="s">
        <v>1166</v>
      </c>
      <c r="C26" s="625">
        <v>3.5299999999999997E-5</v>
      </c>
      <c r="D26" s="625">
        <v>3.5500000000000002E-5</v>
      </c>
      <c r="E26" s="626">
        <v>15554</v>
      </c>
      <c r="F26" s="626">
        <v>-19593</v>
      </c>
      <c r="G26" s="626">
        <v>15842</v>
      </c>
      <c r="H26" s="626"/>
      <c r="I26" s="627">
        <v>0</v>
      </c>
      <c r="J26" s="627">
        <v>31838</v>
      </c>
      <c r="K26" s="627">
        <v>0</v>
      </c>
      <c r="L26" s="626">
        <v>1987</v>
      </c>
      <c r="M26" s="626"/>
      <c r="N26" s="627">
        <v>3724</v>
      </c>
      <c r="O26" s="627">
        <v>36348</v>
      </c>
      <c r="P26" s="627">
        <v>0</v>
      </c>
      <c r="Q26" s="626">
        <v>0</v>
      </c>
      <c r="R26" s="626"/>
      <c r="S26" s="627">
        <v>7233</v>
      </c>
      <c r="T26" s="628">
        <v>609</v>
      </c>
      <c r="U26" s="628">
        <v>7842</v>
      </c>
    </row>
    <row r="27" spans="1:21" x14ac:dyDescent="0.25">
      <c r="A27" s="623">
        <v>90206</v>
      </c>
      <c r="B27" s="624" t="s">
        <v>1167</v>
      </c>
      <c r="C27" s="625">
        <v>4.3810000000000002E-4</v>
      </c>
      <c r="D27" s="625">
        <v>4.416E-4</v>
      </c>
      <c r="E27" s="626">
        <v>175028</v>
      </c>
      <c r="F27" s="626">
        <v>-243727</v>
      </c>
      <c r="G27" s="626">
        <v>196617</v>
      </c>
      <c r="H27" s="626"/>
      <c r="I27" s="627">
        <v>0</v>
      </c>
      <c r="J27" s="627">
        <v>395129</v>
      </c>
      <c r="K27" s="627">
        <v>0</v>
      </c>
      <c r="L27" s="626">
        <v>27116.31</v>
      </c>
      <c r="M27" s="626"/>
      <c r="N27" s="627">
        <v>46216</v>
      </c>
      <c r="O27" s="627">
        <v>451106</v>
      </c>
      <c r="P27" s="627">
        <v>0</v>
      </c>
      <c r="Q27" s="626">
        <v>5500</v>
      </c>
      <c r="R27" s="626"/>
      <c r="S27" s="627">
        <v>89768</v>
      </c>
      <c r="T27" s="628">
        <v>7629</v>
      </c>
      <c r="U27" s="628">
        <v>97397</v>
      </c>
    </row>
    <row r="28" spans="1:21" x14ac:dyDescent="0.25">
      <c r="A28" s="623">
        <v>90211</v>
      </c>
      <c r="B28" s="624" t="s">
        <v>1168</v>
      </c>
      <c r="C28" s="625">
        <v>1.708E-4</v>
      </c>
      <c r="D28" s="625">
        <v>1.719E-4</v>
      </c>
      <c r="E28" s="626">
        <v>64942</v>
      </c>
      <c r="F28" s="626">
        <v>-94875</v>
      </c>
      <c r="G28" s="626">
        <v>76654</v>
      </c>
      <c r="H28" s="626"/>
      <c r="I28" s="627">
        <v>0</v>
      </c>
      <c r="J28" s="627">
        <v>154047</v>
      </c>
      <c r="K28" s="627">
        <v>0</v>
      </c>
      <c r="L28" s="626">
        <v>0</v>
      </c>
      <c r="M28" s="626"/>
      <c r="N28" s="627">
        <v>18018</v>
      </c>
      <c r="O28" s="627">
        <v>175871</v>
      </c>
      <c r="P28" s="627">
        <v>0</v>
      </c>
      <c r="Q28" s="626">
        <v>7605</v>
      </c>
      <c r="R28" s="626"/>
      <c r="S28" s="627">
        <v>34997</v>
      </c>
      <c r="T28" s="628">
        <v>-2211</v>
      </c>
      <c r="U28" s="628">
        <v>32786</v>
      </c>
    </row>
    <row r="29" spans="1:21" x14ac:dyDescent="0.25">
      <c r="A29" s="623">
        <v>90301</v>
      </c>
      <c r="B29" s="624" t="s">
        <v>1169</v>
      </c>
      <c r="C29" s="625">
        <v>6.2489999999999996E-4</v>
      </c>
      <c r="D29" s="625">
        <v>6.0329999999999997E-4</v>
      </c>
      <c r="E29" s="626">
        <v>247435</v>
      </c>
      <c r="F29" s="626">
        <v>-332972</v>
      </c>
      <c r="G29" s="626">
        <v>280451</v>
      </c>
      <c r="H29" s="626"/>
      <c r="I29" s="627">
        <v>0</v>
      </c>
      <c r="J29" s="627">
        <v>563607</v>
      </c>
      <c r="K29" s="627">
        <v>0</v>
      </c>
      <c r="L29" s="626">
        <v>9055</v>
      </c>
      <c r="M29" s="626"/>
      <c r="N29" s="627">
        <v>65923</v>
      </c>
      <c r="O29" s="627">
        <v>643451</v>
      </c>
      <c r="P29" s="627">
        <v>0</v>
      </c>
      <c r="Q29" s="626">
        <v>15592.85</v>
      </c>
      <c r="R29" s="626"/>
      <c r="S29" s="627">
        <v>128043</v>
      </c>
      <c r="T29" s="628">
        <v>-2845</v>
      </c>
      <c r="U29" s="628">
        <v>125199</v>
      </c>
    </row>
    <row r="30" spans="1:21" x14ac:dyDescent="0.25">
      <c r="A30" s="623">
        <v>90305</v>
      </c>
      <c r="B30" s="624" t="s">
        <v>1170</v>
      </c>
      <c r="C30" s="625">
        <v>1.773E-4</v>
      </c>
      <c r="D30" s="625">
        <v>1.6589999999999999E-4</v>
      </c>
      <c r="E30" s="626">
        <v>86383</v>
      </c>
      <c r="F30" s="626">
        <v>-91563</v>
      </c>
      <c r="G30" s="626">
        <v>79571</v>
      </c>
      <c r="H30" s="626"/>
      <c r="I30" s="627">
        <v>0</v>
      </c>
      <c r="J30" s="627">
        <v>159910</v>
      </c>
      <c r="K30" s="627">
        <v>0</v>
      </c>
      <c r="L30" s="626">
        <v>25185</v>
      </c>
      <c r="M30" s="626"/>
      <c r="N30" s="627">
        <v>18704</v>
      </c>
      <c r="O30" s="627">
        <v>182564</v>
      </c>
      <c r="P30" s="627">
        <v>0</v>
      </c>
      <c r="Q30" s="626">
        <v>0</v>
      </c>
      <c r="R30" s="626"/>
      <c r="S30" s="627">
        <v>36329</v>
      </c>
      <c r="T30" s="628">
        <v>7036</v>
      </c>
      <c r="U30" s="628">
        <v>43365</v>
      </c>
    </row>
    <row r="31" spans="1:21" x14ac:dyDescent="0.25">
      <c r="A31" s="623">
        <v>90307</v>
      </c>
      <c r="B31" s="624" t="s">
        <v>1171</v>
      </c>
      <c r="C31" s="625">
        <v>8.4999999999999999E-6</v>
      </c>
      <c r="D31" s="625">
        <v>8.6000000000000007E-6</v>
      </c>
      <c r="E31" s="626">
        <v>3880</v>
      </c>
      <c r="F31" s="626">
        <v>-4746</v>
      </c>
      <c r="G31" s="626">
        <v>3815</v>
      </c>
      <c r="H31" s="626"/>
      <c r="I31" s="627">
        <v>0</v>
      </c>
      <c r="J31" s="627">
        <v>7666</v>
      </c>
      <c r="K31" s="627">
        <v>0</v>
      </c>
      <c r="L31" s="626">
        <v>255</v>
      </c>
      <c r="M31" s="626"/>
      <c r="N31" s="627">
        <v>897</v>
      </c>
      <c r="O31" s="627">
        <v>8752</v>
      </c>
      <c r="P31" s="627">
        <v>0</v>
      </c>
      <c r="Q31" s="626">
        <v>120</v>
      </c>
      <c r="R31" s="626"/>
      <c r="S31" s="627">
        <v>1742</v>
      </c>
      <c r="T31" s="628">
        <v>27</v>
      </c>
      <c r="U31" s="628">
        <v>1768</v>
      </c>
    </row>
    <row r="32" spans="1:21" x14ac:dyDescent="0.25">
      <c r="A32" s="623">
        <v>90401</v>
      </c>
      <c r="B32" s="624" t="s">
        <v>1172</v>
      </c>
      <c r="C32" s="625">
        <v>1.359E-3</v>
      </c>
      <c r="D32" s="625">
        <v>1.3248999999999999E-3</v>
      </c>
      <c r="E32" s="626">
        <v>599560</v>
      </c>
      <c r="F32" s="626">
        <v>-731236</v>
      </c>
      <c r="G32" s="626">
        <v>609911</v>
      </c>
      <c r="H32" s="626"/>
      <c r="I32" s="627">
        <v>0</v>
      </c>
      <c r="J32" s="627">
        <v>1225704</v>
      </c>
      <c r="K32" s="627">
        <v>0</v>
      </c>
      <c r="L32" s="626">
        <v>85722</v>
      </c>
      <c r="M32" s="626"/>
      <c r="N32" s="627">
        <v>143365</v>
      </c>
      <c r="O32" s="627">
        <v>1399345</v>
      </c>
      <c r="P32" s="627">
        <v>0</v>
      </c>
      <c r="Q32" s="626">
        <v>0</v>
      </c>
      <c r="R32" s="626"/>
      <c r="S32" s="627">
        <v>278462</v>
      </c>
      <c r="T32" s="628">
        <v>24356</v>
      </c>
      <c r="U32" s="628">
        <v>302818</v>
      </c>
    </row>
    <row r="33" spans="1:21" x14ac:dyDescent="0.25">
      <c r="A33" s="623">
        <v>90411</v>
      </c>
      <c r="B33" s="624" t="s">
        <v>1173</v>
      </c>
      <c r="C33" s="625">
        <v>4.0069999999999998E-4</v>
      </c>
      <c r="D33" s="625">
        <v>4.1399999999999998E-4</v>
      </c>
      <c r="E33" s="626">
        <v>150371</v>
      </c>
      <c r="F33" s="626">
        <v>-228494</v>
      </c>
      <c r="G33" s="626">
        <v>179832</v>
      </c>
      <c r="H33" s="626"/>
      <c r="I33" s="627">
        <v>0</v>
      </c>
      <c r="J33" s="627">
        <v>361398</v>
      </c>
      <c r="K33" s="627">
        <v>0</v>
      </c>
      <c r="L33" s="626">
        <v>0</v>
      </c>
      <c r="M33" s="626"/>
      <c r="N33" s="627">
        <v>42271</v>
      </c>
      <c r="O33" s="627">
        <v>412596</v>
      </c>
      <c r="P33" s="627">
        <v>0</v>
      </c>
      <c r="Q33" s="626">
        <v>21502</v>
      </c>
      <c r="R33" s="626"/>
      <c r="S33" s="627">
        <v>82104</v>
      </c>
      <c r="T33" s="628">
        <v>-5751</v>
      </c>
      <c r="U33" s="628">
        <v>76353</v>
      </c>
    </row>
    <row r="34" spans="1:21" x14ac:dyDescent="0.25">
      <c r="A34" s="623">
        <v>90413</v>
      </c>
      <c r="B34" s="624" t="s">
        <v>1174</v>
      </c>
      <c r="C34" s="625">
        <v>3.6399999999999997E-5</v>
      </c>
      <c r="D34" s="625">
        <v>2.8399999999999999E-5</v>
      </c>
      <c r="E34" s="626">
        <v>17121</v>
      </c>
      <c r="F34" s="626">
        <v>-15674</v>
      </c>
      <c r="G34" s="626">
        <v>16336</v>
      </c>
      <c r="H34" s="626"/>
      <c r="I34" s="627">
        <v>0</v>
      </c>
      <c r="J34" s="627">
        <v>32830</v>
      </c>
      <c r="K34" s="627">
        <v>0</v>
      </c>
      <c r="L34" s="626">
        <v>11378</v>
      </c>
      <c r="M34" s="626"/>
      <c r="N34" s="627">
        <v>3840</v>
      </c>
      <c r="O34" s="627">
        <v>37481</v>
      </c>
      <c r="P34" s="627">
        <v>0</v>
      </c>
      <c r="Q34" s="626">
        <v>0</v>
      </c>
      <c r="R34" s="626"/>
      <c r="S34" s="627">
        <v>7458</v>
      </c>
      <c r="T34" s="628">
        <v>3267</v>
      </c>
      <c r="U34" s="628">
        <v>10726</v>
      </c>
    </row>
    <row r="35" spans="1:21" x14ac:dyDescent="0.25">
      <c r="A35" s="623">
        <v>90417</v>
      </c>
      <c r="B35" s="624" t="s">
        <v>1175</v>
      </c>
      <c r="C35" s="625">
        <v>1.38E-5</v>
      </c>
      <c r="D35" s="625">
        <v>1.5400000000000002E-5</v>
      </c>
      <c r="E35" s="626">
        <v>7877</v>
      </c>
      <c r="F35" s="626">
        <v>-8500</v>
      </c>
      <c r="G35" s="626">
        <v>6193</v>
      </c>
      <c r="H35" s="626"/>
      <c r="I35" s="627">
        <v>0</v>
      </c>
      <c r="J35" s="627">
        <v>12446</v>
      </c>
      <c r="K35" s="627">
        <v>0</v>
      </c>
      <c r="L35" s="626">
        <v>1363</v>
      </c>
      <c r="M35" s="626"/>
      <c r="N35" s="627">
        <v>1456</v>
      </c>
      <c r="O35" s="627">
        <v>14210</v>
      </c>
      <c r="P35" s="627">
        <v>0</v>
      </c>
      <c r="Q35" s="626">
        <v>0</v>
      </c>
      <c r="R35" s="626"/>
      <c r="S35" s="627">
        <v>2828</v>
      </c>
      <c r="T35" s="628">
        <v>408</v>
      </c>
      <c r="U35" s="628">
        <v>3236</v>
      </c>
    </row>
    <row r="36" spans="1:21" x14ac:dyDescent="0.25">
      <c r="A36" s="623">
        <v>90421</v>
      </c>
      <c r="B36" s="624" t="s">
        <v>1176</v>
      </c>
      <c r="C36" s="625">
        <v>2.4700000000000001E-5</v>
      </c>
      <c r="D36" s="625">
        <v>2.3200000000000001E-5</v>
      </c>
      <c r="E36" s="626">
        <v>8126</v>
      </c>
      <c r="F36" s="626">
        <v>-12804</v>
      </c>
      <c r="G36" s="626">
        <v>11085</v>
      </c>
      <c r="H36" s="626"/>
      <c r="I36" s="627">
        <v>0</v>
      </c>
      <c r="J36" s="627">
        <v>22277</v>
      </c>
      <c r="K36" s="627">
        <v>0</v>
      </c>
      <c r="L36" s="626">
        <v>0</v>
      </c>
      <c r="M36" s="626"/>
      <c r="N36" s="627">
        <v>2606</v>
      </c>
      <c r="O36" s="627">
        <v>25433</v>
      </c>
      <c r="P36" s="627">
        <v>0</v>
      </c>
      <c r="Q36" s="626">
        <v>2106</v>
      </c>
      <c r="R36" s="626"/>
      <c r="S36" s="627">
        <v>5061</v>
      </c>
      <c r="T36" s="628">
        <v>-668</v>
      </c>
      <c r="U36" s="628">
        <v>4393</v>
      </c>
    </row>
    <row r="37" spans="1:21" x14ac:dyDescent="0.25">
      <c r="A37" s="623">
        <v>90431</v>
      </c>
      <c r="B37" s="624" t="s">
        <v>1177</v>
      </c>
      <c r="C37" s="625">
        <v>4.7599999999999998E-5</v>
      </c>
      <c r="D37" s="625">
        <v>3.3399999999999999E-5</v>
      </c>
      <c r="E37" s="626">
        <v>18668</v>
      </c>
      <c r="F37" s="626">
        <v>-18434</v>
      </c>
      <c r="G37" s="626">
        <v>21363</v>
      </c>
      <c r="H37" s="626"/>
      <c r="I37" s="627">
        <v>0</v>
      </c>
      <c r="J37" s="627">
        <v>42931</v>
      </c>
      <c r="K37" s="627">
        <v>0</v>
      </c>
      <c r="L37" s="626">
        <v>11716</v>
      </c>
      <c r="M37" s="626"/>
      <c r="N37" s="627">
        <v>5021</v>
      </c>
      <c r="O37" s="627">
        <v>49013</v>
      </c>
      <c r="P37" s="627">
        <v>0</v>
      </c>
      <c r="Q37" s="626">
        <v>0</v>
      </c>
      <c r="R37" s="626"/>
      <c r="S37" s="627">
        <v>9753</v>
      </c>
      <c r="T37" s="628">
        <v>3239</v>
      </c>
      <c r="U37" s="628">
        <v>12992</v>
      </c>
    </row>
    <row r="38" spans="1:21" x14ac:dyDescent="0.25">
      <c r="A38" s="623">
        <v>90441</v>
      </c>
      <c r="B38" s="624" t="s">
        <v>1178</v>
      </c>
      <c r="C38" s="625">
        <v>1.03E-5</v>
      </c>
      <c r="D38" s="625">
        <v>1.13E-5</v>
      </c>
      <c r="E38" s="626">
        <v>4748</v>
      </c>
      <c r="F38" s="626">
        <v>-6237</v>
      </c>
      <c r="G38" s="626">
        <v>4623</v>
      </c>
      <c r="H38" s="626"/>
      <c r="I38" s="627">
        <v>0</v>
      </c>
      <c r="J38" s="627">
        <v>9290</v>
      </c>
      <c r="K38" s="627">
        <v>0</v>
      </c>
      <c r="L38" s="626">
        <v>1820.91</v>
      </c>
      <c r="M38" s="626"/>
      <c r="N38" s="627">
        <v>1087</v>
      </c>
      <c r="O38" s="627">
        <v>10606</v>
      </c>
      <c r="P38" s="627">
        <v>0</v>
      </c>
      <c r="Q38" s="626">
        <v>271</v>
      </c>
      <c r="R38" s="626"/>
      <c r="S38" s="627">
        <v>2110</v>
      </c>
      <c r="T38" s="628">
        <v>538</v>
      </c>
      <c r="U38" s="628">
        <v>2648</v>
      </c>
    </row>
    <row r="39" spans="1:21" x14ac:dyDescent="0.25">
      <c r="A39" s="623">
        <v>90451</v>
      </c>
      <c r="B39" s="624" t="s">
        <v>1179</v>
      </c>
      <c r="C39" s="625">
        <v>1.2099999999999999E-5</v>
      </c>
      <c r="D39" s="625">
        <v>1.3699999999999999E-5</v>
      </c>
      <c r="E39" s="626">
        <v>5865</v>
      </c>
      <c r="F39" s="626">
        <v>-7561</v>
      </c>
      <c r="G39" s="626">
        <v>5430</v>
      </c>
      <c r="H39" s="626"/>
      <c r="I39" s="627">
        <v>0</v>
      </c>
      <c r="J39" s="627">
        <v>10913</v>
      </c>
      <c r="K39" s="627">
        <v>0</v>
      </c>
      <c r="L39" s="626">
        <v>667</v>
      </c>
      <c r="M39" s="626"/>
      <c r="N39" s="627">
        <v>1276</v>
      </c>
      <c r="O39" s="627">
        <v>12459</v>
      </c>
      <c r="P39" s="627">
        <v>0</v>
      </c>
      <c r="Q39" s="626">
        <v>390</v>
      </c>
      <c r="R39" s="626"/>
      <c r="S39" s="627">
        <v>2479</v>
      </c>
      <c r="T39" s="628">
        <v>121</v>
      </c>
      <c r="U39" s="628">
        <v>2600</v>
      </c>
    </row>
    <row r="40" spans="1:21" x14ac:dyDescent="0.25">
      <c r="A40" s="623">
        <v>90461</v>
      </c>
      <c r="B40" s="624" t="s">
        <v>1180</v>
      </c>
      <c r="C40" s="625">
        <v>1.7200000000000001E-5</v>
      </c>
      <c r="D40" s="625">
        <v>9.9000000000000001E-6</v>
      </c>
      <c r="E40" s="626">
        <v>8678</v>
      </c>
      <c r="F40" s="626">
        <v>-5464</v>
      </c>
      <c r="G40" s="626">
        <v>7719</v>
      </c>
      <c r="H40" s="626"/>
      <c r="I40" s="627">
        <v>0</v>
      </c>
      <c r="J40" s="627">
        <v>15513</v>
      </c>
      <c r="K40" s="627">
        <v>0</v>
      </c>
      <c r="L40" s="626">
        <v>6435</v>
      </c>
      <c r="M40" s="626"/>
      <c r="N40" s="627">
        <v>1814</v>
      </c>
      <c r="O40" s="627">
        <v>17711</v>
      </c>
      <c r="P40" s="627">
        <v>0</v>
      </c>
      <c r="Q40" s="626">
        <v>2921.23</v>
      </c>
      <c r="R40" s="626"/>
      <c r="S40" s="627">
        <v>3524</v>
      </c>
      <c r="T40" s="628">
        <v>707</v>
      </c>
      <c r="U40" s="628">
        <v>4232</v>
      </c>
    </row>
    <row r="41" spans="1:21" x14ac:dyDescent="0.25">
      <c r="A41" s="623">
        <v>90501</v>
      </c>
      <c r="B41" s="624" t="s">
        <v>1181</v>
      </c>
      <c r="C41" s="625">
        <v>1.4352E-3</v>
      </c>
      <c r="D41" s="625">
        <v>1.4383E-3</v>
      </c>
      <c r="E41" s="626">
        <v>617123</v>
      </c>
      <c r="F41" s="626">
        <v>-793824</v>
      </c>
      <c r="G41" s="626">
        <v>644109</v>
      </c>
      <c r="H41" s="626"/>
      <c r="I41" s="627">
        <v>0</v>
      </c>
      <c r="J41" s="627">
        <v>1294430</v>
      </c>
      <c r="K41" s="627">
        <v>0</v>
      </c>
      <c r="L41" s="626">
        <v>63065</v>
      </c>
      <c r="M41" s="626"/>
      <c r="N41" s="627">
        <v>151404</v>
      </c>
      <c r="O41" s="627">
        <v>1477807</v>
      </c>
      <c r="P41" s="627">
        <v>0</v>
      </c>
      <c r="Q41" s="626">
        <v>0</v>
      </c>
      <c r="R41" s="626"/>
      <c r="S41" s="627">
        <v>294075</v>
      </c>
      <c r="T41" s="628">
        <v>19456</v>
      </c>
      <c r="U41" s="628">
        <v>313531</v>
      </c>
    </row>
    <row r="42" spans="1:21" x14ac:dyDescent="0.25">
      <c r="A42" s="623">
        <v>90507</v>
      </c>
      <c r="B42" s="624" t="s">
        <v>1182</v>
      </c>
      <c r="C42" s="625">
        <v>7.7000000000000008E-6</v>
      </c>
      <c r="D42" s="625">
        <v>8.1000000000000004E-6</v>
      </c>
      <c r="E42" s="626">
        <v>9150</v>
      </c>
      <c r="F42" s="626">
        <v>-4471</v>
      </c>
      <c r="G42" s="626">
        <v>3456</v>
      </c>
      <c r="H42" s="626"/>
      <c r="I42" s="627">
        <v>0</v>
      </c>
      <c r="J42" s="627">
        <v>6945</v>
      </c>
      <c r="K42" s="627">
        <v>0</v>
      </c>
      <c r="L42" s="626">
        <v>5370</v>
      </c>
      <c r="M42" s="626"/>
      <c r="N42" s="627">
        <v>812</v>
      </c>
      <c r="O42" s="627">
        <v>7929</v>
      </c>
      <c r="P42" s="627">
        <v>0</v>
      </c>
      <c r="Q42" s="626">
        <v>0</v>
      </c>
      <c r="R42" s="626"/>
      <c r="S42" s="627">
        <v>1578</v>
      </c>
      <c r="T42" s="628">
        <v>1471</v>
      </c>
      <c r="U42" s="628">
        <v>3048</v>
      </c>
    </row>
    <row r="43" spans="1:21" x14ac:dyDescent="0.25">
      <c r="A43" s="623">
        <v>90511</v>
      </c>
      <c r="B43" s="624" t="s">
        <v>1183</v>
      </c>
      <c r="C43" s="625">
        <v>9.0699999999999996E-5</v>
      </c>
      <c r="D43" s="625">
        <v>9.4199999999999999E-5</v>
      </c>
      <c r="E43" s="626">
        <v>46464</v>
      </c>
      <c r="F43" s="626">
        <v>-51991</v>
      </c>
      <c r="G43" s="626">
        <v>40706</v>
      </c>
      <c r="H43" s="626"/>
      <c r="I43" s="627">
        <v>0</v>
      </c>
      <c r="J43" s="627">
        <v>81804</v>
      </c>
      <c r="K43" s="627">
        <v>0</v>
      </c>
      <c r="L43" s="626">
        <v>11362</v>
      </c>
      <c r="M43" s="626"/>
      <c r="N43" s="627">
        <v>9568</v>
      </c>
      <c r="O43" s="627">
        <v>93393</v>
      </c>
      <c r="P43" s="627">
        <v>0</v>
      </c>
      <c r="Q43" s="626">
        <v>0</v>
      </c>
      <c r="R43" s="626"/>
      <c r="S43" s="627">
        <v>18585</v>
      </c>
      <c r="T43" s="628">
        <v>3435</v>
      </c>
      <c r="U43" s="628">
        <v>22020</v>
      </c>
    </row>
    <row r="44" spans="1:21" x14ac:dyDescent="0.25">
      <c r="A44" s="623">
        <v>90521</v>
      </c>
      <c r="B44" s="624" t="s">
        <v>1184</v>
      </c>
      <c r="C44" s="625">
        <v>1.451E-4</v>
      </c>
      <c r="D44" s="625">
        <v>1.451E-4</v>
      </c>
      <c r="E44" s="626">
        <v>51555</v>
      </c>
      <c r="F44" s="626">
        <v>-80083</v>
      </c>
      <c r="G44" s="626">
        <v>65120</v>
      </c>
      <c r="H44" s="626"/>
      <c r="I44" s="627">
        <v>0</v>
      </c>
      <c r="J44" s="627">
        <v>130868</v>
      </c>
      <c r="K44" s="627">
        <v>0</v>
      </c>
      <c r="L44" s="626">
        <v>0</v>
      </c>
      <c r="M44" s="626"/>
      <c r="N44" s="627">
        <v>15307</v>
      </c>
      <c r="O44" s="627">
        <v>149408</v>
      </c>
      <c r="P44" s="627">
        <v>0</v>
      </c>
      <c r="Q44" s="626">
        <v>9513</v>
      </c>
      <c r="R44" s="626"/>
      <c r="S44" s="627">
        <v>29731</v>
      </c>
      <c r="T44" s="628">
        <v>-2739</v>
      </c>
      <c r="U44" s="628">
        <v>26993</v>
      </c>
    </row>
    <row r="45" spans="1:21" x14ac:dyDescent="0.25">
      <c r="A45" s="623">
        <v>90601</v>
      </c>
      <c r="B45" s="624" t="s">
        <v>1185</v>
      </c>
      <c r="C45" s="625">
        <v>1.2051E-3</v>
      </c>
      <c r="D45" s="625">
        <v>1.1927000000000001E-3</v>
      </c>
      <c r="E45" s="626">
        <v>500779</v>
      </c>
      <c r="F45" s="626">
        <v>-658273</v>
      </c>
      <c r="G45" s="626">
        <v>540842</v>
      </c>
      <c r="H45" s="626"/>
      <c r="I45" s="627">
        <v>0</v>
      </c>
      <c r="J45" s="627">
        <v>1086899</v>
      </c>
      <c r="K45" s="627">
        <v>0</v>
      </c>
      <c r="L45" s="626">
        <v>46820</v>
      </c>
      <c r="M45" s="626"/>
      <c r="N45" s="627">
        <v>127130</v>
      </c>
      <c r="O45" s="627">
        <v>1240876</v>
      </c>
      <c r="P45" s="627">
        <v>0</v>
      </c>
      <c r="Q45" s="626">
        <v>0</v>
      </c>
      <c r="R45" s="626"/>
      <c r="S45" s="627">
        <v>246927</v>
      </c>
      <c r="T45" s="628">
        <v>14522</v>
      </c>
      <c r="U45" s="628">
        <v>261449</v>
      </c>
    </row>
    <row r="46" spans="1:21" x14ac:dyDescent="0.25">
      <c r="A46" s="623">
        <v>90602</v>
      </c>
      <c r="B46" s="624" t="s">
        <v>2095</v>
      </c>
      <c r="C46" s="625">
        <v>0</v>
      </c>
      <c r="D46" s="625">
        <v>0</v>
      </c>
      <c r="E46" s="626">
        <v>14166</v>
      </c>
      <c r="F46" s="626">
        <v>0</v>
      </c>
      <c r="G46" s="626">
        <v>0</v>
      </c>
      <c r="H46" s="626"/>
      <c r="I46" s="627">
        <v>0</v>
      </c>
      <c r="J46" s="627">
        <v>0</v>
      </c>
      <c r="K46" s="627">
        <v>0</v>
      </c>
      <c r="L46" s="626">
        <v>11227</v>
      </c>
      <c r="M46" s="626"/>
      <c r="N46" s="627">
        <v>0</v>
      </c>
      <c r="O46" s="627">
        <v>0</v>
      </c>
      <c r="P46" s="627">
        <v>0</v>
      </c>
      <c r="Q46" s="626">
        <v>0</v>
      </c>
      <c r="R46" s="626"/>
      <c r="S46" s="627">
        <v>0</v>
      </c>
      <c r="T46" s="628">
        <v>2939</v>
      </c>
      <c r="U46" s="628">
        <v>2939</v>
      </c>
    </row>
    <row r="47" spans="1:21" x14ac:dyDescent="0.25">
      <c r="A47" s="623">
        <v>90605</v>
      </c>
      <c r="B47" s="624" t="s">
        <v>1186</v>
      </c>
      <c r="C47" s="625">
        <v>3.6399999999999997E-5</v>
      </c>
      <c r="D47" s="625">
        <v>3.8999999999999999E-5</v>
      </c>
      <c r="E47" s="626">
        <v>24597</v>
      </c>
      <c r="F47" s="626">
        <v>-21525</v>
      </c>
      <c r="G47" s="626">
        <v>16336</v>
      </c>
      <c r="H47" s="626"/>
      <c r="I47" s="627">
        <v>0</v>
      </c>
      <c r="J47" s="627">
        <v>32830</v>
      </c>
      <c r="K47" s="627">
        <v>0</v>
      </c>
      <c r="L47" s="626">
        <v>7730</v>
      </c>
      <c r="M47" s="626"/>
      <c r="N47" s="627">
        <v>3840</v>
      </c>
      <c r="O47" s="627">
        <v>37481</v>
      </c>
      <c r="P47" s="627">
        <v>0</v>
      </c>
      <c r="Q47" s="626">
        <v>0</v>
      </c>
      <c r="R47" s="626"/>
      <c r="S47" s="627">
        <v>7458</v>
      </c>
      <c r="T47" s="628">
        <v>2157</v>
      </c>
      <c r="U47" s="628">
        <v>9616</v>
      </c>
    </row>
    <row r="48" spans="1:21" x14ac:dyDescent="0.25">
      <c r="A48" s="623">
        <v>90611</v>
      </c>
      <c r="B48" s="624" t="s">
        <v>1187</v>
      </c>
      <c r="C48" s="625">
        <v>1.663E-4</v>
      </c>
      <c r="D48" s="625">
        <v>1.6090000000000001E-4</v>
      </c>
      <c r="E48" s="626">
        <v>60772</v>
      </c>
      <c r="F48" s="626">
        <v>-88804</v>
      </c>
      <c r="G48" s="626">
        <v>74634</v>
      </c>
      <c r="H48" s="626"/>
      <c r="I48" s="627">
        <v>0</v>
      </c>
      <c r="J48" s="627">
        <v>149989</v>
      </c>
      <c r="K48" s="627">
        <v>0</v>
      </c>
      <c r="L48" s="626">
        <v>7621.51</v>
      </c>
      <c r="M48" s="626"/>
      <c r="N48" s="627">
        <v>17543</v>
      </c>
      <c r="O48" s="627">
        <v>171237</v>
      </c>
      <c r="P48" s="627">
        <v>0</v>
      </c>
      <c r="Q48" s="626">
        <v>1857</v>
      </c>
      <c r="R48" s="626"/>
      <c r="S48" s="627">
        <v>34075</v>
      </c>
      <c r="T48" s="628">
        <v>2063</v>
      </c>
      <c r="U48" s="628">
        <v>36138</v>
      </c>
    </row>
    <row r="49" spans="1:21" x14ac:dyDescent="0.25">
      <c r="A49" s="623">
        <v>90617</v>
      </c>
      <c r="B49" s="624" t="s">
        <v>1188</v>
      </c>
      <c r="C49" s="625">
        <v>2.6599999999999999E-5</v>
      </c>
      <c r="D49" s="625">
        <v>2.76E-5</v>
      </c>
      <c r="E49" s="626">
        <v>14138</v>
      </c>
      <c r="F49" s="626">
        <v>-15233</v>
      </c>
      <c r="G49" s="626">
        <v>11938</v>
      </c>
      <c r="H49" s="626"/>
      <c r="I49" s="627">
        <v>0</v>
      </c>
      <c r="J49" s="627">
        <v>23991</v>
      </c>
      <c r="K49" s="627">
        <v>0</v>
      </c>
      <c r="L49" s="626">
        <v>8731</v>
      </c>
      <c r="M49" s="626"/>
      <c r="N49" s="627">
        <v>2806</v>
      </c>
      <c r="O49" s="627">
        <v>27390</v>
      </c>
      <c r="P49" s="627">
        <v>0</v>
      </c>
      <c r="Q49" s="626">
        <v>0</v>
      </c>
      <c r="R49" s="626"/>
      <c r="S49" s="627">
        <v>5450</v>
      </c>
      <c r="T49" s="628">
        <v>2782</v>
      </c>
      <c r="U49" s="628">
        <v>8233</v>
      </c>
    </row>
    <row r="50" spans="1:21" x14ac:dyDescent="0.25">
      <c r="A50" s="623">
        <v>90621</v>
      </c>
      <c r="B50" s="624" t="s">
        <v>1189</v>
      </c>
      <c r="C50" s="625">
        <v>7.9400000000000006E-5</v>
      </c>
      <c r="D50" s="625">
        <v>8.5799999999999998E-5</v>
      </c>
      <c r="E50" s="626">
        <v>29541</v>
      </c>
      <c r="F50" s="626">
        <v>-47355</v>
      </c>
      <c r="G50" s="626">
        <v>35634</v>
      </c>
      <c r="H50" s="626"/>
      <c r="I50" s="627">
        <v>0</v>
      </c>
      <c r="J50" s="627">
        <v>71612</v>
      </c>
      <c r="K50" s="627">
        <v>0</v>
      </c>
      <c r="L50" s="626">
        <v>1776</v>
      </c>
      <c r="M50" s="626"/>
      <c r="N50" s="627">
        <v>8376</v>
      </c>
      <c r="O50" s="627">
        <v>81757</v>
      </c>
      <c r="P50" s="627">
        <v>0</v>
      </c>
      <c r="Q50" s="626">
        <v>6771</v>
      </c>
      <c r="R50" s="626"/>
      <c r="S50" s="627">
        <v>16269</v>
      </c>
      <c r="T50" s="628">
        <v>-1178</v>
      </c>
      <c r="U50" s="628">
        <v>15091</v>
      </c>
    </row>
    <row r="51" spans="1:21" x14ac:dyDescent="0.25">
      <c r="A51" s="623">
        <v>90631</v>
      </c>
      <c r="B51" s="624" t="s">
        <v>1190</v>
      </c>
      <c r="C51" s="625">
        <v>3.4539999999999999E-4</v>
      </c>
      <c r="D51" s="625">
        <v>3.7130000000000003E-4</v>
      </c>
      <c r="E51" s="626">
        <v>151489</v>
      </c>
      <c r="F51" s="626">
        <v>-204927</v>
      </c>
      <c r="G51" s="626">
        <v>155013</v>
      </c>
      <c r="H51" s="626"/>
      <c r="I51" s="627">
        <v>0</v>
      </c>
      <c r="J51" s="627">
        <v>311522</v>
      </c>
      <c r="K51" s="627">
        <v>0</v>
      </c>
      <c r="L51" s="626">
        <v>0</v>
      </c>
      <c r="M51" s="626"/>
      <c r="N51" s="627">
        <v>36437</v>
      </c>
      <c r="O51" s="627">
        <v>355654</v>
      </c>
      <c r="P51" s="627">
        <v>0</v>
      </c>
      <c r="Q51" s="626">
        <v>20528</v>
      </c>
      <c r="R51" s="626"/>
      <c r="S51" s="627">
        <v>70773</v>
      </c>
      <c r="T51" s="628">
        <v>-6148</v>
      </c>
      <c r="U51" s="628">
        <v>64625</v>
      </c>
    </row>
    <row r="52" spans="1:21" x14ac:dyDescent="0.25">
      <c r="A52" s="623">
        <v>90641</v>
      </c>
      <c r="B52" s="624" t="s">
        <v>1191</v>
      </c>
      <c r="C52" s="625">
        <v>1.5400000000000002E-5</v>
      </c>
      <c r="D52" s="625">
        <v>1.5500000000000001E-5</v>
      </c>
      <c r="E52" s="626">
        <v>6958</v>
      </c>
      <c r="F52" s="626">
        <v>-8555</v>
      </c>
      <c r="G52" s="626">
        <v>6911</v>
      </c>
      <c r="H52" s="626"/>
      <c r="I52" s="627">
        <v>0</v>
      </c>
      <c r="J52" s="627">
        <v>13890</v>
      </c>
      <c r="K52" s="627">
        <v>0</v>
      </c>
      <c r="L52" s="626">
        <v>461</v>
      </c>
      <c r="M52" s="626"/>
      <c r="N52" s="627">
        <v>1625</v>
      </c>
      <c r="O52" s="627">
        <v>15857</v>
      </c>
      <c r="P52" s="627">
        <v>0</v>
      </c>
      <c r="Q52" s="626">
        <v>382.72</v>
      </c>
      <c r="R52" s="626"/>
      <c r="S52" s="627">
        <v>3155</v>
      </c>
      <c r="T52" s="628">
        <v>-7</v>
      </c>
      <c r="U52" s="628">
        <v>3148</v>
      </c>
    </row>
    <row r="53" spans="1:21" x14ac:dyDescent="0.25">
      <c r="A53" s="623">
        <v>90651</v>
      </c>
      <c r="B53" s="624" t="s">
        <v>1192</v>
      </c>
      <c r="C53" s="625">
        <v>1.042E-4</v>
      </c>
      <c r="D53" s="625">
        <v>1.064E-4</v>
      </c>
      <c r="E53" s="626">
        <v>94636</v>
      </c>
      <c r="F53" s="626">
        <v>-58724</v>
      </c>
      <c r="G53" s="626">
        <v>46764</v>
      </c>
      <c r="H53" s="626"/>
      <c r="I53" s="627">
        <v>0</v>
      </c>
      <c r="J53" s="627">
        <v>93980</v>
      </c>
      <c r="K53" s="627">
        <v>0</v>
      </c>
      <c r="L53" s="626">
        <v>39741</v>
      </c>
      <c r="M53" s="626"/>
      <c r="N53" s="627">
        <v>10992</v>
      </c>
      <c r="O53" s="627">
        <v>107293</v>
      </c>
      <c r="P53" s="627">
        <v>0</v>
      </c>
      <c r="Q53" s="626">
        <v>14070.94</v>
      </c>
      <c r="R53" s="626"/>
      <c r="S53" s="627">
        <v>21351</v>
      </c>
      <c r="T53" s="628">
        <v>5697</v>
      </c>
      <c r="U53" s="628">
        <v>27048</v>
      </c>
    </row>
    <row r="54" spans="1:21" x14ac:dyDescent="0.25">
      <c r="A54" s="623">
        <v>90701</v>
      </c>
      <c r="B54" s="624" t="s">
        <v>1193</v>
      </c>
      <c r="C54" s="625">
        <v>2.3326000000000002E-3</v>
      </c>
      <c r="D54" s="625">
        <v>2.2809000000000002E-3</v>
      </c>
      <c r="E54" s="626">
        <v>890157</v>
      </c>
      <c r="F54" s="626">
        <v>-1258870</v>
      </c>
      <c r="G54" s="626">
        <v>1046857</v>
      </c>
      <c r="H54" s="626"/>
      <c r="I54" s="627">
        <v>0</v>
      </c>
      <c r="J54" s="627">
        <v>2103809</v>
      </c>
      <c r="K54" s="627">
        <v>0</v>
      </c>
      <c r="L54" s="626">
        <v>53808.04</v>
      </c>
      <c r="M54" s="626"/>
      <c r="N54" s="627">
        <v>246073</v>
      </c>
      <c r="O54" s="627">
        <v>2401848</v>
      </c>
      <c r="P54" s="627">
        <v>0</v>
      </c>
      <c r="Q54" s="626">
        <v>13017</v>
      </c>
      <c r="R54" s="626"/>
      <c r="S54" s="627">
        <v>477954</v>
      </c>
      <c r="T54" s="628">
        <v>14588</v>
      </c>
      <c r="U54" s="628">
        <v>492543</v>
      </c>
    </row>
    <row r="55" spans="1:21" x14ac:dyDescent="0.25">
      <c r="A55" s="623">
        <v>90704</v>
      </c>
      <c r="B55" s="624" t="s">
        <v>1194</v>
      </c>
      <c r="C55" s="625">
        <v>3.3300000000000003E-5</v>
      </c>
      <c r="D55" s="625">
        <v>3.8300000000000003E-5</v>
      </c>
      <c r="E55" s="626">
        <v>23966</v>
      </c>
      <c r="F55" s="626">
        <v>-21138</v>
      </c>
      <c r="G55" s="626">
        <v>14945</v>
      </c>
      <c r="H55" s="626"/>
      <c r="I55" s="627">
        <v>0</v>
      </c>
      <c r="J55" s="627">
        <v>30034</v>
      </c>
      <c r="K55" s="627">
        <v>0</v>
      </c>
      <c r="L55" s="626">
        <v>7712</v>
      </c>
      <c r="M55" s="626"/>
      <c r="N55" s="627">
        <v>3513</v>
      </c>
      <c r="O55" s="627">
        <v>34289</v>
      </c>
      <c r="P55" s="627">
        <v>0</v>
      </c>
      <c r="Q55" s="626">
        <v>0</v>
      </c>
      <c r="R55" s="626"/>
      <c r="S55" s="627">
        <v>6823</v>
      </c>
      <c r="T55" s="628">
        <v>2237</v>
      </c>
      <c r="U55" s="628">
        <v>9060</v>
      </c>
    </row>
    <row r="56" spans="1:21" x14ac:dyDescent="0.25">
      <c r="A56" s="623">
        <v>90705</v>
      </c>
      <c r="B56" s="624" t="s">
        <v>1195</v>
      </c>
      <c r="C56" s="625">
        <v>3.0599999999999998E-5</v>
      </c>
      <c r="D56" s="625">
        <v>3.1300000000000002E-5</v>
      </c>
      <c r="E56" s="626">
        <v>19142</v>
      </c>
      <c r="F56" s="626">
        <v>-17275</v>
      </c>
      <c r="G56" s="626">
        <v>13733</v>
      </c>
      <c r="H56" s="626"/>
      <c r="I56" s="627">
        <v>0</v>
      </c>
      <c r="J56" s="627">
        <v>27599</v>
      </c>
      <c r="K56" s="627">
        <v>0</v>
      </c>
      <c r="L56" s="626">
        <v>7044</v>
      </c>
      <c r="M56" s="626"/>
      <c r="N56" s="627">
        <v>3228</v>
      </c>
      <c r="O56" s="627">
        <v>31508</v>
      </c>
      <c r="P56" s="627">
        <v>0</v>
      </c>
      <c r="Q56" s="626">
        <v>0</v>
      </c>
      <c r="R56" s="626"/>
      <c r="S56" s="627">
        <v>6270</v>
      </c>
      <c r="T56" s="628">
        <v>2009</v>
      </c>
      <c r="U56" s="628">
        <v>8279</v>
      </c>
    </row>
    <row r="57" spans="1:21" x14ac:dyDescent="0.25">
      <c r="A57" s="623">
        <v>90709</v>
      </c>
      <c r="B57" s="624" t="s">
        <v>1196</v>
      </c>
      <c r="C57" s="625">
        <v>2.1790000000000001E-4</v>
      </c>
      <c r="D57" s="625">
        <v>2.2010000000000001E-4</v>
      </c>
      <c r="E57" s="626">
        <v>82446</v>
      </c>
      <c r="F57" s="626">
        <v>-121477</v>
      </c>
      <c r="G57" s="626">
        <v>97792</v>
      </c>
      <c r="H57" s="626"/>
      <c r="I57" s="627">
        <v>0</v>
      </c>
      <c r="J57" s="627">
        <v>196527</v>
      </c>
      <c r="K57" s="627">
        <v>0</v>
      </c>
      <c r="L57" s="626">
        <v>15357</v>
      </c>
      <c r="M57" s="626"/>
      <c r="N57" s="627">
        <v>22987</v>
      </c>
      <c r="O57" s="627">
        <v>224369</v>
      </c>
      <c r="P57" s="627">
        <v>0</v>
      </c>
      <c r="Q57" s="626">
        <v>6710</v>
      </c>
      <c r="R57" s="626"/>
      <c r="S57" s="627">
        <v>44648</v>
      </c>
      <c r="T57" s="628">
        <v>3380</v>
      </c>
      <c r="U57" s="628">
        <v>48028</v>
      </c>
    </row>
    <row r="58" spans="1:21" x14ac:dyDescent="0.25">
      <c r="A58" s="623">
        <v>90711</v>
      </c>
      <c r="B58" s="624" t="s">
        <v>1197</v>
      </c>
      <c r="C58" s="625">
        <v>1.8802000000000001E-3</v>
      </c>
      <c r="D58" s="625">
        <v>1.9138E-3</v>
      </c>
      <c r="E58" s="626">
        <v>712713</v>
      </c>
      <c r="F58" s="626">
        <v>-1056261</v>
      </c>
      <c r="G58" s="626">
        <v>843822</v>
      </c>
      <c r="H58" s="626"/>
      <c r="I58" s="627">
        <v>0</v>
      </c>
      <c r="J58" s="627">
        <v>1695782</v>
      </c>
      <c r="K58" s="627">
        <v>0</v>
      </c>
      <c r="L58" s="626">
        <v>0</v>
      </c>
      <c r="M58" s="626"/>
      <c r="N58" s="627">
        <v>198348</v>
      </c>
      <c r="O58" s="627">
        <v>1936017</v>
      </c>
      <c r="P58" s="627">
        <v>0</v>
      </c>
      <c r="Q58" s="626">
        <v>108507</v>
      </c>
      <c r="R58" s="626"/>
      <c r="S58" s="627">
        <v>385257</v>
      </c>
      <c r="T58" s="628">
        <v>-31412</v>
      </c>
      <c r="U58" s="628">
        <v>353844</v>
      </c>
    </row>
    <row r="59" spans="1:21" x14ac:dyDescent="0.25">
      <c r="A59" s="623">
        <v>90721</v>
      </c>
      <c r="B59" s="624" t="s">
        <v>1198</v>
      </c>
      <c r="C59" s="625">
        <v>3.82E-5</v>
      </c>
      <c r="D59" s="625">
        <v>3.43E-5</v>
      </c>
      <c r="E59" s="626">
        <v>15565</v>
      </c>
      <c r="F59" s="626">
        <v>-18931</v>
      </c>
      <c r="G59" s="626">
        <v>17144</v>
      </c>
      <c r="H59" s="626"/>
      <c r="I59" s="627">
        <v>0</v>
      </c>
      <c r="J59" s="627">
        <v>34453</v>
      </c>
      <c r="K59" s="627">
        <v>0</v>
      </c>
      <c r="L59" s="626">
        <v>7738</v>
      </c>
      <c r="M59" s="626"/>
      <c r="N59" s="627">
        <v>4030</v>
      </c>
      <c r="O59" s="627">
        <v>39334</v>
      </c>
      <c r="P59" s="627">
        <v>0</v>
      </c>
      <c r="Q59" s="626">
        <v>0</v>
      </c>
      <c r="R59" s="626"/>
      <c r="S59" s="627">
        <v>7827</v>
      </c>
      <c r="T59" s="628">
        <v>2391</v>
      </c>
      <c r="U59" s="628">
        <v>10218</v>
      </c>
    </row>
    <row r="60" spans="1:21" x14ac:dyDescent="0.25">
      <c r="A60" s="623">
        <v>90731</v>
      </c>
      <c r="B60" s="624" t="s">
        <v>1199</v>
      </c>
      <c r="C60" s="625">
        <v>1.9459999999999999E-4</v>
      </c>
      <c r="D60" s="625">
        <v>2.0129999999999999E-4</v>
      </c>
      <c r="E60" s="626">
        <v>81673</v>
      </c>
      <c r="F60" s="626">
        <v>-111101</v>
      </c>
      <c r="G60" s="626">
        <v>87335</v>
      </c>
      <c r="H60" s="626"/>
      <c r="I60" s="627">
        <v>0</v>
      </c>
      <c r="J60" s="627">
        <v>175513</v>
      </c>
      <c r="K60" s="627">
        <v>0</v>
      </c>
      <c r="L60" s="626">
        <v>0</v>
      </c>
      <c r="M60" s="626"/>
      <c r="N60" s="627">
        <v>20529</v>
      </c>
      <c r="O60" s="627">
        <v>200377</v>
      </c>
      <c r="P60" s="627">
        <v>0</v>
      </c>
      <c r="Q60" s="626">
        <v>10287</v>
      </c>
      <c r="R60" s="626"/>
      <c r="S60" s="627">
        <v>39874</v>
      </c>
      <c r="T60" s="628">
        <v>-3227</v>
      </c>
      <c r="U60" s="628">
        <v>36647</v>
      </c>
    </row>
    <row r="61" spans="1:21" x14ac:dyDescent="0.25">
      <c r="A61" s="623">
        <v>90741</v>
      </c>
      <c r="B61" s="624" t="s">
        <v>1200</v>
      </c>
      <c r="C61" s="625">
        <v>1.2799999999999999E-5</v>
      </c>
      <c r="D61" s="625">
        <v>1.11E-5</v>
      </c>
      <c r="E61" s="626">
        <v>7438</v>
      </c>
      <c r="F61" s="626">
        <v>-6126</v>
      </c>
      <c r="G61" s="626">
        <v>5745</v>
      </c>
      <c r="H61" s="626"/>
      <c r="I61" s="627">
        <v>0</v>
      </c>
      <c r="J61" s="627">
        <v>11545</v>
      </c>
      <c r="K61" s="627">
        <v>0</v>
      </c>
      <c r="L61" s="626">
        <v>2946</v>
      </c>
      <c r="M61" s="626"/>
      <c r="N61" s="627">
        <v>1350</v>
      </c>
      <c r="O61" s="627">
        <v>13180</v>
      </c>
      <c r="P61" s="627">
        <v>0</v>
      </c>
      <c r="Q61" s="626">
        <v>2248.48</v>
      </c>
      <c r="R61" s="626"/>
      <c r="S61" s="627">
        <v>2623</v>
      </c>
      <c r="T61" s="628">
        <v>19</v>
      </c>
      <c r="U61" s="628">
        <v>2642</v>
      </c>
    </row>
    <row r="62" spans="1:21" x14ac:dyDescent="0.25">
      <c r="A62" s="623">
        <v>90751</v>
      </c>
      <c r="B62" s="624" t="s">
        <v>1201</v>
      </c>
      <c r="C62" s="625">
        <v>6.2000000000000003E-5</v>
      </c>
      <c r="D62" s="625">
        <v>5.6700000000000003E-5</v>
      </c>
      <c r="E62" s="626">
        <v>27597</v>
      </c>
      <c r="F62" s="626">
        <v>-31294</v>
      </c>
      <c r="G62" s="626">
        <v>27825</v>
      </c>
      <c r="H62" s="626"/>
      <c r="I62" s="627">
        <v>0</v>
      </c>
      <c r="J62" s="627">
        <v>55919</v>
      </c>
      <c r="K62" s="627">
        <v>0</v>
      </c>
      <c r="L62" s="626">
        <v>12005</v>
      </c>
      <c r="M62" s="626"/>
      <c r="N62" s="627">
        <v>6541</v>
      </c>
      <c r="O62" s="627">
        <v>63841</v>
      </c>
      <c r="P62" s="627">
        <v>0</v>
      </c>
      <c r="Q62" s="626">
        <v>0</v>
      </c>
      <c r="R62" s="626"/>
      <c r="S62" s="627">
        <v>12704</v>
      </c>
      <c r="T62" s="628">
        <v>3613</v>
      </c>
      <c r="U62" s="628">
        <v>16317</v>
      </c>
    </row>
    <row r="63" spans="1:21" x14ac:dyDescent="0.25">
      <c r="A63" s="623">
        <v>90801</v>
      </c>
      <c r="B63" s="624" t="s">
        <v>1202</v>
      </c>
      <c r="C63" s="625">
        <v>1.0472000000000001E-3</v>
      </c>
      <c r="D63" s="625">
        <v>8.1099999999999998E-4</v>
      </c>
      <c r="E63" s="626">
        <v>427650</v>
      </c>
      <c r="F63" s="626">
        <v>-447605</v>
      </c>
      <c r="G63" s="626">
        <v>469977</v>
      </c>
      <c r="H63" s="626"/>
      <c r="I63" s="627">
        <v>0</v>
      </c>
      <c r="J63" s="627">
        <v>944486</v>
      </c>
      <c r="K63" s="627">
        <v>0</v>
      </c>
      <c r="L63" s="626">
        <v>172175</v>
      </c>
      <c r="M63" s="626"/>
      <c r="N63" s="627">
        <v>110472</v>
      </c>
      <c r="O63" s="627">
        <v>1078288</v>
      </c>
      <c r="P63" s="627">
        <v>0</v>
      </c>
      <c r="Q63" s="626">
        <v>0</v>
      </c>
      <c r="R63" s="626"/>
      <c r="S63" s="627">
        <v>214573</v>
      </c>
      <c r="T63" s="628">
        <v>45533</v>
      </c>
      <c r="U63" s="628">
        <v>260107</v>
      </c>
    </row>
    <row r="64" spans="1:21" x14ac:dyDescent="0.25">
      <c r="A64" s="623">
        <v>90804</v>
      </c>
      <c r="B64" s="624" t="s">
        <v>1203</v>
      </c>
      <c r="C64" s="625">
        <v>4.6999999999999999E-6</v>
      </c>
      <c r="D64" s="625">
        <v>3.8999999999999999E-6</v>
      </c>
      <c r="E64" s="626">
        <v>2282</v>
      </c>
      <c r="F64" s="626">
        <v>-2152</v>
      </c>
      <c r="G64" s="626">
        <v>2109</v>
      </c>
      <c r="H64" s="626"/>
      <c r="I64" s="627">
        <v>0</v>
      </c>
      <c r="J64" s="627">
        <v>4239</v>
      </c>
      <c r="K64" s="627">
        <v>0</v>
      </c>
      <c r="L64" s="626">
        <v>2252</v>
      </c>
      <c r="M64" s="626"/>
      <c r="N64" s="627">
        <v>496</v>
      </c>
      <c r="O64" s="627">
        <v>4840</v>
      </c>
      <c r="P64" s="627">
        <v>0</v>
      </c>
      <c r="Q64" s="626">
        <v>0</v>
      </c>
      <c r="R64" s="626"/>
      <c r="S64" s="627">
        <v>963</v>
      </c>
      <c r="T64" s="628">
        <v>691</v>
      </c>
      <c r="U64" s="628">
        <v>1654</v>
      </c>
    </row>
    <row r="65" spans="1:21" x14ac:dyDescent="0.25">
      <c r="A65" s="623">
        <v>90805</v>
      </c>
      <c r="B65" s="624" t="s">
        <v>1204</v>
      </c>
      <c r="C65" s="625">
        <v>5.2800000000000003E-5</v>
      </c>
      <c r="D65" s="625">
        <v>5.3000000000000001E-5</v>
      </c>
      <c r="E65" s="626">
        <v>34021</v>
      </c>
      <c r="F65" s="626">
        <v>-29252</v>
      </c>
      <c r="G65" s="626">
        <v>23696</v>
      </c>
      <c r="H65" s="626"/>
      <c r="I65" s="627">
        <v>0</v>
      </c>
      <c r="J65" s="627">
        <v>47621</v>
      </c>
      <c r="K65" s="627">
        <v>0</v>
      </c>
      <c r="L65" s="626">
        <v>16785</v>
      </c>
      <c r="M65" s="626"/>
      <c r="N65" s="627">
        <v>5570</v>
      </c>
      <c r="O65" s="627">
        <v>54367</v>
      </c>
      <c r="P65" s="627">
        <v>0</v>
      </c>
      <c r="Q65" s="626">
        <v>0</v>
      </c>
      <c r="R65" s="626"/>
      <c r="S65" s="627">
        <v>10819</v>
      </c>
      <c r="T65" s="628">
        <v>4906</v>
      </c>
      <c r="U65" s="628">
        <v>15725</v>
      </c>
    </row>
    <row r="66" spans="1:21" x14ac:dyDescent="0.25">
      <c r="A66" s="623">
        <v>90808</v>
      </c>
      <c r="B66" s="624" t="s">
        <v>1205</v>
      </c>
      <c r="C66" s="625">
        <v>1.176E-4</v>
      </c>
      <c r="D66" s="625">
        <v>1.198E-4</v>
      </c>
      <c r="E66" s="626">
        <v>52392</v>
      </c>
      <c r="F66" s="626">
        <v>-66120</v>
      </c>
      <c r="G66" s="626">
        <v>52778</v>
      </c>
      <c r="H66" s="626"/>
      <c r="I66" s="627">
        <v>0</v>
      </c>
      <c r="J66" s="627">
        <v>106065</v>
      </c>
      <c r="K66" s="627">
        <v>0</v>
      </c>
      <c r="L66" s="626">
        <v>1926</v>
      </c>
      <c r="M66" s="626"/>
      <c r="N66" s="627">
        <v>12406</v>
      </c>
      <c r="O66" s="627">
        <v>121091</v>
      </c>
      <c r="P66" s="627">
        <v>0</v>
      </c>
      <c r="Q66" s="626">
        <v>1196</v>
      </c>
      <c r="R66" s="626"/>
      <c r="S66" s="627">
        <v>24096</v>
      </c>
      <c r="T66" s="628">
        <v>104</v>
      </c>
      <c r="U66" s="628">
        <v>24201</v>
      </c>
    </row>
    <row r="67" spans="1:21" x14ac:dyDescent="0.25">
      <c r="A67" s="623">
        <v>90811</v>
      </c>
      <c r="B67" s="624" t="s">
        <v>1206</v>
      </c>
      <c r="C67" s="625">
        <v>3.6199999999999999E-5</v>
      </c>
      <c r="D67" s="625">
        <v>3.4700000000000003E-5</v>
      </c>
      <c r="E67" s="626">
        <v>12163</v>
      </c>
      <c r="F67" s="626">
        <v>-19152</v>
      </c>
      <c r="G67" s="626">
        <v>16246</v>
      </c>
      <c r="H67" s="626"/>
      <c r="I67" s="627">
        <v>0</v>
      </c>
      <c r="J67" s="627">
        <v>32649</v>
      </c>
      <c r="K67" s="627">
        <v>0</v>
      </c>
      <c r="L67" s="626">
        <v>1423.24</v>
      </c>
      <c r="M67" s="626"/>
      <c r="N67" s="627">
        <v>3819</v>
      </c>
      <c r="O67" s="627">
        <v>37275</v>
      </c>
      <c r="P67" s="627">
        <v>0</v>
      </c>
      <c r="Q67" s="626">
        <v>1021</v>
      </c>
      <c r="R67" s="626"/>
      <c r="S67" s="627">
        <v>7417</v>
      </c>
      <c r="T67" s="628">
        <v>209</v>
      </c>
      <c r="U67" s="628">
        <v>7626</v>
      </c>
    </row>
    <row r="68" spans="1:21" x14ac:dyDescent="0.25">
      <c r="A68" s="623">
        <v>90812</v>
      </c>
      <c r="B68" s="624" t="s">
        <v>1207</v>
      </c>
      <c r="C68" s="625">
        <v>2.409E-4</v>
      </c>
      <c r="D68" s="625">
        <v>2.433E-4</v>
      </c>
      <c r="E68" s="626">
        <v>102408</v>
      </c>
      <c r="F68" s="626">
        <v>-134282</v>
      </c>
      <c r="G68" s="626">
        <v>108114</v>
      </c>
      <c r="H68" s="626"/>
      <c r="I68" s="627">
        <v>0</v>
      </c>
      <c r="J68" s="627">
        <v>217272</v>
      </c>
      <c r="K68" s="627">
        <v>0</v>
      </c>
      <c r="L68" s="626">
        <v>12714</v>
      </c>
      <c r="M68" s="626"/>
      <c r="N68" s="627">
        <v>25413</v>
      </c>
      <c r="O68" s="627">
        <v>248052</v>
      </c>
      <c r="P68" s="627">
        <v>0</v>
      </c>
      <c r="Q68" s="626">
        <v>0</v>
      </c>
      <c r="R68" s="626"/>
      <c r="S68" s="627">
        <v>49361</v>
      </c>
      <c r="T68" s="628">
        <v>4141</v>
      </c>
      <c r="U68" s="628">
        <v>53502</v>
      </c>
    </row>
    <row r="69" spans="1:21" x14ac:dyDescent="0.25">
      <c r="A69" s="623">
        <v>90813</v>
      </c>
      <c r="B69" s="624" t="s">
        <v>1208</v>
      </c>
      <c r="C69" s="625">
        <v>5.4E-6</v>
      </c>
      <c r="D69" s="625">
        <v>6.0000000000000002E-6</v>
      </c>
      <c r="E69" s="626">
        <v>1789</v>
      </c>
      <c r="F69" s="626">
        <v>-3312</v>
      </c>
      <c r="G69" s="626">
        <v>2423</v>
      </c>
      <c r="H69" s="626"/>
      <c r="I69" s="627">
        <v>0</v>
      </c>
      <c r="J69" s="627">
        <v>4870</v>
      </c>
      <c r="K69" s="627">
        <v>0</v>
      </c>
      <c r="L69" s="626">
        <v>0</v>
      </c>
      <c r="M69" s="626"/>
      <c r="N69" s="627">
        <v>570</v>
      </c>
      <c r="O69" s="627">
        <v>5560</v>
      </c>
      <c r="P69" s="627">
        <v>0</v>
      </c>
      <c r="Q69" s="626">
        <v>1134</v>
      </c>
      <c r="R69" s="626"/>
      <c r="S69" s="627">
        <v>1106</v>
      </c>
      <c r="T69" s="628">
        <v>-325</v>
      </c>
      <c r="U69" s="628">
        <v>782</v>
      </c>
    </row>
    <row r="70" spans="1:21" x14ac:dyDescent="0.25">
      <c r="A70" s="623">
        <v>90861</v>
      </c>
      <c r="B70" s="624" t="s">
        <v>1209</v>
      </c>
      <c r="C70" s="625">
        <v>5.3000000000000001E-6</v>
      </c>
      <c r="D70" s="625">
        <v>2.5000000000000002E-6</v>
      </c>
      <c r="E70" s="626">
        <v>3631</v>
      </c>
      <c r="F70" s="626">
        <v>-1379.7950000000001</v>
      </c>
      <c r="G70" s="626">
        <v>2379</v>
      </c>
      <c r="H70" s="626"/>
      <c r="I70" s="627">
        <v>0</v>
      </c>
      <c r="J70" s="627">
        <v>4780</v>
      </c>
      <c r="K70" s="627">
        <v>0</v>
      </c>
      <c r="L70" s="626">
        <v>3128</v>
      </c>
      <c r="M70" s="626"/>
      <c r="N70" s="627">
        <v>559</v>
      </c>
      <c r="O70" s="627">
        <v>5457</v>
      </c>
      <c r="P70" s="627">
        <v>0</v>
      </c>
      <c r="Q70" s="626">
        <v>3373</v>
      </c>
      <c r="R70" s="626"/>
      <c r="S70" s="627">
        <v>1086</v>
      </c>
      <c r="T70" s="628">
        <v>-309</v>
      </c>
      <c r="U70" s="628">
        <v>777</v>
      </c>
    </row>
    <row r="71" spans="1:21" x14ac:dyDescent="0.25">
      <c r="A71" s="623">
        <v>90901</v>
      </c>
      <c r="B71" s="624" t="s">
        <v>1210</v>
      </c>
      <c r="C71" s="625">
        <v>2.2187000000000001E-3</v>
      </c>
      <c r="D71" s="625">
        <v>2.2320999999999999E-3</v>
      </c>
      <c r="E71" s="626">
        <v>894842</v>
      </c>
      <c r="F71" s="626">
        <v>-1231936</v>
      </c>
      <c r="G71" s="626">
        <v>995739</v>
      </c>
      <c r="H71" s="626"/>
      <c r="I71" s="627">
        <v>0</v>
      </c>
      <c r="J71" s="627">
        <v>2001081</v>
      </c>
      <c r="K71" s="627">
        <v>0</v>
      </c>
      <c r="L71" s="626">
        <v>13700.18</v>
      </c>
      <c r="M71" s="626"/>
      <c r="N71" s="627">
        <v>234057</v>
      </c>
      <c r="O71" s="627">
        <v>2284567</v>
      </c>
      <c r="P71" s="627">
        <v>0</v>
      </c>
      <c r="Q71" s="626">
        <v>18132</v>
      </c>
      <c r="R71" s="626"/>
      <c r="S71" s="627">
        <v>454616</v>
      </c>
      <c r="T71" s="628">
        <v>-165</v>
      </c>
      <c r="U71" s="628">
        <v>454452</v>
      </c>
    </row>
    <row r="72" spans="1:21" x14ac:dyDescent="0.25">
      <c r="A72" s="623">
        <v>90911</v>
      </c>
      <c r="B72" s="624" t="s">
        <v>1211</v>
      </c>
      <c r="C72" s="625">
        <v>3.6860000000000001E-4</v>
      </c>
      <c r="D72" s="625">
        <v>3.7050000000000001E-4</v>
      </c>
      <c r="E72" s="626">
        <v>136466</v>
      </c>
      <c r="F72" s="626">
        <v>-204486</v>
      </c>
      <c r="G72" s="626">
        <v>165425</v>
      </c>
      <c r="H72" s="626"/>
      <c r="I72" s="627">
        <v>0</v>
      </c>
      <c r="J72" s="627">
        <v>332446</v>
      </c>
      <c r="K72" s="627">
        <v>0</v>
      </c>
      <c r="L72" s="626">
        <v>0</v>
      </c>
      <c r="M72" s="626"/>
      <c r="N72" s="627">
        <v>38885</v>
      </c>
      <c r="O72" s="627">
        <v>379543</v>
      </c>
      <c r="P72" s="627">
        <v>0</v>
      </c>
      <c r="Q72" s="626">
        <v>48276</v>
      </c>
      <c r="R72" s="626"/>
      <c r="S72" s="627">
        <v>75527</v>
      </c>
      <c r="T72" s="628">
        <v>-15241</v>
      </c>
      <c r="U72" s="628">
        <v>60286</v>
      </c>
    </row>
    <row r="73" spans="1:21" x14ac:dyDescent="0.25">
      <c r="A73" s="623">
        <v>90917</v>
      </c>
      <c r="B73" s="624" t="s">
        <v>1212</v>
      </c>
      <c r="C73" s="625">
        <v>1.01E-5</v>
      </c>
      <c r="D73" s="625">
        <v>1.0499999999999999E-5</v>
      </c>
      <c r="E73" s="626">
        <v>5035</v>
      </c>
      <c r="F73" s="626">
        <v>-5795</v>
      </c>
      <c r="G73" s="626">
        <v>4533</v>
      </c>
      <c r="H73" s="626"/>
      <c r="I73" s="627">
        <v>0</v>
      </c>
      <c r="J73" s="627">
        <v>9109</v>
      </c>
      <c r="K73" s="627">
        <v>0</v>
      </c>
      <c r="L73" s="626">
        <v>442</v>
      </c>
      <c r="M73" s="626"/>
      <c r="N73" s="627">
        <v>1065</v>
      </c>
      <c r="O73" s="627">
        <v>10400</v>
      </c>
      <c r="P73" s="627">
        <v>0</v>
      </c>
      <c r="Q73" s="626">
        <v>1325</v>
      </c>
      <c r="R73" s="626"/>
      <c r="S73" s="627">
        <v>2070</v>
      </c>
      <c r="T73" s="628">
        <v>-327</v>
      </c>
      <c r="U73" s="628">
        <v>1742</v>
      </c>
    </row>
    <row r="74" spans="1:21" x14ac:dyDescent="0.25">
      <c r="A74" s="623">
        <v>90918</v>
      </c>
      <c r="B74" s="624" t="s">
        <v>1213</v>
      </c>
      <c r="C74" s="625">
        <v>1.3499999999999999E-5</v>
      </c>
      <c r="D74" s="625">
        <v>1.3699999999999999E-5</v>
      </c>
      <c r="E74" s="626">
        <v>4475</v>
      </c>
      <c r="F74" s="626">
        <v>-7561</v>
      </c>
      <c r="G74" s="626">
        <v>6059</v>
      </c>
      <c r="H74" s="626"/>
      <c r="I74" s="627">
        <v>0</v>
      </c>
      <c r="J74" s="627">
        <v>12176</v>
      </c>
      <c r="K74" s="627">
        <v>0</v>
      </c>
      <c r="L74" s="626">
        <v>0</v>
      </c>
      <c r="M74" s="626"/>
      <c r="N74" s="627">
        <v>1424</v>
      </c>
      <c r="O74" s="627">
        <v>13901</v>
      </c>
      <c r="P74" s="627">
        <v>0</v>
      </c>
      <c r="Q74" s="626">
        <v>1838</v>
      </c>
      <c r="R74" s="626"/>
      <c r="S74" s="627">
        <v>2766</v>
      </c>
      <c r="T74" s="628">
        <v>-545</v>
      </c>
      <c r="U74" s="628">
        <v>2221</v>
      </c>
    </row>
    <row r="75" spans="1:21" x14ac:dyDescent="0.25">
      <c r="A75" s="623">
        <v>90921</v>
      </c>
      <c r="B75" s="624" t="s">
        <v>1214</v>
      </c>
      <c r="C75" s="625">
        <v>1.149E-4</v>
      </c>
      <c r="D75" s="625">
        <v>1.07E-4</v>
      </c>
      <c r="E75" s="626">
        <v>47588</v>
      </c>
      <c r="F75" s="626">
        <v>-59055</v>
      </c>
      <c r="G75" s="626">
        <v>51566</v>
      </c>
      <c r="H75" s="626"/>
      <c r="I75" s="627">
        <v>0</v>
      </c>
      <c r="J75" s="627">
        <v>103630</v>
      </c>
      <c r="K75" s="627">
        <v>0</v>
      </c>
      <c r="L75" s="626">
        <v>6080</v>
      </c>
      <c r="M75" s="626"/>
      <c r="N75" s="627">
        <v>12121</v>
      </c>
      <c r="O75" s="627">
        <v>118311</v>
      </c>
      <c r="P75" s="627">
        <v>0</v>
      </c>
      <c r="Q75" s="626">
        <v>5116</v>
      </c>
      <c r="R75" s="626"/>
      <c r="S75" s="627">
        <v>23543</v>
      </c>
      <c r="T75" s="628">
        <v>-119</v>
      </c>
      <c r="U75" s="628">
        <v>23424</v>
      </c>
    </row>
    <row r="76" spans="1:21" x14ac:dyDescent="0.25">
      <c r="A76" s="623">
        <v>90931</v>
      </c>
      <c r="B76" s="624" t="s">
        <v>1215</v>
      </c>
      <c r="C76" s="625">
        <v>6.2700000000000006E-5</v>
      </c>
      <c r="D76" s="625">
        <v>5.4500000000000003E-5</v>
      </c>
      <c r="E76" s="626">
        <v>24578</v>
      </c>
      <c r="F76" s="626">
        <v>-30080</v>
      </c>
      <c r="G76" s="626">
        <v>28139</v>
      </c>
      <c r="H76" s="626"/>
      <c r="I76" s="627">
        <v>0</v>
      </c>
      <c r="J76" s="627">
        <v>56550</v>
      </c>
      <c r="K76" s="627">
        <v>0</v>
      </c>
      <c r="L76" s="626">
        <v>9134</v>
      </c>
      <c r="M76" s="626"/>
      <c r="N76" s="627">
        <v>6614</v>
      </c>
      <c r="O76" s="627">
        <v>64561</v>
      </c>
      <c r="P76" s="627">
        <v>0</v>
      </c>
      <c r="Q76" s="626">
        <v>0</v>
      </c>
      <c r="R76" s="626"/>
      <c r="S76" s="627">
        <v>12847</v>
      </c>
      <c r="T76" s="628">
        <v>2696</v>
      </c>
      <c r="U76" s="628">
        <v>15543</v>
      </c>
    </row>
    <row r="77" spans="1:21" x14ac:dyDescent="0.25">
      <c r="A77" s="623">
        <v>90941</v>
      </c>
      <c r="B77" s="624" t="s">
        <v>1216</v>
      </c>
      <c r="C77" s="625">
        <v>8.1199999999999995E-5</v>
      </c>
      <c r="D77" s="625">
        <v>9.6600000000000003E-5</v>
      </c>
      <c r="E77" s="626">
        <v>34702</v>
      </c>
      <c r="F77" s="626">
        <v>-53315</v>
      </c>
      <c r="G77" s="626">
        <v>36442</v>
      </c>
      <c r="H77" s="626"/>
      <c r="I77" s="627">
        <v>0</v>
      </c>
      <c r="J77" s="627">
        <v>73236</v>
      </c>
      <c r="K77" s="627">
        <v>0</v>
      </c>
      <c r="L77" s="626">
        <v>0</v>
      </c>
      <c r="M77" s="626"/>
      <c r="N77" s="627">
        <v>8566</v>
      </c>
      <c r="O77" s="627">
        <v>83611</v>
      </c>
      <c r="P77" s="627">
        <v>0</v>
      </c>
      <c r="Q77" s="626">
        <v>10386</v>
      </c>
      <c r="R77" s="626"/>
      <c r="S77" s="627">
        <v>16638</v>
      </c>
      <c r="T77" s="628">
        <v>-2778</v>
      </c>
      <c r="U77" s="628">
        <v>13860</v>
      </c>
    </row>
    <row r="78" spans="1:21" x14ac:dyDescent="0.25">
      <c r="A78" s="623">
        <v>91001</v>
      </c>
      <c r="B78" s="624" t="s">
        <v>1217</v>
      </c>
      <c r="C78" s="625">
        <v>6.5719999999999997E-3</v>
      </c>
      <c r="D78" s="625">
        <v>6.5332000000000003E-3</v>
      </c>
      <c r="E78" s="626">
        <v>2591710</v>
      </c>
      <c r="F78" s="626">
        <v>-3605791</v>
      </c>
      <c r="G78" s="626">
        <v>2949474</v>
      </c>
      <c r="H78" s="626"/>
      <c r="I78" s="627">
        <v>0</v>
      </c>
      <c r="J78" s="627">
        <v>5927392</v>
      </c>
      <c r="K78" s="627">
        <v>0</v>
      </c>
      <c r="L78" s="626">
        <v>108217.07</v>
      </c>
      <c r="M78" s="626"/>
      <c r="N78" s="627">
        <v>693300</v>
      </c>
      <c r="O78" s="627">
        <v>6767103</v>
      </c>
      <c r="P78" s="627">
        <v>0</v>
      </c>
      <c r="Q78" s="626">
        <v>45305</v>
      </c>
      <c r="R78" s="626"/>
      <c r="S78" s="627">
        <v>1346616</v>
      </c>
      <c r="T78" s="628">
        <v>24333</v>
      </c>
      <c r="U78" s="628">
        <v>1370949</v>
      </c>
    </row>
    <row r="79" spans="1:21" x14ac:dyDescent="0.25">
      <c r="A79" s="623">
        <v>91002</v>
      </c>
      <c r="B79" s="624" t="s">
        <v>1218</v>
      </c>
      <c r="C79" s="625">
        <v>5.8929999999999996E-4</v>
      </c>
      <c r="D79" s="625">
        <v>5.978E-4</v>
      </c>
      <c r="E79" s="626">
        <v>199043</v>
      </c>
      <c r="F79" s="626">
        <v>-329937</v>
      </c>
      <c r="G79" s="626">
        <v>264474</v>
      </c>
      <c r="H79" s="626"/>
      <c r="I79" s="627">
        <v>0</v>
      </c>
      <c r="J79" s="627">
        <v>531499</v>
      </c>
      <c r="K79" s="627">
        <v>0</v>
      </c>
      <c r="L79" s="626">
        <v>7944.43</v>
      </c>
      <c r="M79" s="626"/>
      <c r="N79" s="627">
        <v>62167</v>
      </c>
      <c r="O79" s="627">
        <v>606795</v>
      </c>
      <c r="P79" s="627">
        <v>0</v>
      </c>
      <c r="Q79" s="626">
        <v>38900</v>
      </c>
      <c r="R79" s="626"/>
      <c r="S79" s="627">
        <v>120749</v>
      </c>
      <c r="T79" s="628">
        <v>-7526</v>
      </c>
      <c r="U79" s="628">
        <v>113222</v>
      </c>
    </row>
    <row r="80" spans="1:21" x14ac:dyDescent="0.25">
      <c r="A80" s="623">
        <v>91003</v>
      </c>
      <c r="B80" s="624" t="s">
        <v>1219</v>
      </c>
      <c r="C80" s="625">
        <v>6.4320000000000002E-4</v>
      </c>
      <c r="D80" s="625">
        <v>6.3489999999999998E-4</v>
      </c>
      <c r="E80" s="626">
        <v>275715</v>
      </c>
      <c r="F80" s="626">
        <v>-350413</v>
      </c>
      <c r="G80" s="626">
        <v>288664</v>
      </c>
      <c r="H80" s="626"/>
      <c r="I80" s="627">
        <v>0</v>
      </c>
      <c r="J80" s="627">
        <v>580112</v>
      </c>
      <c r="K80" s="627">
        <v>0</v>
      </c>
      <c r="L80" s="626">
        <v>47973</v>
      </c>
      <c r="M80" s="626"/>
      <c r="N80" s="627">
        <v>67853</v>
      </c>
      <c r="O80" s="627">
        <v>662295</v>
      </c>
      <c r="P80" s="627">
        <v>0</v>
      </c>
      <c r="Q80" s="626">
        <v>0</v>
      </c>
      <c r="R80" s="626"/>
      <c r="S80" s="627">
        <v>131793</v>
      </c>
      <c r="T80" s="628">
        <v>14866</v>
      </c>
      <c r="U80" s="628">
        <v>146659</v>
      </c>
    </row>
    <row r="81" spans="1:21" x14ac:dyDescent="0.25">
      <c r="A81" s="623">
        <v>91004</v>
      </c>
      <c r="B81" s="624" t="s">
        <v>1220</v>
      </c>
      <c r="C81" s="625">
        <v>1.8199999999999999E-5</v>
      </c>
      <c r="D81" s="625">
        <v>1.47E-5</v>
      </c>
      <c r="E81" s="626">
        <v>15313</v>
      </c>
      <c r="F81" s="626">
        <v>-8113</v>
      </c>
      <c r="G81" s="626">
        <v>8168</v>
      </c>
      <c r="H81" s="626"/>
      <c r="I81" s="627">
        <v>0</v>
      </c>
      <c r="J81" s="627">
        <v>16415</v>
      </c>
      <c r="K81" s="627">
        <v>0</v>
      </c>
      <c r="L81" s="626">
        <v>8703</v>
      </c>
      <c r="M81" s="626"/>
      <c r="N81" s="627">
        <v>1920</v>
      </c>
      <c r="O81" s="627">
        <v>18740</v>
      </c>
      <c r="P81" s="627">
        <v>0</v>
      </c>
      <c r="Q81" s="626">
        <v>326</v>
      </c>
      <c r="R81" s="626"/>
      <c r="S81" s="627">
        <v>3729</v>
      </c>
      <c r="T81" s="628">
        <v>2169</v>
      </c>
      <c r="U81" s="628">
        <v>5899</v>
      </c>
    </row>
    <row r="82" spans="1:21" x14ac:dyDescent="0.25">
      <c r="A82" s="623">
        <v>91006</v>
      </c>
      <c r="B82" s="624" t="s">
        <v>1221</v>
      </c>
      <c r="C82" s="625">
        <v>1.0097000000000001E-3</v>
      </c>
      <c r="D82" s="625">
        <v>9.5799999999999998E-4</v>
      </c>
      <c r="E82" s="626">
        <v>411320</v>
      </c>
      <c r="F82" s="626">
        <v>-528737</v>
      </c>
      <c r="G82" s="626">
        <v>453147</v>
      </c>
      <c r="H82" s="626"/>
      <c r="I82" s="627">
        <v>0</v>
      </c>
      <c r="J82" s="627">
        <v>910665</v>
      </c>
      <c r="K82" s="627">
        <v>0</v>
      </c>
      <c r="L82" s="626">
        <v>39361</v>
      </c>
      <c r="M82" s="626"/>
      <c r="N82" s="627">
        <v>106516</v>
      </c>
      <c r="O82" s="627">
        <v>1039675</v>
      </c>
      <c r="P82" s="627">
        <v>0</v>
      </c>
      <c r="Q82" s="626">
        <v>0</v>
      </c>
      <c r="R82" s="626"/>
      <c r="S82" s="627">
        <v>206890</v>
      </c>
      <c r="T82" s="628">
        <v>10581</v>
      </c>
      <c r="U82" s="628">
        <v>217470</v>
      </c>
    </row>
    <row r="83" spans="1:21" x14ac:dyDescent="0.25">
      <c r="A83" s="623">
        <v>91007</v>
      </c>
      <c r="B83" s="624" t="s">
        <v>1222</v>
      </c>
      <c r="C83" s="625">
        <v>9.5999999999999996E-6</v>
      </c>
      <c r="D83" s="625">
        <v>1.3900000000000001E-5</v>
      </c>
      <c r="E83" s="626">
        <v>11140</v>
      </c>
      <c r="F83" s="626">
        <v>-7672</v>
      </c>
      <c r="G83" s="626">
        <v>4308</v>
      </c>
      <c r="H83" s="626"/>
      <c r="I83" s="627">
        <v>0</v>
      </c>
      <c r="J83" s="627">
        <v>8658</v>
      </c>
      <c r="K83" s="627">
        <v>0</v>
      </c>
      <c r="L83" s="626">
        <v>2705</v>
      </c>
      <c r="M83" s="626"/>
      <c r="N83" s="627">
        <v>1013</v>
      </c>
      <c r="O83" s="627">
        <v>9885</v>
      </c>
      <c r="P83" s="627">
        <v>0</v>
      </c>
      <c r="Q83" s="626">
        <v>1530.88</v>
      </c>
      <c r="R83" s="626"/>
      <c r="S83" s="627">
        <v>1967</v>
      </c>
      <c r="T83" s="628">
        <v>196</v>
      </c>
      <c r="U83" s="628">
        <v>2163</v>
      </c>
    </row>
    <row r="84" spans="1:21" x14ac:dyDescent="0.25">
      <c r="A84" s="623">
        <v>91008</v>
      </c>
      <c r="B84" s="624" t="s">
        <v>1223</v>
      </c>
      <c r="C84" s="625">
        <v>1.1629999999999999E-4</v>
      </c>
      <c r="D84" s="625">
        <v>9.2600000000000001E-5</v>
      </c>
      <c r="E84" s="626">
        <v>65693</v>
      </c>
      <c r="F84" s="626">
        <v>-51108</v>
      </c>
      <c r="G84" s="626">
        <v>52195</v>
      </c>
      <c r="H84" s="626"/>
      <c r="I84" s="627">
        <v>0</v>
      </c>
      <c r="J84" s="627">
        <v>104893</v>
      </c>
      <c r="K84" s="627">
        <v>0</v>
      </c>
      <c r="L84" s="626">
        <v>41887</v>
      </c>
      <c r="M84" s="626"/>
      <c r="N84" s="627">
        <v>12269</v>
      </c>
      <c r="O84" s="627">
        <v>119753</v>
      </c>
      <c r="P84" s="627">
        <v>0</v>
      </c>
      <c r="Q84" s="626">
        <v>0</v>
      </c>
      <c r="R84" s="626"/>
      <c r="S84" s="627">
        <v>23830</v>
      </c>
      <c r="T84" s="628">
        <v>11752</v>
      </c>
      <c r="U84" s="628">
        <v>35582</v>
      </c>
    </row>
    <row r="85" spans="1:21" x14ac:dyDescent="0.25">
      <c r="A85" s="623">
        <v>91009</v>
      </c>
      <c r="B85" s="624" t="s">
        <v>1224</v>
      </c>
      <c r="C85" s="625">
        <v>1.5099999999999999E-5</v>
      </c>
      <c r="D85" s="625">
        <v>2.5599999999999999E-5</v>
      </c>
      <c r="E85" s="626">
        <v>8985</v>
      </c>
      <c r="F85" s="626">
        <v>-14129</v>
      </c>
      <c r="G85" s="626">
        <v>6777</v>
      </c>
      <c r="H85" s="626"/>
      <c r="I85" s="627">
        <v>0</v>
      </c>
      <c r="J85" s="627">
        <v>13619</v>
      </c>
      <c r="K85" s="627">
        <v>0</v>
      </c>
      <c r="L85" s="626">
        <v>0</v>
      </c>
      <c r="M85" s="626"/>
      <c r="N85" s="627">
        <v>1593</v>
      </c>
      <c r="O85" s="627">
        <v>15548</v>
      </c>
      <c r="P85" s="627">
        <v>0</v>
      </c>
      <c r="Q85" s="626">
        <v>5172</v>
      </c>
      <c r="R85" s="626"/>
      <c r="S85" s="627">
        <v>3094</v>
      </c>
      <c r="T85" s="628">
        <v>-1357</v>
      </c>
      <c r="U85" s="628">
        <v>1737</v>
      </c>
    </row>
    <row r="86" spans="1:21" x14ac:dyDescent="0.25">
      <c r="A86" s="623">
        <v>91010</v>
      </c>
      <c r="B86" s="624" t="s">
        <v>1225</v>
      </c>
      <c r="C86" s="625">
        <v>7.08E-5</v>
      </c>
      <c r="D86" s="625">
        <v>5.8E-5</v>
      </c>
      <c r="E86" s="626">
        <v>27747</v>
      </c>
      <c r="F86" s="626">
        <v>-32011</v>
      </c>
      <c r="G86" s="626">
        <v>31775</v>
      </c>
      <c r="H86" s="626"/>
      <c r="I86" s="627">
        <v>0</v>
      </c>
      <c r="J86" s="627">
        <v>63856</v>
      </c>
      <c r="K86" s="627">
        <v>0</v>
      </c>
      <c r="L86" s="626">
        <v>15171</v>
      </c>
      <c r="M86" s="626"/>
      <c r="N86" s="627">
        <v>7469</v>
      </c>
      <c r="O86" s="627">
        <v>72902</v>
      </c>
      <c r="P86" s="627">
        <v>0</v>
      </c>
      <c r="Q86" s="626">
        <v>0</v>
      </c>
      <c r="R86" s="626"/>
      <c r="S86" s="627">
        <v>14507</v>
      </c>
      <c r="T86" s="628">
        <v>4488</v>
      </c>
      <c r="U86" s="628">
        <v>18995</v>
      </c>
    </row>
    <row r="87" spans="1:21" x14ac:dyDescent="0.25">
      <c r="A87" s="623">
        <v>91011</v>
      </c>
      <c r="B87" s="624" t="s">
        <v>1226</v>
      </c>
      <c r="C87" s="625">
        <v>3.0249999999999998E-4</v>
      </c>
      <c r="D87" s="625">
        <v>2.832E-4</v>
      </c>
      <c r="E87" s="626">
        <v>133205</v>
      </c>
      <c r="F87" s="626">
        <v>-156303</v>
      </c>
      <c r="G87" s="626">
        <v>135760</v>
      </c>
      <c r="H87" s="626"/>
      <c r="I87" s="627">
        <v>0</v>
      </c>
      <c r="J87" s="627">
        <v>272830</v>
      </c>
      <c r="K87" s="627">
        <v>0</v>
      </c>
      <c r="L87" s="626">
        <v>26502</v>
      </c>
      <c r="M87" s="626"/>
      <c r="N87" s="627">
        <v>31912</v>
      </c>
      <c r="O87" s="627">
        <v>311480</v>
      </c>
      <c r="P87" s="627">
        <v>0</v>
      </c>
      <c r="Q87" s="626">
        <v>0</v>
      </c>
      <c r="R87" s="626"/>
      <c r="S87" s="627">
        <v>61983</v>
      </c>
      <c r="T87" s="628">
        <v>7321</v>
      </c>
      <c r="U87" s="628">
        <v>69304</v>
      </c>
    </row>
    <row r="88" spans="1:21" x14ac:dyDescent="0.25">
      <c r="A88" s="623">
        <v>91012</v>
      </c>
      <c r="B88" s="624" t="s">
        <v>1227</v>
      </c>
      <c r="C88" s="625">
        <v>1.08E-5</v>
      </c>
      <c r="D88" s="625">
        <v>1.3499999999999999E-5</v>
      </c>
      <c r="E88" s="626">
        <v>5605</v>
      </c>
      <c r="F88" s="626">
        <v>-7451</v>
      </c>
      <c r="G88" s="626">
        <v>4847</v>
      </c>
      <c r="H88" s="626"/>
      <c r="I88" s="627">
        <v>0</v>
      </c>
      <c r="J88" s="627">
        <v>9741</v>
      </c>
      <c r="K88" s="627">
        <v>0</v>
      </c>
      <c r="L88" s="626">
        <v>0</v>
      </c>
      <c r="M88" s="626"/>
      <c r="N88" s="627">
        <v>1139</v>
      </c>
      <c r="O88" s="627">
        <v>11121</v>
      </c>
      <c r="P88" s="627">
        <v>0</v>
      </c>
      <c r="Q88" s="626">
        <v>7008</v>
      </c>
      <c r="R88" s="626"/>
      <c r="S88" s="627">
        <v>2213</v>
      </c>
      <c r="T88" s="628">
        <v>-2275</v>
      </c>
      <c r="U88" s="628">
        <v>-62</v>
      </c>
    </row>
    <row r="89" spans="1:21" x14ac:dyDescent="0.25">
      <c r="A89" s="623">
        <v>91014</v>
      </c>
      <c r="B89" s="624" t="s">
        <v>1228</v>
      </c>
      <c r="C89" s="625">
        <v>2.241E-4</v>
      </c>
      <c r="D89" s="625">
        <v>2.219E-4</v>
      </c>
      <c r="E89" s="626">
        <v>83992</v>
      </c>
      <c r="F89" s="626">
        <v>-122471</v>
      </c>
      <c r="G89" s="626">
        <v>100575</v>
      </c>
      <c r="H89" s="626"/>
      <c r="I89" s="627">
        <v>0</v>
      </c>
      <c r="J89" s="627">
        <v>202119</v>
      </c>
      <c r="K89" s="627">
        <v>0</v>
      </c>
      <c r="L89" s="626">
        <v>0</v>
      </c>
      <c r="M89" s="626"/>
      <c r="N89" s="627">
        <v>23641</v>
      </c>
      <c r="O89" s="627">
        <v>230753</v>
      </c>
      <c r="P89" s="627">
        <v>0</v>
      </c>
      <c r="Q89" s="626">
        <v>13968</v>
      </c>
      <c r="R89" s="626"/>
      <c r="S89" s="627">
        <v>45919</v>
      </c>
      <c r="T89" s="628">
        <v>-4352</v>
      </c>
      <c r="U89" s="628">
        <v>41567</v>
      </c>
    </row>
    <row r="90" spans="1:21" x14ac:dyDescent="0.25">
      <c r="A90" s="623">
        <v>91017</v>
      </c>
      <c r="B90" s="624" t="s">
        <v>1229</v>
      </c>
      <c r="C90" s="625">
        <v>1.01E-5</v>
      </c>
      <c r="D90" s="625">
        <v>8.8000000000000004E-6</v>
      </c>
      <c r="E90" s="626">
        <v>8192</v>
      </c>
      <c r="F90" s="626">
        <v>-4857</v>
      </c>
      <c r="G90" s="626">
        <v>4533</v>
      </c>
      <c r="H90" s="626"/>
      <c r="I90" s="627">
        <v>0</v>
      </c>
      <c r="J90" s="627">
        <v>9109</v>
      </c>
      <c r="K90" s="627">
        <v>0</v>
      </c>
      <c r="L90" s="626">
        <v>5240</v>
      </c>
      <c r="M90" s="626"/>
      <c r="N90" s="627">
        <v>1065</v>
      </c>
      <c r="O90" s="627">
        <v>10400</v>
      </c>
      <c r="P90" s="627">
        <v>0</v>
      </c>
      <c r="Q90" s="626">
        <v>0</v>
      </c>
      <c r="R90" s="626"/>
      <c r="S90" s="627">
        <v>2070</v>
      </c>
      <c r="T90" s="628">
        <v>1452</v>
      </c>
      <c r="U90" s="628">
        <v>3521</v>
      </c>
    </row>
    <row r="91" spans="1:21" x14ac:dyDescent="0.25">
      <c r="A91" s="623">
        <v>91020</v>
      </c>
      <c r="B91" s="624" t="s">
        <v>1230</v>
      </c>
      <c r="C91" s="625">
        <v>1.7E-5</v>
      </c>
      <c r="D91" s="625">
        <v>1.8300000000000001E-5</v>
      </c>
      <c r="E91" s="626">
        <v>7097</v>
      </c>
      <c r="F91" s="626">
        <v>-10100</v>
      </c>
      <c r="G91" s="626">
        <v>7629</v>
      </c>
      <c r="H91" s="626"/>
      <c r="I91" s="627">
        <v>0</v>
      </c>
      <c r="J91" s="627">
        <v>15333</v>
      </c>
      <c r="K91" s="627">
        <v>0</v>
      </c>
      <c r="L91" s="626">
        <v>1253</v>
      </c>
      <c r="M91" s="626"/>
      <c r="N91" s="627">
        <v>1793</v>
      </c>
      <c r="O91" s="627">
        <v>17505</v>
      </c>
      <c r="P91" s="627">
        <v>0</v>
      </c>
      <c r="Q91" s="626">
        <v>788</v>
      </c>
      <c r="R91" s="626"/>
      <c r="S91" s="627">
        <v>3483</v>
      </c>
      <c r="T91" s="628">
        <v>213</v>
      </c>
      <c r="U91" s="628">
        <v>3696</v>
      </c>
    </row>
    <row r="92" spans="1:21" x14ac:dyDescent="0.25">
      <c r="A92" s="623">
        <v>91021</v>
      </c>
      <c r="B92" s="624" t="s">
        <v>1231</v>
      </c>
      <c r="C92" s="625">
        <v>9.4979999999999999E-4</v>
      </c>
      <c r="D92" s="625">
        <v>9.8229999999999997E-4</v>
      </c>
      <c r="E92" s="626">
        <v>366178</v>
      </c>
      <c r="F92" s="626">
        <v>-542149</v>
      </c>
      <c r="G92" s="626">
        <v>426265</v>
      </c>
      <c r="H92" s="626"/>
      <c r="I92" s="627">
        <v>0</v>
      </c>
      <c r="J92" s="627">
        <v>856640</v>
      </c>
      <c r="K92" s="627">
        <v>0</v>
      </c>
      <c r="L92" s="626">
        <v>0</v>
      </c>
      <c r="M92" s="626"/>
      <c r="N92" s="627">
        <v>100197</v>
      </c>
      <c r="O92" s="627">
        <v>977997</v>
      </c>
      <c r="P92" s="627">
        <v>0</v>
      </c>
      <c r="Q92" s="626">
        <v>117926</v>
      </c>
      <c r="R92" s="626"/>
      <c r="S92" s="627">
        <v>194616</v>
      </c>
      <c r="T92" s="628">
        <v>-36538</v>
      </c>
      <c r="U92" s="628">
        <v>158078</v>
      </c>
    </row>
    <row r="93" spans="1:21" x14ac:dyDescent="0.25">
      <c r="A93" s="623">
        <v>91024</v>
      </c>
      <c r="B93" s="624" t="s">
        <v>1232</v>
      </c>
      <c r="C93" s="625">
        <v>4.3800000000000001E-5</v>
      </c>
      <c r="D93" s="625">
        <v>2.2500000000000001E-5</v>
      </c>
      <c r="E93" s="626">
        <v>21472</v>
      </c>
      <c r="F93" s="626">
        <v>-12418</v>
      </c>
      <c r="G93" s="626">
        <v>19657</v>
      </c>
      <c r="H93" s="626"/>
      <c r="I93" s="627">
        <v>0</v>
      </c>
      <c r="J93" s="627">
        <v>39504</v>
      </c>
      <c r="K93" s="627">
        <v>0</v>
      </c>
      <c r="L93" s="626">
        <v>23517</v>
      </c>
      <c r="M93" s="626"/>
      <c r="N93" s="627">
        <v>4621</v>
      </c>
      <c r="O93" s="627">
        <v>45100</v>
      </c>
      <c r="P93" s="627">
        <v>0</v>
      </c>
      <c r="Q93" s="626">
        <v>0</v>
      </c>
      <c r="R93" s="626"/>
      <c r="S93" s="627">
        <v>8975</v>
      </c>
      <c r="T93" s="628">
        <v>6572</v>
      </c>
      <c r="U93" s="628">
        <v>15547</v>
      </c>
    </row>
    <row r="94" spans="1:21" x14ac:dyDescent="0.25">
      <c r="A94" s="623">
        <v>91026</v>
      </c>
      <c r="B94" s="624" t="s">
        <v>1233</v>
      </c>
      <c r="C94" s="625">
        <v>5.4700000000000001E-5</v>
      </c>
      <c r="D94" s="625">
        <v>3.6199999999999999E-5</v>
      </c>
      <c r="E94" s="626">
        <v>46686</v>
      </c>
      <c r="F94" s="626">
        <v>-19979</v>
      </c>
      <c r="G94" s="626">
        <v>24549</v>
      </c>
      <c r="H94" s="626"/>
      <c r="I94" s="627">
        <v>0</v>
      </c>
      <c r="J94" s="627">
        <v>49335</v>
      </c>
      <c r="K94" s="627">
        <v>0</v>
      </c>
      <c r="L94" s="626">
        <v>32283</v>
      </c>
      <c r="M94" s="626"/>
      <c r="N94" s="627">
        <v>5770</v>
      </c>
      <c r="O94" s="627">
        <v>56324</v>
      </c>
      <c r="P94" s="627">
        <v>0</v>
      </c>
      <c r="Q94" s="626">
        <v>9370.66</v>
      </c>
      <c r="R94" s="626"/>
      <c r="S94" s="627">
        <v>11208</v>
      </c>
      <c r="T94" s="628">
        <v>5317</v>
      </c>
      <c r="U94" s="628">
        <v>16525</v>
      </c>
    </row>
    <row r="95" spans="1:21" x14ac:dyDescent="0.25">
      <c r="A95" s="623">
        <v>91027</v>
      </c>
      <c r="B95" s="624" t="s">
        <v>1234</v>
      </c>
      <c r="C95" s="625">
        <v>1.6099999999999998E-5</v>
      </c>
      <c r="D95" s="625">
        <v>1.5400000000000002E-5</v>
      </c>
      <c r="E95" s="626">
        <v>15689</v>
      </c>
      <c r="F95" s="626">
        <v>-8500</v>
      </c>
      <c r="G95" s="626">
        <v>7226</v>
      </c>
      <c r="H95" s="626"/>
      <c r="I95" s="627">
        <v>0</v>
      </c>
      <c r="J95" s="627">
        <v>14521</v>
      </c>
      <c r="K95" s="627">
        <v>0</v>
      </c>
      <c r="L95" s="626">
        <v>11247</v>
      </c>
      <c r="M95" s="626"/>
      <c r="N95" s="627">
        <v>1698</v>
      </c>
      <c r="O95" s="627">
        <v>16578</v>
      </c>
      <c r="P95" s="627">
        <v>0</v>
      </c>
      <c r="Q95" s="626">
        <v>0</v>
      </c>
      <c r="R95" s="626"/>
      <c r="S95" s="627">
        <v>3299</v>
      </c>
      <c r="T95" s="628">
        <v>3201</v>
      </c>
      <c r="U95" s="628">
        <v>6500</v>
      </c>
    </row>
    <row r="96" spans="1:21" x14ac:dyDescent="0.25">
      <c r="A96" s="623">
        <v>91032</v>
      </c>
      <c r="B96" s="624" t="s">
        <v>1235</v>
      </c>
      <c r="C96" s="625">
        <v>2.12E-5</v>
      </c>
      <c r="D96" s="625">
        <v>1.2E-5</v>
      </c>
      <c r="E96" s="626">
        <v>13907</v>
      </c>
      <c r="F96" s="626">
        <v>-6623</v>
      </c>
      <c r="G96" s="626">
        <v>9514</v>
      </c>
      <c r="H96" s="626"/>
      <c r="I96" s="627">
        <v>0</v>
      </c>
      <c r="J96" s="627">
        <v>19121</v>
      </c>
      <c r="K96" s="627">
        <v>0</v>
      </c>
      <c r="L96" s="626">
        <v>14248</v>
      </c>
      <c r="M96" s="626"/>
      <c r="N96" s="627">
        <v>2236</v>
      </c>
      <c r="O96" s="627">
        <v>21829</v>
      </c>
      <c r="P96" s="627">
        <v>0</v>
      </c>
      <c r="Q96" s="626">
        <v>0</v>
      </c>
      <c r="R96" s="626"/>
      <c r="S96" s="627">
        <v>4344</v>
      </c>
      <c r="T96" s="628">
        <v>3994</v>
      </c>
      <c r="U96" s="628">
        <v>8337</v>
      </c>
    </row>
    <row r="97" spans="1:21" x14ac:dyDescent="0.25">
      <c r="A97" s="623">
        <v>91041</v>
      </c>
      <c r="B97" s="624" t="s">
        <v>1236</v>
      </c>
      <c r="C97" s="625">
        <v>4.8910000000000002E-4</v>
      </c>
      <c r="D97" s="625">
        <v>4.9680000000000004E-4</v>
      </c>
      <c r="E97" s="626">
        <v>147563</v>
      </c>
      <c r="F97" s="626">
        <v>-274193</v>
      </c>
      <c r="G97" s="626">
        <v>219505</v>
      </c>
      <c r="H97" s="626"/>
      <c r="I97" s="627">
        <v>0</v>
      </c>
      <c r="J97" s="627">
        <v>441127</v>
      </c>
      <c r="K97" s="627">
        <v>0</v>
      </c>
      <c r="L97" s="626">
        <v>0</v>
      </c>
      <c r="M97" s="626"/>
      <c r="N97" s="627">
        <v>51597</v>
      </c>
      <c r="O97" s="627">
        <v>503620</v>
      </c>
      <c r="P97" s="627">
        <v>0</v>
      </c>
      <c r="Q97" s="626">
        <v>50134</v>
      </c>
      <c r="R97" s="626"/>
      <c r="S97" s="627">
        <v>100218</v>
      </c>
      <c r="T97" s="628">
        <v>-13372</v>
      </c>
      <c r="U97" s="628">
        <v>86845</v>
      </c>
    </row>
    <row r="98" spans="1:21" x14ac:dyDescent="0.25">
      <c r="A98" s="623">
        <v>91042</v>
      </c>
      <c r="B98" s="624" t="s">
        <v>1237</v>
      </c>
      <c r="C98" s="625">
        <v>2.1579999999999999E-4</v>
      </c>
      <c r="D98" s="625">
        <v>2.0359999999999999E-4</v>
      </c>
      <c r="E98" s="626">
        <v>77496</v>
      </c>
      <c r="F98" s="626">
        <v>-112371</v>
      </c>
      <c r="G98" s="626">
        <v>96850</v>
      </c>
      <c r="H98" s="626"/>
      <c r="I98" s="627">
        <v>0</v>
      </c>
      <c r="J98" s="627">
        <v>194633</v>
      </c>
      <c r="K98" s="627">
        <v>0</v>
      </c>
      <c r="L98" s="626">
        <v>346</v>
      </c>
      <c r="M98" s="626"/>
      <c r="N98" s="627">
        <v>22765</v>
      </c>
      <c r="O98" s="627">
        <v>222206</v>
      </c>
      <c r="P98" s="627">
        <v>0</v>
      </c>
      <c r="Q98" s="626">
        <v>0</v>
      </c>
      <c r="R98" s="626"/>
      <c r="S98" s="627">
        <v>44218</v>
      </c>
      <c r="T98" s="628">
        <v>105</v>
      </c>
      <c r="U98" s="628">
        <v>44323</v>
      </c>
    </row>
    <row r="99" spans="1:21" x14ac:dyDescent="0.25">
      <c r="A99" s="623">
        <v>91047</v>
      </c>
      <c r="B99" s="624" t="s">
        <v>1238</v>
      </c>
      <c r="C99" s="625">
        <v>1.29E-5</v>
      </c>
      <c r="D99" s="625">
        <v>1.33E-5</v>
      </c>
      <c r="E99" s="626">
        <v>17346</v>
      </c>
      <c r="F99" s="626">
        <v>-7341</v>
      </c>
      <c r="G99" s="626">
        <v>5789</v>
      </c>
      <c r="H99" s="626"/>
      <c r="I99" s="627">
        <v>0</v>
      </c>
      <c r="J99" s="627">
        <v>11635</v>
      </c>
      <c r="K99" s="627">
        <v>0</v>
      </c>
      <c r="L99" s="626">
        <v>10779</v>
      </c>
      <c r="M99" s="626"/>
      <c r="N99" s="627">
        <v>1361</v>
      </c>
      <c r="O99" s="627">
        <v>13283</v>
      </c>
      <c r="P99" s="627">
        <v>0</v>
      </c>
      <c r="Q99" s="626">
        <v>0</v>
      </c>
      <c r="R99" s="626"/>
      <c r="S99" s="627">
        <v>2643</v>
      </c>
      <c r="T99" s="628">
        <v>2930</v>
      </c>
      <c r="U99" s="628">
        <v>5573</v>
      </c>
    </row>
    <row r="100" spans="1:21" x14ac:dyDescent="0.25">
      <c r="A100" s="623">
        <v>91051</v>
      </c>
      <c r="B100" s="624" t="s">
        <v>1239</v>
      </c>
      <c r="C100" s="625">
        <v>8.14E-5</v>
      </c>
      <c r="D100" s="625">
        <v>7.9400000000000006E-5</v>
      </c>
      <c r="E100" s="626">
        <v>35751</v>
      </c>
      <c r="F100" s="626">
        <v>-43822</v>
      </c>
      <c r="G100" s="626">
        <v>36532</v>
      </c>
      <c r="H100" s="626"/>
      <c r="I100" s="627">
        <v>0</v>
      </c>
      <c r="J100" s="627">
        <v>73416</v>
      </c>
      <c r="K100" s="627">
        <v>0</v>
      </c>
      <c r="L100" s="626">
        <v>3398</v>
      </c>
      <c r="M100" s="626"/>
      <c r="N100" s="627">
        <v>8587</v>
      </c>
      <c r="O100" s="627">
        <v>83817</v>
      </c>
      <c r="P100" s="627">
        <v>0</v>
      </c>
      <c r="Q100" s="626">
        <v>739</v>
      </c>
      <c r="R100" s="626"/>
      <c r="S100" s="627">
        <v>16679</v>
      </c>
      <c r="T100" s="628">
        <v>643</v>
      </c>
      <c r="U100" s="628">
        <v>17322</v>
      </c>
    </row>
    <row r="101" spans="1:21" x14ac:dyDescent="0.25">
      <c r="A101" s="623">
        <v>91057</v>
      </c>
      <c r="B101" s="624" t="s">
        <v>1240</v>
      </c>
      <c r="C101" s="625">
        <v>1.49E-5</v>
      </c>
      <c r="D101" s="625">
        <v>1.38E-5</v>
      </c>
      <c r="E101" s="626">
        <v>9820</v>
      </c>
      <c r="F101" s="626">
        <v>-7616</v>
      </c>
      <c r="G101" s="626">
        <v>6687</v>
      </c>
      <c r="H101" s="626"/>
      <c r="I101" s="627">
        <v>0</v>
      </c>
      <c r="J101" s="627">
        <v>13439</v>
      </c>
      <c r="K101" s="627">
        <v>0</v>
      </c>
      <c r="L101" s="626">
        <v>3761</v>
      </c>
      <c r="M101" s="626"/>
      <c r="N101" s="627">
        <v>1572</v>
      </c>
      <c r="O101" s="627">
        <v>15342</v>
      </c>
      <c r="P101" s="627">
        <v>0</v>
      </c>
      <c r="Q101" s="626">
        <v>0</v>
      </c>
      <c r="R101" s="626"/>
      <c r="S101" s="627">
        <v>3053</v>
      </c>
      <c r="T101" s="628">
        <v>986</v>
      </c>
      <c r="U101" s="628">
        <v>4039</v>
      </c>
    </row>
    <row r="102" spans="1:21" x14ac:dyDescent="0.25">
      <c r="A102" s="623">
        <v>91061</v>
      </c>
      <c r="B102" s="624" t="s">
        <v>1241</v>
      </c>
      <c r="C102" s="625">
        <v>3.322E-4</v>
      </c>
      <c r="D102" s="625">
        <v>3.9300000000000001E-4</v>
      </c>
      <c r="E102" s="626">
        <v>138278</v>
      </c>
      <c r="F102" s="626">
        <v>-216904</v>
      </c>
      <c r="G102" s="626">
        <v>149089</v>
      </c>
      <c r="H102" s="626"/>
      <c r="I102" s="627">
        <v>0</v>
      </c>
      <c r="J102" s="627">
        <v>299616</v>
      </c>
      <c r="K102" s="627">
        <v>0</v>
      </c>
      <c r="L102" s="626">
        <v>0</v>
      </c>
      <c r="M102" s="626"/>
      <c r="N102" s="627">
        <v>35045</v>
      </c>
      <c r="O102" s="627">
        <v>342062</v>
      </c>
      <c r="P102" s="627">
        <v>0</v>
      </c>
      <c r="Q102" s="626">
        <v>66154</v>
      </c>
      <c r="R102" s="626"/>
      <c r="S102" s="627">
        <v>68068</v>
      </c>
      <c r="T102" s="628">
        <v>-19177</v>
      </c>
      <c r="U102" s="628">
        <v>48891</v>
      </c>
    </row>
    <row r="103" spans="1:21" x14ac:dyDescent="0.25">
      <c r="A103" s="623">
        <v>91067</v>
      </c>
      <c r="B103" s="624" t="s">
        <v>1242</v>
      </c>
      <c r="C103" s="625">
        <v>1.7099999999999999E-5</v>
      </c>
      <c r="D103" s="625">
        <v>1.59E-5</v>
      </c>
      <c r="E103" s="626">
        <v>8626</v>
      </c>
      <c r="F103" s="626">
        <v>-8775</v>
      </c>
      <c r="G103" s="626">
        <v>7674</v>
      </c>
      <c r="H103" s="626"/>
      <c r="I103" s="627">
        <v>0</v>
      </c>
      <c r="J103" s="627">
        <v>15423</v>
      </c>
      <c r="K103" s="627">
        <v>0</v>
      </c>
      <c r="L103" s="626">
        <v>3105</v>
      </c>
      <c r="M103" s="626"/>
      <c r="N103" s="627">
        <v>1804</v>
      </c>
      <c r="O103" s="627">
        <v>17608</v>
      </c>
      <c r="P103" s="627">
        <v>0</v>
      </c>
      <c r="Q103" s="626">
        <v>0</v>
      </c>
      <c r="R103" s="626"/>
      <c r="S103" s="627">
        <v>3504</v>
      </c>
      <c r="T103" s="628">
        <v>883</v>
      </c>
      <c r="U103" s="628">
        <v>4386</v>
      </c>
    </row>
    <row r="104" spans="1:21" x14ac:dyDescent="0.25">
      <c r="A104" s="623">
        <v>91071</v>
      </c>
      <c r="B104" s="624" t="s">
        <v>1243</v>
      </c>
      <c r="C104" s="625">
        <v>2.321E-4</v>
      </c>
      <c r="D104" s="625">
        <v>2.252E-4</v>
      </c>
      <c r="E104" s="626">
        <v>85733</v>
      </c>
      <c r="F104" s="626">
        <v>-124292</v>
      </c>
      <c r="G104" s="626">
        <v>104165</v>
      </c>
      <c r="H104" s="626"/>
      <c r="I104" s="627">
        <v>0</v>
      </c>
      <c r="J104" s="627">
        <v>209335</v>
      </c>
      <c r="K104" s="627">
        <v>0</v>
      </c>
      <c r="L104" s="626">
        <v>25286.43</v>
      </c>
      <c r="M104" s="626"/>
      <c r="N104" s="627">
        <v>24485</v>
      </c>
      <c r="O104" s="627">
        <v>238990</v>
      </c>
      <c r="P104" s="627">
        <v>0</v>
      </c>
      <c r="Q104" s="626">
        <v>2314</v>
      </c>
      <c r="R104" s="626"/>
      <c r="S104" s="627">
        <v>47558</v>
      </c>
      <c r="T104" s="628">
        <v>7851</v>
      </c>
      <c r="U104" s="628">
        <v>55409</v>
      </c>
    </row>
    <row r="105" spans="1:21" x14ac:dyDescent="0.25">
      <c r="A105" s="623">
        <v>91077</v>
      </c>
      <c r="B105" s="624" t="s">
        <v>1244</v>
      </c>
      <c r="C105" s="625">
        <v>4.7999999999999998E-6</v>
      </c>
      <c r="D105" s="625">
        <v>5.0000000000000004E-6</v>
      </c>
      <c r="E105" s="626">
        <v>3035</v>
      </c>
      <c r="F105" s="626">
        <v>-2759.59</v>
      </c>
      <c r="G105" s="626">
        <v>2154</v>
      </c>
      <c r="H105" s="626"/>
      <c r="I105" s="627">
        <v>0</v>
      </c>
      <c r="J105" s="627">
        <v>4329</v>
      </c>
      <c r="K105" s="627">
        <v>0</v>
      </c>
      <c r="L105" s="626">
        <v>712</v>
      </c>
      <c r="M105" s="626"/>
      <c r="N105" s="627">
        <v>506</v>
      </c>
      <c r="O105" s="627">
        <v>4942</v>
      </c>
      <c r="P105" s="627">
        <v>0</v>
      </c>
      <c r="Q105" s="626">
        <v>155</v>
      </c>
      <c r="R105" s="626"/>
      <c r="S105" s="627">
        <v>984</v>
      </c>
      <c r="T105" s="628">
        <v>134</v>
      </c>
      <c r="U105" s="628">
        <v>1118</v>
      </c>
    </row>
    <row r="106" spans="1:21" x14ac:dyDescent="0.25">
      <c r="A106" s="623">
        <v>91081</v>
      </c>
      <c r="B106" s="624" t="s">
        <v>1245</v>
      </c>
      <c r="C106" s="625">
        <v>3.5750000000000002E-4</v>
      </c>
      <c r="D106" s="625">
        <v>3.569E-4</v>
      </c>
      <c r="E106" s="626">
        <v>146271</v>
      </c>
      <c r="F106" s="626">
        <v>-196980</v>
      </c>
      <c r="G106" s="626">
        <v>160444</v>
      </c>
      <c r="H106" s="626"/>
      <c r="I106" s="627">
        <v>0</v>
      </c>
      <c r="J106" s="627">
        <v>322435</v>
      </c>
      <c r="K106" s="627">
        <v>0</v>
      </c>
      <c r="L106" s="626">
        <v>667</v>
      </c>
      <c r="M106" s="626"/>
      <c r="N106" s="627">
        <v>37714</v>
      </c>
      <c r="O106" s="627">
        <v>368113</v>
      </c>
      <c r="P106" s="627">
        <v>0</v>
      </c>
      <c r="Q106" s="626">
        <v>40921.14</v>
      </c>
      <c r="R106" s="626"/>
      <c r="S106" s="627">
        <v>73252</v>
      </c>
      <c r="T106" s="628">
        <v>-13511</v>
      </c>
      <c r="U106" s="628">
        <v>59741</v>
      </c>
    </row>
    <row r="107" spans="1:21" x14ac:dyDescent="0.25">
      <c r="A107" s="623">
        <v>91091</v>
      </c>
      <c r="B107" s="624" t="s">
        <v>1246</v>
      </c>
      <c r="C107" s="625">
        <v>5.3359999999999996E-4</v>
      </c>
      <c r="D107" s="625">
        <v>5.4580000000000004E-4</v>
      </c>
      <c r="E107" s="626">
        <v>189004</v>
      </c>
      <c r="F107" s="626">
        <v>-301237</v>
      </c>
      <c r="G107" s="626">
        <v>239476</v>
      </c>
      <c r="H107" s="626"/>
      <c r="I107" s="627">
        <v>0</v>
      </c>
      <c r="J107" s="627">
        <v>481262</v>
      </c>
      <c r="K107" s="627">
        <v>0</v>
      </c>
      <c r="L107" s="626">
        <v>0</v>
      </c>
      <c r="M107" s="626"/>
      <c r="N107" s="627">
        <v>56291</v>
      </c>
      <c r="O107" s="627">
        <v>549441</v>
      </c>
      <c r="P107" s="627">
        <v>0</v>
      </c>
      <c r="Q107" s="626">
        <v>68527</v>
      </c>
      <c r="R107" s="626"/>
      <c r="S107" s="627">
        <v>109336</v>
      </c>
      <c r="T107" s="628">
        <v>-20635</v>
      </c>
      <c r="U107" s="628">
        <v>88701</v>
      </c>
    </row>
    <row r="108" spans="1:21" x14ac:dyDescent="0.25">
      <c r="A108" s="623">
        <v>91101</v>
      </c>
      <c r="B108" s="624" t="s">
        <v>1247</v>
      </c>
      <c r="C108" s="625">
        <v>1.3700499999999999E-2</v>
      </c>
      <c r="D108" s="625">
        <v>1.26274E-2</v>
      </c>
      <c r="E108" s="626">
        <v>5544403</v>
      </c>
      <c r="F108" s="626">
        <v>-6969289</v>
      </c>
      <c r="G108" s="626">
        <v>6148702</v>
      </c>
      <c r="H108" s="626"/>
      <c r="I108" s="627">
        <v>0</v>
      </c>
      <c r="J108" s="627">
        <v>12356700</v>
      </c>
      <c r="K108" s="627">
        <v>0</v>
      </c>
      <c r="L108" s="626">
        <v>1110952</v>
      </c>
      <c r="M108" s="626"/>
      <c r="N108" s="627">
        <v>1445307</v>
      </c>
      <c r="O108" s="627">
        <v>14107227</v>
      </c>
      <c r="P108" s="627">
        <v>0</v>
      </c>
      <c r="Q108" s="626">
        <v>0</v>
      </c>
      <c r="R108" s="626"/>
      <c r="S108" s="627">
        <v>2807260</v>
      </c>
      <c r="T108" s="628">
        <v>319671</v>
      </c>
      <c r="U108" s="628">
        <v>3126931</v>
      </c>
    </row>
    <row r="109" spans="1:21" x14ac:dyDescent="0.25">
      <c r="A109" s="623">
        <v>91102</v>
      </c>
      <c r="B109" s="624" t="s">
        <v>1248</v>
      </c>
      <c r="C109" s="625">
        <v>2.834E-4</v>
      </c>
      <c r="D109" s="625">
        <v>4.0559999999999999E-4</v>
      </c>
      <c r="E109" s="626">
        <v>133921</v>
      </c>
      <c r="F109" s="626">
        <v>-223858</v>
      </c>
      <c r="G109" s="626">
        <v>127188</v>
      </c>
      <c r="H109" s="626"/>
      <c r="I109" s="627">
        <v>0</v>
      </c>
      <c r="J109" s="627">
        <v>255603</v>
      </c>
      <c r="K109" s="627">
        <v>0</v>
      </c>
      <c r="L109" s="626">
        <v>828.23</v>
      </c>
      <c r="M109" s="626"/>
      <c r="N109" s="627">
        <v>29897</v>
      </c>
      <c r="O109" s="627">
        <v>291813</v>
      </c>
      <c r="P109" s="627">
        <v>0</v>
      </c>
      <c r="Q109" s="626">
        <v>71317</v>
      </c>
      <c r="R109" s="626"/>
      <c r="S109" s="627">
        <v>58069</v>
      </c>
      <c r="T109" s="628">
        <v>-18392</v>
      </c>
      <c r="U109" s="628">
        <v>39677</v>
      </c>
    </row>
    <row r="110" spans="1:21" x14ac:dyDescent="0.25">
      <c r="A110" s="623">
        <v>91104</v>
      </c>
      <c r="B110" s="624" t="s">
        <v>1249</v>
      </c>
      <c r="C110" s="625">
        <v>9.2E-6</v>
      </c>
      <c r="D110" s="625">
        <v>9.9000000000000001E-6</v>
      </c>
      <c r="E110" s="626">
        <v>4743</v>
      </c>
      <c r="F110" s="626">
        <v>-5464</v>
      </c>
      <c r="G110" s="626">
        <v>4129</v>
      </c>
      <c r="H110" s="626"/>
      <c r="I110" s="627">
        <v>0</v>
      </c>
      <c r="J110" s="627">
        <v>8298</v>
      </c>
      <c r="K110" s="627">
        <v>0</v>
      </c>
      <c r="L110" s="626">
        <v>290</v>
      </c>
      <c r="M110" s="626"/>
      <c r="N110" s="627">
        <v>971</v>
      </c>
      <c r="O110" s="627">
        <v>9473</v>
      </c>
      <c r="P110" s="627">
        <v>0</v>
      </c>
      <c r="Q110" s="626">
        <v>117</v>
      </c>
      <c r="R110" s="626"/>
      <c r="S110" s="627">
        <v>1885</v>
      </c>
      <c r="T110" s="628">
        <v>37</v>
      </c>
      <c r="U110" s="628">
        <v>1922</v>
      </c>
    </row>
    <row r="111" spans="1:21" x14ac:dyDescent="0.25">
      <c r="A111" s="623">
        <v>91107</v>
      </c>
      <c r="B111" s="624" t="s">
        <v>1250</v>
      </c>
      <c r="C111" s="625">
        <v>6.3999999999999997E-5</v>
      </c>
      <c r="D111" s="625">
        <v>7.4800000000000002E-5</v>
      </c>
      <c r="E111" s="626">
        <v>37992</v>
      </c>
      <c r="F111" s="626">
        <v>-41283</v>
      </c>
      <c r="G111" s="626">
        <v>28723</v>
      </c>
      <c r="H111" s="626"/>
      <c r="I111" s="627">
        <v>0</v>
      </c>
      <c r="J111" s="627">
        <v>57723</v>
      </c>
      <c r="K111" s="627">
        <v>0</v>
      </c>
      <c r="L111" s="626">
        <v>6005</v>
      </c>
      <c r="M111" s="626"/>
      <c r="N111" s="627">
        <v>6752</v>
      </c>
      <c r="O111" s="627">
        <v>65900</v>
      </c>
      <c r="P111" s="627">
        <v>0</v>
      </c>
      <c r="Q111" s="626">
        <v>0</v>
      </c>
      <c r="R111" s="626"/>
      <c r="S111" s="627">
        <v>13114</v>
      </c>
      <c r="T111" s="628">
        <v>1876</v>
      </c>
      <c r="U111" s="628">
        <v>14990</v>
      </c>
    </row>
    <row r="112" spans="1:21" x14ac:dyDescent="0.25">
      <c r="A112" s="623">
        <v>91108</v>
      </c>
      <c r="B112" s="624" t="s">
        <v>1251</v>
      </c>
      <c r="C112" s="625">
        <v>1.2565E-3</v>
      </c>
      <c r="D112" s="625">
        <v>1.2459999999999999E-3</v>
      </c>
      <c r="E112" s="626">
        <v>563674</v>
      </c>
      <c r="F112" s="626">
        <v>-687690</v>
      </c>
      <c r="G112" s="626">
        <v>563910</v>
      </c>
      <c r="H112" s="626"/>
      <c r="I112" s="627">
        <v>0</v>
      </c>
      <c r="J112" s="627">
        <v>1133257</v>
      </c>
      <c r="K112" s="627">
        <v>0</v>
      </c>
      <c r="L112" s="626">
        <v>76112</v>
      </c>
      <c r="M112" s="626"/>
      <c r="N112" s="627">
        <v>132552</v>
      </c>
      <c r="O112" s="627">
        <v>1293802</v>
      </c>
      <c r="P112" s="627">
        <v>0</v>
      </c>
      <c r="Q112" s="626">
        <v>0</v>
      </c>
      <c r="R112" s="626"/>
      <c r="S112" s="627">
        <v>257459</v>
      </c>
      <c r="T112" s="628">
        <v>22002</v>
      </c>
      <c r="U112" s="628">
        <v>279461</v>
      </c>
    </row>
    <row r="113" spans="1:21" x14ac:dyDescent="0.25">
      <c r="A113" s="623">
        <v>91109</v>
      </c>
      <c r="B113" s="624" t="s">
        <v>1252</v>
      </c>
      <c r="C113" s="625">
        <v>9.6600000000000003E-5</v>
      </c>
      <c r="D113" s="625">
        <v>9.0600000000000007E-5</v>
      </c>
      <c r="E113" s="626">
        <v>37887</v>
      </c>
      <c r="F113" s="626">
        <v>-50004</v>
      </c>
      <c r="G113" s="626">
        <v>43354</v>
      </c>
      <c r="H113" s="626"/>
      <c r="I113" s="627">
        <v>0</v>
      </c>
      <c r="J113" s="627">
        <v>87125</v>
      </c>
      <c r="K113" s="627">
        <v>0</v>
      </c>
      <c r="L113" s="626">
        <v>2980</v>
      </c>
      <c r="M113" s="626"/>
      <c r="N113" s="627">
        <v>10191</v>
      </c>
      <c r="O113" s="627">
        <v>99468</v>
      </c>
      <c r="P113" s="627">
        <v>0</v>
      </c>
      <c r="Q113" s="626">
        <v>1686</v>
      </c>
      <c r="R113" s="626"/>
      <c r="S113" s="627">
        <v>19794</v>
      </c>
      <c r="T113" s="628">
        <v>216</v>
      </c>
      <c r="U113" s="628">
        <v>20010</v>
      </c>
    </row>
    <row r="114" spans="1:21" x14ac:dyDescent="0.25">
      <c r="A114" s="623">
        <v>91111</v>
      </c>
      <c r="B114" s="624" t="s">
        <v>1253</v>
      </c>
      <c r="C114" s="625">
        <v>2.2049999999999999E-4</v>
      </c>
      <c r="D114" s="625">
        <v>1.9019999999999999E-4</v>
      </c>
      <c r="E114" s="626">
        <v>95804</v>
      </c>
      <c r="F114" s="626">
        <v>-104975</v>
      </c>
      <c r="G114" s="626">
        <v>98959</v>
      </c>
      <c r="H114" s="626"/>
      <c r="I114" s="627">
        <v>0</v>
      </c>
      <c r="J114" s="627">
        <v>198872</v>
      </c>
      <c r="K114" s="627">
        <v>0</v>
      </c>
      <c r="L114" s="626">
        <v>26694</v>
      </c>
      <c r="M114" s="626"/>
      <c r="N114" s="627">
        <v>23261</v>
      </c>
      <c r="O114" s="627">
        <v>227046</v>
      </c>
      <c r="P114" s="627">
        <v>0</v>
      </c>
      <c r="Q114" s="626">
        <v>0</v>
      </c>
      <c r="R114" s="626"/>
      <c r="S114" s="627">
        <v>45181</v>
      </c>
      <c r="T114" s="628">
        <v>7050</v>
      </c>
      <c r="U114" s="628">
        <v>52231</v>
      </c>
    </row>
    <row r="115" spans="1:21" x14ac:dyDescent="0.25">
      <c r="A115" s="623">
        <v>91119</v>
      </c>
      <c r="B115" s="624" t="s">
        <v>1254</v>
      </c>
      <c r="C115" s="625">
        <v>0</v>
      </c>
      <c r="D115" s="625">
        <v>0</v>
      </c>
      <c r="E115" s="626"/>
      <c r="F115" s="626">
        <v>0</v>
      </c>
      <c r="G115" s="626">
        <v>0</v>
      </c>
      <c r="H115" s="626"/>
      <c r="I115" s="627">
        <v>0</v>
      </c>
      <c r="J115" s="627">
        <v>0</v>
      </c>
      <c r="K115" s="627">
        <v>0</v>
      </c>
      <c r="L115" s="626">
        <v>0</v>
      </c>
      <c r="M115" s="626"/>
      <c r="N115" s="627">
        <v>0</v>
      </c>
      <c r="O115" s="627">
        <v>0</v>
      </c>
      <c r="P115" s="627">
        <v>0</v>
      </c>
      <c r="Q115" s="626">
        <v>969758.66</v>
      </c>
      <c r="R115" s="626"/>
      <c r="S115" s="627">
        <v>0</v>
      </c>
      <c r="T115" s="628">
        <v>-324334</v>
      </c>
      <c r="U115" s="628">
        <v>-324334</v>
      </c>
    </row>
    <row r="116" spans="1:21" x14ac:dyDescent="0.25">
      <c r="A116" s="623">
        <v>91120</v>
      </c>
      <c r="B116" s="624" t="s">
        <v>1255</v>
      </c>
      <c r="C116" s="625">
        <v>1.161E-4</v>
      </c>
      <c r="D116" s="625">
        <v>1.4909999999999999E-4</v>
      </c>
      <c r="E116" s="626">
        <v>44588</v>
      </c>
      <c r="F116" s="626">
        <v>-82291</v>
      </c>
      <c r="G116" s="626">
        <v>52105</v>
      </c>
      <c r="H116" s="626"/>
      <c r="I116" s="627">
        <v>0</v>
      </c>
      <c r="J116" s="627">
        <v>104712</v>
      </c>
      <c r="K116" s="627">
        <v>0</v>
      </c>
      <c r="L116" s="626">
        <v>0</v>
      </c>
      <c r="M116" s="626"/>
      <c r="N116" s="627">
        <v>12248</v>
      </c>
      <c r="O116" s="627">
        <v>119547</v>
      </c>
      <c r="P116" s="627">
        <v>0</v>
      </c>
      <c r="Q116" s="626">
        <v>36349</v>
      </c>
      <c r="R116" s="626"/>
      <c r="S116" s="627">
        <v>23789</v>
      </c>
      <c r="T116" s="628">
        <v>-10312</v>
      </c>
      <c r="U116" s="628">
        <v>13477</v>
      </c>
    </row>
    <row r="117" spans="1:21" x14ac:dyDescent="0.25">
      <c r="A117" s="623">
        <v>91121</v>
      </c>
      <c r="B117" s="624" t="s">
        <v>1256</v>
      </c>
      <c r="C117" s="625">
        <v>1.0167600000000001E-2</v>
      </c>
      <c r="D117" s="625">
        <v>9.8659000000000004E-3</v>
      </c>
      <c r="E117" s="626">
        <v>3754314</v>
      </c>
      <c r="F117" s="626">
        <v>-5445168</v>
      </c>
      <c r="G117" s="626">
        <v>4563158</v>
      </c>
      <c r="H117" s="626"/>
      <c r="I117" s="627">
        <v>0</v>
      </c>
      <c r="J117" s="627">
        <v>9170321</v>
      </c>
      <c r="K117" s="627">
        <v>0</v>
      </c>
      <c r="L117" s="626">
        <v>0</v>
      </c>
      <c r="M117" s="626"/>
      <c r="N117" s="627">
        <v>1072611</v>
      </c>
      <c r="O117" s="627">
        <v>10469446</v>
      </c>
      <c r="P117" s="627">
        <v>0</v>
      </c>
      <c r="Q117" s="626">
        <v>551300</v>
      </c>
      <c r="R117" s="626"/>
      <c r="S117" s="627">
        <v>2083362</v>
      </c>
      <c r="T117" s="628">
        <v>-176906</v>
      </c>
      <c r="U117" s="628">
        <v>1906456</v>
      </c>
    </row>
    <row r="118" spans="1:21" x14ac:dyDescent="0.25">
      <c r="A118" s="623">
        <v>91127</v>
      </c>
      <c r="B118" s="624" t="s">
        <v>1257</v>
      </c>
      <c r="C118" s="625">
        <v>2.7680000000000001E-4</v>
      </c>
      <c r="D118" s="625">
        <v>2.6679999999999998E-4</v>
      </c>
      <c r="E118" s="626">
        <v>135582</v>
      </c>
      <c r="F118" s="626">
        <v>-147252</v>
      </c>
      <c r="G118" s="626">
        <v>124226</v>
      </c>
      <c r="H118" s="626"/>
      <c r="I118" s="627">
        <v>0</v>
      </c>
      <c r="J118" s="627">
        <v>249650</v>
      </c>
      <c r="K118" s="627">
        <v>0</v>
      </c>
      <c r="L118" s="626">
        <v>58192</v>
      </c>
      <c r="M118" s="626"/>
      <c r="N118" s="627">
        <v>29200</v>
      </c>
      <c r="O118" s="627">
        <v>285017</v>
      </c>
      <c r="P118" s="627">
        <v>0</v>
      </c>
      <c r="Q118" s="626">
        <v>0</v>
      </c>
      <c r="R118" s="626"/>
      <c r="S118" s="627">
        <v>56717</v>
      </c>
      <c r="T118" s="628">
        <v>17652</v>
      </c>
      <c r="U118" s="628">
        <v>74369</v>
      </c>
    </row>
    <row r="119" spans="1:21" x14ac:dyDescent="0.25">
      <c r="A119" s="623">
        <v>91128</v>
      </c>
      <c r="B119" s="624" t="s">
        <v>1258</v>
      </c>
      <c r="C119" s="625">
        <v>5.042E-4</v>
      </c>
      <c r="D119" s="625">
        <v>4.8529999999999998E-4</v>
      </c>
      <c r="E119" s="626">
        <v>204224</v>
      </c>
      <c r="F119" s="626">
        <v>-267846</v>
      </c>
      <c r="G119" s="626">
        <v>226282</v>
      </c>
      <c r="H119" s="626"/>
      <c r="I119" s="627">
        <v>0</v>
      </c>
      <c r="J119" s="627">
        <v>454746</v>
      </c>
      <c r="K119" s="627">
        <v>0</v>
      </c>
      <c r="L119" s="626">
        <v>11970</v>
      </c>
      <c r="M119" s="626"/>
      <c r="N119" s="627">
        <v>53190</v>
      </c>
      <c r="O119" s="627">
        <v>519168</v>
      </c>
      <c r="P119" s="627">
        <v>0</v>
      </c>
      <c r="Q119" s="626">
        <v>18915</v>
      </c>
      <c r="R119" s="626"/>
      <c r="S119" s="627">
        <v>103312</v>
      </c>
      <c r="T119" s="628">
        <v>-3193</v>
      </c>
      <c r="U119" s="628">
        <v>100119</v>
      </c>
    </row>
    <row r="120" spans="1:21" x14ac:dyDescent="0.25">
      <c r="A120" s="623">
        <v>91138</v>
      </c>
      <c r="B120" s="624" t="s">
        <v>1259</v>
      </c>
      <c r="C120" s="625">
        <v>6.6279999999999996E-4</v>
      </c>
      <c r="D120" s="625">
        <v>5.9100000000000005E-4</v>
      </c>
      <c r="E120" s="626">
        <v>175242</v>
      </c>
      <c r="F120" s="626">
        <v>-326184</v>
      </c>
      <c r="G120" s="626">
        <v>297461</v>
      </c>
      <c r="H120" s="626"/>
      <c r="I120" s="627">
        <v>0</v>
      </c>
      <c r="J120" s="627">
        <v>597790</v>
      </c>
      <c r="K120" s="627">
        <v>0</v>
      </c>
      <c r="L120" s="626">
        <v>0</v>
      </c>
      <c r="M120" s="626"/>
      <c r="N120" s="627">
        <v>69921</v>
      </c>
      <c r="O120" s="627">
        <v>682477</v>
      </c>
      <c r="P120" s="627">
        <v>0</v>
      </c>
      <c r="Q120" s="626">
        <v>55043</v>
      </c>
      <c r="R120" s="626"/>
      <c r="S120" s="627">
        <v>135809</v>
      </c>
      <c r="T120" s="628">
        <v>-16578</v>
      </c>
      <c r="U120" s="628">
        <v>119231</v>
      </c>
    </row>
    <row r="121" spans="1:21" x14ac:dyDescent="0.25">
      <c r="A121" s="623">
        <v>91141</v>
      </c>
      <c r="B121" s="624" t="s">
        <v>1260</v>
      </c>
      <c r="C121" s="625">
        <v>6.2560000000000003E-4</v>
      </c>
      <c r="D121" s="625">
        <v>6.5499999999999998E-4</v>
      </c>
      <c r="E121" s="626">
        <v>213857</v>
      </c>
      <c r="F121" s="626">
        <v>-361506.29</v>
      </c>
      <c r="G121" s="626">
        <v>280766</v>
      </c>
      <c r="H121" s="626"/>
      <c r="I121" s="627">
        <v>0</v>
      </c>
      <c r="J121" s="627">
        <v>564239</v>
      </c>
      <c r="K121" s="627">
        <v>0</v>
      </c>
      <c r="L121" s="626">
        <v>0</v>
      </c>
      <c r="M121" s="626"/>
      <c r="N121" s="627">
        <v>65996</v>
      </c>
      <c r="O121" s="627">
        <v>644172</v>
      </c>
      <c r="P121" s="627">
        <v>0</v>
      </c>
      <c r="Q121" s="626">
        <v>80482</v>
      </c>
      <c r="R121" s="626"/>
      <c r="S121" s="627">
        <v>128187</v>
      </c>
      <c r="T121" s="628">
        <v>-23024</v>
      </c>
      <c r="U121" s="628">
        <v>105163</v>
      </c>
    </row>
    <row r="122" spans="1:21" x14ac:dyDescent="0.25">
      <c r="A122" s="623">
        <v>91147</v>
      </c>
      <c r="B122" s="624" t="s">
        <v>1261</v>
      </c>
      <c r="C122" s="625">
        <v>2.1399999999999998E-5</v>
      </c>
      <c r="D122" s="625">
        <v>9.9000000000000001E-6</v>
      </c>
      <c r="E122" s="626">
        <v>10872</v>
      </c>
      <c r="F122" s="626">
        <v>-5464</v>
      </c>
      <c r="G122" s="626">
        <v>9604</v>
      </c>
      <c r="H122" s="626"/>
      <c r="I122" s="627">
        <v>0</v>
      </c>
      <c r="J122" s="627">
        <v>19301</v>
      </c>
      <c r="K122" s="627">
        <v>0</v>
      </c>
      <c r="L122" s="626">
        <v>12471</v>
      </c>
      <c r="M122" s="626"/>
      <c r="N122" s="627">
        <v>2258</v>
      </c>
      <c r="O122" s="627">
        <v>22035</v>
      </c>
      <c r="P122" s="627">
        <v>0</v>
      </c>
      <c r="Q122" s="626">
        <v>0</v>
      </c>
      <c r="R122" s="626"/>
      <c r="S122" s="627">
        <v>4385</v>
      </c>
      <c r="T122" s="628">
        <v>3462</v>
      </c>
      <c r="U122" s="628">
        <v>7846</v>
      </c>
    </row>
    <row r="123" spans="1:21" x14ac:dyDescent="0.25">
      <c r="A123" s="623">
        <v>91151</v>
      </c>
      <c r="B123" s="624" t="s">
        <v>1262</v>
      </c>
      <c r="C123" s="625">
        <v>6.4479999999999995E-4</v>
      </c>
      <c r="D123" s="625">
        <v>5.7549999999999995E-4</v>
      </c>
      <c r="E123" s="626">
        <v>220191</v>
      </c>
      <c r="F123" s="626">
        <v>-317629</v>
      </c>
      <c r="G123" s="626">
        <v>289382</v>
      </c>
      <c r="H123" s="626"/>
      <c r="I123" s="627">
        <v>0</v>
      </c>
      <c r="J123" s="627">
        <v>581555</v>
      </c>
      <c r="K123" s="627">
        <v>0</v>
      </c>
      <c r="L123" s="626">
        <v>14497</v>
      </c>
      <c r="M123" s="626"/>
      <c r="N123" s="627">
        <v>68022</v>
      </c>
      <c r="O123" s="627">
        <v>663942</v>
      </c>
      <c r="P123" s="627">
        <v>0</v>
      </c>
      <c r="Q123" s="626">
        <v>14869.27</v>
      </c>
      <c r="R123" s="626"/>
      <c r="S123" s="627">
        <v>132121</v>
      </c>
      <c r="T123" s="628">
        <v>-1178</v>
      </c>
      <c r="U123" s="628">
        <v>130943</v>
      </c>
    </row>
    <row r="124" spans="1:21" x14ac:dyDescent="0.25">
      <c r="A124" s="623">
        <v>91154</v>
      </c>
      <c r="B124" s="624" t="s">
        <v>1263</v>
      </c>
      <c r="C124" s="625">
        <v>1.59E-5</v>
      </c>
      <c r="D124" s="625">
        <v>1.22E-5</v>
      </c>
      <c r="E124" s="626">
        <v>7586</v>
      </c>
      <c r="F124" s="626">
        <v>-6733</v>
      </c>
      <c r="G124" s="626">
        <v>7136</v>
      </c>
      <c r="H124" s="626"/>
      <c r="I124" s="627">
        <v>0</v>
      </c>
      <c r="J124" s="627">
        <v>14340</v>
      </c>
      <c r="K124" s="627">
        <v>0</v>
      </c>
      <c r="L124" s="626">
        <v>5407</v>
      </c>
      <c r="M124" s="626"/>
      <c r="N124" s="627">
        <v>1677</v>
      </c>
      <c r="O124" s="627">
        <v>16372</v>
      </c>
      <c r="P124" s="627">
        <v>0</v>
      </c>
      <c r="Q124" s="626">
        <v>0</v>
      </c>
      <c r="R124" s="626"/>
      <c r="S124" s="627">
        <v>3258</v>
      </c>
      <c r="T124" s="628">
        <v>1557</v>
      </c>
      <c r="U124" s="628">
        <v>4815</v>
      </c>
    </row>
    <row r="125" spans="1:21" x14ac:dyDescent="0.25">
      <c r="A125" s="623">
        <v>91161</v>
      </c>
      <c r="B125" s="624" t="s">
        <v>1264</v>
      </c>
      <c r="C125" s="625">
        <v>1.0670000000000001E-4</v>
      </c>
      <c r="D125" s="625">
        <v>9.3399999999999993E-5</v>
      </c>
      <c r="E125" s="626">
        <v>45324</v>
      </c>
      <c r="F125" s="626">
        <v>-51549</v>
      </c>
      <c r="G125" s="626">
        <v>47886</v>
      </c>
      <c r="H125" s="626"/>
      <c r="I125" s="627">
        <v>0</v>
      </c>
      <c r="J125" s="627">
        <v>96234</v>
      </c>
      <c r="K125" s="627">
        <v>0</v>
      </c>
      <c r="L125" s="626">
        <v>10729</v>
      </c>
      <c r="M125" s="626"/>
      <c r="N125" s="627">
        <v>11256</v>
      </c>
      <c r="O125" s="627">
        <v>109868</v>
      </c>
      <c r="P125" s="627">
        <v>0</v>
      </c>
      <c r="Q125" s="626">
        <v>3890</v>
      </c>
      <c r="R125" s="626"/>
      <c r="S125" s="627">
        <v>21863</v>
      </c>
      <c r="T125" s="628">
        <v>1508</v>
      </c>
      <c r="U125" s="628">
        <v>23371</v>
      </c>
    </row>
    <row r="126" spans="1:21" x14ac:dyDescent="0.25">
      <c r="A126" s="623">
        <v>91171</v>
      </c>
      <c r="B126" s="624" t="s">
        <v>1265</v>
      </c>
      <c r="C126" s="625">
        <v>2.5240000000000001E-4</v>
      </c>
      <c r="D126" s="625">
        <v>2.632E-4</v>
      </c>
      <c r="E126" s="626">
        <v>91210</v>
      </c>
      <c r="F126" s="626">
        <v>-145265</v>
      </c>
      <c r="G126" s="626">
        <v>113276</v>
      </c>
      <c r="H126" s="626"/>
      <c r="I126" s="627">
        <v>0</v>
      </c>
      <c r="J126" s="627">
        <v>227644</v>
      </c>
      <c r="K126" s="627">
        <v>0</v>
      </c>
      <c r="L126" s="626">
        <v>0</v>
      </c>
      <c r="M126" s="626"/>
      <c r="N126" s="627">
        <v>26626</v>
      </c>
      <c r="O126" s="627">
        <v>259893</v>
      </c>
      <c r="P126" s="627">
        <v>0</v>
      </c>
      <c r="Q126" s="626">
        <v>31772</v>
      </c>
      <c r="R126" s="626"/>
      <c r="S126" s="627">
        <v>51717</v>
      </c>
      <c r="T126" s="628">
        <v>-9394</v>
      </c>
      <c r="U126" s="628">
        <v>42324</v>
      </c>
    </row>
    <row r="127" spans="1:21" x14ac:dyDescent="0.25">
      <c r="A127" s="623">
        <v>91201</v>
      </c>
      <c r="B127" s="624" t="s">
        <v>1266</v>
      </c>
      <c r="C127" s="625">
        <v>2.2309000000000001E-3</v>
      </c>
      <c r="D127" s="625">
        <v>2.0907E-3</v>
      </c>
      <c r="E127" s="626">
        <v>876707</v>
      </c>
      <c r="F127" s="626">
        <v>-1153895</v>
      </c>
      <c r="G127" s="626">
        <v>1001215</v>
      </c>
      <c r="H127" s="626"/>
      <c r="I127" s="627">
        <v>0</v>
      </c>
      <c r="J127" s="627">
        <v>2012084</v>
      </c>
      <c r="K127" s="627">
        <v>0</v>
      </c>
      <c r="L127" s="626">
        <v>90548</v>
      </c>
      <c r="M127" s="626"/>
      <c r="N127" s="627">
        <v>235344</v>
      </c>
      <c r="O127" s="627">
        <v>2297129</v>
      </c>
      <c r="P127" s="627">
        <v>0</v>
      </c>
      <c r="Q127" s="626">
        <v>0</v>
      </c>
      <c r="R127" s="626"/>
      <c r="S127" s="627">
        <v>457116</v>
      </c>
      <c r="T127" s="628">
        <v>25100</v>
      </c>
      <c r="U127" s="628">
        <v>482216</v>
      </c>
    </row>
    <row r="128" spans="1:21" x14ac:dyDescent="0.25">
      <c r="A128" s="623">
        <v>91202</v>
      </c>
      <c r="B128" s="624" t="s">
        <v>1267</v>
      </c>
      <c r="C128" s="625">
        <v>1.7560000000000001E-4</v>
      </c>
      <c r="D128" s="625">
        <v>1.7560000000000001E-4</v>
      </c>
      <c r="E128" s="626">
        <v>87296</v>
      </c>
      <c r="F128" s="626">
        <v>-96917</v>
      </c>
      <c r="G128" s="626">
        <v>78808</v>
      </c>
      <c r="H128" s="626"/>
      <c r="I128" s="627">
        <v>0</v>
      </c>
      <c r="J128" s="627">
        <v>158376</v>
      </c>
      <c r="K128" s="627">
        <v>0</v>
      </c>
      <c r="L128" s="626">
        <v>22857</v>
      </c>
      <c r="M128" s="626"/>
      <c r="N128" s="627">
        <v>18525</v>
      </c>
      <c r="O128" s="627">
        <v>180813</v>
      </c>
      <c r="P128" s="627">
        <v>0</v>
      </c>
      <c r="Q128" s="626">
        <v>0</v>
      </c>
      <c r="R128" s="626"/>
      <c r="S128" s="627">
        <v>35981</v>
      </c>
      <c r="T128" s="628">
        <v>6746</v>
      </c>
      <c r="U128" s="628">
        <v>42727</v>
      </c>
    </row>
    <row r="129" spans="1:21" x14ac:dyDescent="0.25">
      <c r="A129" s="623">
        <v>91203</v>
      </c>
      <c r="B129" s="624" t="s">
        <v>1268</v>
      </c>
      <c r="C129" s="625">
        <v>2.4909999999999998E-4</v>
      </c>
      <c r="D129" s="625">
        <v>2.7460000000000001E-4</v>
      </c>
      <c r="E129" s="626">
        <v>135476</v>
      </c>
      <c r="F129" s="626">
        <v>-151557</v>
      </c>
      <c r="G129" s="626">
        <v>111795</v>
      </c>
      <c r="H129" s="626"/>
      <c r="I129" s="627">
        <v>0</v>
      </c>
      <c r="J129" s="627">
        <v>224667</v>
      </c>
      <c r="K129" s="627">
        <v>0</v>
      </c>
      <c r="L129" s="626">
        <v>23765</v>
      </c>
      <c r="M129" s="626"/>
      <c r="N129" s="627">
        <v>26278</v>
      </c>
      <c r="O129" s="627">
        <v>256495</v>
      </c>
      <c r="P129" s="627">
        <v>0</v>
      </c>
      <c r="Q129" s="626">
        <v>0</v>
      </c>
      <c r="R129" s="626"/>
      <c r="S129" s="627">
        <v>51041</v>
      </c>
      <c r="T129" s="628">
        <v>7303</v>
      </c>
      <c r="U129" s="628">
        <v>58344</v>
      </c>
    </row>
    <row r="130" spans="1:21" x14ac:dyDescent="0.25">
      <c r="A130" s="623">
        <v>91206</v>
      </c>
      <c r="B130" s="624" t="s">
        <v>1269</v>
      </c>
      <c r="C130" s="625">
        <v>8.1959999999999997E-4</v>
      </c>
      <c r="D130" s="625">
        <v>8.2330000000000001E-4</v>
      </c>
      <c r="E130" s="626">
        <v>340396</v>
      </c>
      <c r="F130" s="626">
        <v>-454394</v>
      </c>
      <c r="G130" s="626">
        <v>367832</v>
      </c>
      <c r="H130" s="626"/>
      <c r="I130" s="627">
        <v>0</v>
      </c>
      <c r="J130" s="627">
        <v>739210</v>
      </c>
      <c r="K130" s="627">
        <v>0</v>
      </c>
      <c r="L130" s="626">
        <v>32117</v>
      </c>
      <c r="M130" s="626"/>
      <c r="N130" s="627">
        <v>86462</v>
      </c>
      <c r="O130" s="627">
        <v>843931</v>
      </c>
      <c r="P130" s="627">
        <v>0</v>
      </c>
      <c r="Q130" s="626">
        <v>0</v>
      </c>
      <c r="R130" s="626"/>
      <c r="S130" s="627">
        <v>167938</v>
      </c>
      <c r="T130" s="628">
        <v>10598</v>
      </c>
      <c r="U130" s="628">
        <v>178536</v>
      </c>
    </row>
    <row r="131" spans="1:21" x14ac:dyDescent="0.25">
      <c r="A131" s="623">
        <v>91208</v>
      </c>
      <c r="B131" s="624" t="s">
        <v>1270</v>
      </c>
      <c r="C131" s="625">
        <v>1.2999999999999999E-5</v>
      </c>
      <c r="D131" s="625">
        <v>1.2E-5</v>
      </c>
      <c r="E131" s="626">
        <v>5512</v>
      </c>
      <c r="F131" s="626">
        <v>-6623</v>
      </c>
      <c r="G131" s="626">
        <v>5834</v>
      </c>
      <c r="H131" s="626"/>
      <c r="I131" s="627">
        <v>0</v>
      </c>
      <c r="J131" s="627">
        <v>11725</v>
      </c>
      <c r="K131" s="627">
        <v>0</v>
      </c>
      <c r="L131" s="626">
        <v>10088</v>
      </c>
      <c r="M131" s="626"/>
      <c r="N131" s="627">
        <v>1371</v>
      </c>
      <c r="O131" s="627">
        <v>13386</v>
      </c>
      <c r="P131" s="627">
        <v>0</v>
      </c>
      <c r="Q131" s="626">
        <v>0</v>
      </c>
      <c r="R131" s="626"/>
      <c r="S131" s="627">
        <v>2664</v>
      </c>
      <c r="T131" s="628">
        <v>3311</v>
      </c>
      <c r="U131" s="628">
        <v>5975</v>
      </c>
    </row>
    <row r="132" spans="1:21" x14ac:dyDescent="0.25">
      <c r="A132" s="623">
        <v>91211</v>
      </c>
      <c r="B132" s="624" t="s">
        <v>1271</v>
      </c>
      <c r="C132" s="625">
        <v>4.6260000000000002E-4</v>
      </c>
      <c r="D132" s="625">
        <v>4.793E-4</v>
      </c>
      <c r="E132" s="626">
        <v>194878</v>
      </c>
      <c r="F132" s="626">
        <v>-264534</v>
      </c>
      <c r="G132" s="626">
        <v>207612</v>
      </c>
      <c r="H132" s="626"/>
      <c r="I132" s="627">
        <v>0</v>
      </c>
      <c r="J132" s="627">
        <v>417226</v>
      </c>
      <c r="K132" s="627">
        <v>0</v>
      </c>
      <c r="L132" s="626">
        <v>5173</v>
      </c>
      <c r="M132" s="626"/>
      <c r="N132" s="627">
        <v>48801</v>
      </c>
      <c r="O132" s="627">
        <v>476333</v>
      </c>
      <c r="P132" s="627">
        <v>0</v>
      </c>
      <c r="Q132" s="626">
        <v>6958</v>
      </c>
      <c r="R132" s="626"/>
      <c r="S132" s="627">
        <v>94788</v>
      </c>
      <c r="T132" s="628">
        <v>-92</v>
      </c>
      <c r="U132" s="628">
        <v>94696</v>
      </c>
    </row>
    <row r="133" spans="1:21" x14ac:dyDescent="0.25">
      <c r="A133" s="623">
        <v>91213</v>
      </c>
      <c r="B133" s="624" t="s">
        <v>1272</v>
      </c>
      <c r="C133" s="625">
        <v>3.5500000000000002E-5</v>
      </c>
      <c r="D133" s="625">
        <v>3.5200000000000002E-5</v>
      </c>
      <c r="E133" s="626">
        <v>11416</v>
      </c>
      <c r="F133" s="626">
        <v>-19428</v>
      </c>
      <c r="G133" s="626">
        <v>15932</v>
      </c>
      <c r="H133" s="626"/>
      <c r="I133" s="627">
        <v>0</v>
      </c>
      <c r="J133" s="627">
        <v>32018</v>
      </c>
      <c r="K133" s="627">
        <v>0</v>
      </c>
      <c r="L133" s="626">
        <v>0</v>
      </c>
      <c r="M133" s="626"/>
      <c r="N133" s="627">
        <v>3745</v>
      </c>
      <c r="O133" s="627">
        <v>36554</v>
      </c>
      <c r="P133" s="627">
        <v>0</v>
      </c>
      <c r="Q133" s="626">
        <v>3153</v>
      </c>
      <c r="R133" s="626"/>
      <c r="S133" s="627">
        <v>7274</v>
      </c>
      <c r="T133" s="628">
        <v>-893</v>
      </c>
      <c r="U133" s="628">
        <v>6381</v>
      </c>
    </row>
    <row r="134" spans="1:21" x14ac:dyDescent="0.25">
      <c r="A134" s="623">
        <v>91214</v>
      </c>
      <c r="B134" s="624" t="s">
        <v>1273</v>
      </c>
      <c r="C134" s="625">
        <v>2.6800000000000001E-5</v>
      </c>
      <c r="D134" s="625">
        <v>2.0100000000000001E-5</v>
      </c>
      <c r="E134" s="626">
        <v>8121</v>
      </c>
      <c r="F134" s="626">
        <v>-11094</v>
      </c>
      <c r="G134" s="626">
        <v>12028</v>
      </c>
      <c r="H134" s="626"/>
      <c r="I134" s="627">
        <v>0</v>
      </c>
      <c r="J134" s="627">
        <v>24171</v>
      </c>
      <c r="K134" s="627">
        <v>0</v>
      </c>
      <c r="L134" s="626">
        <v>2843</v>
      </c>
      <c r="M134" s="626"/>
      <c r="N134" s="627">
        <v>2827</v>
      </c>
      <c r="O134" s="627">
        <v>27596</v>
      </c>
      <c r="P134" s="627">
        <v>0</v>
      </c>
      <c r="Q134" s="626">
        <v>0</v>
      </c>
      <c r="R134" s="626"/>
      <c r="S134" s="627">
        <v>5491</v>
      </c>
      <c r="T134" s="628">
        <v>772</v>
      </c>
      <c r="U134" s="628">
        <v>6263</v>
      </c>
    </row>
    <row r="135" spans="1:21" x14ac:dyDescent="0.25">
      <c r="A135" s="623">
        <v>91217</v>
      </c>
      <c r="B135" s="624" t="s">
        <v>1274</v>
      </c>
      <c r="C135" s="625">
        <v>1.8700000000000001E-5</v>
      </c>
      <c r="D135" s="625">
        <v>1.9899999999999999E-5</v>
      </c>
      <c r="E135" s="626">
        <v>13098</v>
      </c>
      <c r="F135" s="626">
        <v>-10983</v>
      </c>
      <c r="G135" s="626">
        <v>8392</v>
      </c>
      <c r="H135" s="626"/>
      <c r="I135" s="627">
        <v>0</v>
      </c>
      <c r="J135" s="627">
        <v>16866</v>
      </c>
      <c r="K135" s="627">
        <v>0</v>
      </c>
      <c r="L135" s="626">
        <v>5709</v>
      </c>
      <c r="M135" s="626"/>
      <c r="N135" s="627">
        <v>1973</v>
      </c>
      <c r="O135" s="627">
        <v>19255</v>
      </c>
      <c r="P135" s="627">
        <v>0</v>
      </c>
      <c r="Q135" s="626">
        <v>0</v>
      </c>
      <c r="R135" s="626"/>
      <c r="S135" s="627">
        <v>3832</v>
      </c>
      <c r="T135" s="628">
        <v>1656</v>
      </c>
      <c r="U135" s="628">
        <v>5488</v>
      </c>
    </row>
    <row r="136" spans="1:21" x14ac:dyDescent="0.25">
      <c r="A136" s="623">
        <v>91221</v>
      </c>
      <c r="B136" s="624" t="s">
        <v>1275</v>
      </c>
      <c r="C136" s="625">
        <v>1.404E-4</v>
      </c>
      <c r="D136" s="625">
        <v>1.394E-4</v>
      </c>
      <c r="E136" s="626">
        <v>53655</v>
      </c>
      <c r="F136" s="626">
        <v>-76937</v>
      </c>
      <c r="G136" s="626">
        <v>63011</v>
      </c>
      <c r="H136" s="626"/>
      <c r="I136" s="627">
        <v>0</v>
      </c>
      <c r="J136" s="627">
        <v>126629</v>
      </c>
      <c r="K136" s="627">
        <v>0</v>
      </c>
      <c r="L136" s="626">
        <v>11263.33</v>
      </c>
      <c r="M136" s="626"/>
      <c r="N136" s="627">
        <v>14811</v>
      </c>
      <c r="O136" s="627">
        <v>144568</v>
      </c>
      <c r="P136" s="627">
        <v>0</v>
      </c>
      <c r="Q136" s="626">
        <v>2205</v>
      </c>
      <c r="R136" s="626"/>
      <c r="S136" s="627">
        <v>28768</v>
      </c>
      <c r="T136" s="628">
        <v>3190</v>
      </c>
      <c r="U136" s="628">
        <v>31958</v>
      </c>
    </row>
    <row r="137" spans="1:21" x14ac:dyDescent="0.25">
      <c r="A137" s="623">
        <v>91231</v>
      </c>
      <c r="B137" s="624" t="s">
        <v>1276</v>
      </c>
      <c r="C137" s="625">
        <v>2.0203999999999999E-3</v>
      </c>
      <c r="D137" s="625">
        <v>2.0660000000000001E-3</v>
      </c>
      <c r="E137" s="626">
        <v>819707</v>
      </c>
      <c r="F137" s="626">
        <v>-1140263</v>
      </c>
      <c r="G137" s="626">
        <v>906743</v>
      </c>
      <c r="H137" s="626"/>
      <c r="I137" s="627">
        <v>0</v>
      </c>
      <c r="J137" s="627">
        <v>1822231</v>
      </c>
      <c r="K137" s="627">
        <v>0</v>
      </c>
      <c r="L137" s="626">
        <v>31975.06</v>
      </c>
      <c r="M137" s="626"/>
      <c r="N137" s="627">
        <v>213138</v>
      </c>
      <c r="O137" s="627">
        <v>2080380</v>
      </c>
      <c r="P137" s="627">
        <v>0</v>
      </c>
      <c r="Q137" s="626">
        <v>36109</v>
      </c>
      <c r="R137" s="626"/>
      <c r="S137" s="627">
        <v>413984</v>
      </c>
      <c r="T137" s="628">
        <v>1241</v>
      </c>
      <c r="U137" s="628">
        <v>415225</v>
      </c>
    </row>
    <row r="138" spans="1:21" x14ac:dyDescent="0.25">
      <c r="A138" s="623">
        <v>91233</v>
      </c>
      <c r="B138" s="624" t="s">
        <v>1277</v>
      </c>
      <c r="C138" s="625">
        <v>4.3399999999999998E-5</v>
      </c>
      <c r="D138" s="625">
        <v>3.26E-5</v>
      </c>
      <c r="E138" s="626">
        <v>18997</v>
      </c>
      <c r="F138" s="626">
        <v>-17993</v>
      </c>
      <c r="G138" s="626">
        <v>19478</v>
      </c>
      <c r="H138" s="626"/>
      <c r="I138" s="627">
        <v>0</v>
      </c>
      <c r="J138" s="627">
        <v>39143</v>
      </c>
      <c r="K138" s="627">
        <v>0</v>
      </c>
      <c r="L138" s="626">
        <v>11447</v>
      </c>
      <c r="M138" s="626"/>
      <c r="N138" s="627">
        <v>4578</v>
      </c>
      <c r="O138" s="627">
        <v>44688</v>
      </c>
      <c r="P138" s="627">
        <v>0</v>
      </c>
      <c r="Q138" s="626">
        <v>0</v>
      </c>
      <c r="R138" s="626"/>
      <c r="S138" s="627">
        <v>8893</v>
      </c>
      <c r="T138" s="628">
        <v>3204</v>
      </c>
      <c r="U138" s="628">
        <v>12097</v>
      </c>
    </row>
    <row r="139" spans="1:21" x14ac:dyDescent="0.25">
      <c r="A139" s="623">
        <v>91241</v>
      </c>
      <c r="B139" s="624" t="s">
        <v>1278</v>
      </c>
      <c r="C139" s="625">
        <v>4.0800000000000002E-5</v>
      </c>
      <c r="D139" s="625">
        <v>4.1100000000000003E-5</v>
      </c>
      <c r="E139" s="626">
        <v>15463</v>
      </c>
      <c r="F139" s="626">
        <v>-22684</v>
      </c>
      <c r="G139" s="626">
        <v>18311</v>
      </c>
      <c r="H139" s="626"/>
      <c r="I139" s="627">
        <v>0</v>
      </c>
      <c r="J139" s="627">
        <v>36798</v>
      </c>
      <c r="K139" s="627">
        <v>0</v>
      </c>
      <c r="L139" s="626">
        <v>0</v>
      </c>
      <c r="M139" s="626"/>
      <c r="N139" s="627">
        <v>4304</v>
      </c>
      <c r="O139" s="627">
        <v>42011</v>
      </c>
      <c r="P139" s="627">
        <v>0</v>
      </c>
      <c r="Q139" s="626">
        <v>5419</v>
      </c>
      <c r="R139" s="626"/>
      <c r="S139" s="627">
        <v>8360</v>
      </c>
      <c r="T139" s="628">
        <v>-1728</v>
      </c>
      <c r="U139" s="628">
        <v>6632</v>
      </c>
    </row>
    <row r="140" spans="1:21" x14ac:dyDescent="0.25">
      <c r="A140" s="623">
        <v>91251</v>
      </c>
      <c r="B140" s="624" t="s">
        <v>1279</v>
      </c>
      <c r="C140" s="625">
        <v>2.6699999999999998E-5</v>
      </c>
      <c r="D140" s="625">
        <v>2.69E-5</v>
      </c>
      <c r="E140" s="626">
        <v>10386</v>
      </c>
      <c r="F140" s="626">
        <v>-14847</v>
      </c>
      <c r="G140" s="626">
        <v>11983</v>
      </c>
      <c r="H140" s="626"/>
      <c r="I140" s="627">
        <v>0</v>
      </c>
      <c r="J140" s="627">
        <v>24081</v>
      </c>
      <c r="K140" s="627">
        <v>0</v>
      </c>
      <c r="L140" s="626">
        <v>7071.35</v>
      </c>
      <c r="M140" s="626"/>
      <c r="N140" s="627">
        <v>2817</v>
      </c>
      <c r="O140" s="627">
        <v>27493</v>
      </c>
      <c r="P140" s="627">
        <v>0</v>
      </c>
      <c r="Q140" s="626">
        <v>549</v>
      </c>
      <c r="R140" s="626"/>
      <c r="S140" s="627">
        <v>5471</v>
      </c>
      <c r="T140" s="628">
        <v>2221</v>
      </c>
      <c r="U140" s="628">
        <v>7692</v>
      </c>
    </row>
    <row r="141" spans="1:21" x14ac:dyDescent="0.25">
      <c r="A141" s="623">
        <v>91261</v>
      </c>
      <c r="B141" s="624" t="s">
        <v>1280</v>
      </c>
      <c r="C141" s="625">
        <v>8.8000000000000004E-6</v>
      </c>
      <c r="D141" s="625">
        <v>7.1999999999999997E-6</v>
      </c>
      <c r="E141" s="626">
        <v>3957</v>
      </c>
      <c r="F141" s="626">
        <v>-3974</v>
      </c>
      <c r="G141" s="626">
        <v>3949</v>
      </c>
      <c r="H141" s="626"/>
      <c r="I141" s="627">
        <v>0</v>
      </c>
      <c r="J141" s="627">
        <v>7937</v>
      </c>
      <c r="K141" s="627">
        <v>0</v>
      </c>
      <c r="L141" s="626">
        <v>2054</v>
      </c>
      <c r="M141" s="626"/>
      <c r="N141" s="627">
        <v>928</v>
      </c>
      <c r="O141" s="627">
        <v>9061</v>
      </c>
      <c r="P141" s="627">
        <v>0</v>
      </c>
      <c r="Q141" s="626">
        <v>0</v>
      </c>
      <c r="R141" s="626"/>
      <c r="S141" s="627">
        <v>1803</v>
      </c>
      <c r="T141" s="628">
        <v>585</v>
      </c>
      <c r="U141" s="628">
        <v>2388</v>
      </c>
    </row>
    <row r="142" spans="1:21" x14ac:dyDescent="0.25">
      <c r="A142" s="623">
        <v>91301</v>
      </c>
      <c r="B142" s="624" t="s">
        <v>1281</v>
      </c>
      <c r="C142" s="625">
        <v>7.2360999999999997E-3</v>
      </c>
      <c r="D142" s="625">
        <v>7.3971999999999996E-3</v>
      </c>
      <c r="E142" s="626">
        <v>2851517</v>
      </c>
      <c r="F142" s="626">
        <v>-4082648</v>
      </c>
      <c r="G142" s="626">
        <v>3247518</v>
      </c>
      <c r="H142" s="626"/>
      <c r="I142" s="627">
        <v>0</v>
      </c>
      <c r="J142" s="627">
        <v>6526354</v>
      </c>
      <c r="K142" s="627">
        <v>0</v>
      </c>
      <c r="L142" s="626">
        <v>0</v>
      </c>
      <c r="M142" s="626"/>
      <c r="N142" s="627">
        <v>763358</v>
      </c>
      <c r="O142" s="627">
        <v>7450918</v>
      </c>
      <c r="P142" s="627">
        <v>0</v>
      </c>
      <c r="Q142" s="626">
        <v>256080</v>
      </c>
      <c r="R142" s="626"/>
      <c r="S142" s="627">
        <v>1482691</v>
      </c>
      <c r="T142" s="628">
        <v>-71507</v>
      </c>
      <c r="U142" s="628">
        <v>1411184</v>
      </c>
    </row>
    <row r="143" spans="1:21" x14ac:dyDescent="0.25">
      <c r="A143" s="623">
        <v>91302</v>
      </c>
      <c r="B143" s="624" t="s">
        <v>1282</v>
      </c>
      <c r="C143" s="625">
        <v>5.8169999999999999E-4</v>
      </c>
      <c r="D143" s="625">
        <v>5.354E-4</v>
      </c>
      <c r="E143" s="626">
        <v>259472</v>
      </c>
      <c r="F143" s="626">
        <v>-295497</v>
      </c>
      <c r="G143" s="626">
        <v>261063</v>
      </c>
      <c r="H143" s="626"/>
      <c r="I143" s="627">
        <v>0</v>
      </c>
      <c r="J143" s="627">
        <v>524645</v>
      </c>
      <c r="K143" s="627">
        <v>0</v>
      </c>
      <c r="L143" s="626">
        <v>67508</v>
      </c>
      <c r="M143" s="626"/>
      <c r="N143" s="627">
        <v>61365</v>
      </c>
      <c r="O143" s="627">
        <v>598969</v>
      </c>
      <c r="P143" s="627">
        <v>0</v>
      </c>
      <c r="Q143" s="626">
        <v>0</v>
      </c>
      <c r="R143" s="626"/>
      <c r="S143" s="627">
        <v>119191</v>
      </c>
      <c r="T143" s="628">
        <v>18951</v>
      </c>
      <c r="U143" s="628">
        <v>138143</v>
      </c>
    </row>
    <row r="144" spans="1:21" x14ac:dyDescent="0.25">
      <c r="A144" s="623">
        <v>91306</v>
      </c>
      <c r="B144" s="624" t="s">
        <v>1283</v>
      </c>
      <c r="C144" s="625">
        <v>1.5539E-3</v>
      </c>
      <c r="D144" s="625">
        <v>1.4652999999999999E-3</v>
      </c>
      <c r="E144" s="626">
        <v>675656</v>
      </c>
      <c r="F144" s="626">
        <v>-808725</v>
      </c>
      <c r="G144" s="626">
        <v>697381</v>
      </c>
      <c r="H144" s="626"/>
      <c r="I144" s="627">
        <v>0</v>
      </c>
      <c r="J144" s="627">
        <v>1401487</v>
      </c>
      <c r="K144" s="627">
        <v>0</v>
      </c>
      <c r="L144" s="626">
        <v>150655</v>
      </c>
      <c r="M144" s="626"/>
      <c r="N144" s="627">
        <v>163926</v>
      </c>
      <c r="O144" s="627">
        <v>1600031</v>
      </c>
      <c r="P144" s="627">
        <v>0</v>
      </c>
      <c r="Q144" s="626">
        <v>0</v>
      </c>
      <c r="R144" s="626"/>
      <c r="S144" s="627">
        <v>318397</v>
      </c>
      <c r="T144" s="628">
        <v>43494</v>
      </c>
      <c r="U144" s="628">
        <v>361891</v>
      </c>
    </row>
    <row r="145" spans="1:21" x14ac:dyDescent="0.25">
      <c r="A145" s="623">
        <v>91308</v>
      </c>
      <c r="B145" s="624" t="s">
        <v>1284</v>
      </c>
      <c r="C145" s="625">
        <v>1.8650000000000001E-4</v>
      </c>
      <c r="D145" s="625">
        <v>1.8980000000000001E-4</v>
      </c>
      <c r="E145" s="626">
        <v>72472</v>
      </c>
      <c r="F145" s="626">
        <v>-104754</v>
      </c>
      <c r="G145" s="626">
        <v>83700</v>
      </c>
      <c r="H145" s="626"/>
      <c r="I145" s="627">
        <v>0</v>
      </c>
      <c r="J145" s="627">
        <v>168207</v>
      </c>
      <c r="K145" s="627">
        <v>0</v>
      </c>
      <c r="L145" s="626">
        <v>6832</v>
      </c>
      <c r="M145" s="626"/>
      <c r="N145" s="627">
        <v>19674</v>
      </c>
      <c r="O145" s="627">
        <v>192037</v>
      </c>
      <c r="P145" s="627">
        <v>0</v>
      </c>
      <c r="Q145" s="626">
        <v>5226</v>
      </c>
      <c r="R145" s="626"/>
      <c r="S145" s="627">
        <v>38214</v>
      </c>
      <c r="T145" s="628">
        <v>917</v>
      </c>
      <c r="U145" s="628">
        <v>39131</v>
      </c>
    </row>
    <row r="146" spans="1:21" x14ac:dyDescent="0.25">
      <c r="A146" s="623">
        <v>91311</v>
      </c>
      <c r="B146" s="624" t="s">
        <v>1285</v>
      </c>
      <c r="C146" s="625">
        <v>7.9313999999999999E-3</v>
      </c>
      <c r="D146" s="625">
        <v>7.4554E-3</v>
      </c>
      <c r="E146" s="626">
        <v>3024263</v>
      </c>
      <c r="F146" s="626">
        <v>-4114769</v>
      </c>
      <c r="G146" s="626">
        <v>3559565</v>
      </c>
      <c r="H146" s="626"/>
      <c r="I146" s="627">
        <v>0</v>
      </c>
      <c r="J146" s="627">
        <v>7153457</v>
      </c>
      <c r="K146" s="627">
        <v>0</v>
      </c>
      <c r="L146" s="626">
        <v>164438</v>
      </c>
      <c r="M146" s="626"/>
      <c r="N146" s="627">
        <v>836707</v>
      </c>
      <c r="O146" s="627">
        <v>8166859</v>
      </c>
      <c r="P146" s="627">
        <v>0</v>
      </c>
      <c r="Q146" s="626">
        <v>305324</v>
      </c>
      <c r="R146" s="626"/>
      <c r="S146" s="627">
        <v>1625160</v>
      </c>
      <c r="T146" s="628">
        <v>-59069</v>
      </c>
      <c r="U146" s="628">
        <v>1566091</v>
      </c>
    </row>
    <row r="147" spans="1:21" x14ac:dyDescent="0.25">
      <c r="A147" s="623">
        <v>91317</v>
      </c>
      <c r="B147" s="624" t="s">
        <v>1286</v>
      </c>
      <c r="C147" s="625">
        <v>9.59E-5</v>
      </c>
      <c r="D147" s="625">
        <v>9.48E-5</v>
      </c>
      <c r="E147" s="626">
        <v>44373</v>
      </c>
      <c r="F147" s="626">
        <v>-52322</v>
      </c>
      <c r="G147" s="626">
        <v>43039</v>
      </c>
      <c r="H147" s="626"/>
      <c r="I147" s="627">
        <v>0</v>
      </c>
      <c r="J147" s="627">
        <v>86494</v>
      </c>
      <c r="K147" s="627">
        <v>0</v>
      </c>
      <c r="L147" s="626">
        <v>4908</v>
      </c>
      <c r="M147" s="626"/>
      <c r="N147" s="627">
        <v>10117</v>
      </c>
      <c r="O147" s="627">
        <v>98747</v>
      </c>
      <c r="P147" s="627">
        <v>0</v>
      </c>
      <c r="Q147" s="626">
        <v>2521</v>
      </c>
      <c r="R147" s="626"/>
      <c r="S147" s="627">
        <v>19650</v>
      </c>
      <c r="T147" s="628">
        <v>442</v>
      </c>
      <c r="U147" s="628">
        <v>20092</v>
      </c>
    </row>
    <row r="148" spans="1:21" x14ac:dyDescent="0.25">
      <c r="A148" s="623">
        <v>91321</v>
      </c>
      <c r="B148" s="624" t="s">
        <v>1287</v>
      </c>
      <c r="C148" s="625">
        <v>3.1999999999999999E-5</v>
      </c>
      <c r="D148" s="625">
        <v>5.2800000000000003E-5</v>
      </c>
      <c r="E148" s="626">
        <v>21524</v>
      </c>
      <c r="F148" s="626">
        <v>-29141</v>
      </c>
      <c r="G148" s="626">
        <v>14361</v>
      </c>
      <c r="H148" s="626"/>
      <c r="I148" s="627">
        <v>0</v>
      </c>
      <c r="J148" s="627">
        <v>28861</v>
      </c>
      <c r="K148" s="627">
        <v>0</v>
      </c>
      <c r="L148" s="626">
        <v>1444.17</v>
      </c>
      <c r="M148" s="626"/>
      <c r="N148" s="627">
        <v>3376</v>
      </c>
      <c r="O148" s="627">
        <v>32950</v>
      </c>
      <c r="P148" s="627">
        <v>0</v>
      </c>
      <c r="Q148" s="626">
        <v>7892</v>
      </c>
      <c r="R148" s="626"/>
      <c r="S148" s="627">
        <v>6557</v>
      </c>
      <c r="T148" s="628">
        <v>-1583</v>
      </c>
      <c r="U148" s="628">
        <v>4974</v>
      </c>
    </row>
    <row r="149" spans="1:21" x14ac:dyDescent="0.25">
      <c r="A149" s="623">
        <v>91327</v>
      </c>
      <c r="B149" s="624" t="s">
        <v>1288</v>
      </c>
      <c r="C149" s="625">
        <v>1.13E-5</v>
      </c>
      <c r="D149" s="625">
        <v>1.1600000000000001E-5</v>
      </c>
      <c r="E149" s="626">
        <v>4180</v>
      </c>
      <c r="F149" s="626">
        <v>-6402</v>
      </c>
      <c r="G149" s="626">
        <v>5071</v>
      </c>
      <c r="H149" s="626"/>
      <c r="I149" s="627">
        <v>0</v>
      </c>
      <c r="J149" s="627">
        <v>10192</v>
      </c>
      <c r="K149" s="627">
        <v>0</v>
      </c>
      <c r="L149" s="626">
        <v>108</v>
      </c>
      <c r="M149" s="626"/>
      <c r="N149" s="627">
        <v>1192</v>
      </c>
      <c r="O149" s="627">
        <v>11635</v>
      </c>
      <c r="P149" s="627">
        <v>0</v>
      </c>
      <c r="Q149" s="626">
        <v>554</v>
      </c>
      <c r="R149" s="626"/>
      <c r="S149" s="627">
        <v>2315</v>
      </c>
      <c r="T149" s="628">
        <v>-109</v>
      </c>
      <c r="U149" s="628">
        <v>2206</v>
      </c>
    </row>
    <row r="150" spans="1:21" x14ac:dyDescent="0.25">
      <c r="A150" s="623">
        <v>91331</v>
      </c>
      <c r="B150" s="624" t="s">
        <v>1289</v>
      </c>
      <c r="C150" s="625">
        <v>3.0317E-3</v>
      </c>
      <c r="D150" s="625">
        <v>2.9924999999999999E-3</v>
      </c>
      <c r="E150" s="626">
        <v>1006669</v>
      </c>
      <c r="F150" s="626">
        <v>-1651615</v>
      </c>
      <c r="G150" s="626">
        <v>1360609</v>
      </c>
      <c r="H150" s="626"/>
      <c r="I150" s="627">
        <v>0</v>
      </c>
      <c r="J150" s="627">
        <v>2734339</v>
      </c>
      <c r="K150" s="627">
        <v>0</v>
      </c>
      <c r="L150" s="626">
        <v>0</v>
      </c>
      <c r="M150" s="626"/>
      <c r="N150" s="627">
        <v>319823</v>
      </c>
      <c r="O150" s="627">
        <v>3121702</v>
      </c>
      <c r="P150" s="627">
        <v>0</v>
      </c>
      <c r="Q150" s="626">
        <v>368678</v>
      </c>
      <c r="R150" s="626"/>
      <c r="S150" s="627">
        <v>621201</v>
      </c>
      <c r="T150" s="628">
        <v>-111992</v>
      </c>
      <c r="U150" s="628">
        <v>509209</v>
      </c>
    </row>
    <row r="151" spans="1:21" x14ac:dyDescent="0.25">
      <c r="A151" s="623">
        <v>91341</v>
      </c>
      <c r="B151" s="624" t="s">
        <v>1290</v>
      </c>
      <c r="C151" s="625">
        <v>2.1299999999999999E-5</v>
      </c>
      <c r="D151" s="625">
        <v>1.8300000000000001E-5</v>
      </c>
      <c r="E151" s="626">
        <v>6337</v>
      </c>
      <c r="F151" s="626">
        <v>-10100</v>
      </c>
      <c r="G151" s="626">
        <v>9559</v>
      </c>
      <c r="H151" s="626"/>
      <c r="I151" s="627">
        <v>0</v>
      </c>
      <c r="J151" s="627">
        <v>19211</v>
      </c>
      <c r="K151" s="627">
        <v>0</v>
      </c>
      <c r="L151" s="626">
        <v>747</v>
      </c>
      <c r="M151" s="626"/>
      <c r="N151" s="627">
        <v>2247</v>
      </c>
      <c r="O151" s="627">
        <v>21932</v>
      </c>
      <c r="P151" s="627">
        <v>0</v>
      </c>
      <c r="Q151" s="626">
        <v>0</v>
      </c>
      <c r="R151" s="626"/>
      <c r="S151" s="627">
        <v>4364</v>
      </c>
      <c r="T151" s="628">
        <v>233</v>
      </c>
      <c r="U151" s="628">
        <v>4597</v>
      </c>
    </row>
    <row r="152" spans="1:21" x14ac:dyDescent="0.25">
      <c r="A152" s="623">
        <v>91401</v>
      </c>
      <c r="B152" s="624" t="s">
        <v>1291</v>
      </c>
      <c r="C152" s="625">
        <v>3.5414999999999999E-3</v>
      </c>
      <c r="D152" s="625">
        <v>3.4860999999999998E-3</v>
      </c>
      <c r="E152" s="626">
        <v>1421084</v>
      </c>
      <c r="F152" s="626">
        <v>-1924041</v>
      </c>
      <c r="G152" s="626">
        <v>1589404</v>
      </c>
      <c r="H152" s="626"/>
      <c r="I152" s="627">
        <v>0</v>
      </c>
      <c r="J152" s="627">
        <v>3194136</v>
      </c>
      <c r="K152" s="627">
        <v>0</v>
      </c>
      <c r="L152" s="626">
        <v>44271</v>
      </c>
      <c r="M152" s="626"/>
      <c r="N152" s="627">
        <v>373603</v>
      </c>
      <c r="O152" s="627">
        <v>3646637</v>
      </c>
      <c r="P152" s="627">
        <v>0</v>
      </c>
      <c r="Q152" s="626">
        <v>0</v>
      </c>
      <c r="R152" s="626"/>
      <c r="S152" s="627">
        <v>725660</v>
      </c>
      <c r="T152" s="628">
        <v>13412</v>
      </c>
      <c r="U152" s="628">
        <v>739073</v>
      </c>
    </row>
    <row r="153" spans="1:21" x14ac:dyDescent="0.25">
      <c r="A153" s="623">
        <v>91411</v>
      </c>
      <c r="B153" s="624" t="s">
        <v>1292</v>
      </c>
      <c r="C153" s="625">
        <v>3.1189999999999999E-4</v>
      </c>
      <c r="D153" s="625">
        <v>3.1930000000000001E-4</v>
      </c>
      <c r="E153" s="626">
        <v>139119</v>
      </c>
      <c r="F153" s="626">
        <v>-176227</v>
      </c>
      <c r="G153" s="626">
        <v>139979</v>
      </c>
      <c r="H153" s="626"/>
      <c r="I153" s="627">
        <v>0</v>
      </c>
      <c r="J153" s="627">
        <v>281308</v>
      </c>
      <c r="K153" s="627">
        <v>0</v>
      </c>
      <c r="L153" s="626">
        <v>4140</v>
      </c>
      <c r="M153" s="626"/>
      <c r="N153" s="627">
        <v>32903</v>
      </c>
      <c r="O153" s="627">
        <v>321159</v>
      </c>
      <c r="P153" s="627">
        <v>0</v>
      </c>
      <c r="Q153" s="626">
        <v>4209.92</v>
      </c>
      <c r="R153" s="626"/>
      <c r="S153" s="627">
        <v>63909</v>
      </c>
      <c r="T153" s="628">
        <v>-324</v>
      </c>
      <c r="U153" s="628">
        <v>63585</v>
      </c>
    </row>
    <row r="154" spans="1:21" x14ac:dyDescent="0.25">
      <c r="A154" s="623">
        <v>91417</v>
      </c>
      <c r="B154" s="624" t="s">
        <v>1293</v>
      </c>
      <c r="C154" s="625">
        <v>1.04E-5</v>
      </c>
      <c r="D154" s="625">
        <v>1.04E-5</v>
      </c>
      <c r="E154" s="626">
        <v>5013</v>
      </c>
      <c r="F154" s="626">
        <v>-5740</v>
      </c>
      <c r="G154" s="626">
        <v>4667</v>
      </c>
      <c r="H154" s="626"/>
      <c r="I154" s="627">
        <v>0</v>
      </c>
      <c r="J154" s="627">
        <v>9380</v>
      </c>
      <c r="K154" s="627">
        <v>0</v>
      </c>
      <c r="L154" s="626">
        <v>5009</v>
      </c>
      <c r="M154" s="626"/>
      <c r="N154" s="627">
        <v>1097</v>
      </c>
      <c r="O154" s="627">
        <v>10709</v>
      </c>
      <c r="P154" s="627">
        <v>0</v>
      </c>
      <c r="Q154" s="626">
        <v>0</v>
      </c>
      <c r="R154" s="626"/>
      <c r="S154" s="627">
        <v>2131</v>
      </c>
      <c r="T154" s="628">
        <v>1631</v>
      </c>
      <c r="U154" s="628">
        <v>3762</v>
      </c>
    </row>
    <row r="155" spans="1:21" x14ac:dyDescent="0.25">
      <c r="A155" s="623">
        <v>91421</v>
      </c>
      <c r="B155" s="624" t="s">
        <v>1294</v>
      </c>
      <c r="C155" s="625">
        <v>7.3399999999999995E-5</v>
      </c>
      <c r="D155" s="625">
        <v>8.4400000000000005E-5</v>
      </c>
      <c r="E155" s="626">
        <v>31874</v>
      </c>
      <c r="F155" s="626">
        <v>-46582</v>
      </c>
      <c r="G155" s="626">
        <v>32941</v>
      </c>
      <c r="H155" s="626"/>
      <c r="I155" s="627">
        <v>0</v>
      </c>
      <c r="J155" s="627">
        <v>66201</v>
      </c>
      <c r="K155" s="627">
        <v>0</v>
      </c>
      <c r="L155" s="626">
        <v>3857</v>
      </c>
      <c r="M155" s="626"/>
      <c r="N155" s="627">
        <v>7743</v>
      </c>
      <c r="O155" s="627">
        <v>75579</v>
      </c>
      <c r="P155" s="627">
        <v>0</v>
      </c>
      <c r="Q155" s="626">
        <v>6209</v>
      </c>
      <c r="R155" s="626"/>
      <c r="S155" s="627">
        <v>15040</v>
      </c>
      <c r="T155" s="628">
        <v>-335</v>
      </c>
      <c r="U155" s="628">
        <v>14705</v>
      </c>
    </row>
    <row r="156" spans="1:21" x14ac:dyDescent="0.25">
      <c r="A156" s="623">
        <v>91423</v>
      </c>
      <c r="B156" s="624" t="s">
        <v>1295</v>
      </c>
      <c r="C156" s="625">
        <v>3.9499999999999998E-5</v>
      </c>
      <c r="D156" s="625">
        <v>2.2799999999999999E-5</v>
      </c>
      <c r="E156" s="626">
        <v>17685</v>
      </c>
      <c r="F156" s="626">
        <v>-12584</v>
      </c>
      <c r="G156" s="626">
        <v>17727</v>
      </c>
      <c r="H156" s="626"/>
      <c r="I156" s="627">
        <v>0</v>
      </c>
      <c r="J156" s="627">
        <v>35626</v>
      </c>
      <c r="K156" s="627">
        <v>0</v>
      </c>
      <c r="L156" s="626">
        <v>12954</v>
      </c>
      <c r="M156" s="626"/>
      <c r="N156" s="627">
        <v>4167</v>
      </c>
      <c r="O156" s="627">
        <v>40673</v>
      </c>
      <c r="P156" s="627">
        <v>0</v>
      </c>
      <c r="Q156" s="626">
        <v>6118</v>
      </c>
      <c r="R156" s="626"/>
      <c r="S156" s="627">
        <v>8094</v>
      </c>
      <c r="T156" s="628">
        <v>1345</v>
      </c>
      <c r="U156" s="628">
        <v>9439</v>
      </c>
    </row>
    <row r="157" spans="1:21" x14ac:dyDescent="0.25">
      <c r="A157" s="623">
        <v>91431</v>
      </c>
      <c r="B157" s="624" t="s">
        <v>1296</v>
      </c>
      <c r="C157" s="625">
        <v>1.606E-4</v>
      </c>
      <c r="D157" s="625">
        <v>1.596E-4</v>
      </c>
      <c r="E157" s="626">
        <v>67660</v>
      </c>
      <c r="F157" s="626">
        <v>-88086</v>
      </c>
      <c r="G157" s="626">
        <v>72076</v>
      </c>
      <c r="H157" s="626"/>
      <c r="I157" s="627">
        <v>0</v>
      </c>
      <c r="J157" s="627">
        <v>144848</v>
      </c>
      <c r="K157" s="627">
        <v>0</v>
      </c>
      <c r="L157" s="626">
        <v>2358</v>
      </c>
      <c r="M157" s="626"/>
      <c r="N157" s="627">
        <v>16942</v>
      </c>
      <c r="O157" s="627">
        <v>165368</v>
      </c>
      <c r="P157" s="627">
        <v>0</v>
      </c>
      <c r="Q157" s="626">
        <v>529.23</v>
      </c>
      <c r="R157" s="626"/>
      <c r="S157" s="627">
        <v>32907</v>
      </c>
      <c r="T157" s="628">
        <v>440</v>
      </c>
      <c r="U157" s="628">
        <v>33348</v>
      </c>
    </row>
    <row r="158" spans="1:21" x14ac:dyDescent="0.25">
      <c r="A158" s="623">
        <v>91441</v>
      </c>
      <c r="B158" s="624" t="s">
        <v>1297</v>
      </c>
      <c r="C158" s="625">
        <v>8.0199999999999998E-4</v>
      </c>
      <c r="D158" s="625">
        <v>7.7430000000000001E-4</v>
      </c>
      <c r="E158" s="626">
        <v>232385</v>
      </c>
      <c r="F158" s="626">
        <v>-427350</v>
      </c>
      <c r="G158" s="626">
        <v>359933</v>
      </c>
      <c r="H158" s="626"/>
      <c r="I158" s="627">
        <v>0</v>
      </c>
      <c r="J158" s="627">
        <v>723337</v>
      </c>
      <c r="K158" s="627">
        <v>0</v>
      </c>
      <c r="L158" s="626">
        <v>0</v>
      </c>
      <c r="M158" s="626"/>
      <c r="N158" s="627">
        <v>84605</v>
      </c>
      <c r="O158" s="627">
        <v>825809</v>
      </c>
      <c r="P158" s="627">
        <v>0</v>
      </c>
      <c r="Q158" s="626">
        <v>102665</v>
      </c>
      <c r="R158" s="626"/>
      <c r="S158" s="627">
        <v>164331</v>
      </c>
      <c r="T158" s="628">
        <v>-30274</v>
      </c>
      <c r="U158" s="628">
        <v>134057</v>
      </c>
    </row>
    <row r="159" spans="1:21" x14ac:dyDescent="0.25">
      <c r="A159" s="623">
        <v>91451</v>
      </c>
      <c r="B159" s="624" t="s">
        <v>1298</v>
      </c>
      <c r="C159" s="625">
        <v>1.7028E-3</v>
      </c>
      <c r="D159" s="625">
        <v>1.7121E-3</v>
      </c>
      <c r="E159" s="626">
        <v>628017</v>
      </c>
      <c r="F159" s="626">
        <v>-944939</v>
      </c>
      <c r="G159" s="626">
        <v>764206</v>
      </c>
      <c r="H159" s="626"/>
      <c r="I159" s="627">
        <v>0</v>
      </c>
      <c r="J159" s="627">
        <v>1535783</v>
      </c>
      <c r="K159" s="627">
        <v>0</v>
      </c>
      <c r="L159" s="626">
        <v>0</v>
      </c>
      <c r="M159" s="626"/>
      <c r="N159" s="627">
        <v>179633</v>
      </c>
      <c r="O159" s="627">
        <v>1753351</v>
      </c>
      <c r="P159" s="627">
        <v>0</v>
      </c>
      <c r="Q159" s="626">
        <v>132353</v>
      </c>
      <c r="R159" s="626"/>
      <c r="S159" s="627">
        <v>348907</v>
      </c>
      <c r="T159" s="628">
        <v>-39920</v>
      </c>
      <c r="U159" s="628">
        <v>308987</v>
      </c>
    </row>
    <row r="160" spans="1:21" x14ac:dyDescent="0.25">
      <c r="A160" s="623">
        <v>91457</v>
      </c>
      <c r="B160" s="624" t="s">
        <v>1299</v>
      </c>
      <c r="C160" s="625">
        <v>2.7500000000000001E-5</v>
      </c>
      <c r="D160" s="625">
        <v>2.7100000000000001E-5</v>
      </c>
      <c r="E160" s="626">
        <v>28857</v>
      </c>
      <c r="F160" s="626">
        <v>-14957</v>
      </c>
      <c r="G160" s="626">
        <v>12342</v>
      </c>
      <c r="H160" s="626"/>
      <c r="I160" s="627">
        <v>0</v>
      </c>
      <c r="J160" s="627">
        <v>24803</v>
      </c>
      <c r="K160" s="627">
        <v>0</v>
      </c>
      <c r="L160" s="626">
        <v>15066</v>
      </c>
      <c r="M160" s="626"/>
      <c r="N160" s="627">
        <v>2901</v>
      </c>
      <c r="O160" s="627">
        <v>28316</v>
      </c>
      <c r="P160" s="627">
        <v>0</v>
      </c>
      <c r="Q160" s="626">
        <v>0</v>
      </c>
      <c r="R160" s="626"/>
      <c r="S160" s="627">
        <v>5635</v>
      </c>
      <c r="T160" s="628">
        <v>4003</v>
      </c>
      <c r="U160" s="628">
        <v>9638</v>
      </c>
    </row>
    <row r="161" spans="1:21" x14ac:dyDescent="0.25">
      <c r="A161" s="623">
        <v>91461</v>
      </c>
      <c r="B161" s="624" t="s">
        <v>1300</v>
      </c>
      <c r="C161" s="625">
        <v>6.3999999999999997E-6</v>
      </c>
      <c r="D161" s="625">
        <v>6.0000000000000002E-6</v>
      </c>
      <c r="E161" s="626">
        <v>6290</v>
      </c>
      <c r="F161" s="626">
        <v>-3312</v>
      </c>
      <c r="G161" s="626">
        <v>2872</v>
      </c>
      <c r="H161" s="626"/>
      <c r="I161" s="627">
        <v>0</v>
      </c>
      <c r="J161" s="627">
        <v>5772</v>
      </c>
      <c r="K161" s="627">
        <v>0</v>
      </c>
      <c r="L161" s="626">
        <v>3572</v>
      </c>
      <c r="M161" s="626"/>
      <c r="N161" s="627">
        <v>675</v>
      </c>
      <c r="O161" s="627">
        <v>6590</v>
      </c>
      <c r="P161" s="627">
        <v>0</v>
      </c>
      <c r="Q161" s="626">
        <v>0</v>
      </c>
      <c r="R161" s="626"/>
      <c r="S161" s="627">
        <v>1311</v>
      </c>
      <c r="T161" s="628">
        <v>962</v>
      </c>
      <c r="U161" s="628">
        <v>2274</v>
      </c>
    </row>
    <row r="162" spans="1:21" x14ac:dyDescent="0.25">
      <c r="A162" s="623">
        <v>91501</v>
      </c>
      <c r="B162" s="624" t="s">
        <v>1301</v>
      </c>
      <c r="C162" s="625">
        <v>4.8660000000000001E-4</v>
      </c>
      <c r="D162" s="625">
        <v>4.8879999999999996E-4</v>
      </c>
      <c r="E162" s="626">
        <v>211861</v>
      </c>
      <c r="F162" s="626">
        <v>-269778</v>
      </c>
      <c r="G162" s="626">
        <v>218383</v>
      </c>
      <c r="H162" s="626"/>
      <c r="I162" s="627">
        <v>0</v>
      </c>
      <c r="J162" s="627">
        <v>438872</v>
      </c>
      <c r="K162" s="627">
        <v>0</v>
      </c>
      <c r="L162" s="626">
        <v>45182</v>
      </c>
      <c r="M162" s="626"/>
      <c r="N162" s="627">
        <v>51333</v>
      </c>
      <c r="O162" s="627">
        <v>501046</v>
      </c>
      <c r="P162" s="627">
        <v>0</v>
      </c>
      <c r="Q162" s="626">
        <v>0</v>
      </c>
      <c r="R162" s="626"/>
      <c r="S162" s="627">
        <v>99705</v>
      </c>
      <c r="T162" s="628">
        <v>14464</v>
      </c>
      <c r="U162" s="628">
        <v>114169</v>
      </c>
    </row>
    <row r="163" spans="1:21" x14ac:dyDescent="0.25">
      <c r="A163" s="623">
        <v>91504</v>
      </c>
      <c r="B163" s="624" t="s">
        <v>1302</v>
      </c>
      <c r="C163" s="625">
        <v>9.7999999999999993E-6</v>
      </c>
      <c r="D163" s="625">
        <v>3.1E-6</v>
      </c>
      <c r="E163" s="626">
        <v>5415</v>
      </c>
      <c r="F163" s="626">
        <v>-1711</v>
      </c>
      <c r="G163" s="626">
        <v>4398</v>
      </c>
      <c r="H163" s="626"/>
      <c r="I163" s="627">
        <v>0</v>
      </c>
      <c r="J163" s="627">
        <v>8839</v>
      </c>
      <c r="K163" s="627">
        <v>0</v>
      </c>
      <c r="L163" s="626">
        <v>6803</v>
      </c>
      <c r="M163" s="626"/>
      <c r="N163" s="627">
        <v>1034</v>
      </c>
      <c r="O163" s="627">
        <v>10091</v>
      </c>
      <c r="P163" s="627">
        <v>0</v>
      </c>
      <c r="Q163" s="626">
        <v>0</v>
      </c>
      <c r="R163" s="626"/>
      <c r="S163" s="627">
        <v>2008</v>
      </c>
      <c r="T163" s="628">
        <v>1852</v>
      </c>
      <c r="U163" s="628">
        <v>3860</v>
      </c>
    </row>
    <row r="164" spans="1:21" x14ac:dyDescent="0.25">
      <c r="A164" s="623">
        <v>91601</v>
      </c>
      <c r="B164" s="624" t="s">
        <v>1303</v>
      </c>
      <c r="C164" s="625">
        <v>2.5893000000000001E-3</v>
      </c>
      <c r="D164" s="625">
        <v>2.5688E-3</v>
      </c>
      <c r="E164" s="626">
        <v>1132134</v>
      </c>
      <c r="F164" s="626">
        <v>-1417767</v>
      </c>
      <c r="G164" s="626">
        <v>1162062</v>
      </c>
      <c r="H164" s="626"/>
      <c r="I164" s="627">
        <v>0</v>
      </c>
      <c r="J164" s="627">
        <v>2335331</v>
      </c>
      <c r="K164" s="627">
        <v>0</v>
      </c>
      <c r="L164" s="626">
        <v>166506</v>
      </c>
      <c r="M164" s="626"/>
      <c r="N164" s="627">
        <v>273153</v>
      </c>
      <c r="O164" s="627">
        <v>2666169</v>
      </c>
      <c r="P164" s="627">
        <v>0</v>
      </c>
      <c r="Q164" s="626">
        <v>0</v>
      </c>
      <c r="R164" s="626"/>
      <c r="S164" s="627">
        <v>530553</v>
      </c>
      <c r="T164" s="628">
        <v>50325</v>
      </c>
      <c r="U164" s="628">
        <v>580878</v>
      </c>
    </row>
    <row r="165" spans="1:21" x14ac:dyDescent="0.25">
      <c r="A165" s="623">
        <v>91604</v>
      </c>
      <c r="B165" s="624" t="s">
        <v>1304</v>
      </c>
      <c r="C165" s="625">
        <v>8.5000000000000006E-5</v>
      </c>
      <c r="D165" s="625">
        <v>8.7299999999999994E-5</v>
      </c>
      <c r="E165" s="626">
        <v>46529</v>
      </c>
      <c r="F165" s="626">
        <v>-48182</v>
      </c>
      <c r="G165" s="626">
        <v>38147</v>
      </c>
      <c r="H165" s="626"/>
      <c r="I165" s="627">
        <v>0</v>
      </c>
      <c r="J165" s="627">
        <v>76662.86</v>
      </c>
      <c r="K165" s="627">
        <v>0</v>
      </c>
      <c r="L165" s="626">
        <v>10081</v>
      </c>
      <c r="M165" s="626"/>
      <c r="N165" s="627">
        <v>8967</v>
      </c>
      <c r="O165" s="627">
        <v>87523</v>
      </c>
      <c r="P165" s="627">
        <v>0</v>
      </c>
      <c r="Q165" s="626">
        <v>0</v>
      </c>
      <c r="R165" s="626"/>
      <c r="S165" s="627">
        <v>17417</v>
      </c>
      <c r="T165" s="628">
        <v>2808</v>
      </c>
      <c r="U165" s="628">
        <v>20224</v>
      </c>
    </row>
    <row r="166" spans="1:21" x14ac:dyDescent="0.25">
      <c r="A166" s="623">
        <v>91608</v>
      </c>
      <c r="B166" s="624" t="s">
        <v>1305</v>
      </c>
      <c r="C166" s="625">
        <v>1.178E-4</v>
      </c>
      <c r="D166" s="625">
        <v>1.6559999999999999E-4</v>
      </c>
      <c r="E166" s="626">
        <v>36061</v>
      </c>
      <c r="F166" s="626">
        <v>-91398</v>
      </c>
      <c r="G166" s="626">
        <v>52868</v>
      </c>
      <c r="H166" s="626"/>
      <c r="I166" s="627">
        <v>0</v>
      </c>
      <c r="J166" s="627">
        <v>106246</v>
      </c>
      <c r="K166" s="627">
        <v>0</v>
      </c>
      <c r="L166" s="626">
        <v>2631</v>
      </c>
      <c r="M166" s="626"/>
      <c r="N166" s="627">
        <v>12427</v>
      </c>
      <c r="O166" s="627">
        <v>121297</v>
      </c>
      <c r="P166" s="627">
        <v>0</v>
      </c>
      <c r="Q166" s="626">
        <v>43081</v>
      </c>
      <c r="R166" s="626"/>
      <c r="S166" s="627">
        <v>24137</v>
      </c>
      <c r="T166" s="628">
        <v>-10398</v>
      </c>
      <c r="U166" s="628">
        <v>13740</v>
      </c>
    </row>
    <row r="167" spans="1:21" x14ac:dyDescent="0.25">
      <c r="A167" s="623">
        <v>91611</v>
      </c>
      <c r="B167" s="624" t="s">
        <v>1306</v>
      </c>
      <c r="C167" s="625">
        <v>1.3361E-3</v>
      </c>
      <c r="D167" s="625">
        <v>1.2436000000000001E-3</v>
      </c>
      <c r="E167" s="626">
        <v>475633</v>
      </c>
      <c r="F167" s="626">
        <v>-686365</v>
      </c>
      <c r="G167" s="626">
        <v>599634</v>
      </c>
      <c r="H167" s="626"/>
      <c r="I167" s="627">
        <v>0</v>
      </c>
      <c r="J167" s="627">
        <v>1205050</v>
      </c>
      <c r="K167" s="627">
        <v>0</v>
      </c>
      <c r="L167" s="626">
        <v>54205</v>
      </c>
      <c r="M167" s="626"/>
      <c r="N167" s="627">
        <v>140949</v>
      </c>
      <c r="O167" s="627">
        <v>1375765</v>
      </c>
      <c r="P167" s="627">
        <v>0</v>
      </c>
      <c r="Q167" s="626">
        <v>0</v>
      </c>
      <c r="R167" s="626"/>
      <c r="S167" s="627">
        <v>273770</v>
      </c>
      <c r="T167" s="628">
        <v>17436</v>
      </c>
      <c r="U167" s="628">
        <v>291206</v>
      </c>
    </row>
    <row r="168" spans="1:21" x14ac:dyDescent="0.25">
      <c r="A168" s="623">
        <v>91621</v>
      </c>
      <c r="B168" s="624" t="s">
        <v>1307</v>
      </c>
      <c r="C168" s="625">
        <v>2.6200000000000003E-4</v>
      </c>
      <c r="D168" s="625">
        <v>2.276E-4</v>
      </c>
      <c r="E168" s="626">
        <v>111627</v>
      </c>
      <c r="F168" s="626">
        <v>-125617</v>
      </c>
      <c r="G168" s="626">
        <v>117584</v>
      </c>
      <c r="H168" s="626"/>
      <c r="I168" s="627">
        <v>0</v>
      </c>
      <c r="J168" s="627">
        <v>236302</v>
      </c>
      <c r="K168" s="627">
        <v>0</v>
      </c>
      <c r="L168" s="626">
        <v>27831</v>
      </c>
      <c r="M168" s="626"/>
      <c r="N168" s="627">
        <v>27639</v>
      </c>
      <c r="O168" s="627">
        <v>269778</v>
      </c>
      <c r="P168" s="627">
        <v>0</v>
      </c>
      <c r="Q168" s="626">
        <v>29260</v>
      </c>
      <c r="R168" s="626"/>
      <c r="S168" s="627">
        <v>53684</v>
      </c>
      <c r="T168" s="628">
        <v>-2500</v>
      </c>
      <c r="U168" s="628">
        <v>51184</v>
      </c>
    </row>
    <row r="169" spans="1:21" x14ac:dyDescent="0.25">
      <c r="A169" s="623">
        <v>91631</v>
      </c>
      <c r="B169" s="624" t="s">
        <v>1308</v>
      </c>
      <c r="C169" s="625">
        <v>5.4830000000000005E-4</v>
      </c>
      <c r="D169" s="625">
        <v>5.1999999999999995E-4</v>
      </c>
      <c r="E169" s="626">
        <v>195528</v>
      </c>
      <c r="F169" s="626">
        <v>-286997.36</v>
      </c>
      <c r="G169" s="626">
        <v>246074</v>
      </c>
      <c r="H169" s="626"/>
      <c r="I169" s="627">
        <v>0</v>
      </c>
      <c r="J169" s="627">
        <v>494521</v>
      </c>
      <c r="K169" s="627">
        <v>0</v>
      </c>
      <c r="L169" s="626">
        <v>0</v>
      </c>
      <c r="M169" s="626"/>
      <c r="N169" s="627">
        <v>57842</v>
      </c>
      <c r="O169" s="627">
        <v>564577</v>
      </c>
      <c r="P169" s="627">
        <v>0</v>
      </c>
      <c r="Q169" s="626">
        <v>6764</v>
      </c>
      <c r="R169" s="626"/>
      <c r="S169" s="627">
        <v>112348</v>
      </c>
      <c r="T169" s="628">
        <v>-2073</v>
      </c>
      <c r="U169" s="628">
        <v>110274</v>
      </c>
    </row>
    <row r="170" spans="1:21" x14ac:dyDescent="0.25">
      <c r="A170" s="623">
        <v>91633</v>
      </c>
      <c r="B170" s="624" t="s">
        <v>1309</v>
      </c>
      <c r="C170" s="625">
        <v>2.3200000000000001E-5</v>
      </c>
      <c r="D170" s="625">
        <v>3.4600000000000001E-5</v>
      </c>
      <c r="E170" s="626">
        <v>11529</v>
      </c>
      <c r="F170" s="626">
        <v>-19096</v>
      </c>
      <c r="G170" s="626">
        <v>10412</v>
      </c>
      <c r="H170" s="626"/>
      <c r="I170" s="627">
        <v>0</v>
      </c>
      <c r="J170" s="627">
        <v>20924</v>
      </c>
      <c r="K170" s="627">
        <v>0</v>
      </c>
      <c r="L170" s="626">
        <v>0</v>
      </c>
      <c r="M170" s="626"/>
      <c r="N170" s="627">
        <v>2447</v>
      </c>
      <c r="O170" s="627">
        <v>23889</v>
      </c>
      <c r="P170" s="627">
        <v>0</v>
      </c>
      <c r="Q170" s="626">
        <v>6914</v>
      </c>
      <c r="R170" s="626"/>
      <c r="S170" s="627">
        <v>4754</v>
      </c>
      <c r="T170" s="628">
        <v>-1849</v>
      </c>
      <c r="U170" s="628">
        <v>2904</v>
      </c>
    </row>
    <row r="171" spans="1:21" x14ac:dyDescent="0.25">
      <c r="A171" s="623">
        <v>91641</v>
      </c>
      <c r="B171" s="624" t="s">
        <v>1310</v>
      </c>
      <c r="C171" s="625">
        <v>3.1080000000000002E-4</v>
      </c>
      <c r="D171" s="625">
        <v>3.1819999999999998E-4</v>
      </c>
      <c r="E171" s="626">
        <v>93814</v>
      </c>
      <c r="F171" s="626">
        <v>-175620</v>
      </c>
      <c r="G171" s="626">
        <v>139485</v>
      </c>
      <c r="H171" s="626"/>
      <c r="I171" s="627">
        <v>0</v>
      </c>
      <c r="J171" s="627">
        <v>280315</v>
      </c>
      <c r="K171" s="627">
        <v>0</v>
      </c>
      <c r="L171" s="626">
        <v>0</v>
      </c>
      <c r="M171" s="626"/>
      <c r="N171" s="627">
        <v>32787</v>
      </c>
      <c r="O171" s="627">
        <v>320027</v>
      </c>
      <c r="P171" s="627">
        <v>0</v>
      </c>
      <c r="Q171" s="626">
        <v>50608</v>
      </c>
      <c r="R171" s="626"/>
      <c r="S171" s="627">
        <v>63684</v>
      </c>
      <c r="T171" s="628">
        <v>-14643</v>
      </c>
      <c r="U171" s="628">
        <v>49040</v>
      </c>
    </row>
    <row r="172" spans="1:21" x14ac:dyDescent="0.25">
      <c r="A172" s="623">
        <v>91651</v>
      </c>
      <c r="B172" s="624" t="s">
        <v>1311</v>
      </c>
      <c r="C172" s="625">
        <v>4.797E-4</v>
      </c>
      <c r="D172" s="625">
        <v>4.9470000000000004E-4</v>
      </c>
      <c r="E172" s="626">
        <v>192115</v>
      </c>
      <c r="F172" s="626">
        <v>-273034</v>
      </c>
      <c r="G172" s="626">
        <v>215286</v>
      </c>
      <c r="H172" s="626"/>
      <c r="I172" s="627">
        <v>0</v>
      </c>
      <c r="J172" s="627">
        <v>432649</v>
      </c>
      <c r="K172" s="627">
        <v>0</v>
      </c>
      <c r="L172" s="626">
        <v>0</v>
      </c>
      <c r="M172" s="626"/>
      <c r="N172" s="627">
        <v>50605</v>
      </c>
      <c r="O172" s="627">
        <v>493941</v>
      </c>
      <c r="P172" s="627">
        <v>0</v>
      </c>
      <c r="Q172" s="626">
        <v>19950</v>
      </c>
      <c r="R172" s="626"/>
      <c r="S172" s="627">
        <v>98291</v>
      </c>
      <c r="T172" s="628">
        <v>-5692</v>
      </c>
      <c r="U172" s="628">
        <v>92599</v>
      </c>
    </row>
    <row r="173" spans="1:21" x14ac:dyDescent="0.25">
      <c r="A173" s="623">
        <v>91661</v>
      </c>
      <c r="B173" s="624" t="s">
        <v>1312</v>
      </c>
      <c r="C173" s="625">
        <v>1.9149999999999999E-4</v>
      </c>
      <c r="D173" s="625">
        <v>1.8440000000000001E-4</v>
      </c>
      <c r="E173" s="626">
        <v>49792</v>
      </c>
      <c r="F173" s="626">
        <v>-101774</v>
      </c>
      <c r="G173" s="626">
        <v>85944</v>
      </c>
      <c r="H173" s="626"/>
      <c r="I173" s="627">
        <v>0</v>
      </c>
      <c r="J173" s="627">
        <v>172717</v>
      </c>
      <c r="K173" s="627">
        <v>0</v>
      </c>
      <c r="L173" s="626">
        <v>0</v>
      </c>
      <c r="M173" s="626"/>
      <c r="N173" s="627">
        <v>20202</v>
      </c>
      <c r="O173" s="627">
        <v>197185</v>
      </c>
      <c r="P173" s="627">
        <v>0</v>
      </c>
      <c r="Q173" s="626">
        <v>18699</v>
      </c>
      <c r="R173" s="626"/>
      <c r="S173" s="627">
        <v>39239</v>
      </c>
      <c r="T173" s="628">
        <v>-4981</v>
      </c>
      <c r="U173" s="628">
        <v>34258</v>
      </c>
    </row>
    <row r="174" spans="1:21" x14ac:dyDescent="0.25">
      <c r="A174" s="623">
        <v>91671</v>
      </c>
      <c r="B174" s="624" t="s">
        <v>1313</v>
      </c>
      <c r="C174" s="625">
        <v>9.0000000000000006E-5</v>
      </c>
      <c r="D174" s="625">
        <v>6.9800000000000003E-5</v>
      </c>
      <c r="E174" s="626">
        <v>38374</v>
      </c>
      <c r="F174" s="626">
        <v>-38524</v>
      </c>
      <c r="G174" s="626">
        <v>40391.46</v>
      </c>
      <c r="H174" s="626"/>
      <c r="I174" s="627">
        <v>0</v>
      </c>
      <c r="J174" s="627">
        <v>81172.44</v>
      </c>
      <c r="K174" s="627">
        <v>0</v>
      </c>
      <c r="L174" s="626">
        <v>17900</v>
      </c>
      <c r="M174" s="626"/>
      <c r="N174" s="627">
        <v>9494</v>
      </c>
      <c r="O174" s="627">
        <v>92671.83</v>
      </c>
      <c r="P174" s="627">
        <v>0</v>
      </c>
      <c r="Q174" s="626">
        <v>0</v>
      </c>
      <c r="R174" s="626"/>
      <c r="S174" s="627">
        <v>18441.18</v>
      </c>
      <c r="T174" s="628">
        <v>4863</v>
      </c>
      <c r="U174" s="628">
        <v>23304</v>
      </c>
    </row>
    <row r="175" spans="1:21" x14ac:dyDescent="0.25">
      <c r="A175" s="623">
        <v>91681</v>
      </c>
      <c r="B175" s="624" t="s">
        <v>1314</v>
      </c>
      <c r="C175" s="625">
        <v>5.2590000000000004E-4</v>
      </c>
      <c r="D175" s="625">
        <v>5.0739999999999997E-4</v>
      </c>
      <c r="E175" s="626">
        <v>357608</v>
      </c>
      <c r="F175" s="626">
        <v>-280043</v>
      </c>
      <c r="G175" s="626">
        <v>236021</v>
      </c>
      <c r="H175" s="626"/>
      <c r="I175" s="627">
        <v>0</v>
      </c>
      <c r="J175" s="627">
        <v>474318</v>
      </c>
      <c r="K175" s="627">
        <v>0</v>
      </c>
      <c r="L175" s="626">
        <v>126229</v>
      </c>
      <c r="M175" s="626"/>
      <c r="N175" s="627">
        <v>55479</v>
      </c>
      <c r="O175" s="627">
        <v>541512</v>
      </c>
      <c r="P175" s="627">
        <v>0</v>
      </c>
      <c r="Q175" s="626">
        <v>13640</v>
      </c>
      <c r="R175" s="626"/>
      <c r="S175" s="627">
        <v>107758</v>
      </c>
      <c r="T175" s="628">
        <v>28482</v>
      </c>
      <c r="U175" s="628">
        <v>136240</v>
      </c>
    </row>
    <row r="176" spans="1:21" x14ac:dyDescent="0.25">
      <c r="A176" s="623">
        <v>91691</v>
      </c>
      <c r="B176" s="624" t="s">
        <v>1315</v>
      </c>
      <c r="C176" s="625">
        <v>1.8700000000000001E-5</v>
      </c>
      <c r="D176" s="625">
        <v>2.1800000000000001E-5</v>
      </c>
      <c r="E176" s="626">
        <v>9010</v>
      </c>
      <c r="F176" s="626">
        <v>-12032</v>
      </c>
      <c r="G176" s="626">
        <v>8392</v>
      </c>
      <c r="H176" s="626"/>
      <c r="I176" s="627">
        <v>0</v>
      </c>
      <c r="J176" s="627">
        <v>16866</v>
      </c>
      <c r="K176" s="627">
        <v>0</v>
      </c>
      <c r="L176" s="626">
        <v>203</v>
      </c>
      <c r="M176" s="626"/>
      <c r="N176" s="627">
        <v>1973</v>
      </c>
      <c r="O176" s="627">
        <v>19255</v>
      </c>
      <c r="P176" s="627">
        <v>0</v>
      </c>
      <c r="Q176" s="626">
        <v>1085</v>
      </c>
      <c r="R176" s="626"/>
      <c r="S176" s="627">
        <v>3832</v>
      </c>
      <c r="T176" s="628">
        <v>-216</v>
      </c>
      <c r="U176" s="628">
        <v>3616</v>
      </c>
    </row>
    <row r="177" spans="1:21" x14ac:dyDescent="0.25">
      <c r="A177" s="623">
        <v>91701</v>
      </c>
      <c r="B177" s="624" t="s">
        <v>1316</v>
      </c>
      <c r="C177" s="625">
        <v>1.0575999999999999E-3</v>
      </c>
      <c r="D177" s="625">
        <v>1.0705000000000001E-3</v>
      </c>
      <c r="E177" s="626">
        <v>447037</v>
      </c>
      <c r="F177" s="626">
        <v>-590828</v>
      </c>
      <c r="G177" s="626">
        <v>474645</v>
      </c>
      <c r="H177" s="626"/>
      <c r="I177" s="627">
        <v>0</v>
      </c>
      <c r="J177" s="627">
        <v>953866</v>
      </c>
      <c r="K177" s="627">
        <v>0</v>
      </c>
      <c r="L177" s="626">
        <v>3024</v>
      </c>
      <c r="M177" s="626"/>
      <c r="N177" s="627">
        <v>111569</v>
      </c>
      <c r="O177" s="627">
        <v>1088997</v>
      </c>
      <c r="P177" s="627">
        <v>0</v>
      </c>
      <c r="Q177" s="626">
        <v>20986.81</v>
      </c>
      <c r="R177" s="626"/>
      <c r="S177" s="627">
        <v>216704</v>
      </c>
      <c r="T177" s="628">
        <v>-6227</v>
      </c>
      <c r="U177" s="628">
        <v>210477</v>
      </c>
    </row>
    <row r="178" spans="1:21" x14ac:dyDescent="0.25">
      <c r="A178" s="623">
        <v>91704</v>
      </c>
      <c r="B178" s="624" t="s">
        <v>1317</v>
      </c>
      <c r="C178" s="625">
        <v>1.66E-5</v>
      </c>
      <c r="D178" s="625">
        <v>1.47E-5</v>
      </c>
      <c r="E178" s="626">
        <v>7192</v>
      </c>
      <c r="F178" s="626">
        <v>-8113</v>
      </c>
      <c r="G178" s="626">
        <v>7450</v>
      </c>
      <c r="H178" s="626"/>
      <c r="I178" s="627">
        <v>0</v>
      </c>
      <c r="J178" s="627">
        <v>14972</v>
      </c>
      <c r="K178" s="627">
        <v>0</v>
      </c>
      <c r="L178" s="626">
        <v>2161</v>
      </c>
      <c r="M178" s="626"/>
      <c r="N178" s="627">
        <v>1751</v>
      </c>
      <c r="O178" s="627">
        <v>17093</v>
      </c>
      <c r="P178" s="627">
        <v>0</v>
      </c>
      <c r="Q178" s="626">
        <v>0</v>
      </c>
      <c r="R178" s="626"/>
      <c r="S178" s="627">
        <v>3401</v>
      </c>
      <c r="T178" s="628">
        <v>602</v>
      </c>
      <c r="U178" s="628">
        <v>4003</v>
      </c>
    </row>
    <row r="179" spans="1:21" x14ac:dyDescent="0.25">
      <c r="A179" s="623">
        <v>91706</v>
      </c>
      <c r="B179" s="624" t="s">
        <v>1318</v>
      </c>
      <c r="C179" s="625">
        <v>2.565E-4</v>
      </c>
      <c r="D179" s="625">
        <v>2.5910000000000001E-4</v>
      </c>
      <c r="E179" s="626">
        <v>108407</v>
      </c>
      <c r="F179" s="626">
        <v>-143002</v>
      </c>
      <c r="G179" s="626">
        <v>115116</v>
      </c>
      <c r="H179" s="626"/>
      <c r="I179" s="627">
        <v>0</v>
      </c>
      <c r="J179" s="627">
        <v>231341</v>
      </c>
      <c r="K179" s="627">
        <v>0</v>
      </c>
      <c r="L179" s="626">
        <v>1094</v>
      </c>
      <c r="M179" s="626"/>
      <c r="N179" s="627">
        <v>27059</v>
      </c>
      <c r="O179" s="627">
        <v>264115</v>
      </c>
      <c r="P179" s="627">
        <v>0</v>
      </c>
      <c r="Q179" s="626">
        <v>16735</v>
      </c>
      <c r="R179" s="626"/>
      <c r="S179" s="627">
        <v>52557</v>
      </c>
      <c r="T179" s="628">
        <v>-5311</v>
      </c>
      <c r="U179" s="628">
        <v>47247</v>
      </c>
    </row>
    <row r="180" spans="1:21" x14ac:dyDescent="0.25">
      <c r="A180" s="623">
        <v>91719</v>
      </c>
      <c r="B180" s="624" t="s">
        <v>1319</v>
      </c>
      <c r="C180" s="625">
        <v>4.4199999999999997E-5</v>
      </c>
      <c r="D180" s="625">
        <v>2.9200000000000002E-5</v>
      </c>
      <c r="E180" s="626">
        <v>16404</v>
      </c>
      <c r="F180" s="626">
        <v>-16116</v>
      </c>
      <c r="G180" s="626">
        <v>19837</v>
      </c>
      <c r="H180" s="626"/>
      <c r="I180" s="627">
        <v>0</v>
      </c>
      <c r="J180" s="627">
        <v>39865</v>
      </c>
      <c r="K180" s="627">
        <v>0</v>
      </c>
      <c r="L180" s="626">
        <v>9225</v>
      </c>
      <c r="M180" s="626"/>
      <c r="N180" s="627">
        <v>4663</v>
      </c>
      <c r="O180" s="627">
        <v>45512</v>
      </c>
      <c r="P180" s="627">
        <v>0</v>
      </c>
      <c r="Q180" s="626">
        <v>4838</v>
      </c>
      <c r="R180" s="626"/>
      <c r="S180" s="627">
        <v>9057</v>
      </c>
      <c r="T180" s="628">
        <v>797</v>
      </c>
      <c r="U180" s="628">
        <v>9854</v>
      </c>
    </row>
    <row r="181" spans="1:21" x14ac:dyDescent="0.25">
      <c r="A181" s="623">
        <v>91801</v>
      </c>
      <c r="B181" s="624" t="s">
        <v>1320</v>
      </c>
      <c r="C181" s="625">
        <v>8.1784000000000006E-3</v>
      </c>
      <c r="D181" s="625">
        <v>8.2375E-3</v>
      </c>
      <c r="E181" s="626">
        <v>3381632</v>
      </c>
      <c r="F181" s="626">
        <v>-4546425</v>
      </c>
      <c r="G181" s="626">
        <v>3670417</v>
      </c>
      <c r="H181" s="626"/>
      <c r="I181" s="627">
        <v>0</v>
      </c>
      <c r="J181" s="627">
        <v>7376230</v>
      </c>
      <c r="K181" s="627">
        <v>0</v>
      </c>
      <c r="L181" s="626">
        <v>0</v>
      </c>
      <c r="M181" s="626"/>
      <c r="N181" s="627">
        <v>862764</v>
      </c>
      <c r="O181" s="627">
        <v>8421192</v>
      </c>
      <c r="P181" s="627">
        <v>0</v>
      </c>
      <c r="Q181" s="626">
        <v>90343</v>
      </c>
      <c r="R181" s="626"/>
      <c r="S181" s="627">
        <v>1675771</v>
      </c>
      <c r="T181" s="628">
        <v>-29651</v>
      </c>
      <c r="U181" s="628">
        <v>1646119</v>
      </c>
    </row>
    <row r="182" spans="1:21" x14ac:dyDescent="0.25">
      <c r="A182" s="623">
        <v>91804</v>
      </c>
      <c r="B182" s="624" t="s">
        <v>1321</v>
      </c>
      <c r="C182" s="625">
        <v>1.4349999999999999E-4</v>
      </c>
      <c r="D182" s="625">
        <v>1.5310000000000001E-4</v>
      </c>
      <c r="E182" s="626">
        <v>97995</v>
      </c>
      <c r="F182" s="626">
        <v>-84499</v>
      </c>
      <c r="G182" s="626">
        <v>64402</v>
      </c>
      <c r="H182" s="626"/>
      <c r="I182" s="627">
        <v>0</v>
      </c>
      <c r="J182" s="627">
        <v>129425</v>
      </c>
      <c r="K182" s="627">
        <v>0</v>
      </c>
      <c r="L182" s="626">
        <v>41648</v>
      </c>
      <c r="M182" s="626"/>
      <c r="N182" s="627">
        <v>15138</v>
      </c>
      <c r="O182" s="627">
        <v>147760</v>
      </c>
      <c r="P182" s="627">
        <v>0</v>
      </c>
      <c r="Q182" s="626">
        <v>0</v>
      </c>
      <c r="R182" s="626"/>
      <c r="S182" s="627">
        <v>29403</v>
      </c>
      <c r="T182" s="628">
        <v>12149</v>
      </c>
      <c r="U182" s="628">
        <v>41553</v>
      </c>
    </row>
    <row r="183" spans="1:21" x14ac:dyDescent="0.25">
      <c r="A183" s="623">
        <v>91811</v>
      </c>
      <c r="B183" s="624" t="s">
        <v>1322</v>
      </c>
      <c r="C183" s="625">
        <v>5.0266E-3</v>
      </c>
      <c r="D183" s="625">
        <v>5.0892999999999997E-3</v>
      </c>
      <c r="E183" s="626">
        <v>1845414</v>
      </c>
      <c r="F183" s="626">
        <v>-2808876</v>
      </c>
      <c r="G183" s="626">
        <v>2255908</v>
      </c>
      <c r="H183" s="626"/>
      <c r="I183" s="627">
        <v>0</v>
      </c>
      <c r="J183" s="627">
        <v>4533571</v>
      </c>
      <c r="K183" s="627">
        <v>0</v>
      </c>
      <c r="L183" s="626">
        <v>0</v>
      </c>
      <c r="M183" s="626"/>
      <c r="N183" s="627">
        <v>530271</v>
      </c>
      <c r="O183" s="627">
        <v>5175825</v>
      </c>
      <c r="P183" s="627">
        <v>0</v>
      </c>
      <c r="Q183" s="626">
        <v>264294</v>
      </c>
      <c r="R183" s="626"/>
      <c r="S183" s="627">
        <v>1029960</v>
      </c>
      <c r="T183" s="628">
        <v>-73282</v>
      </c>
      <c r="U183" s="628">
        <v>956678</v>
      </c>
    </row>
    <row r="184" spans="1:21" x14ac:dyDescent="0.25">
      <c r="A184" s="623">
        <v>91812</v>
      </c>
      <c r="B184" s="624" t="s">
        <v>1323</v>
      </c>
      <c r="C184" s="625">
        <v>4.1499999999999999E-5</v>
      </c>
      <c r="D184" s="625">
        <v>3.96E-5</v>
      </c>
      <c r="E184" s="626">
        <v>23608</v>
      </c>
      <c r="F184" s="626">
        <v>-21856</v>
      </c>
      <c r="G184" s="626">
        <v>18625</v>
      </c>
      <c r="H184" s="626"/>
      <c r="I184" s="627">
        <v>0</v>
      </c>
      <c r="J184" s="627">
        <v>37430</v>
      </c>
      <c r="K184" s="627">
        <v>0</v>
      </c>
      <c r="L184" s="626">
        <v>9686</v>
      </c>
      <c r="M184" s="626"/>
      <c r="N184" s="627">
        <v>4378</v>
      </c>
      <c r="O184" s="627">
        <v>42732</v>
      </c>
      <c r="P184" s="627">
        <v>0</v>
      </c>
      <c r="Q184" s="626">
        <v>0</v>
      </c>
      <c r="R184" s="626"/>
      <c r="S184" s="627">
        <v>8503</v>
      </c>
      <c r="T184" s="628">
        <v>2759</v>
      </c>
      <c r="U184" s="628">
        <v>11262</v>
      </c>
    </row>
    <row r="185" spans="1:21" x14ac:dyDescent="0.25">
      <c r="A185" s="623">
        <v>91813</v>
      </c>
      <c r="B185" s="624" t="s">
        <v>1324</v>
      </c>
      <c r="C185" s="625">
        <v>9.6100000000000005E-5</v>
      </c>
      <c r="D185" s="625">
        <v>7.6799999999999997E-5</v>
      </c>
      <c r="E185" s="626">
        <v>40531</v>
      </c>
      <c r="F185" s="626">
        <v>-42387</v>
      </c>
      <c r="G185" s="626">
        <v>43129</v>
      </c>
      <c r="H185" s="626"/>
      <c r="I185" s="627">
        <v>0</v>
      </c>
      <c r="J185" s="627">
        <v>86674</v>
      </c>
      <c r="K185" s="627">
        <v>0</v>
      </c>
      <c r="L185" s="626">
        <v>14570</v>
      </c>
      <c r="M185" s="626"/>
      <c r="N185" s="627">
        <v>10138</v>
      </c>
      <c r="O185" s="627">
        <v>98953</v>
      </c>
      <c r="P185" s="627">
        <v>0</v>
      </c>
      <c r="Q185" s="626">
        <v>7915</v>
      </c>
      <c r="R185" s="626"/>
      <c r="S185" s="627">
        <v>19691</v>
      </c>
      <c r="T185" s="628">
        <v>1167</v>
      </c>
      <c r="U185" s="628">
        <v>20858</v>
      </c>
    </row>
    <row r="186" spans="1:21" x14ac:dyDescent="0.25">
      <c r="A186" s="623">
        <v>91818</v>
      </c>
      <c r="B186" s="624" t="s">
        <v>1325</v>
      </c>
      <c r="C186" s="625">
        <v>3.8890000000000002E-4</v>
      </c>
      <c r="D186" s="625">
        <v>3.9540000000000002E-4</v>
      </c>
      <c r="E186" s="626">
        <v>411173</v>
      </c>
      <c r="F186" s="626">
        <v>-218228</v>
      </c>
      <c r="G186" s="626">
        <v>174536</v>
      </c>
      <c r="H186" s="626"/>
      <c r="I186" s="627">
        <v>0</v>
      </c>
      <c r="J186" s="627">
        <v>350755</v>
      </c>
      <c r="K186" s="627">
        <v>0</v>
      </c>
      <c r="L186" s="626">
        <v>195467</v>
      </c>
      <c r="M186" s="626"/>
      <c r="N186" s="627">
        <v>41026</v>
      </c>
      <c r="O186" s="627">
        <v>400445</v>
      </c>
      <c r="P186" s="627">
        <v>0</v>
      </c>
      <c r="Q186" s="626">
        <v>15174</v>
      </c>
      <c r="R186" s="626"/>
      <c r="S186" s="627">
        <v>79686</v>
      </c>
      <c r="T186" s="628">
        <v>46094</v>
      </c>
      <c r="U186" s="628">
        <v>125781</v>
      </c>
    </row>
    <row r="187" spans="1:21" x14ac:dyDescent="0.25">
      <c r="A187" s="623">
        <v>91819</v>
      </c>
      <c r="B187" s="624" t="s">
        <v>1326</v>
      </c>
      <c r="C187" s="625">
        <v>2.9609999999999999E-4</v>
      </c>
      <c r="D187" s="625">
        <v>3.054E-4</v>
      </c>
      <c r="E187" s="626">
        <v>118618</v>
      </c>
      <c r="F187" s="626">
        <v>-168556</v>
      </c>
      <c r="G187" s="626">
        <v>132888</v>
      </c>
      <c r="H187" s="626"/>
      <c r="I187" s="627">
        <v>0</v>
      </c>
      <c r="J187" s="627">
        <v>267057</v>
      </c>
      <c r="K187" s="627">
        <v>0</v>
      </c>
      <c r="L187" s="626">
        <v>20649</v>
      </c>
      <c r="M187" s="626"/>
      <c r="N187" s="627">
        <v>31236</v>
      </c>
      <c r="O187" s="627">
        <v>304890</v>
      </c>
      <c r="P187" s="627">
        <v>0</v>
      </c>
      <c r="Q187" s="626">
        <v>8329</v>
      </c>
      <c r="R187" s="626"/>
      <c r="S187" s="627">
        <v>60671</v>
      </c>
      <c r="T187" s="628">
        <v>4726</v>
      </c>
      <c r="U187" s="628">
        <v>65397</v>
      </c>
    </row>
    <row r="188" spans="1:21" x14ac:dyDescent="0.25">
      <c r="A188" s="623">
        <v>91821</v>
      </c>
      <c r="B188" s="624" t="s">
        <v>1327</v>
      </c>
      <c r="C188" s="625">
        <v>1.5799999999999999E-4</v>
      </c>
      <c r="D188" s="625">
        <v>1.4359999999999999E-4</v>
      </c>
      <c r="E188" s="626">
        <v>53923</v>
      </c>
      <c r="F188" s="626">
        <v>-79255</v>
      </c>
      <c r="G188" s="626">
        <v>70909</v>
      </c>
      <c r="H188" s="626"/>
      <c r="I188" s="627">
        <v>0</v>
      </c>
      <c r="J188" s="627">
        <v>142503</v>
      </c>
      <c r="K188" s="627">
        <v>0</v>
      </c>
      <c r="L188" s="626">
        <v>6117</v>
      </c>
      <c r="M188" s="626"/>
      <c r="N188" s="627">
        <v>16668</v>
      </c>
      <c r="O188" s="627">
        <v>162691</v>
      </c>
      <c r="P188" s="627">
        <v>0</v>
      </c>
      <c r="Q188" s="626">
        <v>0</v>
      </c>
      <c r="R188" s="626"/>
      <c r="S188" s="627">
        <v>32375</v>
      </c>
      <c r="T188" s="628">
        <v>1921</v>
      </c>
      <c r="U188" s="628">
        <v>34296</v>
      </c>
    </row>
    <row r="189" spans="1:21" x14ac:dyDescent="0.25">
      <c r="A189" s="623">
        <v>91831</v>
      </c>
      <c r="B189" s="624" t="s">
        <v>1328</v>
      </c>
      <c r="C189" s="625">
        <v>3.344E-4</v>
      </c>
      <c r="D189" s="625">
        <v>3.0269999999999999E-4</v>
      </c>
      <c r="E189" s="626">
        <v>127792</v>
      </c>
      <c r="F189" s="626">
        <v>-167066</v>
      </c>
      <c r="G189" s="626">
        <v>150077</v>
      </c>
      <c r="H189" s="626"/>
      <c r="I189" s="627">
        <v>0</v>
      </c>
      <c r="J189" s="627">
        <v>301601</v>
      </c>
      <c r="K189" s="627">
        <v>0</v>
      </c>
      <c r="L189" s="626">
        <v>16974</v>
      </c>
      <c r="M189" s="626"/>
      <c r="N189" s="627">
        <v>35277</v>
      </c>
      <c r="O189" s="627">
        <v>344327</v>
      </c>
      <c r="P189" s="627">
        <v>0</v>
      </c>
      <c r="Q189" s="626">
        <v>0</v>
      </c>
      <c r="R189" s="626"/>
      <c r="S189" s="627">
        <v>68519</v>
      </c>
      <c r="T189" s="628">
        <v>4564</v>
      </c>
      <c r="U189" s="628">
        <v>73083</v>
      </c>
    </row>
    <row r="190" spans="1:21" x14ac:dyDescent="0.25">
      <c r="A190" s="623">
        <v>91841</v>
      </c>
      <c r="B190" s="624" t="s">
        <v>1329</v>
      </c>
      <c r="C190" s="625">
        <v>2.7290000000000002E-4</v>
      </c>
      <c r="D190" s="625">
        <v>2.9730000000000002E-4</v>
      </c>
      <c r="E190" s="626">
        <v>112016</v>
      </c>
      <c r="F190" s="626">
        <v>-164085</v>
      </c>
      <c r="G190" s="626">
        <v>122476</v>
      </c>
      <c r="H190" s="626"/>
      <c r="I190" s="627">
        <v>0</v>
      </c>
      <c r="J190" s="627">
        <v>246133</v>
      </c>
      <c r="K190" s="627">
        <v>0</v>
      </c>
      <c r="L190" s="626">
        <v>0</v>
      </c>
      <c r="M190" s="626"/>
      <c r="N190" s="627">
        <v>28789</v>
      </c>
      <c r="O190" s="627">
        <v>281002</v>
      </c>
      <c r="P190" s="627">
        <v>0</v>
      </c>
      <c r="Q190" s="626">
        <v>32285</v>
      </c>
      <c r="R190" s="626"/>
      <c r="S190" s="627">
        <v>55918</v>
      </c>
      <c r="T190" s="628">
        <v>-9588</v>
      </c>
      <c r="U190" s="628">
        <v>46330</v>
      </c>
    </row>
    <row r="191" spans="1:21" x14ac:dyDescent="0.25">
      <c r="A191" s="623">
        <v>91851</v>
      </c>
      <c r="B191" s="624" t="s">
        <v>1330</v>
      </c>
      <c r="C191" s="625">
        <v>7.8410000000000003E-4</v>
      </c>
      <c r="D191" s="625">
        <v>7.9770000000000004E-4</v>
      </c>
      <c r="E191" s="626">
        <v>293570</v>
      </c>
      <c r="F191" s="626">
        <v>-440265</v>
      </c>
      <c r="G191" s="626">
        <v>351899</v>
      </c>
      <c r="H191" s="626"/>
      <c r="I191" s="627">
        <v>0</v>
      </c>
      <c r="J191" s="627">
        <v>707192</v>
      </c>
      <c r="K191" s="627">
        <v>0</v>
      </c>
      <c r="L191" s="626">
        <v>10791</v>
      </c>
      <c r="M191" s="626"/>
      <c r="N191" s="627">
        <v>82717</v>
      </c>
      <c r="O191" s="627">
        <v>807378</v>
      </c>
      <c r="P191" s="627">
        <v>0</v>
      </c>
      <c r="Q191" s="626">
        <v>30596</v>
      </c>
      <c r="R191" s="626"/>
      <c r="S191" s="627">
        <v>160664</v>
      </c>
      <c r="T191" s="628">
        <v>-4400</v>
      </c>
      <c r="U191" s="628">
        <v>156263</v>
      </c>
    </row>
    <row r="192" spans="1:21" x14ac:dyDescent="0.25">
      <c r="A192" s="623">
        <v>91861</v>
      </c>
      <c r="B192" s="624" t="s">
        <v>1331</v>
      </c>
      <c r="C192" s="625">
        <v>1.8499999999999999E-5</v>
      </c>
      <c r="D192" s="625">
        <v>1.43E-5</v>
      </c>
      <c r="E192" s="626">
        <v>8129</v>
      </c>
      <c r="F192" s="626">
        <v>-7892</v>
      </c>
      <c r="G192" s="626">
        <v>8303</v>
      </c>
      <c r="H192" s="626"/>
      <c r="I192" s="627">
        <v>0</v>
      </c>
      <c r="J192" s="627">
        <v>16685</v>
      </c>
      <c r="K192" s="627">
        <v>0</v>
      </c>
      <c r="L192" s="626">
        <v>3403</v>
      </c>
      <c r="M192" s="626"/>
      <c r="N192" s="627">
        <v>1952</v>
      </c>
      <c r="O192" s="627">
        <v>19049</v>
      </c>
      <c r="P192" s="627">
        <v>0</v>
      </c>
      <c r="Q192" s="626">
        <v>332</v>
      </c>
      <c r="R192" s="626"/>
      <c r="S192" s="627">
        <v>3791</v>
      </c>
      <c r="T192" s="628">
        <v>780</v>
      </c>
      <c r="U192" s="628">
        <v>4571</v>
      </c>
    </row>
    <row r="193" spans="1:21" x14ac:dyDescent="0.25">
      <c r="A193" s="623">
        <v>91871</v>
      </c>
      <c r="B193" s="624" t="s">
        <v>1332</v>
      </c>
      <c r="C193" s="625">
        <v>1.3523000000000001E-3</v>
      </c>
      <c r="D193" s="625">
        <v>1.3913E-3</v>
      </c>
      <c r="E193" s="626">
        <v>511008</v>
      </c>
      <c r="F193" s="626">
        <v>-767884</v>
      </c>
      <c r="G193" s="626">
        <v>606904</v>
      </c>
      <c r="H193" s="626"/>
      <c r="I193" s="627">
        <v>0</v>
      </c>
      <c r="J193" s="627">
        <v>1219661</v>
      </c>
      <c r="K193" s="627">
        <v>0</v>
      </c>
      <c r="L193" s="626">
        <v>0</v>
      </c>
      <c r="M193" s="626"/>
      <c r="N193" s="627">
        <v>142658</v>
      </c>
      <c r="O193" s="627">
        <v>1392446</v>
      </c>
      <c r="P193" s="627">
        <v>0</v>
      </c>
      <c r="Q193" s="626">
        <v>73333</v>
      </c>
      <c r="R193" s="626"/>
      <c r="S193" s="627">
        <v>277089</v>
      </c>
      <c r="T193" s="628">
        <v>-20170</v>
      </c>
      <c r="U193" s="628">
        <v>256919</v>
      </c>
    </row>
    <row r="194" spans="1:21" x14ac:dyDescent="0.25">
      <c r="A194" s="623">
        <v>91881</v>
      </c>
      <c r="B194" s="624" t="s">
        <v>1333</v>
      </c>
      <c r="C194" s="625">
        <v>2.1399999999999998E-5</v>
      </c>
      <c r="D194" s="625">
        <v>2.5400000000000001E-5</v>
      </c>
      <c r="E194" s="626">
        <v>8428</v>
      </c>
      <c r="F194" s="626">
        <v>-14019</v>
      </c>
      <c r="G194" s="626">
        <v>9604</v>
      </c>
      <c r="H194" s="626"/>
      <c r="I194" s="627">
        <v>0</v>
      </c>
      <c r="J194" s="627">
        <v>19301</v>
      </c>
      <c r="K194" s="627">
        <v>0</v>
      </c>
      <c r="L194" s="626">
        <v>0</v>
      </c>
      <c r="M194" s="626"/>
      <c r="N194" s="627">
        <v>2258</v>
      </c>
      <c r="O194" s="627">
        <v>22035</v>
      </c>
      <c r="P194" s="627">
        <v>0</v>
      </c>
      <c r="Q194" s="626">
        <v>14638</v>
      </c>
      <c r="R194" s="626"/>
      <c r="S194" s="627">
        <v>4385</v>
      </c>
      <c r="T194" s="628">
        <v>-4674</v>
      </c>
      <c r="U194" s="628">
        <v>-289</v>
      </c>
    </row>
    <row r="195" spans="1:21" x14ac:dyDescent="0.25">
      <c r="A195" s="623">
        <v>91901</v>
      </c>
      <c r="B195" s="624" t="s">
        <v>1334</v>
      </c>
      <c r="C195" s="625">
        <v>3.4198000000000002E-3</v>
      </c>
      <c r="D195" s="625">
        <v>3.3241E-3</v>
      </c>
      <c r="E195" s="626">
        <v>1396950</v>
      </c>
      <c r="F195" s="626">
        <v>-1834631</v>
      </c>
      <c r="G195" s="626">
        <v>1534786</v>
      </c>
      <c r="H195" s="626"/>
      <c r="I195" s="627">
        <v>0</v>
      </c>
      <c r="J195" s="627">
        <v>3084372</v>
      </c>
      <c r="K195" s="627">
        <v>0</v>
      </c>
      <c r="L195" s="626">
        <v>159330</v>
      </c>
      <c r="M195" s="626"/>
      <c r="N195" s="627">
        <v>360765</v>
      </c>
      <c r="O195" s="627">
        <v>3521324</v>
      </c>
      <c r="P195" s="627">
        <v>0</v>
      </c>
      <c r="Q195" s="626">
        <v>0</v>
      </c>
      <c r="R195" s="626"/>
      <c r="S195" s="627">
        <v>700724</v>
      </c>
      <c r="T195" s="628">
        <v>48367</v>
      </c>
      <c r="U195" s="628">
        <v>749091</v>
      </c>
    </row>
    <row r="196" spans="1:21" x14ac:dyDescent="0.25">
      <c r="A196" s="623">
        <v>91903</v>
      </c>
      <c r="B196" s="624" t="s">
        <v>1335</v>
      </c>
      <c r="C196" s="625">
        <v>9.5000000000000005E-6</v>
      </c>
      <c r="D196" s="625">
        <v>9.5000000000000005E-6</v>
      </c>
      <c r="E196" s="626">
        <v>4704</v>
      </c>
      <c r="F196" s="626">
        <v>-5243</v>
      </c>
      <c r="G196" s="626">
        <v>4264</v>
      </c>
      <c r="H196" s="626"/>
      <c r="I196" s="627">
        <v>0</v>
      </c>
      <c r="J196" s="627">
        <v>8568</v>
      </c>
      <c r="K196" s="627">
        <v>0</v>
      </c>
      <c r="L196" s="626">
        <v>654</v>
      </c>
      <c r="M196" s="626"/>
      <c r="N196" s="627">
        <v>1002</v>
      </c>
      <c r="O196" s="627">
        <v>9782</v>
      </c>
      <c r="P196" s="627">
        <v>0</v>
      </c>
      <c r="Q196" s="626">
        <v>9092.59</v>
      </c>
      <c r="R196" s="626"/>
      <c r="S196" s="627">
        <v>1947</v>
      </c>
      <c r="T196" s="628">
        <v>-2870</v>
      </c>
      <c r="U196" s="628">
        <v>-923</v>
      </c>
    </row>
    <row r="197" spans="1:21" x14ac:dyDescent="0.25">
      <c r="A197" s="623">
        <v>91904</v>
      </c>
      <c r="B197" s="624" t="s">
        <v>1336</v>
      </c>
      <c r="C197" s="625">
        <v>1.1600000000000001E-5</v>
      </c>
      <c r="D197" s="625">
        <v>1.59E-5</v>
      </c>
      <c r="E197" s="626">
        <v>9397</v>
      </c>
      <c r="F197" s="626">
        <v>-8775</v>
      </c>
      <c r="G197" s="626">
        <v>5206</v>
      </c>
      <c r="H197" s="626"/>
      <c r="I197" s="627">
        <v>0</v>
      </c>
      <c r="J197" s="627">
        <v>10462</v>
      </c>
      <c r="K197" s="627">
        <v>0</v>
      </c>
      <c r="L197" s="626">
        <v>4629</v>
      </c>
      <c r="M197" s="626"/>
      <c r="N197" s="627">
        <v>1224</v>
      </c>
      <c r="O197" s="627">
        <v>11944</v>
      </c>
      <c r="P197" s="627">
        <v>0</v>
      </c>
      <c r="Q197" s="626">
        <v>0</v>
      </c>
      <c r="R197" s="626"/>
      <c r="S197" s="627">
        <v>2377</v>
      </c>
      <c r="T197" s="628">
        <v>1499</v>
      </c>
      <c r="U197" s="628">
        <v>3876</v>
      </c>
    </row>
    <row r="198" spans="1:21" x14ac:dyDescent="0.25">
      <c r="A198" s="623">
        <v>91908</v>
      </c>
      <c r="B198" s="624" t="s">
        <v>1337</v>
      </c>
      <c r="C198" s="625">
        <v>1.73E-5</v>
      </c>
      <c r="D198" s="625">
        <v>1.4800000000000001E-5</v>
      </c>
      <c r="E198" s="626">
        <v>5003</v>
      </c>
      <c r="F198" s="626">
        <v>-8168</v>
      </c>
      <c r="G198" s="626">
        <v>7764</v>
      </c>
      <c r="H198" s="626"/>
      <c r="I198" s="627">
        <v>0</v>
      </c>
      <c r="J198" s="627">
        <v>15603</v>
      </c>
      <c r="K198" s="627">
        <v>0</v>
      </c>
      <c r="L198" s="626">
        <v>2447</v>
      </c>
      <c r="M198" s="626"/>
      <c r="N198" s="627">
        <v>1825</v>
      </c>
      <c r="O198" s="627">
        <v>17814</v>
      </c>
      <c r="P198" s="627">
        <v>0</v>
      </c>
      <c r="Q198" s="626">
        <v>0</v>
      </c>
      <c r="R198" s="626"/>
      <c r="S198" s="627">
        <v>3545</v>
      </c>
      <c r="T198" s="628">
        <v>810</v>
      </c>
      <c r="U198" s="628">
        <v>4355</v>
      </c>
    </row>
    <row r="199" spans="1:21" x14ac:dyDescent="0.25">
      <c r="A199" s="623">
        <v>91911</v>
      </c>
      <c r="B199" s="624" t="s">
        <v>1338</v>
      </c>
      <c r="C199" s="625">
        <v>4.4079999999999998E-4</v>
      </c>
      <c r="D199" s="625">
        <v>4.6470000000000002E-4</v>
      </c>
      <c r="E199" s="626">
        <v>191989</v>
      </c>
      <c r="F199" s="626">
        <v>-256476</v>
      </c>
      <c r="G199" s="626">
        <v>197828</v>
      </c>
      <c r="H199" s="626"/>
      <c r="I199" s="627">
        <v>0</v>
      </c>
      <c r="J199" s="627">
        <v>397565</v>
      </c>
      <c r="K199" s="627">
        <v>0</v>
      </c>
      <c r="L199" s="626">
        <v>0</v>
      </c>
      <c r="M199" s="626"/>
      <c r="N199" s="627">
        <v>46501</v>
      </c>
      <c r="O199" s="627">
        <v>453886</v>
      </c>
      <c r="P199" s="627">
        <v>0</v>
      </c>
      <c r="Q199" s="626">
        <v>11953</v>
      </c>
      <c r="R199" s="626"/>
      <c r="S199" s="627">
        <v>90321</v>
      </c>
      <c r="T199" s="628">
        <v>-3471</v>
      </c>
      <c r="U199" s="628">
        <v>86850</v>
      </c>
    </row>
    <row r="200" spans="1:21" x14ac:dyDescent="0.25">
      <c r="A200" s="623">
        <v>91917</v>
      </c>
      <c r="B200" s="624" t="s">
        <v>1339</v>
      </c>
      <c r="C200" s="625">
        <v>1.42E-5</v>
      </c>
      <c r="D200" s="625">
        <v>1.47E-5</v>
      </c>
      <c r="E200" s="626">
        <v>6476</v>
      </c>
      <c r="F200" s="626">
        <v>-8113</v>
      </c>
      <c r="G200" s="626">
        <v>6373</v>
      </c>
      <c r="H200" s="626"/>
      <c r="I200" s="627">
        <v>0</v>
      </c>
      <c r="J200" s="627">
        <v>12807</v>
      </c>
      <c r="K200" s="627">
        <v>0</v>
      </c>
      <c r="L200" s="626">
        <v>193</v>
      </c>
      <c r="M200" s="626"/>
      <c r="N200" s="627">
        <v>1498</v>
      </c>
      <c r="O200" s="627">
        <v>14622</v>
      </c>
      <c r="P200" s="627">
        <v>0</v>
      </c>
      <c r="Q200" s="626">
        <v>0</v>
      </c>
      <c r="R200" s="626"/>
      <c r="S200" s="627">
        <v>2910</v>
      </c>
      <c r="T200" s="628">
        <v>51</v>
      </c>
      <c r="U200" s="628">
        <v>2961</v>
      </c>
    </row>
    <row r="201" spans="1:21" x14ac:dyDescent="0.25">
      <c r="A201" s="623">
        <v>91921</v>
      </c>
      <c r="B201" s="624" t="s">
        <v>1340</v>
      </c>
      <c r="C201" s="625">
        <v>3.4840000000000001E-4</v>
      </c>
      <c r="D201" s="625">
        <v>3.5879999999999999E-4</v>
      </c>
      <c r="E201" s="626">
        <v>135398</v>
      </c>
      <c r="F201" s="626">
        <v>-198028</v>
      </c>
      <c r="G201" s="626">
        <v>156360</v>
      </c>
      <c r="H201" s="626"/>
      <c r="I201" s="627">
        <v>0</v>
      </c>
      <c r="J201" s="627">
        <v>314228</v>
      </c>
      <c r="K201" s="627">
        <v>0</v>
      </c>
      <c r="L201" s="626">
        <v>0</v>
      </c>
      <c r="M201" s="626"/>
      <c r="N201" s="627">
        <v>36754</v>
      </c>
      <c r="O201" s="627">
        <v>358743</v>
      </c>
      <c r="P201" s="627">
        <v>0</v>
      </c>
      <c r="Q201" s="626">
        <v>15700</v>
      </c>
      <c r="R201" s="626"/>
      <c r="S201" s="627">
        <v>71388</v>
      </c>
      <c r="T201" s="628">
        <v>-4326</v>
      </c>
      <c r="U201" s="628">
        <v>67062</v>
      </c>
    </row>
    <row r="202" spans="1:21" x14ac:dyDescent="0.25">
      <c r="A202" s="623">
        <v>92001</v>
      </c>
      <c r="B202" s="624" t="s">
        <v>1341</v>
      </c>
      <c r="C202" s="625">
        <v>1.7531000000000001E-3</v>
      </c>
      <c r="D202" s="625">
        <v>1.7499E-3</v>
      </c>
      <c r="E202" s="626">
        <v>718692</v>
      </c>
      <c r="F202" s="626">
        <v>-965801</v>
      </c>
      <c r="G202" s="626">
        <v>786781</v>
      </c>
      <c r="H202" s="626"/>
      <c r="I202" s="627">
        <v>0</v>
      </c>
      <c r="J202" s="627">
        <v>1581149</v>
      </c>
      <c r="K202" s="627">
        <v>0</v>
      </c>
      <c r="L202" s="626">
        <v>4570</v>
      </c>
      <c r="M202" s="626"/>
      <c r="N202" s="627">
        <v>184940</v>
      </c>
      <c r="O202" s="627">
        <v>1805144</v>
      </c>
      <c r="P202" s="627">
        <v>0</v>
      </c>
      <c r="Q202" s="626">
        <v>78792</v>
      </c>
      <c r="R202" s="626"/>
      <c r="S202" s="627">
        <v>359214</v>
      </c>
      <c r="T202" s="628">
        <v>-25156</v>
      </c>
      <c r="U202" s="628">
        <v>334058</v>
      </c>
    </row>
    <row r="203" spans="1:21" x14ac:dyDescent="0.25">
      <c r="A203" s="623">
        <v>92005</v>
      </c>
      <c r="B203" s="624" t="s">
        <v>1342</v>
      </c>
      <c r="C203" s="625">
        <v>4.5800000000000002E-5</v>
      </c>
      <c r="D203" s="625">
        <v>5.1999999999999997E-5</v>
      </c>
      <c r="E203" s="626">
        <v>23169</v>
      </c>
      <c r="F203" s="626">
        <v>-28700</v>
      </c>
      <c r="G203" s="626">
        <v>20555</v>
      </c>
      <c r="H203" s="626"/>
      <c r="I203" s="627">
        <v>0</v>
      </c>
      <c r="J203" s="627">
        <v>41308</v>
      </c>
      <c r="K203" s="627">
        <v>0</v>
      </c>
      <c r="L203" s="626">
        <v>1267.76</v>
      </c>
      <c r="M203" s="626"/>
      <c r="N203" s="627">
        <v>4832</v>
      </c>
      <c r="O203" s="627">
        <v>47160</v>
      </c>
      <c r="P203" s="627">
        <v>0</v>
      </c>
      <c r="Q203" s="626">
        <v>808</v>
      </c>
      <c r="R203" s="626"/>
      <c r="S203" s="627">
        <v>9385</v>
      </c>
      <c r="T203" s="628">
        <v>212</v>
      </c>
      <c r="U203" s="628">
        <v>9597</v>
      </c>
    </row>
    <row r="204" spans="1:21" x14ac:dyDescent="0.25">
      <c r="A204" s="623">
        <v>92011</v>
      </c>
      <c r="B204" s="624" t="s">
        <v>1343</v>
      </c>
      <c r="C204" s="625">
        <v>1.8230000000000001E-4</v>
      </c>
      <c r="D204" s="625">
        <v>1.795E-4</v>
      </c>
      <c r="E204" s="626">
        <v>74366</v>
      </c>
      <c r="F204" s="626">
        <v>-99069</v>
      </c>
      <c r="G204" s="626">
        <v>81815</v>
      </c>
      <c r="H204" s="626"/>
      <c r="I204" s="627">
        <v>0</v>
      </c>
      <c r="J204" s="627">
        <v>164419</v>
      </c>
      <c r="K204" s="627">
        <v>0</v>
      </c>
      <c r="L204" s="626">
        <v>21281</v>
      </c>
      <c r="M204" s="626"/>
      <c r="N204" s="627">
        <v>19231</v>
      </c>
      <c r="O204" s="627">
        <v>187712</v>
      </c>
      <c r="P204" s="627">
        <v>0</v>
      </c>
      <c r="Q204" s="626">
        <v>0</v>
      </c>
      <c r="R204" s="626"/>
      <c r="S204" s="627">
        <v>37354</v>
      </c>
      <c r="T204" s="628">
        <v>6978</v>
      </c>
      <c r="U204" s="628">
        <v>44332</v>
      </c>
    </row>
    <row r="205" spans="1:21" x14ac:dyDescent="0.25">
      <c r="A205" s="623">
        <v>92017</v>
      </c>
      <c r="B205" s="624" t="s">
        <v>1344</v>
      </c>
      <c r="C205" s="625">
        <v>3.7100000000000001E-5</v>
      </c>
      <c r="D205" s="625">
        <v>3.8500000000000001E-5</v>
      </c>
      <c r="E205" s="626">
        <v>17050</v>
      </c>
      <c r="F205" s="626">
        <v>-21249</v>
      </c>
      <c r="G205" s="626">
        <v>16650</v>
      </c>
      <c r="H205" s="626"/>
      <c r="I205" s="627">
        <v>0</v>
      </c>
      <c r="J205" s="627">
        <v>33461</v>
      </c>
      <c r="K205" s="627">
        <v>0</v>
      </c>
      <c r="L205" s="626">
        <v>525</v>
      </c>
      <c r="M205" s="626"/>
      <c r="N205" s="627">
        <v>3914</v>
      </c>
      <c r="O205" s="627">
        <v>38201</v>
      </c>
      <c r="P205" s="627">
        <v>0</v>
      </c>
      <c r="Q205" s="626">
        <v>2120</v>
      </c>
      <c r="R205" s="626"/>
      <c r="S205" s="627">
        <v>7602</v>
      </c>
      <c r="T205" s="628">
        <v>-571</v>
      </c>
      <c r="U205" s="628">
        <v>7030</v>
      </c>
    </row>
    <row r="206" spans="1:21" x14ac:dyDescent="0.25">
      <c r="A206" s="623">
        <v>92021</v>
      </c>
      <c r="B206" s="624" t="s">
        <v>1345</v>
      </c>
      <c r="C206" s="625">
        <v>9.8999999999999994E-5</v>
      </c>
      <c r="D206" s="625">
        <v>1.3100000000000001E-4</v>
      </c>
      <c r="E206" s="626">
        <v>49219</v>
      </c>
      <c r="F206" s="626">
        <v>-72301</v>
      </c>
      <c r="G206" s="626">
        <v>44431</v>
      </c>
      <c r="H206" s="626"/>
      <c r="I206" s="627">
        <v>0</v>
      </c>
      <c r="J206" s="627">
        <v>89290</v>
      </c>
      <c r="K206" s="627">
        <v>0</v>
      </c>
      <c r="L206" s="626">
        <v>0</v>
      </c>
      <c r="M206" s="626"/>
      <c r="N206" s="627">
        <v>10444</v>
      </c>
      <c r="O206" s="627">
        <v>101939</v>
      </c>
      <c r="P206" s="627">
        <v>0</v>
      </c>
      <c r="Q206" s="626">
        <v>26856</v>
      </c>
      <c r="R206" s="626"/>
      <c r="S206" s="627">
        <v>20285</v>
      </c>
      <c r="T206" s="628">
        <v>-7857</v>
      </c>
      <c r="U206" s="628">
        <v>12428</v>
      </c>
    </row>
    <row r="207" spans="1:21" x14ac:dyDescent="0.25">
      <c r="A207" s="623">
        <v>92101</v>
      </c>
      <c r="B207" s="624" t="s">
        <v>1346</v>
      </c>
      <c r="C207" s="625">
        <v>9.1750000000000002E-4</v>
      </c>
      <c r="D207" s="625">
        <v>8.9179999999999999E-4</v>
      </c>
      <c r="E207" s="626">
        <v>355218</v>
      </c>
      <c r="F207" s="626">
        <v>-492200</v>
      </c>
      <c r="G207" s="626">
        <v>411768</v>
      </c>
      <c r="H207" s="626"/>
      <c r="I207" s="627">
        <v>0</v>
      </c>
      <c r="J207" s="627">
        <v>827507.93</v>
      </c>
      <c r="K207" s="627">
        <v>0</v>
      </c>
      <c r="L207" s="626">
        <v>27533</v>
      </c>
      <c r="M207" s="626"/>
      <c r="N207" s="627">
        <v>96790</v>
      </c>
      <c r="O207" s="627">
        <v>944738</v>
      </c>
      <c r="P207" s="627">
        <v>0</v>
      </c>
      <c r="Q207" s="626">
        <v>0</v>
      </c>
      <c r="R207" s="626"/>
      <c r="S207" s="627">
        <v>187998</v>
      </c>
      <c r="T207" s="628">
        <v>9014</v>
      </c>
      <c r="U207" s="628">
        <v>197012</v>
      </c>
    </row>
    <row r="208" spans="1:21" x14ac:dyDescent="0.25">
      <c r="A208" s="623">
        <v>92104</v>
      </c>
      <c r="B208" s="624" t="s">
        <v>1347</v>
      </c>
      <c r="C208" s="625">
        <v>8.1000000000000004E-6</v>
      </c>
      <c r="D208" s="625">
        <v>7.1999999999999997E-6</v>
      </c>
      <c r="E208" s="626">
        <v>4518</v>
      </c>
      <c r="F208" s="626">
        <v>-3974</v>
      </c>
      <c r="G208" s="626">
        <v>3635</v>
      </c>
      <c r="H208" s="626"/>
      <c r="I208" s="627">
        <v>0</v>
      </c>
      <c r="J208" s="627">
        <v>7306</v>
      </c>
      <c r="K208" s="627">
        <v>0</v>
      </c>
      <c r="L208" s="626">
        <v>4345</v>
      </c>
      <c r="M208" s="626"/>
      <c r="N208" s="627">
        <v>854</v>
      </c>
      <c r="O208" s="627">
        <v>8340</v>
      </c>
      <c r="P208" s="627">
        <v>0</v>
      </c>
      <c r="Q208" s="626">
        <v>0</v>
      </c>
      <c r="R208" s="626"/>
      <c r="S208" s="627">
        <v>1660</v>
      </c>
      <c r="T208" s="628">
        <v>1338</v>
      </c>
      <c r="U208" s="628">
        <v>2997</v>
      </c>
    </row>
    <row r="209" spans="1:21" x14ac:dyDescent="0.25">
      <c r="A209" s="623">
        <v>92109</v>
      </c>
      <c r="B209" s="624" t="s">
        <v>1348</v>
      </c>
      <c r="C209" s="625">
        <v>1.7310000000000001E-4</v>
      </c>
      <c r="D209" s="625">
        <v>2.12E-4</v>
      </c>
      <c r="E209" s="626">
        <v>71715</v>
      </c>
      <c r="F209" s="626">
        <v>-117007</v>
      </c>
      <c r="G209" s="626">
        <v>77686</v>
      </c>
      <c r="H209" s="626"/>
      <c r="I209" s="627">
        <v>0</v>
      </c>
      <c r="J209" s="627">
        <v>156122</v>
      </c>
      <c r="K209" s="627">
        <v>0</v>
      </c>
      <c r="L209" s="626">
        <v>3860.09</v>
      </c>
      <c r="M209" s="626"/>
      <c r="N209" s="627">
        <v>18261</v>
      </c>
      <c r="O209" s="627">
        <v>178239</v>
      </c>
      <c r="P209" s="627">
        <v>0</v>
      </c>
      <c r="Q209" s="626">
        <v>26472</v>
      </c>
      <c r="R209" s="626"/>
      <c r="S209" s="627">
        <v>35469</v>
      </c>
      <c r="T209" s="628">
        <v>-5639</v>
      </c>
      <c r="U209" s="628">
        <v>29830</v>
      </c>
    </row>
    <row r="210" spans="1:21" x14ac:dyDescent="0.25">
      <c r="A210" s="623">
        <v>92111</v>
      </c>
      <c r="B210" s="624" t="s">
        <v>1349</v>
      </c>
      <c r="C210" s="625">
        <v>5.3319999999999995E-4</v>
      </c>
      <c r="D210" s="625">
        <v>5.2130000000000004E-4</v>
      </c>
      <c r="E210" s="626">
        <v>216902</v>
      </c>
      <c r="F210" s="626">
        <v>-287715</v>
      </c>
      <c r="G210" s="626">
        <v>239297</v>
      </c>
      <c r="H210" s="626"/>
      <c r="I210" s="627">
        <v>0</v>
      </c>
      <c r="J210" s="627">
        <v>480902</v>
      </c>
      <c r="K210" s="627">
        <v>0</v>
      </c>
      <c r="L210" s="626">
        <v>20979</v>
      </c>
      <c r="M210" s="626"/>
      <c r="N210" s="627">
        <v>56249</v>
      </c>
      <c r="O210" s="627">
        <v>549029</v>
      </c>
      <c r="P210" s="627">
        <v>0</v>
      </c>
      <c r="Q210" s="626">
        <v>0</v>
      </c>
      <c r="R210" s="626"/>
      <c r="S210" s="627">
        <v>109254</v>
      </c>
      <c r="T210" s="628">
        <v>6455</v>
      </c>
      <c r="U210" s="628">
        <v>115709</v>
      </c>
    </row>
    <row r="211" spans="1:21" x14ac:dyDescent="0.25">
      <c r="A211" s="623">
        <v>92113</v>
      </c>
      <c r="B211" s="624" t="s">
        <v>1350</v>
      </c>
      <c r="C211" s="625">
        <v>2.2900000000000001E-5</v>
      </c>
      <c r="D211" s="625">
        <v>2.3600000000000001E-5</v>
      </c>
      <c r="E211" s="626">
        <v>27235</v>
      </c>
      <c r="F211" s="626">
        <v>-13025</v>
      </c>
      <c r="G211" s="626">
        <v>10277</v>
      </c>
      <c r="H211" s="626"/>
      <c r="I211" s="627">
        <v>0</v>
      </c>
      <c r="J211" s="627">
        <v>20654</v>
      </c>
      <c r="K211" s="627">
        <v>0</v>
      </c>
      <c r="L211" s="626">
        <v>14874</v>
      </c>
      <c r="M211" s="626"/>
      <c r="N211" s="627">
        <v>2416</v>
      </c>
      <c r="O211" s="627">
        <v>23580</v>
      </c>
      <c r="P211" s="627">
        <v>0</v>
      </c>
      <c r="Q211" s="626">
        <v>0</v>
      </c>
      <c r="R211" s="626"/>
      <c r="S211" s="627">
        <v>4692</v>
      </c>
      <c r="T211" s="628">
        <v>3980</v>
      </c>
      <c r="U211" s="628">
        <v>8672</v>
      </c>
    </row>
    <row r="212" spans="1:21" x14ac:dyDescent="0.25">
      <c r="A212" s="623">
        <v>92201</v>
      </c>
      <c r="B212" s="624" t="s">
        <v>1351</v>
      </c>
      <c r="C212" s="625">
        <v>9.8930000000000003E-4</v>
      </c>
      <c r="D212" s="625">
        <v>9.7980000000000007E-4</v>
      </c>
      <c r="E212" s="626">
        <v>438714</v>
      </c>
      <c r="F212" s="626">
        <v>-540769</v>
      </c>
      <c r="G212" s="626">
        <v>443992</v>
      </c>
      <c r="H212" s="626"/>
      <c r="I212" s="627">
        <v>0</v>
      </c>
      <c r="J212" s="627">
        <v>892265</v>
      </c>
      <c r="K212" s="627">
        <v>0</v>
      </c>
      <c r="L212" s="626">
        <v>69763</v>
      </c>
      <c r="M212" s="626"/>
      <c r="N212" s="627">
        <v>104364</v>
      </c>
      <c r="O212" s="627">
        <v>1018669</v>
      </c>
      <c r="P212" s="627">
        <v>0</v>
      </c>
      <c r="Q212" s="626">
        <v>0</v>
      </c>
      <c r="R212" s="626"/>
      <c r="S212" s="627">
        <v>202710</v>
      </c>
      <c r="T212" s="628">
        <v>20843</v>
      </c>
      <c r="U212" s="628">
        <v>223553</v>
      </c>
    </row>
    <row r="213" spans="1:21" x14ac:dyDescent="0.25">
      <c r="A213" s="623">
        <v>92301</v>
      </c>
      <c r="B213" s="624" t="s">
        <v>1352</v>
      </c>
      <c r="C213" s="625">
        <v>5.0804999999999999E-3</v>
      </c>
      <c r="D213" s="625">
        <v>5.0534000000000004E-3</v>
      </c>
      <c r="E213" s="626">
        <v>2116335</v>
      </c>
      <c r="F213" s="626">
        <v>-2789062</v>
      </c>
      <c r="G213" s="626">
        <v>2280098</v>
      </c>
      <c r="H213" s="626"/>
      <c r="I213" s="627">
        <v>0</v>
      </c>
      <c r="J213" s="627">
        <v>4582184</v>
      </c>
      <c r="K213" s="627">
        <v>0</v>
      </c>
      <c r="L213" s="626">
        <v>52350</v>
      </c>
      <c r="M213" s="626"/>
      <c r="N213" s="627">
        <v>535957</v>
      </c>
      <c r="O213" s="627">
        <v>5231325</v>
      </c>
      <c r="P213" s="627">
        <v>0</v>
      </c>
      <c r="Q213" s="626">
        <v>25029.29</v>
      </c>
      <c r="R213" s="626"/>
      <c r="S213" s="627">
        <v>1041005</v>
      </c>
      <c r="T213" s="628">
        <v>5333</v>
      </c>
      <c r="U213" s="628">
        <v>1046338</v>
      </c>
    </row>
    <row r="214" spans="1:21" x14ac:dyDescent="0.25">
      <c r="A214" s="623">
        <v>92302</v>
      </c>
      <c r="B214" s="624" t="s">
        <v>1353</v>
      </c>
      <c r="C214" s="625">
        <v>2.9910000000000001E-4</v>
      </c>
      <c r="D214" s="625">
        <v>2.9710000000000001E-4</v>
      </c>
      <c r="E214" s="626">
        <v>113938</v>
      </c>
      <c r="F214" s="626">
        <v>-163975</v>
      </c>
      <c r="G214" s="626">
        <v>134234</v>
      </c>
      <c r="H214" s="626"/>
      <c r="I214" s="627">
        <v>0</v>
      </c>
      <c r="J214" s="627">
        <v>269763</v>
      </c>
      <c r="K214" s="627">
        <v>0</v>
      </c>
      <c r="L214" s="626">
        <v>0</v>
      </c>
      <c r="M214" s="626"/>
      <c r="N214" s="627">
        <v>31553</v>
      </c>
      <c r="O214" s="627">
        <v>307979</v>
      </c>
      <c r="P214" s="627">
        <v>0</v>
      </c>
      <c r="Q214" s="626">
        <v>12081</v>
      </c>
      <c r="R214" s="626"/>
      <c r="S214" s="627">
        <v>61286</v>
      </c>
      <c r="T214" s="628">
        <v>-3671</v>
      </c>
      <c r="U214" s="628">
        <v>57615</v>
      </c>
    </row>
    <row r="215" spans="1:21" x14ac:dyDescent="0.25">
      <c r="A215" s="623">
        <v>92311</v>
      </c>
      <c r="B215" s="624" t="s">
        <v>1354</v>
      </c>
      <c r="C215" s="625">
        <v>2.1316E-3</v>
      </c>
      <c r="D215" s="625">
        <v>2.1614999999999998E-3</v>
      </c>
      <c r="E215" s="626">
        <v>850583</v>
      </c>
      <c r="F215" s="626">
        <v>-1192971</v>
      </c>
      <c r="G215" s="626">
        <v>956649</v>
      </c>
      <c r="H215" s="626"/>
      <c r="I215" s="627">
        <v>0</v>
      </c>
      <c r="J215" s="627">
        <v>1922524</v>
      </c>
      <c r="K215" s="627">
        <v>0</v>
      </c>
      <c r="L215" s="626">
        <v>0</v>
      </c>
      <c r="M215" s="626"/>
      <c r="N215" s="627">
        <v>224869</v>
      </c>
      <c r="O215" s="627">
        <v>2194881</v>
      </c>
      <c r="P215" s="627">
        <v>0</v>
      </c>
      <c r="Q215" s="626">
        <v>110534</v>
      </c>
      <c r="R215" s="626"/>
      <c r="S215" s="627">
        <v>436769</v>
      </c>
      <c r="T215" s="628">
        <v>-34308</v>
      </c>
      <c r="U215" s="628">
        <v>402461</v>
      </c>
    </row>
    <row r="216" spans="1:21" x14ac:dyDescent="0.25">
      <c r="A216" s="623">
        <v>92317</v>
      </c>
      <c r="B216" s="624" t="s">
        <v>1355</v>
      </c>
      <c r="C216" s="625">
        <v>3.3300000000000003E-5</v>
      </c>
      <c r="D216" s="625">
        <v>3.0800000000000003E-5</v>
      </c>
      <c r="E216" s="626">
        <v>21632</v>
      </c>
      <c r="F216" s="626">
        <v>-16999</v>
      </c>
      <c r="G216" s="626">
        <v>14945</v>
      </c>
      <c r="H216" s="626"/>
      <c r="I216" s="627">
        <v>0</v>
      </c>
      <c r="J216" s="627">
        <v>30034</v>
      </c>
      <c r="K216" s="627">
        <v>0</v>
      </c>
      <c r="L216" s="626">
        <v>11364</v>
      </c>
      <c r="M216" s="626"/>
      <c r="N216" s="627">
        <v>3513</v>
      </c>
      <c r="O216" s="627">
        <v>34289</v>
      </c>
      <c r="P216" s="627">
        <v>0</v>
      </c>
      <c r="Q216" s="626">
        <v>0</v>
      </c>
      <c r="R216" s="626"/>
      <c r="S216" s="627">
        <v>6823</v>
      </c>
      <c r="T216" s="628">
        <v>3210</v>
      </c>
      <c r="U216" s="628">
        <v>10034</v>
      </c>
    </row>
    <row r="217" spans="1:21" x14ac:dyDescent="0.25">
      <c r="A217" s="623">
        <v>92321</v>
      </c>
      <c r="B217" s="624" t="s">
        <v>1356</v>
      </c>
      <c r="C217" s="625">
        <v>1.1936E-3</v>
      </c>
      <c r="D217" s="625">
        <v>1.1345000000000001E-3</v>
      </c>
      <c r="E217" s="626">
        <v>492818</v>
      </c>
      <c r="F217" s="626">
        <v>-626151</v>
      </c>
      <c r="G217" s="626">
        <v>535681</v>
      </c>
      <c r="H217" s="626"/>
      <c r="I217" s="627">
        <v>0</v>
      </c>
      <c r="J217" s="627">
        <v>1076527</v>
      </c>
      <c r="K217" s="627">
        <v>0</v>
      </c>
      <c r="L217" s="626">
        <v>86992</v>
      </c>
      <c r="M217" s="626"/>
      <c r="N217" s="627">
        <v>125916</v>
      </c>
      <c r="O217" s="627">
        <v>1229034</v>
      </c>
      <c r="P217" s="627">
        <v>0</v>
      </c>
      <c r="Q217" s="626">
        <v>0</v>
      </c>
      <c r="R217" s="626"/>
      <c r="S217" s="627">
        <v>244571</v>
      </c>
      <c r="T217" s="628">
        <v>25764</v>
      </c>
      <c r="U217" s="628">
        <v>270335</v>
      </c>
    </row>
    <row r="218" spans="1:21" x14ac:dyDescent="0.25">
      <c r="A218" s="623">
        <v>92327</v>
      </c>
      <c r="B218" s="624" t="s">
        <v>1357</v>
      </c>
      <c r="C218" s="625">
        <v>7.7999999999999999E-6</v>
      </c>
      <c r="D218" s="625">
        <v>8.4999999999999999E-6</v>
      </c>
      <c r="E218" s="626">
        <v>5322</v>
      </c>
      <c r="F218" s="626">
        <v>-4691</v>
      </c>
      <c r="G218" s="626">
        <v>3501</v>
      </c>
      <c r="H218" s="626"/>
      <c r="I218" s="627">
        <v>0</v>
      </c>
      <c r="J218" s="627">
        <v>7035</v>
      </c>
      <c r="K218" s="627">
        <v>0</v>
      </c>
      <c r="L218" s="626">
        <v>1741</v>
      </c>
      <c r="M218" s="626"/>
      <c r="N218" s="627">
        <v>823</v>
      </c>
      <c r="O218" s="627">
        <v>8032</v>
      </c>
      <c r="P218" s="627">
        <v>0</v>
      </c>
      <c r="Q218" s="626">
        <v>0</v>
      </c>
      <c r="R218" s="626"/>
      <c r="S218" s="627">
        <v>1598</v>
      </c>
      <c r="T218" s="628">
        <v>495</v>
      </c>
      <c r="U218" s="628">
        <v>2093</v>
      </c>
    </row>
    <row r="219" spans="1:21" x14ac:dyDescent="0.25">
      <c r="A219" s="623">
        <v>92331</v>
      </c>
      <c r="B219" s="624" t="s">
        <v>1358</v>
      </c>
      <c r="C219" s="625">
        <v>1.4789999999999999E-4</v>
      </c>
      <c r="D219" s="625">
        <v>1.4349999999999999E-4</v>
      </c>
      <c r="E219" s="626">
        <v>58996</v>
      </c>
      <c r="F219" s="626">
        <v>-79200</v>
      </c>
      <c r="G219" s="626">
        <v>66377</v>
      </c>
      <c r="H219" s="626"/>
      <c r="I219" s="627">
        <v>0</v>
      </c>
      <c r="J219" s="627">
        <v>133393</v>
      </c>
      <c r="K219" s="627">
        <v>0</v>
      </c>
      <c r="L219" s="626">
        <v>5381</v>
      </c>
      <c r="M219" s="626"/>
      <c r="N219" s="627">
        <v>15602</v>
      </c>
      <c r="O219" s="627">
        <v>152291</v>
      </c>
      <c r="P219" s="627">
        <v>0</v>
      </c>
      <c r="Q219" s="626">
        <v>0</v>
      </c>
      <c r="R219" s="626"/>
      <c r="S219" s="627">
        <v>30305</v>
      </c>
      <c r="T219" s="628">
        <v>1655</v>
      </c>
      <c r="U219" s="628">
        <v>31960</v>
      </c>
    </row>
    <row r="220" spans="1:21" x14ac:dyDescent="0.25">
      <c r="A220" s="623">
        <v>92341</v>
      </c>
      <c r="B220" s="624" t="s">
        <v>1359</v>
      </c>
      <c r="C220" s="625">
        <v>6.3999999999999997E-6</v>
      </c>
      <c r="D220" s="625">
        <v>1.15E-5</v>
      </c>
      <c r="E220" s="626">
        <v>1893</v>
      </c>
      <c r="F220" s="626">
        <v>-6347</v>
      </c>
      <c r="G220" s="626">
        <v>2872</v>
      </c>
      <c r="H220" s="626"/>
      <c r="I220" s="627">
        <v>0</v>
      </c>
      <c r="J220" s="627">
        <v>5772</v>
      </c>
      <c r="K220" s="627">
        <v>0</v>
      </c>
      <c r="L220" s="626">
        <v>304.98</v>
      </c>
      <c r="M220" s="626"/>
      <c r="N220" s="627">
        <v>675</v>
      </c>
      <c r="O220" s="627">
        <v>6590</v>
      </c>
      <c r="P220" s="627">
        <v>0</v>
      </c>
      <c r="Q220" s="626">
        <v>4150</v>
      </c>
      <c r="R220" s="626"/>
      <c r="S220" s="627">
        <v>1311</v>
      </c>
      <c r="T220" s="628">
        <v>-984</v>
      </c>
      <c r="U220" s="628">
        <v>327</v>
      </c>
    </row>
    <row r="221" spans="1:21" x14ac:dyDescent="0.25">
      <c r="A221" s="623">
        <v>92351</v>
      </c>
      <c r="B221" s="624" t="s">
        <v>1360</v>
      </c>
      <c r="C221" s="625">
        <v>2.8399999999999999E-5</v>
      </c>
      <c r="D221" s="625">
        <v>3.0899999999999999E-5</v>
      </c>
      <c r="E221" s="626">
        <v>11469</v>
      </c>
      <c r="F221" s="626">
        <v>-17054</v>
      </c>
      <c r="G221" s="626">
        <v>12746</v>
      </c>
      <c r="H221" s="626"/>
      <c r="I221" s="627">
        <v>0</v>
      </c>
      <c r="J221" s="627">
        <v>25614</v>
      </c>
      <c r="K221" s="627">
        <v>0</v>
      </c>
      <c r="L221" s="626">
        <v>1737.19</v>
      </c>
      <c r="M221" s="626"/>
      <c r="N221" s="627">
        <v>2996</v>
      </c>
      <c r="O221" s="627">
        <v>29243</v>
      </c>
      <c r="P221" s="627">
        <v>0</v>
      </c>
      <c r="Q221" s="626">
        <v>1855</v>
      </c>
      <c r="R221" s="626"/>
      <c r="S221" s="627">
        <v>5819</v>
      </c>
      <c r="T221" s="628">
        <v>95</v>
      </c>
      <c r="U221" s="628">
        <v>5915</v>
      </c>
    </row>
    <row r="222" spans="1:21" x14ac:dyDescent="0.25">
      <c r="A222" s="623">
        <v>92401</v>
      </c>
      <c r="B222" s="624" t="s">
        <v>1361</v>
      </c>
      <c r="C222" s="625">
        <v>2.7921999999999999E-3</v>
      </c>
      <c r="D222" s="625">
        <v>2.8879999999999999E-3</v>
      </c>
      <c r="E222" s="626">
        <v>1215698</v>
      </c>
      <c r="F222" s="626">
        <v>-1593939</v>
      </c>
      <c r="G222" s="626">
        <v>1253123</v>
      </c>
      <c r="H222" s="626"/>
      <c r="I222" s="627">
        <v>0</v>
      </c>
      <c r="J222" s="627">
        <v>2518330</v>
      </c>
      <c r="K222" s="627">
        <v>0</v>
      </c>
      <c r="L222" s="626">
        <v>47972</v>
      </c>
      <c r="M222" s="626"/>
      <c r="N222" s="627">
        <v>294558</v>
      </c>
      <c r="O222" s="627">
        <v>2875092</v>
      </c>
      <c r="P222" s="627">
        <v>0</v>
      </c>
      <c r="Q222" s="626">
        <v>7237</v>
      </c>
      <c r="R222" s="626"/>
      <c r="S222" s="627">
        <v>572127</v>
      </c>
      <c r="T222" s="628">
        <v>14149</v>
      </c>
      <c r="U222" s="628">
        <v>586277</v>
      </c>
    </row>
    <row r="223" spans="1:21" x14ac:dyDescent="0.25">
      <c r="A223" s="623">
        <v>92403</v>
      </c>
      <c r="B223" s="624" t="s">
        <v>1362</v>
      </c>
      <c r="C223" s="625">
        <v>1.59E-5</v>
      </c>
      <c r="D223" s="625">
        <v>1.6399999999999999E-5</v>
      </c>
      <c r="E223" s="626">
        <v>7732</v>
      </c>
      <c r="F223" s="626">
        <v>-9051</v>
      </c>
      <c r="G223" s="626">
        <v>7136</v>
      </c>
      <c r="H223" s="626"/>
      <c r="I223" s="627">
        <v>0</v>
      </c>
      <c r="J223" s="627">
        <v>14340</v>
      </c>
      <c r="K223" s="627">
        <v>0</v>
      </c>
      <c r="L223" s="626">
        <v>779</v>
      </c>
      <c r="M223" s="626"/>
      <c r="N223" s="627">
        <v>1677</v>
      </c>
      <c r="O223" s="627">
        <v>16372</v>
      </c>
      <c r="P223" s="627">
        <v>0</v>
      </c>
      <c r="Q223" s="626">
        <v>0</v>
      </c>
      <c r="R223" s="626"/>
      <c r="S223" s="627">
        <v>3258</v>
      </c>
      <c r="T223" s="628">
        <v>214</v>
      </c>
      <c r="U223" s="628">
        <v>3472</v>
      </c>
    </row>
    <row r="224" spans="1:21" x14ac:dyDescent="0.25">
      <c r="A224" s="623">
        <v>92411</v>
      </c>
      <c r="B224" s="624" t="s">
        <v>1363</v>
      </c>
      <c r="C224" s="625">
        <v>5.2820000000000005E-4</v>
      </c>
      <c r="D224" s="625">
        <v>4.8030000000000002E-4</v>
      </c>
      <c r="E224" s="626">
        <v>174220</v>
      </c>
      <c r="F224" s="626">
        <v>-265086</v>
      </c>
      <c r="G224" s="626">
        <v>237053</v>
      </c>
      <c r="H224" s="626"/>
      <c r="I224" s="627">
        <v>0</v>
      </c>
      <c r="J224" s="627">
        <v>476392</v>
      </c>
      <c r="K224" s="627">
        <v>0</v>
      </c>
      <c r="L224" s="626">
        <v>775</v>
      </c>
      <c r="M224" s="626"/>
      <c r="N224" s="627">
        <v>55721</v>
      </c>
      <c r="O224" s="627">
        <v>543881</v>
      </c>
      <c r="P224" s="627">
        <v>0</v>
      </c>
      <c r="Q224" s="626">
        <v>14908</v>
      </c>
      <c r="R224" s="626"/>
      <c r="S224" s="627">
        <v>108229</v>
      </c>
      <c r="T224" s="628">
        <v>-4783</v>
      </c>
      <c r="U224" s="628">
        <v>103446</v>
      </c>
    </row>
    <row r="225" spans="1:21" x14ac:dyDescent="0.25">
      <c r="A225" s="623">
        <v>92414</v>
      </c>
      <c r="B225" s="624" t="s">
        <v>1364</v>
      </c>
      <c r="C225" s="625">
        <v>9.7999999999999993E-6</v>
      </c>
      <c r="D225" s="625">
        <v>1.0000000000000001E-5</v>
      </c>
      <c r="E225" s="626"/>
      <c r="F225" s="626">
        <v>-5519.18</v>
      </c>
      <c r="G225" s="626">
        <v>4398</v>
      </c>
      <c r="H225" s="626"/>
      <c r="I225" s="627">
        <v>0</v>
      </c>
      <c r="J225" s="627">
        <v>8839</v>
      </c>
      <c r="K225" s="627">
        <v>0</v>
      </c>
      <c r="L225" s="626">
        <v>0</v>
      </c>
      <c r="M225" s="626"/>
      <c r="N225" s="627">
        <v>1034</v>
      </c>
      <c r="O225" s="627">
        <v>10091</v>
      </c>
      <c r="P225" s="627">
        <v>0</v>
      </c>
      <c r="Q225" s="626">
        <v>3918</v>
      </c>
      <c r="R225" s="626"/>
      <c r="S225" s="627">
        <v>2008</v>
      </c>
      <c r="T225" s="628">
        <v>-1070</v>
      </c>
      <c r="U225" s="628">
        <v>938</v>
      </c>
    </row>
    <row r="226" spans="1:21" x14ac:dyDescent="0.25">
      <c r="A226" s="623">
        <v>92417</v>
      </c>
      <c r="B226" s="624" t="s">
        <v>1365</v>
      </c>
      <c r="C226" s="625">
        <v>1.6699999999999999E-5</v>
      </c>
      <c r="D226" s="625">
        <v>1.6099999999999998E-5</v>
      </c>
      <c r="E226" s="626">
        <v>5111</v>
      </c>
      <c r="F226" s="626">
        <v>-8886</v>
      </c>
      <c r="G226" s="626">
        <v>7495</v>
      </c>
      <c r="H226" s="626"/>
      <c r="I226" s="627">
        <v>0</v>
      </c>
      <c r="J226" s="627">
        <v>15062</v>
      </c>
      <c r="K226" s="627">
        <v>0</v>
      </c>
      <c r="L226" s="626">
        <v>0</v>
      </c>
      <c r="M226" s="626"/>
      <c r="N226" s="627">
        <v>1762</v>
      </c>
      <c r="O226" s="627">
        <v>17196</v>
      </c>
      <c r="P226" s="627">
        <v>0</v>
      </c>
      <c r="Q226" s="626">
        <v>962</v>
      </c>
      <c r="R226" s="626"/>
      <c r="S226" s="627">
        <v>3422</v>
      </c>
      <c r="T226" s="628">
        <v>-254</v>
      </c>
      <c r="U226" s="628">
        <v>3168</v>
      </c>
    </row>
    <row r="227" spans="1:21" x14ac:dyDescent="0.25">
      <c r="A227" s="623">
        <v>92421</v>
      </c>
      <c r="B227" s="624" t="s">
        <v>1366</v>
      </c>
      <c r="C227" s="625">
        <v>1.98E-5</v>
      </c>
      <c r="D227" s="625">
        <v>1.98E-5</v>
      </c>
      <c r="E227" s="626">
        <v>9199</v>
      </c>
      <c r="F227" s="626">
        <v>-10928</v>
      </c>
      <c r="G227" s="626">
        <v>8886</v>
      </c>
      <c r="H227" s="626"/>
      <c r="I227" s="627">
        <v>0</v>
      </c>
      <c r="J227" s="627">
        <v>17858</v>
      </c>
      <c r="K227" s="627">
        <v>0</v>
      </c>
      <c r="L227" s="626">
        <v>2172</v>
      </c>
      <c r="M227" s="626"/>
      <c r="N227" s="627">
        <v>2089</v>
      </c>
      <c r="O227" s="627">
        <v>20388</v>
      </c>
      <c r="P227" s="627">
        <v>0</v>
      </c>
      <c r="Q227" s="626">
        <v>0</v>
      </c>
      <c r="R227" s="626"/>
      <c r="S227" s="627">
        <v>4057</v>
      </c>
      <c r="T227" s="628">
        <v>662</v>
      </c>
      <c r="U227" s="628">
        <v>4719</v>
      </c>
    </row>
    <row r="228" spans="1:21" x14ac:dyDescent="0.25">
      <c r="A228" s="623">
        <v>92427</v>
      </c>
      <c r="B228" s="624" t="s">
        <v>1367</v>
      </c>
      <c r="C228" s="625">
        <v>8.9999999999999996E-7</v>
      </c>
      <c r="D228" s="625">
        <v>1.1000000000000001E-6</v>
      </c>
      <c r="E228" s="626">
        <v>1483</v>
      </c>
      <c r="F228" s="626">
        <v>-607</v>
      </c>
      <c r="G228" s="626">
        <v>404</v>
      </c>
      <c r="H228" s="626"/>
      <c r="I228" s="627">
        <v>0</v>
      </c>
      <c r="J228" s="627">
        <v>812</v>
      </c>
      <c r="K228" s="627">
        <v>0</v>
      </c>
      <c r="L228" s="626">
        <v>1446</v>
      </c>
      <c r="M228" s="626"/>
      <c r="N228" s="627">
        <v>95</v>
      </c>
      <c r="O228" s="627">
        <v>927</v>
      </c>
      <c r="P228" s="627">
        <v>0</v>
      </c>
      <c r="Q228" s="626">
        <v>0</v>
      </c>
      <c r="R228" s="626"/>
      <c r="S228" s="627">
        <v>184</v>
      </c>
      <c r="T228" s="628">
        <v>430</v>
      </c>
      <c r="U228" s="628">
        <v>614</v>
      </c>
    </row>
    <row r="229" spans="1:21" x14ac:dyDescent="0.25">
      <c r="A229" s="623">
        <v>92431</v>
      </c>
      <c r="B229" s="624" t="s">
        <v>1368</v>
      </c>
      <c r="C229" s="625">
        <v>4.0800000000000002E-5</v>
      </c>
      <c r="D229" s="625">
        <v>3.1699999999999998E-5</v>
      </c>
      <c r="E229" s="626">
        <v>19015</v>
      </c>
      <c r="F229" s="626">
        <v>-17496</v>
      </c>
      <c r="G229" s="626">
        <v>18311</v>
      </c>
      <c r="H229" s="626"/>
      <c r="I229" s="627">
        <v>0</v>
      </c>
      <c r="J229" s="627">
        <v>36798</v>
      </c>
      <c r="K229" s="627">
        <v>0</v>
      </c>
      <c r="L229" s="626">
        <v>8254</v>
      </c>
      <c r="M229" s="626"/>
      <c r="N229" s="627">
        <v>4304</v>
      </c>
      <c r="O229" s="627">
        <v>42011</v>
      </c>
      <c r="P229" s="627">
        <v>0</v>
      </c>
      <c r="Q229" s="626">
        <v>1929</v>
      </c>
      <c r="R229" s="626"/>
      <c r="S229" s="627">
        <v>8360</v>
      </c>
      <c r="T229" s="628">
        <v>1516</v>
      </c>
      <c r="U229" s="628">
        <v>9876</v>
      </c>
    </row>
    <row r="230" spans="1:21" x14ac:dyDescent="0.25">
      <c r="A230" s="623">
        <v>92441</v>
      </c>
      <c r="B230" s="624" t="s">
        <v>1369</v>
      </c>
      <c r="C230" s="625">
        <v>1.0170000000000001E-4</v>
      </c>
      <c r="D230" s="625">
        <v>1.044E-4</v>
      </c>
      <c r="E230" s="626">
        <v>42754</v>
      </c>
      <c r="F230" s="626">
        <v>-57620</v>
      </c>
      <c r="G230" s="626">
        <v>45642</v>
      </c>
      <c r="H230" s="626"/>
      <c r="I230" s="627">
        <v>0</v>
      </c>
      <c r="J230" s="627">
        <v>91725</v>
      </c>
      <c r="K230" s="627">
        <v>0</v>
      </c>
      <c r="L230" s="626">
        <v>0</v>
      </c>
      <c r="M230" s="626"/>
      <c r="N230" s="627">
        <v>10729</v>
      </c>
      <c r="O230" s="627">
        <v>104719</v>
      </c>
      <c r="P230" s="627">
        <v>0</v>
      </c>
      <c r="Q230" s="626">
        <v>11515</v>
      </c>
      <c r="R230" s="626"/>
      <c r="S230" s="627">
        <v>20839</v>
      </c>
      <c r="T230" s="628">
        <v>-3784</v>
      </c>
      <c r="U230" s="628">
        <v>17054</v>
      </c>
    </row>
    <row r="231" spans="1:21" x14ac:dyDescent="0.25">
      <c r="A231" s="623">
        <v>92444</v>
      </c>
      <c r="B231" s="624" t="s">
        <v>1370</v>
      </c>
      <c r="C231" s="625">
        <v>1.7999999999999999E-6</v>
      </c>
      <c r="D231" s="625">
        <v>1.7999999999999999E-6</v>
      </c>
      <c r="E231" s="626">
        <v>2056</v>
      </c>
      <c r="F231" s="626">
        <v>-993</v>
      </c>
      <c r="G231" s="626">
        <v>808</v>
      </c>
      <c r="H231" s="626"/>
      <c r="I231" s="627">
        <v>0</v>
      </c>
      <c r="J231" s="627">
        <v>1623</v>
      </c>
      <c r="K231" s="627">
        <v>0</v>
      </c>
      <c r="L231" s="626">
        <v>2345</v>
      </c>
      <c r="M231" s="626"/>
      <c r="N231" s="627">
        <v>190</v>
      </c>
      <c r="O231" s="627">
        <v>1853</v>
      </c>
      <c r="P231" s="627">
        <v>0</v>
      </c>
      <c r="Q231" s="626">
        <v>0</v>
      </c>
      <c r="R231" s="626"/>
      <c r="S231" s="627">
        <v>369</v>
      </c>
      <c r="T231" s="628">
        <v>708</v>
      </c>
      <c r="U231" s="628">
        <v>1077</v>
      </c>
    </row>
    <row r="232" spans="1:21" x14ac:dyDescent="0.25">
      <c r="A232" s="623">
        <v>92451</v>
      </c>
      <c r="B232" s="624" t="s">
        <v>1371</v>
      </c>
      <c r="C232" s="625">
        <v>1.132E-4</v>
      </c>
      <c r="D232" s="625">
        <v>1.172E-4</v>
      </c>
      <c r="E232" s="626">
        <v>63601</v>
      </c>
      <c r="F232" s="626">
        <v>-64685</v>
      </c>
      <c r="G232" s="626">
        <v>50803</v>
      </c>
      <c r="H232" s="626"/>
      <c r="I232" s="627">
        <v>0</v>
      </c>
      <c r="J232" s="627">
        <v>102097</v>
      </c>
      <c r="K232" s="627">
        <v>0</v>
      </c>
      <c r="L232" s="626">
        <v>17940</v>
      </c>
      <c r="M232" s="626"/>
      <c r="N232" s="627">
        <v>11942</v>
      </c>
      <c r="O232" s="627">
        <v>116561</v>
      </c>
      <c r="P232" s="627">
        <v>0</v>
      </c>
      <c r="Q232" s="626">
        <v>0</v>
      </c>
      <c r="R232" s="626"/>
      <c r="S232" s="627">
        <v>23195</v>
      </c>
      <c r="T232" s="628">
        <v>5203</v>
      </c>
      <c r="U232" s="628">
        <v>28398</v>
      </c>
    </row>
    <row r="233" spans="1:21" x14ac:dyDescent="0.25">
      <c r="A233" s="623">
        <v>92461</v>
      </c>
      <c r="B233" s="624" t="s">
        <v>1372</v>
      </c>
      <c r="C233" s="625">
        <v>6.3499999999999999E-5</v>
      </c>
      <c r="D233" s="625">
        <v>9.2299999999999994E-5</v>
      </c>
      <c r="E233" s="626">
        <v>38994</v>
      </c>
      <c r="F233" s="626">
        <v>-50942</v>
      </c>
      <c r="G233" s="626">
        <v>28498</v>
      </c>
      <c r="H233" s="626"/>
      <c r="I233" s="627">
        <v>0</v>
      </c>
      <c r="J233" s="627">
        <v>57272</v>
      </c>
      <c r="K233" s="627">
        <v>0</v>
      </c>
      <c r="L233" s="626">
        <v>0</v>
      </c>
      <c r="M233" s="626"/>
      <c r="N233" s="627">
        <v>6699</v>
      </c>
      <c r="O233" s="627">
        <v>65385</v>
      </c>
      <c r="P233" s="627">
        <v>0</v>
      </c>
      <c r="Q233" s="626">
        <v>10670</v>
      </c>
      <c r="R233" s="626"/>
      <c r="S233" s="627">
        <v>13011</v>
      </c>
      <c r="T233" s="628">
        <v>-2852</v>
      </c>
      <c r="U233" s="628">
        <v>10159</v>
      </c>
    </row>
    <row r="234" spans="1:21" x14ac:dyDescent="0.25">
      <c r="A234" s="623">
        <v>92501</v>
      </c>
      <c r="B234" s="624" t="s">
        <v>1373</v>
      </c>
      <c r="C234" s="625">
        <v>3.8955999999999999E-3</v>
      </c>
      <c r="D234" s="625">
        <v>4.0648000000000004E-3</v>
      </c>
      <c r="E234" s="626">
        <v>1716400</v>
      </c>
      <c r="F234" s="626">
        <v>-2243436</v>
      </c>
      <c r="G234" s="626">
        <v>1748322</v>
      </c>
      <c r="H234" s="626"/>
      <c r="I234" s="627">
        <v>0</v>
      </c>
      <c r="J234" s="627">
        <v>3513504</v>
      </c>
      <c r="K234" s="627">
        <v>0</v>
      </c>
      <c r="L234" s="626">
        <v>54529</v>
      </c>
      <c r="M234" s="626"/>
      <c r="N234" s="627">
        <v>410959</v>
      </c>
      <c r="O234" s="627">
        <v>4011249</v>
      </c>
      <c r="P234" s="627">
        <v>0</v>
      </c>
      <c r="Q234" s="626">
        <v>18957</v>
      </c>
      <c r="R234" s="626"/>
      <c r="S234" s="627">
        <v>798216</v>
      </c>
      <c r="T234" s="628">
        <v>13274</v>
      </c>
      <c r="U234" s="628">
        <v>811491</v>
      </c>
    </row>
    <row r="235" spans="1:21" x14ac:dyDescent="0.25">
      <c r="A235" s="623">
        <v>92502</v>
      </c>
      <c r="B235" s="624" t="s">
        <v>1374</v>
      </c>
      <c r="C235" s="625">
        <v>2.1399999999999998E-5</v>
      </c>
      <c r="D235" s="625">
        <v>3.0800000000000003E-5</v>
      </c>
      <c r="E235" s="626">
        <v>12345</v>
      </c>
      <c r="F235" s="626">
        <v>-16999</v>
      </c>
      <c r="G235" s="626">
        <v>9604</v>
      </c>
      <c r="H235" s="626"/>
      <c r="I235" s="627">
        <v>0</v>
      </c>
      <c r="J235" s="627">
        <v>19301</v>
      </c>
      <c r="K235" s="627">
        <v>0</v>
      </c>
      <c r="L235" s="626">
        <v>0</v>
      </c>
      <c r="M235" s="626"/>
      <c r="N235" s="627">
        <v>2258</v>
      </c>
      <c r="O235" s="627">
        <v>22035</v>
      </c>
      <c r="P235" s="627">
        <v>0</v>
      </c>
      <c r="Q235" s="626">
        <v>4865</v>
      </c>
      <c r="R235" s="626"/>
      <c r="S235" s="627">
        <v>4385</v>
      </c>
      <c r="T235" s="628">
        <v>-1355</v>
      </c>
      <c r="U235" s="628">
        <v>3030</v>
      </c>
    </row>
    <row r="236" spans="1:21" x14ac:dyDescent="0.25">
      <c r="A236" s="623">
        <v>92504</v>
      </c>
      <c r="B236" s="624" t="s">
        <v>1375</v>
      </c>
      <c r="C236" s="625">
        <v>7.3499999999999998E-5</v>
      </c>
      <c r="D236" s="625">
        <v>6.2100000000000005E-5</v>
      </c>
      <c r="E236" s="626">
        <v>40305</v>
      </c>
      <c r="F236" s="626">
        <v>-34274</v>
      </c>
      <c r="G236" s="626">
        <v>32986</v>
      </c>
      <c r="H236" s="626"/>
      <c r="I236" s="627">
        <v>0</v>
      </c>
      <c r="J236" s="627">
        <v>66291</v>
      </c>
      <c r="K236" s="627">
        <v>0</v>
      </c>
      <c r="L236" s="626">
        <v>16160</v>
      </c>
      <c r="M236" s="626"/>
      <c r="N236" s="627">
        <v>7754</v>
      </c>
      <c r="O236" s="627">
        <v>75682</v>
      </c>
      <c r="P236" s="627">
        <v>0</v>
      </c>
      <c r="Q236" s="626">
        <v>80.73</v>
      </c>
      <c r="R236" s="626"/>
      <c r="S236" s="627">
        <v>15060</v>
      </c>
      <c r="T236" s="628">
        <v>4203</v>
      </c>
      <c r="U236" s="628">
        <v>19264</v>
      </c>
    </row>
    <row r="237" spans="1:21" x14ac:dyDescent="0.25">
      <c r="A237" s="623">
        <v>92505</v>
      </c>
      <c r="B237" s="624" t="s">
        <v>1376</v>
      </c>
      <c r="C237" s="625">
        <v>1.9699999999999999E-4</v>
      </c>
      <c r="D237" s="625">
        <v>1.905E-4</v>
      </c>
      <c r="E237" s="626">
        <v>109136</v>
      </c>
      <c r="F237" s="626">
        <v>-105140</v>
      </c>
      <c r="G237" s="626">
        <v>88412</v>
      </c>
      <c r="H237" s="626"/>
      <c r="I237" s="627">
        <v>0</v>
      </c>
      <c r="J237" s="627">
        <v>177677</v>
      </c>
      <c r="K237" s="627">
        <v>0</v>
      </c>
      <c r="L237" s="626">
        <v>40404</v>
      </c>
      <c r="M237" s="626"/>
      <c r="N237" s="627">
        <v>20782</v>
      </c>
      <c r="O237" s="627">
        <v>202848</v>
      </c>
      <c r="P237" s="627">
        <v>0</v>
      </c>
      <c r="Q237" s="626">
        <v>0</v>
      </c>
      <c r="R237" s="626"/>
      <c r="S237" s="627">
        <v>40366</v>
      </c>
      <c r="T237" s="628">
        <v>11528</v>
      </c>
      <c r="U237" s="628">
        <v>51894</v>
      </c>
    </row>
    <row r="238" spans="1:21" x14ac:dyDescent="0.25">
      <c r="A238" s="623">
        <v>92506</v>
      </c>
      <c r="B238" s="624" t="s">
        <v>1377</v>
      </c>
      <c r="C238" s="625">
        <v>3.8999999999999999E-5</v>
      </c>
      <c r="D238" s="625">
        <v>3.3000000000000003E-5</v>
      </c>
      <c r="E238" s="626">
        <v>24400</v>
      </c>
      <c r="F238" s="626">
        <v>-18213</v>
      </c>
      <c r="G238" s="626">
        <v>17503</v>
      </c>
      <c r="H238" s="626"/>
      <c r="I238" s="627">
        <v>0</v>
      </c>
      <c r="J238" s="627">
        <v>35175</v>
      </c>
      <c r="K238" s="627">
        <v>0</v>
      </c>
      <c r="L238" s="626">
        <v>14293</v>
      </c>
      <c r="M238" s="626"/>
      <c r="N238" s="627">
        <v>4114</v>
      </c>
      <c r="O238" s="627">
        <v>40158</v>
      </c>
      <c r="P238" s="627">
        <v>0</v>
      </c>
      <c r="Q238" s="626">
        <v>0</v>
      </c>
      <c r="R238" s="626"/>
      <c r="S238" s="627">
        <v>7991</v>
      </c>
      <c r="T238" s="628">
        <v>3986</v>
      </c>
      <c r="U238" s="628">
        <v>11977</v>
      </c>
    </row>
    <row r="239" spans="1:21" x14ac:dyDescent="0.25">
      <c r="A239" s="623">
        <v>92507</v>
      </c>
      <c r="B239" s="624" t="s">
        <v>1378</v>
      </c>
      <c r="C239" s="625">
        <v>1.032E-4</v>
      </c>
      <c r="D239" s="625">
        <v>9.5600000000000006E-5</v>
      </c>
      <c r="E239" s="626">
        <v>36000</v>
      </c>
      <c r="F239" s="626">
        <v>-52763</v>
      </c>
      <c r="G239" s="626">
        <v>46316</v>
      </c>
      <c r="H239" s="626"/>
      <c r="I239" s="627">
        <v>0</v>
      </c>
      <c r="J239" s="627">
        <v>93078</v>
      </c>
      <c r="K239" s="627">
        <v>0</v>
      </c>
      <c r="L239" s="626">
        <v>471</v>
      </c>
      <c r="M239" s="626"/>
      <c r="N239" s="627">
        <v>10887</v>
      </c>
      <c r="O239" s="627">
        <v>106264</v>
      </c>
      <c r="P239" s="627">
        <v>0</v>
      </c>
      <c r="Q239" s="626">
        <v>14507</v>
      </c>
      <c r="R239" s="626"/>
      <c r="S239" s="627">
        <v>21146</v>
      </c>
      <c r="T239" s="628">
        <v>-4729</v>
      </c>
      <c r="U239" s="628">
        <v>16417</v>
      </c>
    </row>
    <row r="240" spans="1:21" x14ac:dyDescent="0.25">
      <c r="A240" s="623">
        <v>92508</v>
      </c>
      <c r="B240" s="624" t="s">
        <v>1379</v>
      </c>
      <c r="C240" s="625">
        <v>3.2959999999999999E-4</v>
      </c>
      <c r="D240" s="625">
        <v>3.2489999999999998E-4</v>
      </c>
      <c r="E240" s="626">
        <v>135459</v>
      </c>
      <c r="F240" s="626">
        <v>-179318</v>
      </c>
      <c r="G240" s="626">
        <v>147923</v>
      </c>
      <c r="H240" s="626"/>
      <c r="I240" s="627">
        <v>0</v>
      </c>
      <c r="J240" s="627">
        <v>297272</v>
      </c>
      <c r="K240" s="627">
        <v>0</v>
      </c>
      <c r="L240" s="626">
        <v>11397</v>
      </c>
      <c r="M240" s="626"/>
      <c r="N240" s="627">
        <v>34770</v>
      </c>
      <c r="O240" s="627">
        <v>339385</v>
      </c>
      <c r="P240" s="627">
        <v>0</v>
      </c>
      <c r="Q240" s="626">
        <v>0</v>
      </c>
      <c r="R240" s="626"/>
      <c r="S240" s="627">
        <v>67536</v>
      </c>
      <c r="T240" s="628">
        <v>3521</v>
      </c>
      <c r="U240" s="628">
        <v>71057</v>
      </c>
    </row>
    <row r="241" spans="1:21" x14ac:dyDescent="0.25">
      <c r="A241" s="623">
        <v>92509</v>
      </c>
      <c r="B241" s="624" t="s">
        <v>1380</v>
      </c>
      <c r="C241" s="625">
        <v>2.1614E-3</v>
      </c>
      <c r="D241" s="625">
        <v>2.0609000000000001E-3</v>
      </c>
      <c r="E241" s="626">
        <v>841609</v>
      </c>
      <c r="F241" s="626">
        <v>-1137448</v>
      </c>
      <c r="G241" s="626">
        <v>970023</v>
      </c>
      <c r="H241" s="626"/>
      <c r="I241" s="627">
        <v>0</v>
      </c>
      <c r="J241" s="627">
        <v>1949401</v>
      </c>
      <c r="K241" s="627">
        <v>0</v>
      </c>
      <c r="L241" s="626">
        <v>246204</v>
      </c>
      <c r="M241" s="626"/>
      <c r="N241" s="627">
        <v>228013</v>
      </c>
      <c r="O241" s="627">
        <v>2225565</v>
      </c>
      <c r="P241" s="627">
        <v>0</v>
      </c>
      <c r="Q241" s="626">
        <v>0</v>
      </c>
      <c r="R241" s="626"/>
      <c r="S241" s="627">
        <v>442875</v>
      </c>
      <c r="T241" s="628">
        <v>79570</v>
      </c>
      <c r="U241" s="628">
        <v>522446</v>
      </c>
    </row>
    <row r="242" spans="1:21" x14ac:dyDescent="0.25">
      <c r="A242" s="623">
        <v>92511</v>
      </c>
      <c r="B242" s="624" t="s">
        <v>1381</v>
      </c>
      <c r="C242" s="625">
        <v>3.6713000000000002E-3</v>
      </c>
      <c r="D242" s="625">
        <v>3.7472E-3</v>
      </c>
      <c r="E242" s="626">
        <v>1455961</v>
      </c>
      <c r="F242" s="626">
        <v>-2068147</v>
      </c>
      <c r="G242" s="626">
        <v>1647657</v>
      </c>
      <c r="H242" s="626"/>
      <c r="I242" s="627">
        <v>0</v>
      </c>
      <c r="J242" s="627">
        <v>3311204</v>
      </c>
      <c r="K242" s="627">
        <v>0</v>
      </c>
      <c r="L242" s="626">
        <v>36684</v>
      </c>
      <c r="M242" s="626"/>
      <c r="N242" s="627">
        <v>387296</v>
      </c>
      <c r="O242" s="627">
        <v>3780290</v>
      </c>
      <c r="P242" s="627">
        <v>0</v>
      </c>
      <c r="Q242" s="626">
        <v>87312</v>
      </c>
      <c r="R242" s="626"/>
      <c r="S242" s="627">
        <v>752257</v>
      </c>
      <c r="T242" s="628">
        <v>-10588</v>
      </c>
      <c r="U242" s="628">
        <v>741669</v>
      </c>
    </row>
    <row r="243" spans="1:21" x14ac:dyDescent="0.25">
      <c r="A243" s="623">
        <v>92521</v>
      </c>
      <c r="B243" s="624" t="s">
        <v>1382</v>
      </c>
      <c r="C243" s="625">
        <v>9.59E-5</v>
      </c>
      <c r="D243" s="625">
        <v>8.1100000000000006E-5</v>
      </c>
      <c r="E243" s="626">
        <v>34439</v>
      </c>
      <c r="F243" s="626">
        <v>-44761</v>
      </c>
      <c r="G243" s="626">
        <v>43039</v>
      </c>
      <c r="H243" s="626"/>
      <c r="I243" s="627">
        <v>0</v>
      </c>
      <c r="J243" s="627">
        <v>86494</v>
      </c>
      <c r="K243" s="627">
        <v>0</v>
      </c>
      <c r="L243" s="626">
        <v>6649</v>
      </c>
      <c r="M243" s="626"/>
      <c r="N243" s="627">
        <v>10117</v>
      </c>
      <c r="O243" s="627">
        <v>98747</v>
      </c>
      <c r="P243" s="627">
        <v>0</v>
      </c>
      <c r="Q243" s="626">
        <v>4476</v>
      </c>
      <c r="R243" s="626"/>
      <c r="S243" s="627">
        <v>19650</v>
      </c>
      <c r="T243" s="628">
        <v>244</v>
      </c>
      <c r="U243" s="628">
        <v>19894</v>
      </c>
    </row>
    <row r="244" spans="1:21" x14ac:dyDescent="0.25">
      <c r="A244" s="623">
        <v>92531</v>
      </c>
      <c r="B244" s="624" t="s">
        <v>1383</v>
      </c>
      <c r="C244" s="625">
        <v>9.3610000000000004E-4</v>
      </c>
      <c r="D244" s="625">
        <v>9.7940000000000006E-4</v>
      </c>
      <c r="E244" s="626">
        <v>335125</v>
      </c>
      <c r="F244" s="626">
        <v>-540548</v>
      </c>
      <c r="G244" s="626">
        <v>420116</v>
      </c>
      <c r="H244" s="626"/>
      <c r="I244" s="627">
        <v>0</v>
      </c>
      <c r="J244" s="627">
        <v>844284</v>
      </c>
      <c r="K244" s="627">
        <v>0</v>
      </c>
      <c r="L244" s="626">
        <v>0</v>
      </c>
      <c r="M244" s="626"/>
      <c r="N244" s="627">
        <v>98752</v>
      </c>
      <c r="O244" s="627">
        <v>963890</v>
      </c>
      <c r="P244" s="627">
        <v>0</v>
      </c>
      <c r="Q244" s="626">
        <v>126441</v>
      </c>
      <c r="R244" s="626"/>
      <c r="S244" s="627">
        <v>191809</v>
      </c>
      <c r="T244" s="628">
        <v>-37369</v>
      </c>
      <c r="U244" s="628">
        <v>154440</v>
      </c>
    </row>
    <row r="245" spans="1:21" x14ac:dyDescent="0.25">
      <c r="A245" s="623">
        <v>92541</v>
      </c>
      <c r="B245" s="624" t="s">
        <v>1384</v>
      </c>
      <c r="C245" s="625">
        <v>1.2679999999999999E-4</v>
      </c>
      <c r="D245" s="625">
        <v>1.4090000000000001E-4</v>
      </c>
      <c r="E245" s="626">
        <v>57722</v>
      </c>
      <c r="F245" s="626">
        <v>-77765</v>
      </c>
      <c r="G245" s="626">
        <v>56907</v>
      </c>
      <c r="H245" s="626"/>
      <c r="I245" s="627">
        <v>0</v>
      </c>
      <c r="J245" s="627">
        <v>114363</v>
      </c>
      <c r="K245" s="627">
        <v>0</v>
      </c>
      <c r="L245" s="626">
        <v>9295.91</v>
      </c>
      <c r="M245" s="626"/>
      <c r="N245" s="627">
        <v>13377</v>
      </c>
      <c r="O245" s="627">
        <v>130564</v>
      </c>
      <c r="P245" s="627">
        <v>0</v>
      </c>
      <c r="Q245" s="626">
        <v>5178</v>
      </c>
      <c r="R245" s="626"/>
      <c r="S245" s="627">
        <v>25982</v>
      </c>
      <c r="T245" s="628">
        <v>1754</v>
      </c>
      <c r="U245" s="628">
        <v>27735</v>
      </c>
    </row>
    <row r="246" spans="1:21" x14ac:dyDescent="0.25">
      <c r="A246" s="623">
        <v>92551</v>
      </c>
      <c r="B246" s="624" t="s">
        <v>1385</v>
      </c>
      <c r="C246" s="625">
        <v>5.4799999999999997E-5</v>
      </c>
      <c r="D246" s="625">
        <v>5.7500000000000002E-5</v>
      </c>
      <c r="E246" s="626">
        <v>17044</v>
      </c>
      <c r="F246" s="626">
        <v>-31735</v>
      </c>
      <c r="G246" s="626">
        <v>24594</v>
      </c>
      <c r="H246" s="626"/>
      <c r="I246" s="627">
        <v>0</v>
      </c>
      <c r="J246" s="627">
        <v>49425</v>
      </c>
      <c r="K246" s="627">
        <v>0</v>
      </c>
      <c r="L246" s="626">
        <v>10267.66</v>
      </c>
      <c r="M246" s="626"/>
      <c r="N246" s="627">
        <v>5781</v>
      </c>
      <c r="O246" s="627">
        <v>56427</v>
      </c>
      <c r="P246" s="627">
        <v>0</v>
      </c>
      <c r="Q246" s="626">
        <v>6119</v>
      </c>
      <c r="R246" s="626"/>
      <c r="S246" s="627">
        <v>11229</v>
      </c>
      <c r="T246" s="628">
        <v>1832</v>
      </c>
      <c r="U246" s="628">
        <v>13061</v>
      </c>
    </row>
    <row r="247" spans="1:21" x14ac:dyDescent="0.25">
      <c r="A247" s="623">
        <v>92561</v>
      </c>
      <c r="B247" s="624" t="s">
        <v>1386</v>
      </c>
      <c r="C247" s="625">
        <v>2.1800000000000001E-5</v>
      </c>
      <c r="D247" s="625">
        <v>2.1800000000000001E-5</v>
      </c>
      <c r="E247" s="626">
        <v>12253</v>
      </c>
      <c r="F247" s="626">
        <v>-12032</v>
      </c>
      <c r="G247" s="626">
        <v>9784</v>
      </c>
      <c r="H247" s="626"/>
      <c r="I247" s="627">
        <v>0</v>
      </c>
      <c r="J247" s="627">
        <v>19662</v>
      </c>
      <c r="K247" s="627">
        <v>0</v>
      </c>
      <c r="L247" s="626">
        <v>5324</v>
      </c>
      <c r="M247" s="626"/>
      <c r="N247" s="627">
        <v>2300</v>
      </c>
      <c r="O247" s="627">
        <v>22447</v>
      </c>
      <c r="P247" s="627">
        <v>0</v>
      </c>
      <c r="Q247" s="626">
        <v>0</v>
      </c>
      <c r="R247" s="626"/>
      <c r="S247" s="627">
        <v>4467</v>
      </c>
      <c r="T247" s="628">
        <v>1588</v>
      </c>
      <c r="U247" s="628">
        <v>6054</v>
      </c>
    </row>
    <row r="248" spans="1:21" x14ac:dyDescent="0.25">
      <c r="A248" s="623">
        <v>92571</v>
      </c>
      <c r="B248" s="624" t="s">
        <v>1387</v>
      </c>
      <c r="C248" s="625">
        <v>3.8E-6</v>
      </c>
      <c r="D248" s="625">
        <v>4.1999999999999996E-6</v>
      </c>
      <c r="E248" s="626">
        <v>3601</v>
      </c>
      <c r="F248" s="626">
        <v>-2318</v>
      </c>
      <c r="G248" s="626">
        <v>1705</v>
      </c>
      <c r="H248" s="626"/>
      <c r="I248" s="627">
        <v>0</v>
      </c>
      <c r="J248" s="627">
        <v>3427</v>
      </c>
      <c r="K248" s="627">
        <v>0</v>
      </c>
      <c r="L248" s="626">
        <v>1343</v>
      </c>
      <c r="M248" s="626"/>
      <c r="N248" s="627">
        <v>401</v>
      </c>
      <c r="O248" s="627">
        <v>3913</v>
      </c>
      <c r="P248" s="627">
        <v>0</v>
      </c>
      <c r="Q248" s="626">
        <v>301.99</v>
      </c>
      <c r="R248" s="626"/>
      <c r="S248" s="627">
        <v>779</v>
      </c>
      <c r="T248" s="628">
        <v>251</v>
      </c>
      <c r="U248" s="628">
        <v>1029</v>
      </c>
    </row>
    <row r="249" spans="1:21" x14ac:dyDescent="0.25">
      <c r="A249" s="623">
        <v>92601</v>
      </c>
      <c r="B249" s="624" t="s">
        <v>1388</v>
      </c>
      <c r="C249" s="625">
        <v>1.5052899999999999E-2</v>
      </c>
      <c r="D249" s="625">
        <v>1.51986E-2</v>
      </c>
      <c r="E249" s="626">
        <v>6293451</v>
      </c>
      <c r="F249" s="626">
        <v>-8388381</v>
      </c>
      <c r="G249" s="626">
        <v>6755651</v>
      </c>
      <c r="H249" s="626"/>
      <c r="I249" s="627">
        <v>0</v>
      </c>
      <c r="J249" s="627">
        <v>13576451</v>
      </c>
      <c r="K249" s="627">
        <v>0</v>
      </c>
      <c r="L249" s="626">
        <v>357942</v>
      </c>
      <c r="M249" s="626"/>
      <c r="N249" s="627">
        <v>1587976</v>
      </c>
      <c r="O249" s="627">
        <v>15499775</v>
      </c>
      <c r="P249" s="627">
        <v>0</v>
      </c>
      <c r="Q249" s="626">
        <v>0</v>
      </c>
      <c r="R249" s="626"/>
      <c r="S249" s="627">
        <v>3084369</v>
      </c>
      <c r="T249" s="628">
        <v>118641</v>
      </c>
      <c r="U249" s="628">
        <v>3203010</v>
      </c>
    </row>
    <row r="250" spans="1:21" x14ac:dyDescent="0.25">
      <c r="A250" s="623">
        <v>92602</v>
      </c>
      <c r="B250" s="624" t="s">
        <v>1389</v>
      </c>
      <c r="C250" s="625">
        <v>8.3999999999999992E-6</v>
      </c>
      <c r="D250" s="625">
        <v>1.0200000000000001E-5</v>
      </c>
      <c r="E250" s="626">
        <v>3157</v>
      </c>
      <c r="F250" s="626">
        <v>-5630</v>
      </c>
      <c r="G250" s="626">
        <v>3770</v>
      </c>
      <c r="H250" s="626"/>
      <c r="I250" s="627">
        <v>0</v>
      </c>
      <c r="J250" s="627">
        <v>7576</v>
      </c>
      <c r="K250" s="627">
        <v>0</v>
      </c>
      <c r="L250" s="626">
        <v>1064.44</v>
      </c>
      <c r="M250" s="626"/>
      <c r="N250" s="627">
        <v>886</v>
      </c>
      <c r="O250" s="627">
        <v>8649</v>
      </c>
      <c r="P250" s="627">
        <v>0</v>
      </c>
      <c r="Q250" s="626">
        <v>1479</v>
      </c>
      <c r="R250" s="626"/>
      <c r="S250" s="627">
        <v>1721</v>
      </c>
      <c r="T250" s="628">
        <v>-31</v>
      </c>
      <c r="U250" s="628">
        <v>1690</v>
      </c>
    </row>
    <row r="251" spans="1:21" x14ac:dyDescent="0.25">
      <c r="A251" s="623">
        <v>92604</v>
      </c>
      <c r="B251" s="624" t="s">
        <v>1390</v>
      </c>
      <c r="C251" s="625">
        <v>3.2019999999999998E-4</v>
      </c>
      <c r="D251" s="625">
        <v>3.3930000000000001E-4</v>
      </c>
      <c r="E251" s="626">
        <v>160300</v>
      </c>
      <c r="F251" s="626">
        <v>-187266</v>
      </c>
      <c r="G251" s="626">
        <v>143704</v>
      </c>
      <c r="H251" s="626"/>
      <c r="I251" s="627">
        <v>0</v>
      </c>
      <c r="J251" s="627">
        <v>288794</v>
      </c>
      <c r="K251" s="627">
        <v>0</v>
      </c>
      <c r="L251" s="626">
        <v>38157</v>
      </c>
      <c r="M251" s="626"/>
      <c r="N251" s="627">
        <v>33779</v>
      </c>
      <c r="O251" s="627">
        <v>329706</v>
      </c>
      <c r="P251" s="627">
        <v>0</v>
      </c>
      <c r="Q251" s="626">
        <v>0</v>
      </c>
      <c r="R251" s="626"/>
      <c r="S251" s="627">
        <v>65610</v>
      </c>
      <c r="T251" s="628">
        <v>12033</v>
      </c>
      <c r="U251" s="628">
        <v>77642</v>
      </c>
    </row>
    <row r="252" spans="1:21" x14ac:dyDescent="0.25">
      <c r="A252" s="623">
        <v>92607</v>
      </c>
      <c r="B252" s="624" t="s">
        <v>1391</v>
      </c>
      <c r="C252" s="625">
        <v>7.4099999999999999E-5</v>
      </c>
      <c r="D252" s="625">
        <v>7.5199999999999998E-5</v>
      </c>
      <c r="E252" s="626">
        <v>36064</v>
      </c>
      <c r="F252" s="626">
        <v>-41504</v>
      </c>
      <c r="G252" s="626">
        <v>33256</v>
      </c>
      <c r="H252" s="626"/>
      <c r="I252" s="627">
        <v>0</v>
      </c>
      <c r="J252" s="627">
        <v>66832</v>
      </c>
      <c r="K252" s="627">
        <v>0</v>
      </c>
      <c r="L252" s="626">
        <v>10644</v>
      </c>
      <c r="M252" s="626"/>
      <c r="N252" s="627">
        <v>7817</v>
      </c>
      <c r="O252" s="627">
        <v>76300</v>
      </c>
      <c r="P252" s="627">
        <v>0</v>
      </c>
      <c r="Q252" s="626">
        <v>0</v>
      </c>
      <c r="R252" s="626"/>
      <c r="S252" s="627">
        <v>15183</v>
      </c>
      <c r="T252" s="628">
        <v>3281</v>
      </c>
      <c r="U252" s="628">
        <v>18465</v>
      </c>
    </row>
    <row r="253" spans="1:21" x14ac:dyDescent="0.25">
      <c r="A253" s="623">
        <v>92608</v>
      </c>
      <c r="B253" s="624" t="s">
        <v>1392</v>
      </c>
      <c r="C253" s="625">
        <v>0</v>
      </c>
      <c r="D253" s="625">
        <v>5.0000000000000004E-6</v>
      </c>
      <c r="E253" s="626"/>
      <c r="F253" s="626">
        <v>-2759.59</v>
      </c>
      <c r="G253" s="626">
        <v>0</v>
      </c>
      <c r="H253" s="626"/>
      <c r="I253" s="627">
        <v>0</v>
      </c>
      <c r="J253" s="627">
        <v>0</v>
      </c>
      <c r="K253" s="627">
        <v>0</v>
      </c>
      <c r="L253" s="626">
        <v>0</v>
      </c>
      <c r="M253" s="626"/>
      <c r="N253" s="627">
        <v>0</v>
      </c>
      <c r="O253" s="627">
        <v>0</v>
      </c>
      <c r="P253" s="627">
        <v>0</v>
      </c>
      <c r="Q253" s="626">
        <v>209678</v>
      </c>
      <c r="R253" s="626"/>
      <c r="S253" s="627">
        <v>0</v>
      </c>
      <c r="T253" s="628">
        <v>-69872</v>
      </c>
      <c r="U253" s="628">
        <v>-69872</v>
      </c>
    </row>
    <row r="254" spans="1:21" x14ac:dyDescent="0.25">
      <c r="A254" s="623">
        <v>92611</v>
      </c>
      <c r="B254" s="624" t="s">
        <v>1393</v>
      </c>
      <c r="C254" s="625">
        <v>1.3731999999999999E-2</v>
      </c>
      <c r="D254" s="625">
        <v>1.3595100000000001E-2</v>
      </c>
      <c r="E254" s="626">
        <v>5099430</v>
      </c>
      <c r="F254" s="626">
        <v>-7503380</v>
      </c>
      <c r="G254" s="626">
        <v>6162839</v>
      </c>
      <c r="H254" s="626"/>
      <c r="I254" s="627">
        <v>0</v>
      </c>
      <c r="J254" s="627">
        <v>12385111</v>
      </c>
      <c r="K254" s="627">
        <v>0</v>
      </c>
      <c r="L254" s="626">
        <v>30531</v>
      </c>
      <c r="M254" s="626"/>
      <c r="N254" s="627">
        <v>1448630</v>
      </c>
      <c r="O254" s="627">
        <v>14139662</v>
      </c>
      <c r="P254" s="627">
        <v>0</v>
      </c>
      <c r="Q254" s="626">
        <v>305824</v>
      </c>
      <c r="R254" s="626"/>
      <c r="S254" s="627">
        <v>2813714</v>
      </c>
      <c r="T254" s="628">
        <v>-69848</v>
      </c>
      <c r="U254" s="628">
        <v>2743867</v>
      </c>
    </row>
    <row r="255" spans="1:21" x14ac:dyDescent="0.25">
      <c r="A255" s="623">
        <v>92613</v>
      </c>
      <c r="B255" s="624" t="s">
        <v>1394</v>
      </c>
      <c r="C255" s="625">
        <v>2.9250000000000001E-4</v>
      </c>
      <c r="D255" s="625">
        <v>3.034E-4</v>
      </c>
      <c r="E255" s="626">
        <v>308537</v>
      </c>
      <c r="F255" s="626">
        <v>-167452</v>
      </c>
      <c r="G255" s="626">
        <v>131272</v>
      </c>
      <c r="H255" s="626"/>
      <c r="I255" s="627">
        <v>0</v>
      </c>
      <c r="J255" s="627">
        <v>263810.43</v>
      </c>
      <c r="K255" s="627">
        <v>0</v>
      </c>
      <c r="L255" s="626">
        <v>142230</v>
      </c>
      <c r="M255" s="626"/>
      <c r="N255" s="627">
        <v>30857</v>
      </c>
      <c r="O255" s="627">
        <v>301183</v>
      </c>
      <c r="P255" s="627">
        <v>0</v>
      </c>
      <c r="Q255" s="626">
        <v>2843</v>
      </c>
      <c r="R255" s="626"/>
      <c r="S255" s="627">
        <v>59934</v>
      </c>
      <c r="T255" s="628">
        <v>36282</v>
      </c>
      <c r="U255" s="628">
        <v>96216</v>
      </c>
    </row>
    <row r="256" spans="1:21" x14ac:dyDescent="0.25">
      <c r="A256" s="623">
        <v>92614</v>
      </c>
      <c r="B256" s="624" t="s">
        <v>1395</v>
      </c>
      <c r="C256" s="625">
        <v>5.6173999999999998E-3</v>
      </c>
      <c r="D256" s="625">
        <v>5.5978E-3</v>
      </c>
      <c r="E256" s="626">
        <v>4425878</v>
      </c>
      <c r="F256" s="626">
        <v>-3089527</v>
      </c>
      <c r="G256" s="626">
        <v>2521055</v>
      </c>
      <c r="H256" s="626"/>
      <c r="I256" s="627">
        <v>0</v>
      </c>
      <c r="J256" s="627">
        <v>5066423</v>
      </c>
      <c r="K256" s="627">
        <v>0</v>
      </c>
      <c r="L256" s="626">
        <v>2000530</v>
      </c>
      <c r="M256" s="626"/>
      <c r="N256" s="627">
        <v>592596</v>
      </c>
      <c r="O256" s="627">
        <v>5784164</v>
      </c>
      <c r="P256" s="627">
        <v>0</v>
      </c>
      <c r="Q256" s="626">
        <v>0</v>
      </c>
      <c r="R256" s="626"/>
      <c r="S256" s="627">
        <v>1151016</v>
      </c>
      <c r="T256" s="628">
        <v>545266</v>
      </c>
      <c r="U256" s="628">
        <v>1696282</v>
      </c>
    </row>
    <row r="257" spans="1:21" x14ac:dyDescent="0.25">
      <c r="A257" s="623">
        <v>92621</v>
      </c>
      <c r="B257" s="624" t="s">
        <v>1396</v>
      </c>
      <c r="C257" s="625">
        <v>3.3099999999999998E-5</v>
      </c>
      <c r="D257" s="625">
        <v>2.8900000000000001E-5</v>
      </c>
      <c r="E257" s="626">
        <v>12104</v>
      </c>
      <c r="F257" s="626">
        <v>-15950</v>
      </c>
      <c r="G257" s="626">
        <v>14855</v>
      </c>
      <c r="H257" s="626"/>
      <c r="I257" s="627">
        <v>0</v>
      </c>
      <c r="J257" s="627">
        <v>29853</v>
      </c>
      <c r="K257" s="627">
        <v>0</v>
      </c>
      <c r="L257" s="626">
        <v>1830</v>
      </c>
      <c r="M257" s="626"/>
      <c r="N257" s="627">
        <v>3492</v>
      </c>
      <c r="O257" s="627">
        <v>34083</v>
      </c>
      <c r="P257" s="627">
        <v>0</v>
      </c>
      <c r="Q257" s="626">
        <v>3019.9</v>
      </c>
      <c r="R257" s="626"/>
      <c r="S257" s="627">
        <v>6782</v>
      </c>
      <c r="T257" s="628">
        <v>-531</v>
      </c>
      <c r="U257" s="628">
        <v>6251</v>
      </c>
    </row>
    <row r="258" spans="1:21" x14ac:dyDescent="0.25">
      <c r="A258" s="623">
        <v>92631</v>
      </c>
      <c r="B258" s="624" t="s">
        <v>1397</v>
      </c>
      <c r="C258" s="625">
        <v>1.0248E-3</v>
      </c>
      <c r="D258" s="625">
        <v>9.9559999999999991E-4</v>
      </c>
      <c r="E258" s="626">
        <v>343233</v>
      </c>
      <c r="F258" s="626">
        <v>-549490</v>
      </c>
      <c r="G258" s="626">
        <v>459924</v>
      </c>
      <c r="H258" s="626"/>
      <c r="I258" s="627">
        <v>0</v>
      </c>
      <c r="J258" s="627">
        <v>924284</v>
      </c>
      <c r="K258" s="627">
        <v>0</v>
      </c>
      <c r="L258" s="626">
        <v>0</v>
      </c>
      <c r="M258" s="626"/>
      <c r="N258" s="627">
        <v>108109</v>
      </c>
      <c r="O258" s="627">
        <v>1055223</v>
      </c>
      <c r="P258" s="627">
        <v>0</v>
      </c>
      <c r="Q258" s="626">
        <v>49462</v>
      </c>
      <c r="R258" s="626"/>
      <c r="S258" s="627">
        <v>209984</v>
      </c>
      <c r="T258" s="628">
        <v>-13702</v>
      </c>
      <c r="U258" s="628">
        <v>196281</v>
      </c>
    </row>
    <row r="259" spans="1:21" x14ac:dyDescent="0.25">
      <c r="A259" s="623">
        <v>92641</v>
      </c>
      <c r="B259" s="624" t="s">
        <v>1398</v>
      </c>
      <c r="C259" s="625">
        <v>1.0699999999999999E-5</v>
      </c>
      <c r="D259" s="625">
        <v>6.8000000000000001E-6</v>
      </c>
      <c r="E259" s="626">
        <v>5022</v>
      </c>
      <c r="F259" s="626">
        <v>-3753</v>
      </c>
      <c r="G259" s="626">
        <v>4802</v>
      </c>
      <c r="H259" s="626"/>
      <c r="I259" s="627">
        <v>0</v>
      </c>
      <c r="J259" s="627">
        <v>9651</v>
      </c>
      <c r="K259" s="627">
        <v>0</v>
      </c>
      <c r="L259" s="626">
        <v>3254</v>
      </c>
      <c r="M259" s="626"/>
      <c r="N259" s="627">
        <v>1129</v>
      </c>
      <c r="O259" s="627">
        <v>11018</v>
      </c>
      <c r="P259" s="627">
        <v>0</v>
      </c>
      <c r="Q259" s="626">
        <v>2855</v>
      </c>
      <c r="R259" s="626"/>
      <c r="S259" s="627">
        <v>2192</v>
      </c>
      <c r="T259" s="628">
        <v>-103</v>
      </c>
      <c r="U259" s="628">
        <v>2089</v>
      </c>
    </row>
    <row r="260" spans="1:21" x14ac:dyDescent="0.25">
      <c r="A260" s="623">
        <v>92651</v>
      </c>
      <c r="B260" s="624" t="s">
        <v>1399</v>
      </c>
      <c r="C260" s="625">
        <v>2.3999999999999999E-6</v>
      </c>
      <c r="D260" s="625">
        <v>2.9000000000000002E-6</v>
      </c>
      <c r="E260" s="626">
        <v>2813</v>
      </c>
      <c r="F260" s="626">
        <v>-1601</v>
      </c>
      <c r="G260" s="626">
        <v>1077</v>
      </c>
      <c r="H260" s="626"/>
      <c r="I260" s="627">
        <v>0</v>
      </c>
      <c r="J260" s="627">
        <v>2165</v>
      </c>
      <c r="K260" s="627">
        <v>0</v>
      </c>
      <c r="L260" s="626">
        <v>1999</v>
      </c>
      <c r="M260" s="626"/>
      <c r="N260" s="627">
        <v>253</v>
      </c>
      <c r="O260" s="627">
        <v>2471</v>
      </c>
      <c r="P260" s="627">
        <v>0</v>
      </c>
      <c r="Q260" s="626">
        <v>0</v>
      </c>
      <c r="R260" s="626"/>
      <c r="S260" s="627">
        <v>492</v>
      </c>
      <c r="T260" s="628">
        <v>588</v>
      </c>
      <c r="U260" s="628">
        <v>1080</v>
      </c>
    </row>
    <row r="261" spans="1:21" x14ac:dyDescent="0.25">
      <c r="A261" s="623">
        <v>92661</v>
      </c>
      <c r="B261" s="624" t="s">
        <v>1400</v>
      </c>
      <c r="C261" s="625">
        <v>6.7860000000000001E-4</v>
      </c>
      <c r="D261" s="625">
        <v>6.8420000000000004E-4</v>
      </c>
      <c r="E261" s="626">
        <v>481870</v>
      </c>
      <c r="F261" s="626">
        <v>-377622</v>
      </c>
      <c r="G261" s="626">
        <v>304552</v>
      </c>
      <c r="H261" s="626"/>
      <c r="I261" s="627">
        <v>0</v>
      </c>
      <c r="J261" s="627">
        <v>612040</v>
      </c>
      <c r="K261" s="627">
        <v>0</v>
      </c>
      <c r="L261" s="626">
        <v>158388</v>
      </c>
      <c r="M261" s="626"/>
      <c r="N261" s="627">
        <v>71588</v>
      </c>
      <c r="O261" s="627">
        <v>698746</v>
      </c>
      <c r="P261" s="627">
        <v>0</v>
      </c>
      <c r="Q261" s="626">
        <v>50971</v>
      </c>
      <c r="R261" s="626"/>
      <c r="S261" s="627">
        <v>139046</v>
      </c>
      <c r="T261" s="628">
        <v>24416</v>
      </c>
      <c r="U261" s="628">
        <v>163462</v>
      </c>
    </row>
    <row r="262" spans="1:21" x14ac:dyDescent="0.25">
      <c r="A262" s="623">
        <v>92671</v>
      </c>
      <c r="B262" s="624" t="s">
        <v>1401</v>
      </c>
      <c r="C262" s="625">
        <v>3.4999999999999999E-6</v>
      </c>
      <c r="D262" s="625">
        <v>3.8999999999999999E-6</v>
      </c>
      <c r="E262" s="626">
        <v>4840</v>
      </c>
      <c r="F262" s="626">
        <v>-2152</v>
      </c>
      <c r="G262" s="626">
        <v>1571</v>
      </c>
      <c r="H262" s="626"/>
      <c r="I262" s="627">
        <v>0</v>
      </c>
      <c r="J262" s="627">
        <v>3157</v>
      </c>
      <c r="K262" s="627">
        <v>0</v>
      </c>
      <c r="L262" s="626">
        <v>2874</v>
      </c>
      <c r="M262" s="626"/>
      <c r="N262" s="627">
        <v>369</v>
      </c>
      <c r="O262" s="627">
        <v>3604</v>
      </c>
      <c r="P262" s="627">
        <v>0</v>
      </c>
      <c r="Q262" s="626">
        <v>0</v>
      </c>
      <c r="R262" s="626"/>
      <c r="S262" s="627">
        <v>717</v>
      </c>
      <c r="T262" s="628">
        <v>785</v>
      </c>
      <c r="U262" s="628">
        <v>1502</v>
      </c>
    </row>
    <row r="263" spans="1:21" x14ac:dyDescent="0.25">
      <c r="A263" s="623">
        <v>92681</v>
      </c>
      <c r="B263" s="624" t="s">
        <v>1402</v>
      </c>
      <c r="C263" s="625">
        <v>5.4E-6</v>
      </c>
      <c r="D263" s="625">
        <v>6.6000000000000003E-6</v>
      </c>
      <c r="E263" s="626">
        <v>8121</v>
      </c>
      <c r="F263" s="626">
        <v>-3643</v>
      </c>
      <c r="G263" s="626">
        <v>2423</v>
      </c>
      <c r="H263" s="626"/>
      <c r="I263" s="627">
        <v>0</v>
      </c>
      <c r="J263" s="627">
        <v>4870</v>
      </c>
      <c r="K263" s="627">
        <v>0</v>
      </c>
      <c r="L263" s="626">
        <v>5826</v>
      </c>
      <c r="M263" s="626"/>
      <c r="N263" s="627">
        <v>570</v>
      </c>
      <c r="O263" s="627">
        <v>5560</v>
      </c>
      <c r="P263" s="627">
        <v>0</v>
      </c>
      <c r="Q263" s="626">
        <v>0</v>
      </c>
      <c r="R263" s="626"/>
      <c r="S263" s="627">
        <v>1106</v>
      </c>
      <c r="T263" s="628">
        <v>1669</v>
      </c>
      <c r="U263" s="628">
        <v>2775</v>
      </c>
    </row>
    <row r="264" spans="1:21" x14ac:dyDescent="0.25">
      <c r="A264" s="623">
        <v>92701</v>
      </c>
      <c r="B264" s="624" t="s">
        <v>1403</v>
      </c>
      <c r="C264" s="625">
        <v>2.8249999999999998E-3</v>
      </c>
      <c r="D264" s="625">
        <v>2.8381999999999999E-3</v>
      </c>
      <c r="E264" s="626">
        <v>1138048</v>
      </c>
      <c r="F264" s="626">
        <v>-1566454</v>
      </c>
      <c r="G264" s="626">
        <v>1267843</v>
      </c>
      <c r="H264" s="626"/>
      <c r="I264" s="627">
        <v>0</v>
      </c>
      <c r="J264" s="627">
        <v>2547913</v>
      </c>
      <c r="K264" s="627">
        <v>0</v>
      </c>
      <c r="L264" s="626">
        <v>0</v>
      </c>
      <c r="M264" s="626"/>
      <c r="N264" s="627">
        <v>298018</v>
      </c>
      <c r="O264" s="627">
        <v>2908866</v>
      </c>
      <c r="P264" s="627">
        <v>0</v>
      </c>
      <c r="Q264" s="626">
        <v>120235</v>
      </c>
      <c r="R264" s="626"/>
      <c r="S264" s="627">
        <v>578848</v>
      </c>
      <c r="T264" s="628">
        <v>-38655</v>
      </c>
      <c r="U264" s="628">
        <v>540193</v>
      </c>
    </row>
    <row r="265" spans="1:21" x14ac:dyDescent="0.25">
      <c r="A265" s="623">
        <v>92704</v>
      </c>
      <c r="B265" s="624" t="s">
        <v>1404</v>
      </c>
      <c r="C265" s="625">
        <v>4.8000000000000001E-5</v>
      </c>
      <c r="D265" s="625">
        <v>4.0800000000000002E-5</v>
      </c>
      <c r="E265" s="626">
        <v>17355</v>
      </c>
      <c r="F265" s="626">
        <v>-22518</v>
      </c>
      <c r="G265" s="626">
        <v>21542</v>
      </c>
      <c r="H265" s="626"/>
      <c r="I265" s="627">
        <v>0</v>
      </c>
      <c r="J265" s="627">
        <v>43292</v>
      </c>
      <c r="K265" s="627">
        <v>0</v>
      </c>
      <c r="L265" s="626">
        <v>3275</v>
      </c>
      <c r="M265" s="626"/>
      <c r="N265" s="627">
        <v>5064</v>
      </c>
      <c r="O265" s="627">
        <v>49425</v>
      </c>
      <c r="P265" s="627">
        <v>0</v>
      </c>
      <c r="Q265" s="626">
        <v>18</v>
      </c>
      <c r="R265" s="626"/>
      <c r="S265" s="627">
        <v>9835</v>
      </c>
      <c r="T265" s="628">
        <v>851</v>
      </c>
      <c r="U265" s="628">
        <v>10687</v>
      </c>
    </row>
    <row r="266" spans="1:21" x14ac:dyDescent="0.25">
      <c r="A266" s="623">
        <v>92801</v>
      </c>
      <c r="B266" s="624" t="s">
        <v>1405</v>
      </c>
      <c r="C266" s="625">
        <v>5.1633E-3</v>
      </c>
      <c r="D266" s="625">
        <v>5.0350999999999998E-3</v>
      </c>
      <c r="E266" s="626">
        <v>2246634</v>
      </c>
      <c r="F266" s="626">
        <v>-2778962</v>
      </c>
      <c r="G266" s="626">
        <v>2317258</v>
      </c>
      <c r="H266" s="626"/>
      <c r="I266" s="627">
        <v>0</v>
      </c>
      <c r="J266" s="627">
        <v>4656863</v>
      </c>
      <c r="K266" s="627">
        <v>0</v>
      </c>
      <c r="L266" s="626">
        <v>246284</v>
      </c>
      <c r="M266" s="626"/>
      <c r="N266" s="627">
        <v>544692</v>
      </c>
      <c r="O266" s="627">
        <v>5316583</v>
      </c>
      <c r="P266" s="627">
        <v>0</v>
      </c>
      <c r="Q266" s="626">
        <v>0</v>
      </c>
      <c r="R266" s="626"/>
      <c r="S266" s="627">
        <v>1057970</v>
      </c>
      <c r="T266" s="628">
        <v>67853</v>
      </c>
      <c r="U266" s="628">
        <v>1125823</v>
      </c>
    </row>
    <row r="267" spans="1:21" x14ac:dyDescent="0.25">
      <c r="A267" s="623">
        <v>92802</v>
      </c>
      <c r="B267" s="624" t="s">
        <v>1406</v>
      </c>
      <c r="C267" s="625">
        <v>1.4359999999999999E-4</v>
      </c>
      <c r="D267" s="625">
        <v>1.4420000000000001E-4</v>
      </c>
      <c r="E267" s="626">
        <v>50878</v>
      </c>
      <c r="F267" s="626">
        <v>-79587</v>
      </c>
      <c r="G267" s="626">
        <v>64447</v>
      </c>
      <c r="H267" s="626"/>
      <c r="I267" s="627">
        <v>0</v>
      </c>
      <c r="J267" s="627">
        <v>129515</v>
      </c>
      <c r="K267" s="627">
        <v>0</v>
      </c>
      <c r="L267" s="626">
        <v>0</v>
      </c>
      <c r="M267" s="626"/>
      <c r="N267" s="627">
        <v>15149</v>
      </c>
      <c r="O267" s="627">
        <v>147863</v>
      </c>
      <c r="P267" s="627">
        <v>0</v>
      </c>
      <c r="Q267" s="626">
        <v>10125</v>
      </c>
      <c r="R267" s="626"/>
      <c r="S267" s="627">
        <v>29424</v>
      </c>
      <c r="T267" s="628">
        <v>-2909</v>
      </c>
      <c r="U267" s="628">
        <v>26515</v>
      </c>
    </row>
    <row r="268" spans="1:21" x14ac:dyDescent="0.25">
      <c r="A268" s="623">
        <v>92804</v>
      </c>
      <c r="B268" s="624" t="s">
        <v>1407</v>
      </c>
      <c r="C268" s="625">
        <v>1.217E-4</v>
      </c>
      <c r="D268" s="625">
        <v>1.097E-4</v>
      </c>
      <c r="E268" s="626">
        <v>50851</v>
      </c>
      <c r="F268" s="626">
        <v>-60545</v>
      </c>
      <c r="G268" s="626">
        <v>54618</v>
      </c>
      <c r="H268" s="626"/>
      <c r="I268" s="627">
        <v>0</v>
      </c>
      <c r="J268" s="627">
        <v>109763</v>
      </c>
      <c r="K268" s="627">
        <v>0</v>
      </c>
      <c r="L268" s="626">
        <v>9342</v>
      </c>
      <c r="M268" s="626"/>
      <c r="N268" s="627">
        <v>12838</v>
      </c>
      <c r="O268" s="627">
        <v>125313</v>
      </c>
      <c r="P268" s="627">
        <v>0</v>
      </c>
      <c r="Q268" s="626">
        <v>4001</v>
      </c>
      <c r="R268" s="626"/>
      <c r="S268" s="627">
        <v>24937</v>
      </c>
      <c r="T268" s="628">
        <v>1108</v>
      </c>
      <c r="U268" s="628">
        <v>26044</v>
      </c>
    </row>
    <row r="269" spans="1:21" x14ac:dyDescent="0.25">
      <c r="A269" s="623">
        <v>92811</v>
      </c>
      <c r="B269" s="624" t="s">
        <v>1408</v>
      </c>
      <c r="C269" s="625">
        <v>1.1405E-3</v>
      </c>
      <c r="D269" s="625">
        <v>1.0721000000000001E-3</v>
      </c>
      <c r="E269" s="626">
        <v>399616</v>
      </c>
      <c r="F269" s="626">
        <v>-591711</v>
      </c>
      <c r="G269" s="626">
        <v>511850</v>
      </c>
      <c r="H269" s="626"/>
      <c r="I269" s="627">
        <v>0</v>
      </c>
      <c r="J269" s="627">
        <v>1028635</v>
      </c>
      <c r="K269" s="627">
        <v>0</v>
      </c>
      <c r="L269" s="626">
        <v>0</v>
      </c>
      <c r="M269" s="626"/>
      <c r="N269" s="627">
        <v>120315</v>
      </c>
      <c r="O269" s="627">
        <v>1174358</v>
      </c>
      <c r="P269" s="627">
        <v>0</v>
      </c>
      <c r="Q269" s="626">
        <v>34911</v>
      </c>
      <c r="R269" s="626"/>
      <c r="S269" s="627">
        <v>233691</v>
      </c>
      <c r="T269" s="628">
        <v>-11361</v>
      </c>
      <c r="U269" s="628">
        <v>222330</v>
      </c>
    </row>
    <row r="270" spans="1:21" x14ac:dyDescent="0.25">
      <c r="A270" s="623">
        <v>92821</v>
      </c>
      <c r="B270" s="624" t="s">
        <v>1409</v>
      </c>
      <c r="C270" s="625">
        <v>9.8010000000000002E-4</v>
      </c>
      <c r="D270" s="625">
        <v>9.905999999999999E-4</v>
      </c>
      <c r="E270" s="626">
        <v>425447</v>
      </c>
      <c r="F270" s="626">
        <v>-546730</v>
      </c>
      <c r="G270" s="626">
        <v>439863</v>
      </c>
      <c r="H270" s="626"/>
      <c r="I270" s="627">
        <v>0</v>
      </c>
      <c r="J270" s="627">
        <v>883968</v>
      </c>
      <c r="K270" s="627">
        <v>0</v>
      </c>
      <c r="L270" s="626">
        <v>18287</v>
      </c>
      <c r="M270" s="626"/>
      <c r="N270" s="627">
        <v>103394</v>
      </c>
      <c r="O270" s="627">
        <v>1009196</v>
      </c>
      <c r="P270" s="627">
        <v>0</v>
      </c>
      <c r="Q270" s="626">
        <v>0</v>
      </c>
      <c r="R270" s="626"/>
      <c r="S270" s="627">
        <v>200824</v>
      </c>
      <c r="T270" s="628">
        <v>5195</v>
      </c>
      <c r="U270" s="628">
        <v>206019</v>
      </c>
    </row>
    <row r="271" spans="1:21" x14ac:dyDescent="0.25">
      <c r="A271" s="623">
        <v>92831</v>
      </c>
      <c r="B271" s="624" t="s">
        <v>1410</v>
      </c>
      <c r="C271" s="625">
        <v>2.4049999999999999E-4</v>
      </c>
      <c r="D271" s="625">
        <v>2.498E-4</v>
      </c>
      <c r="E271" s="626">
        <v>115041</v>
      </c>
      <c r="F271" s="626">
        <v>-137869</v>
      </c>
      <c r="G271" s="626">
        <v>107935</v>
      </c>
      <c r="H271" s="626"/>
      <c r="I271" s="627">
        <v>0</v>
      </c>
      <c r="J271" s="627">
        <v>216911</v>
      </c>
      <c r="K271" s="627">
        <v>0</v>
      </c>
      <c r="L271" s="626">
        <v>19152</v>
      </c>
      <c r="M271" s="626"/>
      <c r="N271" s="627">
        <v>25371</v>
      </c>
      <c r="O271" s="627">
        <v>247640</v>
      </c>
      <c r="P271" s="627">
        <v>0</v>
      </c>
      <c r="Q271" s="626">
        <v>0</v>
      </c>
      <c r="R271" s="626"/>
      <c r="S271" s="627">
        <v>49279</v>
      </c>
      <c r="T271" s="628">
        <v>5909</v>
      </c>
      <c r="U271" s="628">
        <v>55188</v>
      </c>
    </row>
    <row r="272" spans="1:21" x14ac:dyDescent="0.25">
      <c r="A272" s="623">
        <v>92841</v>
      </c>
      <c r="B272" s="624" t="s">
        <v>1411</v>
      </c>
      <c r="C272" s="625">
        <v>2.7070000000000002E-4</v>
      </c>
      <c r="D272" s="625">
        <v>2.6689999999999998E-4</v>
      </c>
      <c r="E272" s="626">
        <v>106098</v>
      </c>
      <c r="F272" s="626">
        <v>-147307</v>
      </c>
      <c r="G272" s="626">
        <v>121489</v>
      </c>
      <c r="H272" s="626"/>
      <c r="I272" s="627">
        <v>0</v>
      </c>
      <c r="J272" s="627">
        <v>244149</v>
      </c>
      <c r="K272" s="627">
        <v>0</v>
      </c>
      <c r="L272" s="626">
        <v>17581.2</v>
      </c>
      <c r="M272" s="626"/>
      <c r="N272" s="627">
        <v>28557</v>
      </c>
      <c r="O272" s="627">
        <v>278736</v>
      </c>
      <c r="P272" s="627">
        <v>0</v>
      </c>
      <c r="Q272" s="626">
        <v>839</v>
      </c>
      <c r="R272" s="626"/>
      <c r="S272" s="627">
        <v>55467</v>
      </c>
      <c r="T272" s="628">
        <v>5660</v>
      </c>
      <c r="U272" s="628">
        <v>61127</v>
      </c>
    </row>
    <row r="273" spans="1:21" x14ac:dyDescent="0.25">
      <c r="A273" s="623">
        <v>92851</v>
      </c>
      <c r="B273" s="624" t="s">
        <v>1412</v>
      </c>
      <c r="C273" s="625">
        <v>4.6690000000000002E-4</v>
      </c>
      <c r="D273" s="625">
        <v>4.9240000000000004E-4</v>
      </c>
      <c r="E273" s="626">
        <v>168961</v>
      </c>
      <c r="F273" s="626">
        <v>-271764</v>
      </c>
      <c r="G273" s="626">
        <v>209542</v>
      </c>
      <c r="H273" s="626"/>
      <c r="I273" s="627">
        <v>0</v>
      </c>
      <c r="J273" s="627">
        <v>421105</v>
      </c>
      <c r="K273" s="627">
        <v>0</v>
      </c>
      <c r="L273" s="626">
        <v>0</v>
      </c>
      <c r="M273" s="626"/>
      <c r="N273" s="627">
        <v>49255</v>
      </c>
      <c r="O273" s="627">
        <v>480761</v>
      </c>
      <c r="P273" s="627">
        <v>0</v>
      </c>
      <c r="Q273" s="626">
        <v>84346</v>
      </c>
      <c r="R273" s="626"/>
      <c r="S273" s="627">
        <v>95669</v>
      </c>
      <c r="T273" s="628">
        <v>-25661</v>
      </c>
      <c r="U273" s="628">
        <v>70007</v>
      </c>
    </row>
    <row r="274" spans="1:21" x14ac:dyDescent="0.25">
      <c r="A274" s="623">
        <v>92861</v>
      </c>
      <c r="B274" s="624" t="s">
        <v>1413</v>
      </c>
      <c r="C274" s="625">
        <v>3.7750000000000001E-4</v>
      </c>
      <c r="D274" s="625">
        <v>3.68E-4</v>
      </c>
      <c r="E274" s="626">
        <v>101800</v>
      </c>
      <c r="F274" s="626">
        <v>-203106</v>
      </c>
      <c r="G274" s="626">
        <v>169420</v>
      </c>
      <c r="H274" s="626"/>
      <c r="I274" s="627">
        <v>0</v>
      </c>
      <c r="J274" s="627">
        <v>340473</v>
      </c>
      <c r="K274" s="627">
        <v>0</v>
      </c>
      <c r="L274" s="626">
        <v>0</v>
      </c>
      <c r="M274" s="626"/>
      <c r="N274" s="627">
        <v>39824</v>
      </c>
      <c r="O274" s="627">
        <v>388707</v>
      </c>
      <c r="P274" s="627">
        <v>0</v>
      </c>
      <c r="Q274" s="626">
        <v>64109</v>
      </c>
      <c r="R274" s="626"/>
      <c r="S274" s="627">
        <v>77351</v>
      </c>
      <c r="T274" s="628">
        <v>-18912</v>
      </c>
      <c r="U274" s="628">
        <v>58439</v>
      </c>
    </row>
    <row r="275" spans="1:21" x14ac:dyDescent="0.25">
      <c r="A275" s="623">
        <v>92901</v>
      </c>
      <c r="B275" s="624" t="s">
        <v>1414</v>
      </c>
      <c r="C275" s="625">
        <v>5.7428999999999996E-3</v>
      </c>
      <c r="D275" s="625">
        <v>5.62E-3</v>
      </c>
      <c r="E275" s="626">
        <v>2370994</v>
      </c>
      <c r="F275" s="626">
        <v>-3101779.16</v>
      </c>
      <c r="G275" s="626">
        <v>2577379</v>
      </c>
      <c r="H275" s="626"/>
      <c r="I275" s="627">
        <v>0</v>
      </c>
      <c r="J275" s="627">
        <v>5179613</v>
      </c>
      <c r="K275" s="627">
        <v>0</v>
      </c>
      <c r="L275" s="626">
        <v>151424</v>
      </c>
      <c r="M275" s="626"/>
      <c r="N275" s="627">
        <v>605836</v>
      </c>
      <c r="O275" s="627">
        <v>5913389</v>
      </c>
      <c r="P275" s="627">
        <v>0</v>
      </c>
      <c r="Q275" s="626">
        <v>0</v>
      </c>
      <c r="R275" s="626"/>
      <c r="S275" s="627">
        <v>1176732</v>
      </c>
      <c r="T275" s="628">
        <v>42863</v>
      </c>
      <c r="U275" s="628">
        <v>1219595</v>
      </c>
    </row>
    <row r="276" spans="1:21" x14ac:dyDescent="0.25">
      <c r="A276" s="623">
        <v>92911</v>
      </c>
      <c r="B276" s="624" t="s">
        <v>1415</v>
      </c>
      <c r="C276" s="625">
        <v>2.0665000000000002E-3</v>
      </c>
      <c r="D276" s="625">
        <v>2.2027000000000001E-3</v>
      </c>
      <c r="E276" s="626">
        <v>821493</v>
      </c>
      <c r="F276" s="626">
        <v>-1215710</v>
      </c>
      <c r="G276" s="626">
        <v>927433</v>
      </c>
      <c r="H276" s="626"/>
      <c r="I276" s="627">
        <v>0</v>
      </c>
      <c r="J276" s="627">
        <v>1863809</v>
      </c>
      <c r="K276" s="627">
        <v>0</v>
      </c>
      <c r="L276" s="626">
        <v>0</v>
      </c>
      <c r="M276" s="626"/>
      <c r="N276" s="627">
        <v>218001</v>
      </c>
      <c r="O276" s="627">
        <v>2127848</v>
      </c>
      <c r="P276" s="627">
        <v>0</v>
      </c>
      <c r="Q276" s="626">
        <v>166611</v>
      </c>
      <c r="R276" s="626"/>
      <c r="S276" s="627">
        <v>423430</v>
      </c>
      <c r="T276" s="628">
        <v>-47497</v>
      </c>
      <c r="U276" s="628">
        <v>375933</v>
      </c>
    </row>
    <row r="277" spans="1:21" x14ac:dyDescent="0.25">
      <c r="A277" s="623">
        <v>92913</v>
      </c>
      <c r="B277" s="624" t="s">
        <v>1416</v>
      </c>
      <c r="C277" s="625">
        <v>2.97E-5</v>
      </c>
      <c r="D277" s="625">
        <v>3.1999999999999999E-5</v>
      </c>
      <c r="E277" s="626">
        <v>60426</v>
      </c>
      <c r="F277" s="626">
        <v>-17661</v>
      </c>
      <c r="G277" s="626">
        <v>13329</v>
      </c>
      <c r="H277" s="626"/>
      <c r="I277" s="627">
        <v>0</v>
      </c>
      <c r="J277" s="627">
        <v>26787</v>
      </c>
      <c r="K277" s="627">
        <v>0</v>
      </c>
      <c r="L277" s="626">
        <v>36666</v>
      </c>
      <c r="M277" s="626"/>
      <c r="N277" s="627">
        <v>3133</v>
      </c>
      <c r="O277" s="627">
        <v>30582</v>
      </c>
      <c r="P277" s="627">
        <v>0</v>
      </c>
      <c r="Q277" s="626">
        <v>6183</v>
      </c>
      <c r="R277" s="626"/>
      <c r="S277" s="627">
        <v>6086</v>
      </c>
      <c r="T277" s="628">
        <v>7530</v>
      </c>
      <c r="U277" s="628">
        <v>13616</v>
      </c>
    </row>
    <row r="278" spans="1:21" x14ac:dyDescent="0.25">
      <c r="A278" s="623">
        <v>92917</v>
      </c>
      <c r="B278" s="624" t="s">
        <v>1417</v>
      </c>
      <c r="C278" s="625">
        <v>1.9599999999999999E-5</v>
      </c>
      <c r="D278" s="625">
        <v>2.0400000000000001E-5</v>
      </c>
      <c r="E278" s="626">
        <v>14345</v>
      </c>
      <c r="F278" s="626">
        <v>-11259</v>
      </c>
      <c r="G278" s="626">
        <v>8796</v>
      </c>
      <c r="H278" s="626"/>
      <c r="I278" s="627">
        <v>0</v>
      </c>
      <c r="J278" s="627">
        <v>17678</v>
      </c>
      <c r="K278" s="627">
        <v>0</v>
      </c>
      <c r="L278" s="626">
        <v>12222</v>
      </c>
      <c r="M278" s="626"/>
      <c r="N278" s="627">
        <v>2068</v>
      </c>
      <c r="O278" s="627">
        <v>20182</v>
      </c>
      <c r="P278" s="627">
        <v>0</v>
      </c>
      <c r="Q278" s="626">
        <v>0</v>
      </c>
      <c r="R278" s="626"/>
      <c r="S278" s="627">
        <v>4016</v>
      </c>
      <c r="T278" s="628">
        <v>3763</v>
      </c>
      <c r="U278" s="628">
        <v>7779</v>
      </c>
    </row>
    <row r="279" spans="1:21" x14ac:dyDescent="0.25">
      <c r="A279" s="623">
        <v>92921</v>
      </c>
      <c r="B279" s="624" t="s">
        <v>1418</v>
      </c>
      <c r="C279" s="625">
        <v>8.1500000000000002E-5</v>
      </c>
      <c r="D279" s="625">
        <v>8.6299999999999997E-5</v>
      </c>
      <c r="E279" s="626">
        <v>37497</v>
      </c>
      <c r="F279" s="626">
        <v>-47631</v>
      </c>
      <c r="G279" s="626">
        <v>36577</v>
      </c>
      <c r="H279" s="626"/>
      <c r="I279" s="627">
        <v>0</v>
      </c>
      <c r="J279" s="627">
        <v>73506</v>
      </c>
      <c r="K279" s="627">
        <v>0</v>
      </c>
      <c r="L279" s="626">
        <v>0</v>
      </c>
      <c r="M279" s="626"/>
      <c r="N279" s="627">
        <v>8598</v>
      </c>
      <c r="O279" s="627">
        <v>83919</v>
      </c>
      <c r="P279" s="627">
        <v>0</v>
      </c>
      <c r="Q279" s="626">
        <v>15959</v>
      </c>
      <c r="R279" s="626"/>
      <c r="S279" s="627">
        <v>16700</v>
      </c>
      <c r="T279" s="628">
        <v>-5336</v>
      </c>
      <c r="U279" s="628">
        <v>11364</v>
      </c>
    </row>
    <row r="280" spans="1:21" x14ac:dyDescent="0.25">
      <c r="A280" s="623">
        <v>92931</v>
      </c>
      <c r="B280" s="624" t="s">
        <v>1419</v>
      </c>
      <c r="C280" s="625">
        <v>2.5463E-3</v>
      </c>
      <c r="D280" s="625">
        <v>2.5593999999999999E-3</v>
      </c>
      <c r="E280" s="626">
        <v>1000966</v>
      </c>
      <c r="F280" s="626">
        <v>-1412579</v>
      </c>
      <c r="G280" s="626">
        <v>1142764</v>
      </c>
      <c r="H280" s="626"/>
      <c r="I280" s="627">
        <v>0</v>
      </c>
      <c r="J280" s="627">
        <v>2296549</v>
      </c>
      <c r="K280" s="627">
        <v>0</v>
      </c>
      <c r="L280" s="626">
        <v>23319</v>
      </c>
      <c r="M280" s="626"/>
      <c r="N280" s="627">
        <v>268617</v>
      </c>
      <c r="O280" s="627">
        <v>2621892</v>
      </c>
      <c r="P280" s="627">
        <v>0</v>
      </c>
      <c r="Q280" s="626">
        <v>39818</v>
      </c>
      <c r="R280" s="626"/>
      <c r="S280" s="627">
        <v>521742</v>
      </c>
      <c r="T280" s="628">
        <v>-2625</v>
      </c>
      <c r="U280" s="628">
        <v>519117</v>
      </c>
    </row>
    <row r="281" spans="1:21" x14ac:dyDescent="0.25">
      <c r="A281" s="623">
        <v>92941</v>
      </c>
      <c r="B281" s="624" t="s">
        <v>1420</v>
      </c>
      <c r="C281" s="625">
        <v>1.5999999999999999E-5</v>
      </c>
      <c r="D281" s="625">
        <v>0</v>
      </c>
      <c r="E281" s="626">
        <v>7222</v>
      </c>
      <c r="F281" s="626">
        <v>0</v>
      </c>
      <c r="G281" s="626">
        <v>7181</v>
      </c>
      <c r="H281" s="626"/>
      <c r="I281" s="627">
        <v>0</v>
      </c>
      <c r="J281" s="627">
        <v>14431</v>
      </c>
      <c r="K281" s="627">
        <v>0</v>
      </c>
      <c r="L281" s="626">
        <v>12561</v>
      </c>
      <c r="M281" s="626"/>
      <c r="N281" s="627">
        <v>1688</v>
      </c>
      <c r="O281" s="627">
        <v>16475</v>
      </c>
      <c r="P281" s="627">
        <v>0</v>
      </c>
      <c r="Q281" s="626">
        <v>0</v>
      </c>
      <c r="R281" s="626"/>
      <c r="S281" s="627">
        <v>3278</v>
      </c>
      <c r="T281" s="628">
        <v>3345</v>
      </c>
      <c r="U281" s="628">
        <v>6624</v>
      </c>
    </row>
    <row r="282" spans="1:21" x14ac:dyDescent="0.25">
      <c r="A282" s="623">
        <v>93001</v>
      </c>
      <c r="B282" s="624" t="s">
        <v>1421</v>
      </c>
      <c r="C282" s="625">
        <v>2.2177999999999998E-3</v>
      </c>
      <c r="D282" s="625">
        <v>2.1735999999999999E-3</v>
      </c>
      <c r="E282" s="626">
        <v>889479</v>
      </c>
      <c r="F282" s="626">
        <v>-1199649</v>
      </c>
      <c r="G282" s="626">
        <v>995335</v>
      </c>
      <c r="H282" s="626"/>
      <c r="I282" s="627">
        <v>0</v>
      </c>
      <c r="J282" s="627">
        <v>2000269</v>
      </c>
      <c r="K282" s="627">
        <v>0</v>
      </c>
      <c r="L282" s="626">
        <v>18329</v>
      </c>
      <c r="M282" s="626"/>
      <c r="N282" s="627">
        <v>233962</v>
      </c>
      <c r="O282" s="627">
        <v>2283640</v>
      </c>
      <c r="P282" s="627">
        <v>0</v>
      </c>
      <c r="Q282" s="626">
        <v>116386</v>
      </c>
      <c r="R282" s="626"/>
      <c r="S282" s="627">
        <v>454432</v>
      </c>
      <c r="T282" s="628">
        <v>-34127</v>
      </c>
      <c r="U282" s="628">
        <v>420305</v>
      </c>
    </row>
    <row r="283" spans="1:21" x14ac:dyDescent="0.25">
      <c r="A283" s="623">
        <v>93009</v>
      </c>
      <c r="B283" s="624" t="s">
        <v>1422</v>
      </c>
      <c r="C283" s="625">
        <v>1.6399999999999999E-5</v>
      </c>
      <c r="D283" s="625">
        <v>1.6699999999999999E-5</v>
      </c>
      <c r="E283" s="626">
        <v>4891</v>
      </c>
      <c r="F283" s="626">
        <v>-9217</v>
      </c>
      <c r="G283" s="626">
        <v>7360</v>
      </c>
      <c r="H283" s="626"/>
      <c r="I283" s="627">
        <v>0</v>
      </c>
      <c r="J283" s="627">
        <v>14791</v>
      </c>
      <c r="K283" s="627">
        <v>0</v>
      </c>
      <c r="L283" s="626">
        <v>0</v>
      </c>
      <c r="M283" s="626"/>
      <c r="N283" s="627">
        <v>1730</v>
      </c>
      <c r="O283" s="627">
        <v>16887</v>
      </c>
      <c r="P283" s="627">
        <v>0</v>
      </c>
      <c r="Q283" s="626">
        <v>3581</v>
      </c>
      <c r="R283" s="626"/>
      <c r="S283" s="627">
        <v>3360</v>
      </c>
      <c r="T283" s="628">
        <v>-1079</v>
      </c>
      <c r="U283" s="628">
        <v>2282</v>
      </c>
    </row>
    <row r="284" spans="1:21" x14ac:dyDescent="0.25">
      <c r="A284" s="623">
        <v>93011</v>
      </c>
      <c r="B284" s="624" t="s">
        <v>1423</v>
      </c>
      <c r="C284" s="625">
        <v>2.9179999999999999E-4</v>
      </c>
      <c r="D284" s="625">
        <v>2.898E-4</v>
      </c>
      <c r="E284" s="626">
        <v>121450</v>
      </c>
      <c r="F284" s="626">
        <v>-159946</v>
      </c>
      <c r="G284" s="626">
        <v>130958</v>
      </c>
      <c r="H284" s="626"/>
      <c r="I284" s="627">
        <v>0</v>
      </c>
      <c r="J284" s="627">
        <v>263179</v>
      </c>
      <c r="K284" s="627">
        <v>0</v>
      </c>
      <c r="L284" s="626">
        <v>3237</v>
      </c>
      <c r="M284" s="626"/>
      <c r="N284" s="627">
        <v>30783</v>
      </c>
      <c r="O284" s="627">
        <v>300463</v>
      </c>
      <c r="P284" s="627">
        <v>0</v>
      </c>
      <c r="Q284" s="626">
        <v>2879</v>
      </c>
      <c r="R284" s="626"/>
      <c r="S284" s="627">
        <v>59790</v>
      </c>
      <c r="T284" s="628">
        <v>-116</v>
      </c>
      <c r="U284" s="628">
        <v>59675</v>
      </c>
    </row>
    <row r="285" spans="1:21" x14ac:dyDescent="0.25">
      <c r="A285" s="623">
        <v>93021</v>
      </c>
      <c r="B285" s="624" t="s">
        <v>1424</v>
      </c>
      <c r="C285" s="625">
        <v>3.7200000000000003E-5</v>
      </c>
      <c r="D285" s="625">
        <v>2.9E-5</v>
      </c>
      <c r="E285" s="626">
        <v>12357</v>
      </c>
      <c r="F285" s="626">
        <v>-16006</v>
      </c>
      <c r="G285" s="626">
        <v>16695</v>
      </c>
      <c r="H285" s="626"/>
      <c r="I285" s="627">
        <v>0</v>
      </c>
      <c r="J285" s="627">
        <v>33551</v>
      </c>
      <c r="K285" s="627">
        <v>0</v>
      </c>
      <c r="L285" s="626">
        <v>5708</v>
      </c>
      <c r="M285" s="626"/>
      <c r="N285" s="627">
        <v>3924</v>
      </c>
      <c r="O285" s="627">
        <v>38304</v>
      </c>
      <c r="P285" s="627">
        <v>0</v>
      </c>
      <c r="Q285" s="626">
        <v>0</v>
      </c>
      <c r="R285" s="626"/>
      <c r="S285" s="627">
        <v>7622</v>
      </c>
      <c r="T285" s="628">
        <v>1654</v>
      </c>
      <c r="U285" s="628">
        <v>9276</v>
      </c>
    </row>
    <row r="286" spans="1:21" x14ac:dyDescent="0.25">
      <c r="A286" s="623">
        <v>93027</v>
      </c>
      <c r="B286" s="624" t="s">
        <v>1425</v>
      </c>
      <c r="C286" s="625">
        <v>1.49E-5</v>
      </c>
      <c r="D286" s="625">
        <v>1.6399999999999999E-5</v>
      </c>
      <c r="E286" s="626">
        <v>6378</v>
      </c>
      <c r="F286" s="626">
        <v>-9051</v>
      </c>
      <c r="G286" s="626">
        <v>6687</v>
      </c>
      <c r="H286" s="626"/>
      <c r="I286" s="627">
        <v>0</v>
      </c>
      <c r="J286" s="627">
        <v>13439</v>
      </c>
      <c r="K286" s="627">
        <v>0</v>
      </c>
      <c r="L286" s="626">
        <v>0</v>
      </c>
      <c r="M286" s="626"/>
      <c r="N286" s="627">
        <v>1572</v>
      </c>
      <c r="O286" s="627">
        <v>15342</v>
      </c>
      <c r="P286" s="627">
        <v>0</v>
      </c>
      <c r="Q286" s="626">
        <v>2159</v>
      </c>
      <c r="R286" s="626"/>
      <c r="S286" s="627">
        <v>3053</v>
      </c>
      <c r="T286" s="628">
        <v>-663</v>
      </c>
      <c r="U286" s="628">
        <v>2391</v>
      </c>
    </row>
    <row r="287" spans="1:21" x14ac:dyDescent="0.25">
      <c r="A287" s="623">
        <v>93031</v>
      </c>
      <c r="B287" s="624" t="s">
        <v>1426</v>
      </c>
      <c r="C287" s="625">
        <v>1.4399999999999999E-5</v>
      </c>
      <c r="D287" s="625">
        <v>2.48E-5</v>
      </c>
      <c r="E287" s="626">
        <v>18753</v>
      </c>
      <c r="F287" s="626">
        <v>-13688</v>
      </c>
      <c r="G287" s="626">
        <v>6463</v>
      </c>
      <c r="H287" s="626"/>
      <c r="I287" s="627">
        <v>0</v>
      </c>
      <c r="J287" s="627">
        <v>12988</v>
      </c>
      <c r="K287" s="627">
        <v>0</v>
      </c>
      <c r="L287" s="626">
        <v>2905</v>
      </c>
      <c r="M287" s="626"/>
      <c r="N287" s="627">
        <v>1519</v>
      </c>
      <c r="O287" s="627">
        <v>14827</v>
      </c>
      <c r="P287" s="627">
        <v>0</v>
      </c>
      <c r="Q287" s="626">
        <v>667</v>
      </c>
      <c r="R287" s="626"/>
      <c r="S287" s="627">
        <v>2951</v>
      </c>
      <c r="T287" s="628">
        <v>537</v>
      </c>
      <c r="U287" s="628">
        <v>3488</v>
      </c>
    </row>
    <row r="288" spans="1:21" x14ac:dyDescent="0.25">
      <c r="A288" s="623">
        <v>93101</v>
      </c>
      <c r="B288" s="624" t="s">
        <v>1427</v>
      </c>
      <c r="C288" s="625">
        <v>3.2972000000000001E-3</v>
      </c>
      <c r="D288" s="625">
        <v>3.2204999999999998E-3</v>
      </c>
      <c r="E288" s="626">
        <v>1373736</v>
      </c>
      <c r="F288" s="626">
        <v>-1777452</v>
      </c>
      <c r="G288" s="626">
        <v>1479764</v>
      </c>
      <c r="H288" s="626"/>
      <c r="I288" s="627">
        <v>0</v>
      </c>
      <c r="J288" s="627">
        <v>2973797</v>
      </c>
      <c r="K288" s="627">
        <v>0</v>
      </c>
      <c r="L288" s="626">
        <v>188284</v>
      </c>
      <c r="M288" s="626"/>
      <c r="N288" s="627">
        <v>347832</v>
      </c>
      <c r="O288" s="627">
        <v>3395084</v>
      </c>
      <c r="P288" s="627">
        <v>0</v>
      </c>
      <c r="Q288" s="626">
        <v>0</v>
      </c>
      <c r="R288" s="626"/>
      <c r="S288" s="627">
        <v>675603</v>
      </c>
      <c r="T288" s="628">
        <v>57473</v>
      </c>
      <c r="U288" s="628">
        <v>733076</v>
      </c>
    </row>
    <row r="289" spans="1:21" x14ac:dyDescent="0.25">
      <c r="A289" s="623">
        <v>93103</v>
      </c>
      <c r="B289" s="624" t="s">
        <v>2096</v>
      </c>
      <c r="C289" s="625">
        <v>0</v>
      </c>
      <c r="D289" s="625">
        <v>0</v>
      </c>
      <c r="E289" s="626">
        <v>2461</v>
      </c>
      <c r="F289" s="626">
        <v>0</v>
      </c>
      <c r="G289" s="626">
        <v>0</v>
      </c>
      <c r="H289" s="626"/>
      <c r="I289" s="627">
        <v>0</v>
      </c>
      <c r="J289" s="627">
        <v>0</v>
      </c>
      <c r="K289" s="627">
        <v>0</v>
      </c>
      <c r="L289" s="626">
        <v>1951</v>
      </c>
      <c r="M289" s="626"/>
      <c r="N289" s="627">
        <v>0</v>
      </c>
      <c r="O289" s="627">
        <v>0</v>
      </c>
      <c r="P289" s="627">
        <v>0</v>
      </c>
      <c r="Q289" s="626">
        <v>0</v>
      </c>
      <c r="R289" s="626"/>
      <c r="S289" s="627">
        <v>0</v>
      </c>
      <c r="T289" s="628">
        <v>511</v>
      </c>
      <c r="U289" s="628">
        <v>511</v>
      </c>
    </row>
    <row r="290" spans="1:21" x14ac:dyDescent="0.25">
      <c r="A290" s="623">
        <v>93108</v>
      </c>
      <c r="B290" s="624" t="s">
        <v>1428</v>
      </c>
      <c r="C290" s="625">
        <v>2.4540999999999999E-3</v>
      </c>
      <c r="D290" s="625">
        <v>2.3459000000000002E-3</v>
      </c>
      <c r="E290" s="626">
        <v>1062309</v>
      </c>
      <c r="F290" s="626">
        <v>-1294744</v>
      </c>
      <c r="G290" s="626">
        <v>1101385</v>
      </c>
      <c r="H290" s="626"/>
      <c r="I290" s="627">
        <v>0</v>
      </c>
      <c r="J290" s="627">
        <v>2213392</v>
      </c>
      <c r="K290" s="627">
        <v>0</v>
      </c>
      <c r="L290" s="626">
        <v>515577</v>
      </c>
      <c r="M290" s="626"/>
      <c r="N290" s="627">
        <v>258890</v>
      </c>
      <c r="O290" s="627">
        <v>2526955</v>
      </c>
      <c r="P290" s="627">
        <v>0</v>
      </c>
      <c r="Q290" s="626">
        <v>0</v>
      </c>
      <c r="R290" s="626"/>
      <c r="S290" s="627">
        <v>502850</v>
      </c>
      <c r="T290" s="628">
        <v>163441</v>
      </c>
      <c r="U290" s="628">
        <v>666291</v>
      </c>
    </row>
    <row r="291" spans="1:21" x14ac:dyDescent="0.25">
      <c r="A291" s="623">
        <v>93111</v>
      </c>
      <c r="B291" s="624" t="s">
        <v>1429</v>
      </c>
      <c r="C291" s="625">
        <v>7.3700000000000002E-5</v>
      </c>
      <c r="D291" s="625">
        <v>7.8499999999999997E-5</v>
      </c>
      <c r="E291" s="626">
        <v>25787</v>
      </c>
      <c r="F291" s="626">
        <v>-43326</v>
      </c>
      <c r="G291" s="626">
        <v>33076</v>
      </c>
      <c r="H291" s="626"/>
      <c r="I291" s="627">
        <v>0</v>
      </c>
      <c r="J291" s="627">
        <v>66471</v>
      </c>
      <c r="K291" s="627">
        <v>0</v>
      </c>
      <c r="L291" s="626">
        <v>0</v>
      </c>
      <c r="M291" s="626"/>
      <c r="N291" s="627">
        <v>7775</v>
      </c>
      <c r="O291" s="627">
        <v>75888</v>
      </c>
      <c r="P291" s="627">
        <v>0</v>
      </c>
      <c r="Q291" s="626">
        <v>8095</v>
      </c>
      <c r="R291" s="626"/>
      <c r="S291" s="627">
        <v>15101</v>
      </c>
      <c r="T291" s="628">
        <v>-2215</v>
      </c>
      <c r="U291" s="628">
        <v>12887</v>
      </c>
    </row>
    <row r="292" spans="1:21" x14ac:dyDescent="0.25">
      <c r="A292" s="623">
        <v>93121</v>
      </c>
      <c r="B292" s="624" t="s">
        <v>1430</v>
      </c>
      <c r="C292" s="625">
        <v>7.4900000000000005E-5</v>
      </c>
      <c r="D292" s="625">
        <v>6.9800000000000003E-5</v>
      </c>
      <c r="E292" s="626">
        <v>25910</v>
      </c>
      <c r="F292" s="626">
        <v>-38524</v>
      </c>
      <c r="G292" s="626">
        <v>33615</v>
      </c>
      <c r="H292" s="626"/>
      <c r="I292" s="627">
        <v>0</v>
      </c>
      <c r="J292" s="627">
        <v>67554</v>
      </c>
      <c r="K292" s="627">
        <v>0</v>
      </c>
      <c r="L292" s="626">
        <v>0</v>
      </c>
      <c r="M292" s="626"/>
      <c r="N292" s="627">
        <v>7901</v>
      </c>
      <c r="O292" s="627">
        <v>77124</v>
      </c>
      <c r="P292" s="627">
        <v>0</v>
      </c>
      <c r="Q292" s="626">
        <v>4165</v>
      </c>
      <c r="R292" s="626"/>
      <c r="S292" s="627">
        <v>15347</v>
      </c>
      <c r="T292" s="628">
        <v>-1384</v>
      </c>
      <c r="U292" s="628">
        <v>13963</v>
      </c>
    </row>
    <row r="293" spans="1:21" x14ac:dyDescent="0.25">
      <c r="A293" s="623">
        <v>93127</v>
      </c>
      <c r="B293" s="624" t="s">
        <v>1431</v>
      </c>
      <c r="C293" s="625">
        <v>7.7999999999999999E-6</v>
      </c>
      <c r="D293" s="625">
        <v>8.3000000000000002E-6</v>
      </c>
      <c r="E293" s="626">
        <v>3165</v>
      </c>
      <c r="F293" s="626">
        <v>-4581</v>
      </c>
      <c r="G293" s="626">
        <v>3501</v>
      </c>
      <c r="H293" s="626"/>
      <c r="I293" s="627">
        <v>0</v>
      </c>
      <c r="J293" s="627">
        <v>7035</v>
      </c>
      <c r="K293" s="627">
        <v>0</v>
      </c>
      <c r="L293" s="626">
        <v>0</v>
      </c>
      <c r="M293" s="626"/>
      <c r="N293" s="627">
        <v>823</v>
      </c>
      <c r="O293" s="627">
        <v>8032</v>
      </c>
      <c r="P293" s="627">
        <v>0</v>
      </c>
      <c r="Q293" s="626">
        <v>868</v>
      </c>
      <c r="R293" s="626"/>
      <c r="S293" s="627">
        <v>1598</v>
      </c>
      <c r="T293" s="628">
        <v>-264</v>
      </c>
      <c r="U293" s="628">
        <v>1334</v>
      </c>
    </row>
    <row r="294" spans="1:21" x14ac:dyDescent="0.25">
      <c r="A294" s="623">
        <v>93131</v>
      </c>
      <c r="B294" s="624" t="s">
        <v>1432</v>
      </c>
      <c r="C294" s="625">
        <v>2.3680000000000001E-4</v>
      </c>
      <c r="D294" s="625">
        <v>2.1499999999999999E-4</v>
      </c>
      <c r="E294" s="626">
        <v>92045</v>
      </c>
      <c r="F294" s="626">
        <v>-118662.37</v>
      </c>
      <c r="G294" s="626">
        <v>106274</v>
      </c>
      <c r="H294" s="626"/>
      <c r="I294" s="627">
        <v>0</v>
      </c>
      <c r="J294" s="627">
        <v>213574</v>
      </c>
      <c r="K294" s="627">
        <v>0</v>
      </c>
      <c r="L294" s="626">
        <v>18722</v>
      </c>
      <c r="M294" s="626"/>
      <c r="N294" s="627">
        <v>24981</v>
      </c>
      <c r="O294" s="627">
        <v>243830</v>
      </c>
      <c r="P294" s="627">
        <v>0</v>
      </c>
      <c r="Q294" s="626">
        <v>0</v>
      </c>
      <c r="R294" s="626"/>
      <c r="S294" s="627">
        <v>48521</v>
      </c>
      <c r="T294" s="628">
        <v>5417</v>
      </c>
      <c r="U294" s="628">
        <v>53938</v>
      </c>
    </row>
    <row r="295" spans="1:21" x14ac:dyDescent="0.25">
      <c r="A295" s="623">
        <v>93137</v>
      </c>
      <c r="B295" s="624" t="s">
        <v>1433</v>
      </c>
      <c r="C295" s="625">
        <v>2.0999999999999998E-6</v>
      </c>
      <c r="D295" s="625">
        <v>2.3E-6</v>
      </c>
      <c r="E295" s="626">
        <v>1906</v>
      </c>
      <c r="F295" s="626">
        <v>-1269</v>
      </c>
      <c r="G295" s="626">
        <v>942</v>
      </c>
      <c r="H295" s="626"/>
      <c r="I295" s="627">
        <v>0</v>
      </c>
      <c r="J295" s="627">
        <v>1894</v>
      </c>
      <c r="K295" s="627">
        <v>0</v>
      </c>
      <c r="L295" s="626">
        <v>691</v>
      </c>
      <c r="M295" s="626"/>
      <c r="N295" s="627">
        <v>222</v>
      </c>
      <c r="O295" s="627">
        <v>2162</v>
      </c>
      <c r="P295" s="627">
        <v>0</v>
      </c>
      <c r="Q295" s="626">
        <v>0</v>
      </c>
      <c r="R295" s="626"/>
      <c r="S295" s="627">
        <v>430</v>
      </c>
      <c r="T295" s="628">
        <v>181</v>
      </c>
      <c r="U295" s="628">
        <v>611</v>
      </c>
    </row>
    <row r="296" spans="1:21" x14ac:dyDescent="0.25">
      <c r="A296" s="623">
        <v>93141</v>
      </c>
      <c r="B296" s="624" t="s">
        <v>1434</v>
      </c>
      <c r="C296" s="625">
        <v>4.3399999999999998E-5</v>
      </c>
      <c r="D296" s="625">
        <v>4.6699999999999997E-5</v>
      </c>
      <c r="E296" s="626">
        <v>15714</v>
      </c>
      <c r="F296" s="626">
        <v>-25775</v>
      </c>
      <c r="G296" s="626">
        <v>19478</v>
      </c>
      <c r="H296" s="626"/>
      <c r="I296" s="627">
        <v>0</v>
      </c>
      <c r="J296" s="627">
        <v>39143</v>
      </c>
      <c r="K296" s="627">
        <v>0</v>
      </c>
      <c r="L296" s="626">
        <v>6290.96</v>
      </c>
      <c r="M296" s="626"/>
      <c r="N296" s="627">
        <v>4578</v>
      </c>
      <c r="O296" s="627">
        <v>44688</v>
      </c>
      <c r="P296" s="627">
        <v>0</v>
      </c>
      <c r="Q296" s="626">
        <v>3905</v>
      </c>
      <c r="R296" s="626"/>
      <c r="S296" s="627">
        <v>8893</v>
      </c>
      <c r="T296" s="628">
        <v>1082</v>
      </c>
      <c r="U296" s="628">
        <v>9974</v>
      </c>
    </row>
    <row r="297" spans="1:21" x14ac:dyDescent="0.25">
      <c r="A297" s="623">
        <v>93151</v>
      </c>
      <c r="B297" s="624" t="s">
        <v>1435</v>
      </c>
      <c r="C297" s="625">
        <v>3.524E-4</v>
      </c>
      <c r="D297" s="625">
        <v>3.3260000000000001E-4</v>
      </c>
      <c r="E297" s="626">
        <v>136398</v>
      </c>
      <c r="F297" s="626">
        <v>-183568</v>
      </c>
      <c r="G297" s="626">
        <v>158155</v>
      </c>
      <c r="H297" s="626"/>
      <c r="I297" s="627">
        <v>0</v>
      </c>
      <c r="J297" s="627">
        <v>317835</v>
      </c>
      <c r="K297" s="627">
        <v>0</v>
      </c>
      <c r="L297" s="626">
        <v>7966</v>
      </c>
      <c r="M297" s="626"/>
      <c r="N297" s="627">
        <v>37176</v>
      </c>
      <c r="O297" s="627">
        <v>362862</v>
      </c>
      <c r="P297" s="627">
        <v>0</v>
      </c>
      <c r="Q297" s="626">
        <v>4831.84</v>
      </c>
      <c r="R297" s="626"/>
      <c r="S297" s="627">
        <v>72207</v>
      </c>
      <c r="T297" s="628">
        <v>469</v>
      </c>
      <c r="U297" s="628">
        <v>72677</v>
      </c>
    </row>
    <row r="298" spans="1:21" x14ac:dyDescent="0.25">
      <c r="A298" s="623">
        <v>93157</v>
      </c>
      <c r="B298" s="624" t="s">
        <v>1436</v>
      </c>
      <c r="C298" s="625">
        <v>2.3999999999999999E-6</v>
      </c>
      <c r="D298" s="625">
        <v>6.6000000000000003E-6</v>
      </c>
      <c r="E298" s="626">
        <v>3799</v>
      </c>
      <c r="F298" s="626">
        <v>-3643</v>
      </c>
      <c r="G298" s="626">
        <v>1077</v>
      </c>
      <c r="H298" s="626"/>
      <c r="I298" s="627">
        <v>0</v>
      </c>
      <c r="J298" s="627">
        <v>2165</v>
      </c>
      <c r="K298" s="627">
        <v>0</v>
      </c>
      <c r="L298" s="626">
        <v>4039</v>
      </c>
      <c r="M298" s="626"/>
      <c r="N298" s="627">
        <v>253</v>
      </c>
      <c r="O298" s="627">
        <v>2471</v>
      </c>
      <c r="P298" s="627">
        <v>0</v>
      </c>
      <c r="Q298" s="626">
        <v>713</v>
      </c>
      <c r="R298" s="626"/>
      <c r="S298" s="627">
        <v>492</v>
      </c>
      <c r="T298" s="628">
        <v>1164</v>
      </c>
      <c r="U298" s="628">
        <v>1656</v>
      </c>
    </row>
    <row r="299" spans="1:21" x14ac:dyDescent="0.25">
      <c r="A299" s="623">
        <v>93161</v>
      </c>
      <c r="B299" s="624" t="s">
        <v>1437</v>
      </c>
      <c r="C299" s="625">
        <v>7.4400000000000006E-5</v>
      </c>
      <c r="D299" s="625">
        <v>8.6500000000000002E-5</v>
      </c>
      <c r="E299" s="626">
        <v>44311</v>
      </c>
      <c r="F299" s="626">
        <v>-47741</v>
      </c>
      <c r="G299" s="626">
        <v>33390</v>
      </c>
      <c r="H299" s="626"/>
      <c r="I299" s="627">
        <v>0</v>
      </c>
      <c r="J299" s="627">
        <v>67103</v>
      </c>
      <c r="K299" s="627">
        <v>0</v>
      </c>
      <c r="L299" s="626">
        <v>16076</v>
      </c>
      <c r="M299" s="626"/>
      <c r="N299" s="627">
        <v>7849</v>
      </c>
      <c r="O299" s="627">
        <v>76609</v>
      </c>
      <c r="P299" s="627">
        <v>0</v>
      </c>
      <c r="Q299" s="626">
        <v>0</v>
      </c>
      <c r="R299" s="626"/>
      <c r="S299" s="627">
        <v>15245</v>
      </c>
      <c r="T299" s="628">
        <v>5191</v>
      </c>
      <c r="U299" s="628">
        <v>20436</v>
      </c>
    </row>
    <row r="300" spans="1:21" x14ac:dyDescent="0.25">
      <c r="A300" s="623">
        <v>93171</v>
      </c>
      <c r="B300" s="624" t="s">
        <v>1438</v>
      </c>
      <c r="C300" s="625">
        <v>6.1999999999999999E-6</v>
      </c>
      <c r="D300" s="625">
        <v>6.9E-6</v>
      </c>
      <c r="E300" s="626">
        <v>3889</v>
      </c>
      <c r="F300" s="626">
        <v>-3808</v>
      </c>
      <c r="G300" s="626">
        <v>2783</v>
      </c>
      <c r="H300" s="626"/>
      <c r="I300" s="627">
        <v>0</v>
      </c>
      <c r="J300" s="627">
        <v>5592</v>
      </c>
      <c r="K300" s="627">
        <v>0</v>
      </c>
      <c r="L300" s="626">
        <v>1177</v>
      </c>
      <c r="M300" s="626"/>
      <c r="N300" s="627">
        <v>654</v>
      </c>
      <c r="O300" s="627">
        <v>6384</v>
      </c>
      <c r="P300" s="627">
        <v>0</v>
      </c>
      <c r="Q300" s="626">
        <v>0</v>
      </c>
      <c r="R300" s="626"/>
      <c r="S300" s="627">
        <v>1270</v>
      </c>
      <c r="T300" s="628">
        <v>351</v>
      </c>
      <c r="U300" s="628">
        <v>1621</v>
      </c>
    </row>
    <row r="301" spans="1:21" x14ac:dyDescent="0.25">
      <c r="A301" s="623">
        <v>93181</v>
      </c>
      <c r="B301" s="624" t="s">
        <v>1439</v>
      </c>
      <c r="C301" s="625">
        <v>1.0499999999999999E-5</v>
      </c>
      <c r="D301" s="625">
        <v>1.08E-5</v>
      </c>
      <c r="E301" s="626">
        <v>4478</v>
      </c>
      <c r="F301" s="626">
        <v>-5961</v>
      </c>
      <c r="G301" s="626">
        <v>4712</v>
      </c>
      <c r="H301" s="626"/>
      <c r="I301" s="627">
        <v>0</v>
      </c>
      <c r="J301" s="627">
        <v>9470</v>
      </c>
      <c r="K301" s="627">
        <v>0</v>
      </c>
      <c r="L301" s="626">
        <v>888</v>
      </c>
      <c r="M301" s="626"/>
      <c r="N301" s="627">
        <v>1108</v>
      </c>
      <c r="O301" s="627">
        <v>10812</v>
      </c>
      <c r="P301" s="627">
        <v>0</v>
      </c>
      <c r="Q301" s="626">
        <v>59</v>
      </c>
      <c r="R301" s="626"/>
      <c r="S301" s="627">
        <v>2151</v>
      </c>
      <c r="T301" s="628">
        <v>282</v>
      </c>
      <c r="U301" s="628">
        <v>2433</v>
      </c>
    </row>
    <row r="302" spans="1:21" x14ac:dyDescent="0.25">
      <c r="A302" s="623">
        <v>93191</v>
      </c>
      <c r="B302" s="624" t="s">
        <v>1440</v>
      </c>
      <c r="C302" s="625">
        <v>3.65E-5</v>
      </c>
      <c r="D302" s="625">
        <v>3.3399999999999999E-5</v>
      </c>
      <c r="E302" s="626">
        <v>16599</v>
      </c>
      <c r="F302" s="626">
        <v>-18434</v>
      </c>
      <c r="G302" s="626">
        <v>16381</v>
      </c>
      <c r="H302" s="626"/>
      <c r="I302" s="627">
        <v>0</v>
      </c>
      <c r="J302" s="627">
        <v>32920</v>
      </c>
      <c r="K302" s="627">
        <v>0</v>
      </c>
      <c r="L302" s="626">
        <v>3520</v>
      </c>
      <c r="M302" s="626"/>
      <c r="N302" s="627">
        <v>3850</v>
      </c>
      <c r="O302" s="627">
        <v>37584</v>
      </c>
      <c r="P302" s="627">
        <v>0</v>
      </c>
      <c r="Q302" s="626">
        <v>1955.46</v>
      </c>
      <c r="R302" s="626"/>
      <c r="S302" s="627">
        <v>7479</v>
      </c>
      <c r="T302" s="628">
        <v>267</v>
      </c>
      <c r="U302" s="628">
        <v>7746</v>
      </c>
    </row>
    <row r="303" spans="1:21" x14ac:dyDescent="0.25">
      <c r="A303" s="623">
        <v>93201</v>
      </c>
      <c r="B303" s="624" t="s">
        <v>1441</v>
      </c>
      <c r="C303" s="625">
        <v>1.50364E-2</v>
      </c>
      <c r="D303" s="625">
        <v>1.43044E-2</v>
      </c>
      <c r="E303" s="626">
        <v>6369443</v>
      </c>
      <c r="F303" s="626">
        <v>-7894856</v>
      </c>
      <c r="G303" s="626">
        <v>6748246</v>
      </c>
      <c r="H303" s="626"/>
      <c r="I303" s="627">
        <v>0</v>
      </c>
      <c r="J303" s="627">
        <v>13561570</v>
      </c>
      <c r="K303" s="627">
        <v>0</v>
      </c>
      <c r="L303" s="626">
        <v>1154602</v>
      </c>
      <c r="M303" s="626"/>
      <c r="N303" s="627">
        <v>1586235</v>
      </c>
      <c r="O303" s="627">
        <v>15482786</v>
      </c>
      <c r="P303" s="627">
        <v>0</v>
      </c>
      <c r="Q303" s="626">
        <v>0</v>
      </c>
      <c r="R303" s="626"/>
      <c r="S303" s="627">
        <v>3080988</v>
      </c>
      <c r="T303" s="628">
        <v>335561</v>
      </c>
      <c r="U303" s="628">
        <v>3416549</v>
      </c>
    </row>
    <row r="304" spans="1:21" x14ac:dyDescent="0.25">
      <c r="A304" s="623">
        <v>93202</v>
      </c>
      <c r="B304" s="624" t="s">
        <v>1442</v>
      </c>
      <c r="C304" s="625">
        <v>2.076E-4</v>
      </c>
      <c r="D304" s="625">
        <v>4.8270000000000002E-4</v>
      </c>
      <c r="E304" s="626">
        <v>40372</v>
      </c>
      <c r="F304" s="626">
        <v>-266411</v>
      </c>
      <c r="G304" s="626">
        <v>93170</v>
      </c>
      <c r="H304" s="626"/>
      <c r="I304" s="627">
        <v>0</v>
      </c>
      <c r="J304" s="627">
        <v>187238</v>
      </c>
      <c r="K304" s="627">
        <v>0</v>
      </c>
      <c r="L304" s="626">
        <v>0</v>
      </c>
      <c r="M304" s="626"/>
      <c r="N304" s="627">
        <v>21900</v>
      </c>
      <c r="O304" s="627">
        <v>213763</v>
      </c>
      <c r="P304" s="627">
        <v>0</v>
      </c>
      <c r="Q304" s="626">
        <v>290012</v>
      </c>
      <c r="R304" s="626"/>
      <c r="S304" s="627">
        <v>42538</v>
      </c>
      <c r="T304" s="628">
        <v>-80409</v>
      </c>
      <c r="U304" s="628">
        <v>-37872</v>
      </c>
    </row>
    <row r="305" spans="1:21" x14ac:dyDescent="0.25">
      <c r="A305" s="623">
        <v>93204</v>
      </c>
      <c r="B305" s="624" t="s">
        <v>1443</v>
      </c>
      <c r="C305" s="625">
        <v>3.168E-4</v>
      </c>
      <c r="D305" s="625">
        <v>3.1619999999999999E-4</v>
      </c>
      <c r="E305" s="626">
        <v>139339</v>
      </c>
      <c r="F305" s="626">
        <v>-174516</v>
      </c>
      <c r="G305" s="626">
        <v>142178</v>
      </c>
      <c r="H305" s="626"/>
      <c r="I305" s="627">
        <v>0</v>
      </c>
      <c r="J305" s="627">
        <v>285727</v>
      </c>
      <c r="K305" s="627">
        <v>0</v>
      </c>
      <c r="L305" s="626">
        <v>8342</v>
      </c>
      <c r="M305" s="626"/>
      <c r="N305" s="627">
        <v>33420</v>
      </c>
      <c r="O305" s="627">
        <v>326205</v>
      </c>
      <c r="P305" s="627">
        <v>0</v>
      </c>
      <c r="Q305" s="626">
        <v>14382</v>
      </c>
      <c r="R305" s="626"/>
      <c r="S305" s="627">
        <v>64913</v>
      </c>
      <c r="T305" s="628">
        <v>-2626</v>
      </c>
      <c r="U305" s="628">
        <v>62287</v>
      </c>
    </row>
    <row r="306" spans="1:21" x14ac:dyDescent="0.25">
      <c r="A306" s="623">
        <v>93209</v>
      </c>
      <c r="B306" s="624" t="s">
        <v>1444</v>
      </c>
      <c r="C306" s="625">
        <v>3.4578999999999999E-3</v>
      </c>
      <c r="D306" s="625">
        <v>3.1573999999999999E-3</v>
      </c>
      <c r="E306" s="626">
        <v>1463187</v>
      </c>
      <c r="F306" s="626">
        <v>-1742626</v>
      </c>
      <c r="G306" s="626">
        <v>1551885</v>
      </c>
      <c r="H306" s="626"/>
      <c r="I306" s="627">
        <v>0</v>
      </c>
      <c r="J306" s="627">
        <v>3118735</v>
      </c>
      <c r="K306" s="627">
        <v>0</v>
      </c>
      <c r="L306" s="626">
        <v>1352045</v>
      </c>
      <c r="M306" s="626"/>
      <c r="N306" s="627">
        <v>364784</v>
      </c>
      <c r="O306" s="627">
        <v>3560555</v>
      </c>
      <c r="P306" s="627">
        <v>0</v>
      </c>
      <c r="Q306" s="626">
        <v>0</v>
      </c>
      <c r="R306" s="626"/>
      <c r="S306" s="627">
        <v>708531</v>
      </c>
      <c r="T306" s="628">
        <v>433906</v>
      </c>
      <c r="U306" s="628">
        <v>1142436</v>
      </c>
    </row>
    <row r="307" spans="1:21" x14ac:dyDescent="0.25">
      <c r="A307" s="623">
        <v>93211</v>
      </c>
      <c r="B307" s="624" t="s">
        <v>1445</v>
      </c>
      <c r="C307" s="625">
        <v>2.1372599999999999E-2</v>
      </c>
      <c r="D307" s="625">
        <v>2.15996E-2</v>
      </c>
      <c r="E307" s="626">
        <v>8388513</v>
      </c>
      <c r="F307" s="626">
        <v>-11921208</v>
      </c>
      <c r="G307" s="626">
        <v>9591895</v>
      </c>
      <c r="H307" s="626"/>
      <c r="I307" s="627">
        <v>0</v>
      </c>
      <c r="J307" s="627">
        <v>19276290</v>
      </c>
      <c r="K307" s="627">
        <v>0</v>
      </c>
      <c r="L307" s="626">
        <v>0</v>
      </c>
      <c r="M307" s="626"/>
      <c r="N307" s="627">
        <v>2254660</v>
      </c>
      <c r="O307" s="627">
        <v>22007088</v>
      </c>
      <c r="P307" s="627">
        <v>0</v>
      </c>
      <c r="Q307" s="626">
        <v>1009770</v>
      </c>
      <c r="R307" s="626"/>
      <c r="S307" s="627">
        <v>4379288</v>
      </c>
      <c r="T307" s="628">
        <v>-306701</v>
      </c>
      <c r="U307" s="628">
        <v>4072587</v>
      </c>
    </row>
    <row r="308" spans="1:21" x14ac:dyDescent="0.25">
      <c r="A308" s="623">
        <v>93212</v>
      </c>
      <c r="B308" s="624" t="s">
        <v>1446</v>
      </c>
      <c r="C308" s="625">
        <v>2.129E-4</v>
      </c>
      <c r="D308" s="625">
        <v>2.1350000000000001E-4</v>
      </c>
      <c r="E308" s="626">
        <v>153528</v>
      </c>
      <c r="F308" s="626">
        <v>-117834</v>
      </c>
      <c r="G308" s="626">
        <v>95548</v>
      </c>
      <c r="H308" s="626"/>
      <c r="I308" s="627">
        <v>0</v>
      </c>
      <c r="J308" s="627">
        <v>192018</v>
      </c>
      <c r="K308" s="627">
        <v>0</v>
      </c>
      <c r="L308" s="626">
        <v>59120</v>
      </c>
      <c r="M308" s="626"/>
      <c r="N308" s="627">
        <v>22459</v>
      </c>
      <c r="O308" s="627">
        <v>219220</v>
      </c>
      <c r="P308" s="627">
        <v>0</v>
      </c>
      <c r="Q308" s="626">
        <v>0</v>
      </c>
      <c r="R308" s="626"/>
      <c r="S308" s="627">
        <v>43624</v>
      </c>
      <c r="T308" s="628">
        <v>15967</v>
      </c>
      <c r="U308" s="628">
        <v>59591</v>
      </c>
    </row>
    <row r="309" spans="1:21" x14ac:dyDescent="0.25">
      <c r="A309" s="623">
        <v>93219</v>
      </c>
      <c r="B309" s="624" t="s">
        <v>1447</v>
      </c>
      <c r="C309" s="625">
        <v>2.41E-4</v>
      </c>
      <c r="D309" s="625">
        <v>2.6590000000000001E-4</v>
      </c>
      <c r="E309" s="626">
        <v>105431</v>
      </c>
      <c r="F309" s="626">
        <v>-146755</v>
      </c>
      <c r="G309" s="626">
        <v>108159</v>
      </c>
      <c r="H309" s="626"/>
      <c r="I309" s="627">
        <v>0</v>
      </c>
      <c r="J309" s="627">
        <v>217362</v>
      </c>
      <c r="K309" s="627">
        <v>0</v>
      </c>
      <c r="L309" s="626">
        <v>365</v>
      </c>
      <c r="M309" s="626"/>
      <c r="N309" s="627">
        <v>25424</v>
      </c>
      <c r="O309" s="627">
        <v>248155</v>
      </c>
      <c r="P309" s="627">
        <v>0</v>
      </c>
      <c r="Q309" s="626">
        <v>11898</v>
      </c>
      <c r="R309" s="626"/>
      <c r="S309" s="627">
        <v>49381</v>
      </c>
      <c r="T309" s="628">
        <v>-2993</v>
      </c>
      <c r="U309" s="628">
        <v>46389</v>
      </c>
    </row>
    <row r="310" spans="1:21" x14ac:dyDescent="0.25">
      <c r="A310" s="623">
        <v>93301</v>
      </c>
      <c r="B310" s="624" t="s">
        <v>1448</v>
      </c>
      <c r="C310" s="625">
        <v>2.4084000000000002E-3</v>
      </c>
      <c r="D310" s="625">
        <v>2.5936000000000002E-3</v>
      </c>
      <c r="E310" s="626">
        <v>1041709</v>
      </c>
      <c r="F310" s="626">
        <v>-1431455</v>
      </c>
      <c r="G310" s="626">
        <v>1080875</v>
      </c>
      <c r="H310" s="626"/>
      <c r="I310" s="627">
        <v>0</v>
      </c>
      <c r="J310" s="627">
        <v>2172174</v>
      </c>
      <c r="K310" s="627">
        <v>0</v>
      </c>
      <c r="L310" s="626">
        <v>0</v>
      </c>
      <c r="M310" s="626"/>
      <c r="N310" s="627">
        <v>254069</v>
      </c>
      <c r="O310" s="627">
        <v>2479898</v>
      </c>
      <c r="P310" s="627">
        <v>0</v>
      </c>
      <c r="Q310" s="626">
        <v>119403</v>
      </c>
      <c r="R310" s="626"/>
      <c r="S310" s="627">
        <v>493486</v>
      </c>
      <c r="T310" s="628">
        <v>-33854</v>
      </c>
      <c r="U310" s="628">
        <v>459632</v>
      </c>
    </row>
    <row r="311" spans="1:21" x14ac:dyDescent="0.25">
      <c r="A311" s="623">
        <v>93304</v>
      </c>
      <c r="B311" s="624" t="s">
        <v>1449</v>
      </c>
      <c r="C311" s="625">
        <v>3.3399999999999999E-5</v>
      </c>
      <c r="D311" s="625">
        <v>2.0299999999999999E-5</v>
      </c>
      <c r="E311" s="626">
        <v>17524</v>
      </c>
      <c r="F311" s="626">
        <v>-11204</v>
      </c>
      <c r="G311" s="626">
        <v>14990</v>
      </c>
      <c r="H311" s="626"/>
      <c r="I311" s="627">
        <v>0</v>
      </c>
      <c r="J311" s="627">
        <v>30124</v>
      </c>
      <c r="K311" s="627">
        <v>0</v>
      </c>
      <c r="L311" s="626">
        <v>15670</v>
      </c>
      <c r="M311" s="626"/>
      <c r="N311" s="627">
        <v>3523</v>
      </c>
      <c r="O311" s="627">
        <v>34392</v>
      </c>
      <c r="P311" s="627">
        <v>0</v>
      </c>
      <c r="Q311" s="626">
        <v>0</v>
      </c>
      <c r="R311" s="626"/>
      <c r="S311" s="627">
        <v>6844</v>
      </c>
      <c r="T311" s="628">
        <v>4349</v>
      </c>
      <c r="U311" s="628">
        <v>11193</v>
      </c>
    </row>
    <row r="312" spans="1:21" x14ac:dyDescent="0.25">
      <c r="A312" s="623">
        <v>93305</v>
      </c>
      <c r="B312" s="624" t="s">
        <v>1450</v>
      </c>
      <c r="C312" s="625">
        <v>5.13E-5</v>
      </c>
      <c r="D312" s="625">
        <v>4.9700000000000002E-5</v>
      </c>
      <c r="E312" s="626">
        <v>18961</v>
      </c>
      <c r="F312" s="626">
        <v>-27430</v>
      </c>
      <c r="G312" s="626">
        <v>23023</v>
      </c>
      <c r="H312" s="626"/>
      <c r="I312" s="627">
        <v>0</v>
      </c>
      <c r="J312" s="627">
        <v>46268</v>
      </c>
      <c r="K312" s="627">
        <v>0</v>
      </c>
      <c r="L312" s="626">
        <v>0</v>
      </c>
      <c r="M312" s="626"/>
      <c r="N312" s="627">
        <v>5412</v>
      </c>
      <c r="O312" s="627">
        <v>52823</v>
      </c>
      <c r="P312" s="627">
        <v>0</v>
      </c>
      <c r="Q312" s="626">
        <v>1538</v>
      </c>
      <c r="R312" s="626"/>
      <c r="S312" s="627">
        <v>10511</v>
      </c>
      <c r="T312" s="628">
        <v>-482</v>
      </c>
      <c r="U312" s="628">
        <v>10030</v>
      </c>
    </row>
    <row r="313" spans="1:21" x14ac:dyDescent="0.25">
      <c r="A313" s="623">
        <v>93309</v>
      </c>
      <c r="B313" s="624" t="s">
        <v>1451</v>
      </c>
      <c r="C313" s="625">
        <v>1.5359999999999999E-4</v>
      </c>
      <c r="D313" s="625">
        <v>1.5980000000000001E-4</v>
      </c>
      <c r="E313" s="626">
        <v>79405</v>
      </c>
      <c r="F313" s="626">
        <v>-88196</v>
      </c>
      <c r="G313" s="626">
        <v>68935</v>
      </c>
      <c r="H313" s="626"/>
      <c r="I313" s="627">
        <v>0</v>
      </c>
      <c r="J313" s="627">
        <v>138534</v>
      </c>
      <c r="K313" s="627">
        <v>0</v>
      </c>
      <c r="L313" s="626">
        <v>8879</v>
      </c>
      <c r="M313" s="626"/>
      <c r="N313" s="627">
        <v>16204</v>
      </c>
      <c r="O313" s="627">
        <v>158160</v>
      </c>
      <c r="P313" s="627">
        <v>0</v>
      </c>
      <c r="Q313" s="626">
        <v>2963.09</v>
      </c>
      <c r="R313" s="626"/>
      <c r="S313" s="627">
        <v>31473</v>
      </c>
      <c r="T313" s="628">
        <v>1333</v>
      </c>
      <c r="U313" s="628">
        <v>32806</v>
      </c>
    </row>
    <row r="314" spans="1:21" x14ac:dyDescent="0.25">
      <c r="A314" s="623">
        <v>93311</v>
      </c>
      <c r="B314" s="624" t="s">
        <v>1452</v>
      </c>
      <c r="C314" s="625">
        <v>1.2727000000000001E-3</v>
      </c>
      <c r="D314" s="625">
        <v>1.263E-3</v>
      </c>
      <c r="E314" s="626">
        <v>471550</v>
      </c>
      <c r="F314" s="626">
        <v>-697072</v>
      </c>
      <c r="G314" s="626">
        <v>571180</v>
      </c>
      <c r="H314" s="626"/>
      <c r="I314" s="627">
        <v>0</v>
      </c>
      <c r="J314" s="627">
        <v>1147868</v>
      </c>
      <c r="K314" s="627">
        <v>0</v>
      </c>
      <c r="L314" s="626">
        <v>0</v>
      </c>
      <c r="M314" s="626"/>
      <c r="N314" s="627">
        <v>134261</v>
      </c>
      <c r="O314" s="627">
        <v>1310483</v>
      </c>
      <c r="P314" s="627">
        <v>0</v>
      </c>
      <c r="Q314" s="626">
        <v>58003</v>
      </c>
      <c r="R314" s="626"/>
      <c r="S314" s="627">
        <v>260779</v>
      </c>
      <c r="T314" s="628">
        <v>-17125</v>
      </c>
      <c r="U314" s="628">
        <v>243653</v>
      </c>
    </row>
    <row r="315" spans="1:21" x14ac:dyDescent="0.25">
      <c r="A315" s="623">
        <v>93317</v>
      </c>
      <c r="B315" s="624" t="s">
        <v>1453</v>
      </c>
      <c r="C315" s="625">
        <v>4.6600000000000001E-5</v>
      </c>
      <c r="D315" s="625">
        <v>4.6600000000000001E-5</v>
      </c>
      <c r="E315" s="626">
        <v>19178</v>
      </c>
      <c r="F315" s="626">
        <v>-25719</v>
      </c>
      <c r="G315" s="626">
        <v>20914</v>
      </c>
      <c r="H315" s="626"/>
      <c r="I315" s="627">
        <v>0</v>
      </c>
      <c r="J315" s="627">
        <v>42029</v>
      </c>
      <c r="K315" s="627">
        <v>0</v>
      </c>
      <c r="L315" s="626">
        <v>120</v>
      </c>
      <c r="M315" s="626"/>
      <c r="N315" s="627">
        <v>4916</v>
      </c>
      <c r="O315" s="627">
        <v>47983</v>
      </c>
      <c r="P315" s="627">
        <v>0</v>
      </c>
      <c r="Q315" s="626">
        <v>837.2</v>
      </c>
      <c r="R315" s="626"/>
      <c r="S315" s="627">
        <v>9548</v>
      </c>
      <c r="T315" s="628">
        <v>-249</v>
      </c>
      <c r="U315" s="628">
        <v>9300</v>
      </c>
    </row>
    <row r="316" spans="1:21" x14ac:dyDescent="0.25">
      <c r="A316" s="623">
        <v>93321</v>
      </c>
      <c r="B316" s="624" t="s">
        <v>1454</v>
      </c>
      <c r="C316" s="625">
        <v>7.7070000000000003E-3</v>
      </c>
      <c r="D316" s="625">
        <v>7.7536999999999997E-3</v>
      </c>
      <c r="E316" s="626">
        <v>2934337</v>
      </c>
      <c r="F316" s="626">
        <v>-4279407</v>
      </c>
      <c r="G316" s="626">
        <v>3458855</v>
      </c>
      <c r="H316" s="626"/>
      <c r="I316" s="627">
        <v>0</v>
      </c>
      <c r="J316" s="627">
        <v>6951067</v>
      </c>
      <c r="K316" s="627">
        <v>0</v>
      </c>
      <c r="L316" s="626">
        <v>0</v>
      </c>
      <c r="M316" s="626"/>
      <c r="N316" s="627">
        <v>813035</v>
      </c>
      <c r="O316" s="627">
        <v>7935798</v>
      </c>
      <c r="P316" s="627">
        <v>0</v>
      </c>
      <c r="Q316" s="626">
        <v>629594</v>
      </c>
      <c r="R316" s="626"/>
      <c r="S316" s="627">
        <v>1579180</v>
      </c>
      <c r="T316" s="628">
        <v>-195959</v>
      </c>
      <c r="U316" s="628">
        <v>1383221</v>
      </c>
    </row>
    <row r="317" spans="1:21" x14ac:dyDescent="0.25">
      <c r="A317" s="623">
        <v>93323</v>
      </c>
      <c r="B317" s="624" t="s">
        <v>1455</v>
      </c>
      <c r="C317" s="625">
        <v>1.4600000000000001E-5</v>
      </c>
      <c r="D317" s="625">
        <v>1.6699999999999999E-5</v>
      </c>
      <c r="E317" s="626">
        <v>10783</v>
      </c>
      <c r="F317" s="626">
        <v>-9217</v>
      </c>
      <c r="G317" s="626">
        <v>6552</v>
      </c>
      <c r="H317" s="626"/>
      <c r="I317" s="627">
        <v>0</v>
      </c>
      <c r="J317" s="627">
        <v>13168</v>
      </c>
      <c r="K317" s="627">
        <v>0</v>
      </c>
      <c r="L317" s="626">
        <v>4004</v>
      </c>
      <c r="M317" s="626"/>
      <c r="N317" s="627">
        <v>1540</v>
      </c>
      <c r="O317" s="627">
        <v>15033</v>
      </c>
      <c r="P317" s="627">
        <v>0</v>
      </c>
      <c r="Q317" s="626">
        <v>0</v>
      </c>
      <c r="R317" s="626"/>
      <c r="S317" s="627">
        <v>2992</v>
      </c>
      <c r="T317" s="628">
        <v>1169</v>
      </c>
      <c r="U317" s="628">
        <v>4160</v>
      </c>
    </row>
    <row r="318" spans="1:21" x14ac:dyDescent="0.25">
      <c r="A318" s="623">
        <v>93331</v>
      </c>
      <c r="B318" s="624" t="s">
        <v>1456</v>
      </c>
      <c r="C318" s="625">
        <v>1.1909999999999999E-4</v>
      </c>
      <c r="D318" s="625">
        <v>1.3779999999999999E-4</v>
      </c>
      <c r="E318" s="626">
        <v>49446</v>
      </c>
      <c r="F318" s="626">
        <v>-76054</v>
      </c>
      <c r="G318" s="626">
        <v>53451</v>
      </c>
      <c r="H318" s="626"/>
      <c r="I318" s="627">
        <v>0</v>
      </c>
      <c r="J318" s="627">
        <v>107418</v>
      </c>
      <c r="K318" s="627">
        <v>0</v>
      </c>
      <c r="L318" s="626">
        <v>5845</v>
      </c>
      <c r="M318" s="626"/>
      <c r="N318" s="627">
        <v>12564</v>
      </c>
      <c r="O318" s="627">
        <v>122636</v>
      </c>
      <c r="P318" s="627">
        <v>0</v>
      </c>
      <c r="Q318" s="626">
        <v>12473</v>
      </c>
      <c r="R318" s="626"/>
      <c r="S318" s="627">
        <v>24404</v>
      </c>
      <c r="T318" s="628">
        <v>-1310</v>
      </c>
      <c r="U318" s="628">
        <v>23094</v>
      </c>
    </row>
    <row r="319" spans="1:21" x14ac:dyDescent="0.25">
      <c r="A319" s="623">
        <v>93333</v>
      </c>
      <c r="B319" s="624" t="s">
        <v>1457</v>
      </c>
      <c r="C319" s="625">
        <v>2.1479999999999999E-4</v>
      </c>
      <c r="D319" s="625">
        <v>1.9670000000000001E-4</v>
      </c>
      <c r="E319" s="626">
        <v>211354</v>
      </c>
      <c r="F319" s="626">
        <v>-108562</v>
      </c>
      <c r="G319" s="626">
        <v>96401</v>
      </c>
      <c r="H319" s="626"/>
      <c r="I319" s="627">
        <v>0</v>
      </c>
      <c r="J319" s="627">
        <v>193732</v>
      </c>
      <c r="K319" s="627">
        <v>0</v>
      </c>
      <c r="L319" s="626">
        <v>125918</v>
      </c>
      <c r="M319" s="626"/>
      <c r="N319" s="627">
        <v>22660</v>
      </c>
      <c r="O319" s="627">
        <v>221177</v>
      </c>
      <c r="P319" s="627">
        <v>0</v>
      </c>
      <c r="Q319" s="626">
        <v>0</v>
      </c>
      <c r="R319" s="626"/>
      <c r="S319" s="627">
        <v>44013</v>
      </c>
      <c r="T319" s="628">
        <v>34069</v>
      </c>
      <c r="U319" s="628">
        <v>78082</v>
      </c>
    </row>
    <row r="320" spans="1:21" x14ac:dyDescent="0.25">
      <c r="A320" s="623">
        <v>93341</v>
      </c>
      <c r="B320" s="624" t="s">
        <v>1458</v>
      </c>
      <c r="C320" s="625">
        <v>2.6699999999999998E-5</v>
      </c>
      <c r="D320" s="625">
        <v>2.8E-5</v>
      </c>
      <c r="E320" s="626">
        <v>12967</v>
      </c>
      <c r="F320" s="626">
        <v>-15454</v>
      </c>
      <c r="G320" s="626">
        <v>11983</v>
      </c>
      <c r="H320" s="626"/>
      <c r="I320" s="627">
        <v>0</v>
      </c>
      <c r="J320" s="627">
        <v>24081</v>
      </c>
      <c r="K320" s="627">
        <v>0</v>
      </c>
      <c r="L320" s="626">
        <v>1649</v>
      </c>
      <c r="M320" s="626"/>
      <c r="N320" s="627">
        <v>2817</v>
      </c>
      <c r="O320" s="627">
        <v>27493</v>
      </c>
      <c r="P320" s="627">
        <v>0</v>
      </c>
      <c r="Q320" s="626">
        <v>0</v>
      </c>
      <c r="R320" s="626"/>
      <c r="S320" s="627">
        <v>5471</v>
      </c>
      <c r="T320" s="628">
        <v>499</v>
      </c>
      <c r="U320" s="628">
        <v>5970</v>
      </c>
    </row>
    <row r="321" spans="1:21" x14ac:dyDescent="0.25">
      <c r="A321" s="623">
        <v>93351</v>
      </c>
      <c r="B321" s="624" t="s">
        <v>1459</v>
      </c>
      <c r="C321" s="625">
        <v>5.4999999999999999E-6</v>
      </c>
      <c r="D321" s="625">
        <v>2.3E-5</v>
      </c>
      <c r="E321" s="626">
        <v>7509</v>
      </c>
      <c r="F321" s="626">
        <v>-12694</v>
      </c>
      <c r="G321" s="626">
        <v>2468</v>
      </c>
      <c r="H321" s="626"/>
      <c r="I321" s="627">
        <v>0</v>
      </c>
      <c r="J321" s="627">
        <v>4961</v>
      </c>
      <c r="K321" s="627">
        <v>0</v>
      </c>
      <c r="L321" s="626">
        <v>0</v>
      </c>
      <c r="M321" s="626"/>
      <c r="N321" s="627">
        <v>580</v>
      </c>
      <c r="O321" s="627">
        <v>5663</v>
      </c>
      <c r="P321" s="627">
        <v>0</v>
      </c>
      <c r="Q321" s="626">
        <v>9033</v>
      </c>
      <c r="R321" s="626"/>
      <c r="S321" s="627">
        <v>1127</v>
      </c>
      <c r="T321" s="628">
        <v>-2432</v>
      </c>
      <c r="U321" s="628">
        <v>-1305</v>
      </c>
    </row>
    <row r="322" spans="1:21" x14ac:dyDescent="0.25">
      <c r="A322" s="623">
        <v>93401</v>
      </c>
      <c r="B322" s="624" t="s">
        <v>1460</v>
      </c>
      <c r="C322" s="625">
        <v>1.4001899999999999E-2</v>
      </c>
      <c r="D322" s="625">
        <v>1.39352E-2</v>
      </c>
      <c r="E322" s="626">
        <v>5848201</v>
      </c>
      <c r="F322" s="626">
        <v>-7691088</v>
      </c>
      <c r="G322" s="626">
        <v>6283969</v>
      </c>
      <c r="H322" s="626"/>
      <c r="I322" s="627">
        <v>0</v>
      </c>
      <c r="J322" s="627">
        <v>12628538</v>
      </c>
      <c r="K322" s="627">
        <v>0</v>
      </c>
      <c r="L322" s="626">
        <v>151006</v>
      </c>
      <c r="M322" s="626"/>
      <c r="N322" s="627">
        <v>1477102</v>
      </c>
      <c r="O322" s="627">
        <v>14417574</v>
      </c>
      <c r="P322" s="627">
        <v>0</v>
      </c>
      <c r="Q322" s="626">
        <v>265718.31</v>
      </c>
      <c r="R322" s="626"/>
      <c r="S322" s="627">
        <v>2869017</v>
      </c>
      <c r="T322" s="628">
        <v>-49339</v>
      </c>
      <c r="U322" s="628">
        <v>2819679</v>
      </c>
    </row>
    <row r="323" spans="1:21" x14ac:dyDescent="0.25">
      <c r="A323" s="623">
        <v>93402</v>
      </c>
      <c r="B323" s="624" t="s">
        <v>1461</v>
      </c>
      <c r="C323" s="625">
        <v>9.4400000000000004E-5</v>
      </c>
      <c r="D323" s="625">
        <v>8.4499999999999994E-5</v>
      </c>
      <c r="E323" s="626">
        <v>38508</v>
      </c>
      <c r="F323" s="626">
        <v>-46637</v>
      </c>
      <c r="G323" s="626">
        <v>42366</v>
      </c>
      <c r="H323" s="626"/>
      <c r="I323" s="627">
        <v>0</v>
      </c>
      <c r="J323" s="627">
        <v>85141</v>
      </c>
      <c r="K323" s="627">
        <v>0</v>
      </c>
      <c r="L323" s="626">
        <v>13711</v>
      </c>
      <c r="M323" s="626"/>
      <c r="N323" s="627">
        <v>9959</v>
      </c>
      <c r="O323" s="627">
        <v>97202</v>
      </c>
      <c r="P323" s="627">
        <v>0</v>
      </c>
      <c r="Q323" s="626">
        <v>0</v>
      </c>
      <c r="R323" s="626"/>
      <c r="S323" s="627">
        <v>19343</v>
      </c>
      <c r="T323" s="628">
        <v>4083</v>
      </c>
      <c r="U323" s="628">
        <v>23425</v>
      </c>
    </row>
    <row r="324" spans="1:21" x14ac:dyDescent="0.25">
      <c r="A324" s="623">
        <v>93406</v>
      </c>
      <c r="B324" s="624" t="s">
        <v>1462</v>
      </c>
      <c r="C324" s="625">
        <v>7.0850000000000004E-4</v>
      </c>
      <c r="D324" s="625">
        <v>7.1690000000000002E-4</v>
      </c>
      <c r="E324" s="626">
        <v>319697</v>
      </c>
      <c r="F324" s="626">
        <v>-395670</v>
      </c>
      <c r="G324" s="626">
        <v>317971</v>
      </c>
      <c r="H324" s="626"/>
      <c r="I324" s="627">
        <v>0</v>
      </c>
      <c r="J324" s="627">
        <v>639007</v>
      </c>
      <c r="K324" s="627">
        <v>0</v>
      </c>
      <c r="L324" s="626">
        <v>55716</v>
      </c>
      <c r="M324" s="626"/>
      <c r="N324" s="627">
        <v>74742</v>
      </c>
      <c r="O324" s="627">
        <v>729533</v>
      </c>
      <c r="P324" s="627">
        <v>0</v>
      </c>
      <c r="Q324" s="626">
        <v>0</v>
      </c>
      <c r="R324" s="626"/>
      <c r="S324" s="627">
        <v>145173</v>
      </c>
      <c r="T324" s="628">
        <v>17310</v>
      </c>
      <c r="U324" s="628">
        <v>162483</v>
      </c>
    </row>
    <row r="325" spans="1:21" x14ac:dyDescent="0.25">
      <c r="A325" s="623">
        <v>93408</v>
      </c>
      <c r="B325" s="624" t="s">
        <v>1463</v>
      </c>
      <c r="C325" s="625">
        <v>1.7309000000000001E-3</v>
      </c>
      <c r="D325" s="625">
        <v>1.6236E-3</v>
      </c>
      <c r="E325" s="626">
        <v>767569</v>
      </c>
      <c r="F325" s="626">
        <v>-896094</v>
      </c>
      <c r="G325" s="626">
        <v>776818</v>
      </c>
      <c r="H325" s="626"/>
      <c r="I325" s="627">
        <v>0</v>
      </c>
      <c r="J325" s="627">
        <v>1561126</v>
      </c>
      <c r="K325" s="627">
        <v>0</v>
      </c>
      <c r="L325" s="626">
        <v>470004</v>
      </c>
      <c r="M325" s="626"/>
      <c r="N325" s="627">
        <v>182598</v>
      </c>
      <c r="O325" s="627">
        <v>1782285</v>
      </c>
      <c r="P325" s="627">
        <v>0</v>
      </c>
      <c r="Q325" s="626">
        <v>0</v>
      </c>
      <c r="R325" s="626"/>
      <c r="S325" s="627">
        <v>354665</v>
      </c>
      <c r="T325" s="628">
        <v>148215</v>
      </c>
      <c r="U325" s="628">
        <v>502879</v>
      </c>
    </row>
    <row r="326" spans="1:21" x14ac:dyDescent="0.25">
      <c r="A326" s="623">
        <v>93411</v>
      </c>
      <c r="B326" s="624" t="s">
        <v>1464</v>
      </c>
      <c r="C326" s="625">
        <v>1.8002500000000001E-2</v>
      </c>
      <c r="D326" s="625">
        <v>1.80839E-2</v>
      </c>
      <c r="E326" s="626">
        <v>7250385</v>
      </c>
      <c r="F326" s="626">
        <v>-9980830</v>
      </c>
      <c r="G326" s="626">
        <v>8079414</v>
      </c>
      <c r="H326" s="626"/>
      <c r="I326" s="627">
        <v>0</v>
      </c>
      <c r="J326" s="627">
        <v>16236743</v>
      </c>
      <c r="K326" s="627">
        <v>0</v>
      </c>
      <c r="L326" s="626">
        <v>0</v>
      </c>
      <c r="M326" s="626"/>
      <c r="N326" s="627">
        <v>1899138</v>
      </c>
      <c r="O326" s="627">
        <v>18536940</v>
      </c>
      <c r="P326" s="627">
        <v>0</v>
      </c>
      <c r="Q326" s="626">
        <v>813991</v>
      </c>
      <c r="R326" s="626"/>
      <c r="S326" s="627">
        <v>3688748</v>
      </c>
      <c r="T326" s="628">
        <v>-262344</v>
      </c>
      <c r="U326" s="628">
        <v>3426404</v>
      </c>
    </row>
    <row r="327" spans="1:21" x14ac:dyDescent="0.25">
      <c r="A327" s="623">
        <v>93413</v>
      </c>
      <c r="B327" s="624" t="s">
        <v>1465</v>
      </c>
      <c r="C327" s="625">
        <v>8.6039999999999999E-4</v>
      </c>
      <c r="D327" s="625">
        <v>9.4110000000000005E-4</v>
      </c>
      <c r="E327" s="626">
        <v>377811</v>
      </c>
      <c r="F327" s="626">
        <v>-519410</v>
      </c>
      <c r="G327" s="626">
        <v>386142</v>
      </c>
      <c r="H327" s="626"/>
      <c r="I327" s="627">
        <v>0</v>
      </c>
      <c r="J327" s="627">
        <v>776009</v>
      </c>
      <c r="K327" s="627">
        <v>0</v>
      </c>
      <c r="L327" s="626">
        <v>0</v>
      </c>
      <c r="M327" s="626"/>
      <c r="N327" s="627">
        <v>90766</v>
      </c>
      <c r="O327" s="627">
        <v>885943</v>
      </c>
      <c r="P327" s="627">
        <v>0</v>
      </c>
      <c r="Q327" s="626">
        <v>43852</v>
      </c>
      <c r="R327" s="626"/>
      <c r="S327" s="627">
        <v>176298</v>
      </c>
      <c r="T327" s="628">
        <v>-12079</v>
      </c>
      <c r="U327" s="628">
        <v>164219</v>
      </c>
    </row>
    <row r="328" spans="1:21" x14ac:dyDescent="0.25">
      <c r="A328" s="623">
        <v>93417</v>
      </c>
      <c r="B328" s="624" t="s">
        <v>1466</v>
      </c>
      <c r="C328" s="625">
        <v>4.2470000000000002E-4</v>
      </c>
      <c r="D328" s="625">
        <v>4.4220000000000001E-4</v>
      </c>
      <c r="E328" s="626">
        <v>191766</v>
      </c>
      <c r="F328" s="626">
        <v>-244058</v>
      </c>
      <c r="G328" s="626">
        <v>190603</v>
      </c>
      <c r="H328" s="626"/>
      <c r="I328" s="627">
        <v>0</v>
      </c>
      <c r="J328" s="627">
        <v>383044</v>
      </c>
      <c r="K328" s="627">
        <v>0</v>
      </c>
      <c r="L328" s="626">
        <v>41318</v>
      </c>
      <c r="M328" s="626"/>
      <c r="N328" s="627">
        <v>44803</v>
      </c>
      <c r="O328" s="627">
        <v>437308</v>
      </c>
      <c r="P328" s="627">
        <v>0</v>
      </c>
      <c r="Q328" s="626">
        <v>0</v>
      </c>
      <c r="R328" s="626"/>
      <c r="S328" s="627">
        <v>87022</v>
      </c>
      <c r="T328" s="628">
        <v>13653</v>
      </c>
      <c r="U328" s="628">
        <v>100675</v>
      </c>
    </row>
    <row r="329" spans="1:21" x14ac:dyDescent="0.25">
      <c r="A329" s="623">
        <v>93421</v>
      </c>
      <c r="B329" s="624" t="s">
        <v>1467</v>
      </c>
      <c r="C329" s="625">
        <v>2.2629E-3</v>
      </c>
      <c r="D329" s="625">
        <v>2.2694E-3</v>
      </c>
      <c r="E329" s="626">
        <v>804631</v>
      </c>
      <c r="F329" s="626">
        <v>-1252523</v>
      </c>
      <c r="G329" s="626">
        <v>1015576</v>
      </c>
      <c r="H329" s="626"/>
      <c r="I329" s="627">
        <v>0</v>
      </c>
      <c r="J329" s="627">
        <v>2040946</v>
      </c>
      <c r="K329" s="627">
        <v>0</v>
      </c>
      <c r="L329" s="626">
        <v>0</v>
      </c>
      <c r="M329" s="626"/>
      <c r="N329" s="627">
        <v>238720</v>
      </c>
      <c r="O329" s="627">
        <v>2330079</v>
      </c>
      <c r="P329" s="627">
        <v>0</v>
      </c>
      <c r="Q329" s="626">
        <v>239303</v>
      </c>
      <c r="R329" s="626"/>
      <c r="S329" s="627">
        <v>463673</v>
      </c>
      <c r="T329" s="628">
        <v>-72834</v>
      </c>
      <c r="U329" s="628">
        <v>390839</v>
      </c>
    </row>
    <row r="330" spans="1:21" x14ac:dyDescent="0.25">
      <c r="A330" s="623">
        <v>93431</v>
      </c>
      <c r="B330" s="624" t="s">
        <v>1468</v>
      </c>
      <c r="C330" s="625">
        <v>1.3469999999999999E-4</v>
      </c>
      <c r="D330" s="625">
        <v>1.382E-4</v>
      </c>
      <c r="E330" s="626">
        <v>55902</v>
      </c>
      <c r="F330" s="626">
        <v>-76275</v>
      </c>
      <c r="G330" s="626">
        <v>60453</v>
      </c>
      <c r="H330" s="626"/>
      <c r="I330" s="627">
        <v>0</v>
      </c>
      <c r="J330" s="627">
        <v>121488</v>
      </c>
      <c r="K330" s="627">
        <v>0</v>
      </c>
      <c r="L330" s="626">
        <v>2518</v>
      </c>
      <c r="M330" s="626"/>
      <c r="N330" s="627">
        <v>14210</v>
      </c>
      <c r="O330" s="627">
        <v>138699</v>
      </c>
      <c r="P330" s="627">
        <v>0</v>
      </c>
      <c r="Q330" s="626">
        <v>1738</v>
      </c>
      <c r="R330" s="626"/>
      <c r="S330" s="627">
        <v>27600</v>
      </c>
      <c r="T330" s="628">
        <v>387</v>
      </c>
      <c r="U330" s="628">
        <v>27987</v>
      </c>
    </row>
    <row r="331" spans="1:21" x14ac:dyDescent="0.25">
      <c r="A331" s="623">
        <v>93441</v>
      </c>
      <c r="B331" s="624" t="s">
        <v>1469</v>
      </c>
      <c r="C331" s="625">
        <v>1.3239999999999999E-4</v>
      </c>
      <c r="D331" s="625">
        <v>1.4559999999999999E-4</v>
      </c>
      <c r="E331" s="626">
        <v>72517</v>
      </c>
      <c r="F331" s="626">
        <v>-80359</v>
      </c>
      <c r="G331" s="626">
        <v>59420</v>
      </c>
      <c r="H331" s="626"/>
      <c r="I331" s="627">
        <v>0</v>
      </c>
      <c r="J331" s="627">
        <v>119414</v>
      </c>
      <c r="K331" s="627">
        <v>0</v>
      </c>
      <c r="L331" s="626">
        <v>25535</v>
      </c>
      <c r="M331" s="626"/>
      <c r="N331" s="627">
        <v>13967</v>
      </c>
      <c r="O331" s="627">
        <v>136331</v>
      </c>
      <c r="P331" s="627">
        <v>0</v>
      </c>
      <c r="Q331" s="626">
        <v>0</v>
      </c>
      <c r="R331" s="626"/>
      <c r="S331" s="627">
        <v>27129</v>
      </c>
      <c r="T331" s="628">
        <v>8150</v>
      </c>
      <c r="U331" s="628">
        <v>35279</v>
      </c>
    </row>
    <row r="332" spans="1:21" x14ac:dyDescent="0.25">
      <c r="A332" s="623">
        <v>93442</v>
      </c>
      <c r="B332" s="624" t="s">
        <v>1470</v>
      </c>
      <c r="C332" s="625">
        <v>1.7799999999999999E-4</v>
      </c>
      <c r="D332" s="625">
        <v>1.4219999999999999E-4</v>
      </c>
      <c r="E332" s="626">
        <v>52458</v>
      </c>
      <c r="F332" s="626">
        <v>-78483</v>
      </c>
      <c r="G332" s="626">
        <v>79885</v>
      </c>
      <c r="H332" s="626"/>
      <c r="I332" s="627">
        <v>0</v>
      </c>
      <c r="J332" s="627">
        <v>160541</v>
      </c>
      <c r="K332" s="627">
        <v>0</v>
      </c>
      <c r="L332" s="626">
        <v>9100</v>
      </c>
      <c r="M332" s="626"/>
      <c r="N332" s="627">
        <v>18778</v>
      </c>
      <c r="O332" s="627">
        <v>183284</v>
      </c>
      <c r="P332" s="627">
        <v>0</v>
      </c>
      <c r="Q332" s="626">
        <v>7367</v>
      </c>
      <c r="R332" s="626"/>
      <c r="S332" s="627">
        <v>36473</v>
      </c>
      <c r="T332" s="628">
        <v>-82</v>
      </c>
      <c r="U332" s="628">
        <v>36391</v>
      </c>
    </row>
    <row r="333" spans="1:21" x14ac:dyDescent="0.25">
      <c r="A333" s="623">
        <v>93451</v>
      </c>
      <c r="B333" s="624" t="s">
        <v>1471</v>
      </c>
      <c r="C333" s="625">
        <v>7.6699999999999994E-5</v>
      </c>
      <c r="D333" s="625">
        <v>7.2700000000000005E-5</v>
      </c>
      <c r="E333" s="626">
        <v>45586</v>
      </c>
      <c r="F333" s="626">
        <v>-40124</v>
      </c>
      <c r="G333" s="626">
        <v>34422</v>
      </c>
      <c r="H333" s="626"/>
      <c r="I333" s="627">
        <v>0</v>
      </c>
      <c r="J333" s="627">
        <v>69177</v>
      </c>
      <c r="K333" s="627">
        <v>0</v>
      </c>
      <c r="L333" s="626">
        <v>14117</v>
      </c>
      <c r="M333" s="626"/>
      <c r="N333" s="627">
        <v>8091</v>
      </c>
      <c r="O333" s="627">
        <v>78977</v>
      </c>
      <c r="P333" s="627">
        <v>0</v>
      </c>
      <c r="Q333" s="626">
        <v>4505.93</v>
      </c>
      <c r="R333" s="626"/>
      <c r="S333" s="627">
        <v>15716</v>
      </c>
      <c r="T333" s="628">
        <v>2189</v>
      </c>
      <c r="U333" s="628">
        <v>17905</v>
      </c>
    </row>
    <row r="334" spans="1:21" x14ac:dyDescent="0.25">
      <c r="A334" s="623">
        <v>93461</v>
      </c>
      <c r="B334" s="624" t="s">
        <v>1472</v>
      </c>
      <c r="C334" s="625">
        <v>1.7200000000000001E-5</v>
      </c>
      <c r="D334" s="625">
        <v>1.7499999999999998E-5</v>
      </c>
      <c r="E334" s="626">
        <v>7817</v>
      </c>
      <c r="F334" s="626">
        <v>-9659</v>
      </c>
      <c r="G334" s="626">
        <v>7719</v>
      </c>
      <c r="H334" s="626"/>
      <c r="I334" s="627">
        <v>0</v>
      </c>
      <c r="J334" s="627">
        <v>15513</v>
      </c>
      <c r="K334" s="627">
        <v>0</v>
      </c>
      <c r="L334" s="626">
        <v>524</v>
      </c>
      <c r="M334" s="626"/>
      <c r="N334" s="627">
        <v>1814</v>
      </c>
      <c r="O334" s="627">
        <v>17711</v>
      </c>
      <c r="P334" s="627">
        <v>0</v>
      </c>
      <c r="Q334" s="626">
        <v>0</v>
      </c>
      <c r="R334" s="626"/>
      <c r="S334" s="627">
        <v>3524</v>
      </c>
      <c r="T334" s="628">
        <v>145</v>
      </c>
      <c r="U334" s="628">
        <v>3669</v>
      </c>
    </row>
    <row r="335" spans="1:21" x14ac:dyDescent="0.25">
      <c r="A335" s="623">
        <v>93471</v>
      </c>
      <c r="B335" s="624" t="s">
        <v>1473</v>
      </c>
      <c r="C335" s="625">
        <v>1.34E-5</v>
      </c>
      <c r="D335" s="625">
        <v>1.4399999999999999E-5</v>
      </c>
      <c r="E335" s="626">
        <v>7432</v>
      </c>
      <c r="F335" s="626">
        <v>-7948</v>
      </c>
      <c r="G335" s="626">
        <v>6014</v>
      </c>
      <c r="H335" s="626"/>
      <c r="I335" s="627">
        <v>0</v>
      </c>
      <c r="J335" s="627">
        <v>12086</v>
      </c>
      <c r="K335" s="627">
        <v>0</v>
      </c>
      <c r="L335" s="626">
        <v>852</v>
      </c>
      <c r="M335" s="626"/>
      <c r="N335" s="627">
        <v>1414</v>
      </c>
      <c r="O335" s="627">
        <v>13798</v>
      </c>
      <c r="P335" s="627">
        <v>0</v>
      </c>
      <c r="Q335" s="626">
        <v>191.36</v>
      </c>
      <c r="R335" s="626"/>
      <c r="S335" s="627">
        <v>2746</v>
      </c>
      <c r="T335" s="628">
        <v>159</v>
      </c>
      <c r="U335" s="628">
        <v>2905</v>
      </c>
    </row>
    <row r="336" spans="1:21" x14ac:dyDescent="0.25">
      <c r="A336" s="623">
        <v>93501</v>
      </c>
      <c r="B336" s="624" t="s">
        <v>1474</v>
      </c>
      <c r="C336" s="625">
        <v>3.4708E-3</v>
      </c>
      <c r="D336" s="625">
        <v>3.3026000000000002E-3</v>
      </c>
      <c r="E336" s="626">
        <v>1383576</v>
      </c>
      <c r="F336" s="626">
        <v>-1822764</v>
      </c>
      <c r="G336" s="626">
        <v>1557674</v>
      </c>
      <c r="H336" s="626"/>
      <c r="I336" s="627">
        <v>0</v>
      </c>
      <c r="J336" s="627">
        <v>3130370</v>
      </c>
      <c r="K336" s="627">
        <v>0</v>
      </c>
      <c r="L336" s="626">
        <v>238351</v>
      </c>
      <c r="M336" s="626"/>
      <c r="N336" s="627">
        <v>366145</v>
      </c>
      <c r="O336" s="627">
        <v>3573838</v>
      </c>
      <c r="P336" s="627">
        <v>0</v>
      </c>
      <c r="Q336" s="626">
        <v>0</v>
      </c>
      <c r="R336" s="626"/>
      <c r="S336" s="627">
        <v>711174</v>
      </c>
      <c r="T336" s="628">
        <v>73068</v>
      </c>
      <c r="U336" s="628">
        <v>784241</v>
      </c>
    </row>
    <row r="337" spans="1:21" x14ac:dyDescent="0.25">
      <c r="A337" s="623">
        <v>93511</v>
      </c>
      <c r="B337" s="624" t="s">
        <v>1475</v>
      </c>
      <c r="C337" s="625">
        <v>1.142E-4</v>
      </c>
      <c r="D337" s="625">
        <v>1.247E-4</v>
      </c>
      <c r="E337" s="626">
        <v>44956</v>
      </c>
      <c r="F337" s="626">
        <v>-68824</v>
      </c>
      <c r="G337" s="626">
        <v>51252</v>
      </c>
      <c r="H337" s="626"/>
      <c r="I337" s="627">
        <v>0</v>
      </c>
      <c r="J337" s="627">
        <v>102999</v>
      </c>
      <c r="K337" s="627">
        <v>0</v>
      </c>
      <c r="L337" s="626">
        <v>7818.85</v>
      </c>
      <c r="M337" s="626"/>
      <c r="N337" s="627">
        <v>12047</v>
      </c>
      <c r="O337" s="627">
        <v>117590</v>
      </c>
      <c r="P337" s="627">
        <v>0</v>
      </c>
      <c r="Q337" s="626">
        <v>8692</v>
      </c>
      <c r="R337" s="626"/>
      <c r="S337" s="627">
        <v>23400</v>
      </c>
      <c r="T337" s="628">
        <v>340</v>
      </c>
      <c r="U337" s="628">
        <v>23739</v>
      </c>
    </row>
    <row r="338" spans="1:21" x14ac:dyDescent="0.25">
      <c r="A338" s="623">
        <v>93517</v>
      </c>
      <c r="B338" s="624" t="s">
        <v>1476</v>
      </c>
      <c r="C338" s="625">
        <v>6.6000000000000003E-6</v>
      </c>
      <c r="D338" s="625">
        <v>3.9999999999999998E-6</v>
      </c>
      <c r="E338" s="626">
        <v>4102</v>
      </c>
      <c r="F338" s="626">
        <v>-2208</v>
      </c>
      <c r="G338" s="626">
        <v>2962</v>
      </c>
      <c r="H338" s="626"/>
      <c r="I338" s="627">
        <v>0</v>
      </c>
      <c r="J338" s="627">
        <v>5953</v>
      </c>
      <c r="K338" s="627">
        <v>0</v>
      </c>
      <c r="L338" s="626">
        <v>2940</v>
      </c>
      <c r="M338" s="626"/>
      <c r="N338" s="627">
        <v>696</v>
      </c>
      <c r="O338" s="627">
        <v>6796</v>
      </c>
      <c r="P338" s="627">
        <v>0</v>
      </c>
      <c r="Q338" s="626">
        <v>1518.92</v>
      </c>
      <c r="R338" s="626"/>
      <c r="S338" s="627">
        <v>1352</v>
      </c>
      <c r="T338" s="628">
        <v>262</v>
      </c>
      <c r="U338" s="628">
        <v>1614</v>
      </c>
    </row>
    <row r="339" spans="1:21" x14ac:dyDescent="0.25">
      <c r="A339" s="623">
        <v>93521</v>
      </c>
      <c r="B339" s="624" t="s">
        <v>1477</v>
      </c>
      <c r="C339" s="625">
        <v>4.75E-4</v>
      </c>
      <c r="D339" s="625">
        <v>4.7249999999999999E-4</v>
      </c>
      <c r="E339" s="626">
        <v>188711</v>
      </c>
      <c r="F339" s="626">
        <v>-260781</v>
      </c>
      <c r="G339" s="626">
        <v>213177.15</v>
      </c>
      <c r="H339" s="626"/>
      <c r="I339" s="627">
        <v>0</v>
      </c>
      <c r="J339" s="627">
        <v>428410.1</v>
      </c>
      <c r="K339" s="627">
        <v>0</v>
      </c>
      <c r="L339" s="626">
        <v>0</v>
      </c>
      <c r="M339" s="626"/>
      <c r="N339" s="627">
        <v>50109</v>
      </c>
      <c r="O339" s="627">
        <v>489101</v>
      </c>
      <c r="P339" s="627">
        <v>0</v>
      </c>
      <c r="Q339" s="626">
        <v>15750</v>
      </c>
      <c r="R339" s="626"/>
      <c r="S339" s="627">
        <v>97328.45</v>
      </c>
      <c r="T339" s="628">
        <v>-5094</v>
      </c>
      <c r="U339" s="628">
        <v>92234</v>
      </c>
    </row>
    <row r="340" spans="1:21" x14ac:dyDescent="0.25">
      <c r="A340" s="623">
        <v>93527</v>
      </c>
      <c r="B340" s="624" t="s">
        <v>1478</v>
      </c>
      <c r="C340" s="625">
        <v>5.4E-6</v>
      </c>
      <c r="D340" s="625">
        <v>5.6999999999999996E-6</v>
      </c>
      <c r="E340" s="626">
        <v>8588</v>
      </c>
      <c r="F340" s="626">
        <v>-3146</v>
      </c>
      <c r="G340" s="626">
        <v>2423</v>
      </c>
      <c r="H340" s="626"/>
      <c r="I340" s="627">
        <v>0</v>
      </c>
      <c r="J340" s="627">
        <v>4870</v>
      </c>
      <c r="K340" s="627">
        <v>0</v>
      </c>
      <c r="L340" s="626">
        <v>9097</v>
      </c>
      <c r="M340" s="626"/>
      <c r="N340" s="627">
        <v>570</v>
      </c>
      <c r="O340" s="627">
        <v>5560</v>
      </c>
      <c r="P340" s="627">
        <v>0</v>
      </c>
      <c r="Q340" s="626">
        <v>0</v>
      </c>
      <c r="R340" s="626"/>
      <c r="S340" s="627">
        <v>1106</v>
      </c>
      <c r="T340" s="628">
        <v>2690</v>
      </c>
      <c r="U340" s="628">
        <v>3797</v>
      </c>
    </row>
    <row r="341" spans="1:21" x14ac:dyDescent="0.25">
      <c r="A341" s="623">
        <v>93531</v>
      </c>
      <c r="B341" s="624" t="s">
        <v>1479</v>
      </c>
      <c r="C341" s="625">
        <v>2.4700000000000001E-5</v>
      </c>
      <c r="D341" s="625">
        <v>2.9200000000000002E-5</v>
      </c>
      <c r="E341" s="626">
        <v>13849</v>
      </c>
      <c r="F341" s="626">
        <v>-16116</v>
      </c>
      <c r="G341" s="626">
        <v>11085</v>
      </c>
      <c r="H341" s="626"/>
      <c r="I341" s="627">
        <v>0</v>
      </c>
      <c r="J341" s="627">
        <v>22277</v>
      </c>
      <c r="K341" s="627">
        <v>0</v>
      </c>
      <c r="L341" s="626">
        <v>0</v>
      </c>
      <c r="M341" s="626"/>
      <c r="N341" s="627">
        <v>2606</v>
      </c>
      <c r="O341" s="627">
        <v>25433</v>
      </c>
      <c r="P341" s="627">
        <v>0</v>
      </c>
      <c r="Q341" s="626">
        <v>3260</v>
      </c>
      <c r="R341" s="626"/>
      <c r="S341" s="627">
        <v>5061</v>
      </c>
      <c r="T341" s="628">
        <v>-1078</v>
      </c>
      <c r="U341" s="628">
        <v>3983</v>
      </c>
    </row>
    <row r="342" spans="1:21" x14ac:dyDescent="0.25">
      <c r="A342" s="623">
        <v>93537</v>
      </c>
      <c r="B342" s="624" t="s">
        <v>1480</v>
      </c>
      <c r="C342" s="625">
        <v>1.13E-5</v>
      </c>
      <c r="D342" s="625">
        <v>1.0499999999999999E-5</v>
      </c>
      <c r="E342" s="626">
        <v>3658</v>
      </c>
      <c r="F342" s="626">
        <v>-5795</v>
      </c>
      <c r="G342" s="626">
        <v>5071</v>
      </c>
      <c r="H342" s="626"/>
      <c r="I342" s="627">
        <v>0</v>
      </c>
      <c r="J342" s="627">
        <v>10192</v>
      </c>
      <c r="K342" s="627">
        <v>0</v>
      </c>
      <c r="L342" s="626">
        <v>0</v>
      </c>
      <c r="M342" s="626"/>
      <c r="N342" s="627">
        <v>1192</v>
      </c>
      <c r="O342" s="627">
        <v>11635</v>
      </c>
      <c r="P342" s="627">
        <v>0</v>
      </c>
      <c r="Q342" s="626">
        <v>253</v>
      </c>
      <c r="R342" s="626"/>
      <c r="S342" s="627">
        <v>2315</v>
      </c>
      <c r="T342" s="628">
        <v>-70</v>
      </c>
      <c r="U342" s="628">
        <v>2245</v>
      </c>
    </row>
    <row r="343" spans="1:21" x14ac:dyDescent="0.25">
      <c r="A343" s="623">
        <v>93541</v>
      </c>
      <c r="B343" s="624" t="s">
        <v>1481</v>
      </c>
      <c r="C343" s="625">
        <v>1.069E-4</v>
      </c>
      <c r="D343" s="625">
        <v>1.0900000000000001E-4</v>
      </c>
      <c r="E343" s="626">
        <v>44172</v>
      </c>
      <c r="F343" s="626">
        <v>-60159</v>
      </c>
      <c r="G343" s="626">
        <v>47976</v>
      </c>
      <c r="H343" s="626"/>
      <c r="I343" s="627">
        <v>0</v>
      </c>
      <c r="J343" s="627">
        <v>96415</v>
      </c>
      <c r="K343" s="627">
        <v>0</v>
      </c>
      <c r="L343" s="626">
        <v>12860</v>
      </c>
      <c r="M343" s="626"/>
      <c r="N343" s="627">
        <v>11277</v>
      </c>
      <c r="O343" s="627">
        <v>110074</v>
      </c>
      <c r="P343" s="627">
        <v>0</v>
      </c>
      <c r="Q343" s="626">
        <v>1056</v>
      </c>
      <c r="R343" s="626"/>
      <c r="S343" s="627">
        <v>21904</v>
      </c>
      <c r="T343" s="628">
        <v>4025</v>
      </c>
      <c r="U343" s="628">
        <v>25929</v>
      </c>
    </row>
    <row r="344" spans="1:21" x14ac:dyDescent="0.25">
      <c r="A344" s="623">
        <v>93601</v>
      </c>
      <c r="B344" s="624" t="s">
        <v>1482</v>
      </c>
      <c r="C344" s="625">
        <v>1.09906E-2</v>
      </c>
      <c r="D344" s="625">
        <v>1.14287E-2</v>
      </c>
      <c r="E344" s="626">
        <v>4686744</v>
      </c>
      <c r="F344" s="626">
        <v>-6307705</v>
      </c>
      <c r="G344" s="626">
        <v>4932515</v>
      </c>
      <c r="H344" s="626"/>
      <c r="I344" s="627">
        <v>0</v>
      </c>
      <c r="J344" s="627">
        <v>9912598</v>
      </c>
      <c r="K344" s="627">
        <v>0</v>
      </c>
      <c r="L344" s="626">
        <v>0</v>
      </c>
      <c r="M344" s="626"/>
      <c r="N344" s="627">
        <v>1159431</v>
      </c>
      <c r="O344" s="627">
        <v>11316878</v>
      </c>
      <c r="P344" s="627">
        <v>0</v>
      </c>
      <c r="Q344" s="626">
        <v>222320</v>
      </c>
      <c r="R344" s="626"/>
      <c r="S344" s="627">
        <v>2251996</v>
      </c>
      <c r="T344" s="628">
        <v>-63502</v>
      </c>
      <c r="U344" s="628">
        <v>2188493</v>
      </c>
    </row>
    <row r="345" spans="1:21" x14ac:dyDescent="0.25">
      <c r="A345" s="623">
        <v>93602</v>
      </c>
      <c r="B345" s="624" t="s">
        <v>1483</v>
      </c>
      <c r="C345" s="625">
        <v>1.873E-4</v>
      </c>
      <c r="D345" s="625">
        <v>1.7919999999999999E-4</v>
      </c>
      <c r="E345" s="626">
        <v>71337</v>
      </c>
      <c r="F345" s="626">
        <v>-98904</v>
      </c>
      <c r="G345" s="626">
        <v>84059</v>
      </c>
      <c r="H345" s="626"/>
      <c r="I345" s="627">
        <v>0</v>
      </c>
      <c r="J345" s="627">
        <v>168929</v>
      </c>
      <c r="K345" s="627">
        <v>0</v>
      </c>
      <c r="L345" s="626">
        <v>1615</v>
      </c>
      <c r="M345" s="626"/>
      <c r="N345" s="627">
        <v>19759</v>
      </c>
      <c r="O345" s="627">
        <v>192860</v>
      </c>
      <c r="P345" s="627">
        <v>0</v>
      </c>
      <c r="Q345" s="626">
        <v>2781</v>
      </c>
      <c r="R345" s="626"/>
      <c r="S345" s="627">
        <v>38378</v>
      </c>
      <c r="T345" s="628">
        <v>-507</v>
      </c>
      <c r="U345" s="628">
        <v>37871</v>
      </c>
    </row>
    <row r="346" spans="1:21" x14ac:dyDescent="0.25">
      <c r="A346" s="623">
        <v>93609</v>
      </c>
      <c r="B346" s="624" t="s">
        <v>1484</v>
      </c>
      <c r="C346" s="625">
        <v>2.777E-3</v>
      </c>
      <c r="D346" s="625">
        <v>2.6464000000000001E-3</v>
      </c>
      <c r="E346" s="626">
        <v>1190904</v>
      </c>
      <c r="F346" s="626">
        <v>-1460596</v>
      </c>
      <c r="G346" s="626">
        <v>1246301</v>
      </c>
      <c r="H346" s="626"/>
      <c r="I346" s="627">
        <v>0</v>
      </c>
      <c r="J346" s="627">
        <v>2504621</v>
      </c>
      <c r="K346" s="627">
        <v>0</v>
      </c>
      <c r="L346" s="626">
        <v>629094</v>
      </c>
      <c r="M346" s="626"/>
      <c r="N346" s="627">
        <v>292954</v>
      </c>
      <c r="O346" s="627">
        <v>2859441</v>
      </c>
      <c r="P346" s="627">
        <v>0</v>
      </c>
      <c r="Q346" s="626">
        <v>0</v>
      </c>
      <c r="R346" s="626"/>
      <c r="S346" s="627">
        <v>569013</v>
      </c>
      <c r="T346" s="628">
        <v>200451</v>
      </c>
      <c r="U346" s="628">
        <v>769464</v>
      </c>
    </row>
    <row r="347" spans="1:21" x14ac:dyDescent="0.25">
      <c r="A347" s="623">
        <v>93610</v>
      </c>
      <c r="B347" s="624" t="s">
        <v>1485</v>
      </c>
      <c r="C347" s="625">
        <v>1.84E-5</v>
      </c>
      <c r="D347" s="625">
        <v>1.2799999999999999E-5</v>
      </c>
      <c r="E347" s="626">
        <v>6217</v>
      </c>
      <c r="F347" s="626">
        <v>-7065</v>
      </c>
      <c r="G347" s="626">
        <v>8258</v>
      </c>
      <c r="H347" s="626"/>
      <c r="I347" s="627">
        <v>0</v>
      </c>
      <c r="J347" s="627">
        <v>16595</v>
      </c>
      <c r="K347" s="627">
        <v>0</v>
      </c>
      <c r="L347" s="626">
        <v>4619</v>
      </c>
      <c r="M347" s="626"/>
      <c r="N347" s="627">
        <v>1941</v>
      </c>
      <c r="O347" s="627">
        <v>18946</v>
      </c>
      <c r="P347" s="627">
        <v>0</v>
      </c>
      <c r="Q347" s="626">
        <v>0</v>
      </c>
      <c r="R347" s="626"/>
      <c r="S347" s="627">
        <v>3770</v>
      </c>
      <c r="T347" s="628">
        <v>1334</v>
      </c>
      <c r="U347" s="628">
        <v>5104</v>
      </c>
    </row>
    <row r="348" spans="1:21" x14ac:dyDescent="0.25">
      <c r="A348" s="623">
        <v>93611</v>
      </c>
      <c r="B348" s="624" t="s">
        <v>1486</v>
      </c>
      <c r="C348" s="625">
        <v>6.9034999999999999E-3</v>
      </c>
      <c r="D348" s="625">
        <v>7.1165000000000004E-3</v>
      </c>
      <c r="E348" s="626">
        <v>2849642</v>
      </c>
      <c r="F348" s="626">
        <v>-3927724</v>
      </c>
      <c r="G348" s="626">
        <v>3098249</v>
      </c>
      <c r="H348" s="626"/>
      <c r="I348" s="627">
        <v>0</v>
      </c>
      <c r="J348" s="627">
        <v>6226377</v>
      </c>
      <c r="K348" s="627">
        <v>0</v>
      </c>
      <c r="L348" s="626">
        <v>0</v>
      </c>
      <c r="M348" s="626"/>
      <c r="N348" s="627">
        <v>728271</v>
      </c>
      <c r="O348" s="627">
        <v>7108444</v>
      </c>
      <c r="P348" s="627">
        <v>0</v>
      </c>
      <c r="Q348" s="626">
        <v>344120</v>
      </c>
      <c r="R348" s="626"/>
      <c r="S348" s="627">
        <v>1414541</v>
      </c>
      <c r="T348" s="628">
        <v>-106018</v>
      </c>
      <c r="U348" s="628">
        <v>1308523</v>
      </c>
    </row>
    <row r="349" spans="1:21" x14ac:dyDescent="0.25">
      <c r="A349" s="623">
        <v>93617</v>
      </c>
      <c r="B349" s="624" t="s">
        <v>1487</v>
      </c>
      <c r="C349" s="625">
        <v>7.9200000000000001E-5</v>
      </c>
      <c r="D349" s="625">
        <v>8.2100000000000003E-5</v>
      </c>
      <c r="E349" s="626">
        <v>47597</v>
      </c>
      <c r="F349" s="626">
        <v>-45312</v>
      </c>
      <c r="G349" s="626">
        <v>35544</v>
      </c>
      <c r="H349" s="626"/>
      <c r="I349" s="627">
        <v>0</v>
      </c>
      <c r="J349" s="627">
        <v>71432</v>
      </c>
      <c r="K349" s="627">
        <v>0</v>
      </c>
      <c r="L349" s="626">
        <v>21174</v>
      </c>
      <c r="M349" s="626"/>
      <c r="N349" s="627">
        <v>8355</v>
      </c>
      <c r="O349" s="627">
        <v>81551</v>
      </c>
      <c r="P349" s="627">
        <v>0</v>
      </c>
      <c r="Q349" s="626">
        <v>0</v>
      </c>
      <c r="R349" s="626"/>
      <c r="S349" s="627">
        <v>16228</v>
      </c>
      <c r="T349" s="628">
        <v>6350</v>
      </c>
      <c r="U349" s="628">
        <v>22579</v>
      </c>
    </row>
    <row r="350" spans="1:21" x14ac:dyDescent="0.25">
      <c r="A350" s="623">
        <v>93618</v>
      </c>
      <c r="B350" s="624" t="s">
        <v>1488</v>
      </c>
      <c r="C350" s="625">
        <v>1.0200000000000001E-5</v>
      </c>
      <c r="D350" s="625">
        <v>9.5999999999999996E-6</v>
      </c>
      <c r="E350" s="626">
        <v>22501</v>
      </c>
      <c r="F350" s="626">
        <v>-5298</v>
      </c>
      <c r="G350" s="626">
        <v>4578</v>
      </c>
      <c r="H350" s="626"/>
      <c r="I350" s="627">
        <v>0</v>
      </c>
      <c r="J350" s="627">
        <v>9200</v>
      </c>
      <c r="K350" s="627">
        <v>0</v>
      </c>
      <c r="L350" s="626">
        <v>17088</v>
      </c>
      <c r="M350" s="626"/>
      <c r="N350" s="627">
        <v>1076</v>
      </c>
      <c r="O350" s="627">
        <v>10503</v>
      </c>
      <c r="P350" s="627">
        <v>0</v>
      </c>
      <c r="Q350" s="626">
        <v>0</v>
      </c>
      <c r="R350" s="626"/>
      <c r="S350" s="627">
        <v>2090</v>
      </c>
      <c r="T350" s="628">
        <v>4629</v>
      </c>
      <c r="U350" s="628">
        <v>6719</v>
      </c>
    </row>
    <row r="351" spans="1:21" x14ac:dyDescent="0.25">
      <c r="A351" s="623">
        <v>93621</v>
      </c>
      <c r="B351" s="624" t="s">
        <v>1489</v>
      </c>
      <c r="C351" s="625">
        <v>9.5949999999999996E-4</v>
      </c>
      <c r="D351" s="625">
        <v>9.5149999999999998E-4</v>
      </c>
      <c r="E351" s="626">
        <v>351795</v>
      </c>
      <c r="F351" s="626">
        <v>-525150</v>
      </c>
      <c r="G351" s="626">
        <v>430618</v>
      </c>
      <c r="H351" s="626"/>
      <c r="I351" s="627">
        <v>0</v>
      </c>
      <c r="J351" s="627">
        <v>865388</v>
      </c>
      <c r="K351" s="627">
        <v>0</v>
      </c>
      <c r="L351" s="626">
        <v>0</v>
      </c>
      <c r="M351" s="626"/>
      <c r="N351" s="627">
        <v>101221</v>
      </c>
      <c r="O351" s="627">
        <v>987985</v>
      </c>
      <c r="P351" s="627">
        <v>0</v>
      </c>
      <c r="Q351" s="626">
        <v>63881</v>
      </c>
      <c r="R351" s="626"/>
      <c r="S351" s="627">
        <v>196603</v>
      </c>
      <c r="T351" s="628">
        <v>-19472</v>
      </c>
      <c r="U351" s="628">
        <v>177131</v>
      </c>
    </row>
    <row r="352" spans="1:21" x14ac:dyDescent="0.25">
      <c r="A352" s="623">
        <v>93623</v>
      </c>
      <c r="B352" s="624" t="s">
        <v>1490</v>
      </c>
      <c r="C352" s="625">
        <v>1.24E-5</v>
      </c>
      <c r="D352" s="625">
        <v>1.26E-5</v>
      </c>
      <c r="E352" s="626">
        <v>8314</v>
      </c>
      <c r="F352" s="626">
        <v>-6954</v>
      </c>
      <c r="G352" s="626">
        <v>5565</v>
      </c>
      <c r="H352" s="626"/>
      <c r="I352" s="627">
        <v>0</v>
      </c>
      <c r="J352" s="627">
        <v>11184</v>
      </c>
      <c r="K352" s="627">
        <v>0</v>
      </c>
      <c r="L352" s="626">
        <v>2436</v>
      </c>
      <c r="M352" s="626"/>
      <c r="N352" s="627">
        <v>1308</v>
      </c>
      <c r="O352" s="627">
        <v>12768</v>
      </c>
      <c r="P352" s="627">
        <v>0</v>
      </c>
      <c r="Q352" s="626">
        <v>2.99</v>
      </c>
      <c r="R352" s="626"/>
      <c r="S352" s="627">
        <v>2541</v>
      </c>
      <c r="T352" s="628">
        <v>637</v>
      </c>
      <c r="U352" s="628">
        <v>3178</v>
      </c>
    </row>
    <row r="353" spans="1:21" x14ac:dyDescent="0.25">
      <c r="A353" s="623">
        <v>93631</v>
      </c>
      <c r="B353" s="624" t="s">
        <v>1491</v>
      </c>
      <c r="C353" s="625">
        <v>2.3680000000000001E-4</v>
      </c>
      <c r="D353" s="625">
        <v>2.4279999999999999E-4</v>
      </c>
      <c r="E353" s="626">
        <v>87008</v>
      </c>
      <c r="F353" s="626">
        <v>-134006</v>
      </c>
      <c r="G353" s="626">
        <v>106274</v>
      </c>
      <c r="H353" s="626"/>
      <c r="I353" s="627">
        <v>0</v>
      </c>
      <c r="J353" s="627">
        <v>213574</v>
      </c>
      <c r="K353" s="627">
        <v>0</v>
      </c>
      <c r="L353" s="626">
        <v>1313</v>
      </c>
      <c r="M353" s="626"/>
      <c r="N353" s="627">
        <v>24981</v>
      </c>
      <c r="O353" s="627">
        <v>243830</v>
      </c>
      <c r="P353" s="627">
        <v>0</v>
      </c>
      <c r="Q353" s="626">
        <v>11877</v>
      </c>
      <c r="R353" s="626"/>
      <c r="S353" s="627">
        <v>48521</v>
      </c>
      <c r="T353" s="628">
        <v>-2670</v>
      </c>
      <c r="U353" s="628">
        <v>45851</v>
      </c>
    </row>
    <row r="354" spans="1:21" x14ac:dyDescent="0.25">
      <c r="A354" s="623">
        <v>93641</v>
      </c>
      <c r="B354" s="624" t="s">
        <v>1492</v>
      </c>
      <c r="C354" s="625">
        <v>4.3100000000000001E-4</v>
      </c>
      <c r="D354" s="625">
        <v>4.1619999999999998E-4</v>
      </c>
      <c r="E354" s="626">
        <v>185702</v>
      </c>
      <c r="F354" s="626">
        <v>-229708</v>
      </c>
      <c r="G354" s="626">
        <v>193430</v>
      </c>
      <c r="H354" s="626"/>
      <c r="I354" s="627">
        <v>0</v>
      </c>
      <c r="J354" s="627">
        <v>388726</v>
      </c>
      <c r="K354" s="627">
        <v>0</v>
      </c>
      <c r="L354" s="626">
        <v>22249</v>
      </c>
      <c r="M354" s="626"/>
      <c r="N354" s="627">
        <v>45467</v>
      </c>
      <c r="O354" s="627">
        <v>443795</v>
      </c>
      <c r="P354" s="627">
        <v>0</v>
      </c>
      <c r="Q354" s="626">
        <v>0</v>
      </c>
      <c r="R354" s="626"/>
      <c r="S354" s="627">
        <v>88313</v>
      </c>
      <c r="T354" s="628">
        <v>6126</v>
      </c>
      <c r="U354" s="628">
        <v>94439</v>
      </c>
    </row>
    <row r="355" spans="1:21" x14ac:dyDescent="0.25">
      <c r="A355" s="623">
        <v>93647</v>
      </c>
      <c r="B355" s="624" t="s">
        <v>1493</v>
      </c>
      <c r="C355" s="625">
        <v>6.0000000000000002E-6</v>
      </c>
      <c r="D355" s="625">
        <v>5.4999999999999999E-6</v>
      </c>
      <c r="E355" s="626">
        <v>11547</v>
      </c>
      <c r="F355" s="626">
        <v>-3036</v>
      </c>
      <c r="G355" s="626">
        <v>2693</v>
      </c>
      <c r="H355" s="626"/>
      <c r="I355" s="627">
        <v>0</v>
      </c>
      <c r="J355" s="627">
        <v>5411</v>
      </c>
      <c r="K355" s="627">
        <v>0</v>
      </c>
      <c r="L355" s="626">
        <v>8515</v>
      </c>
      <c r="M355" s="626"/>
      <c r="N355" s="627">
        <v>633</v>
      </c>
      <c r="O355" s="627">
        <v>6178</v>
      </c>
      <c r="P355" s="627">
        <v>0</v>
      </c>
      <c r="Q355" s="626">
        <v>0</v>
      </c>
      <c r="R355" s="626"/>
      <c r="S355" s="627">
        <v>1229</v>
      </c>
      <c r="T355" s="628">
        <v>2298</v>
      </c>
      <c r="U355" s="628">
        <v>3528</v>
      </c>
    </row>
    <row r="356" spans="1:21" x14ac:dyDescent="0.25">
      <c r="A356" s="623">
        <v>93651</v>
      </c>
      <c r="B356" s="624" t="s">
        <v>1494</v>
      </c>
      <c r="C356" s="625">
        <v>4.216E-4</v>
      </c>
      <c r="D356" s="625">
        <v>3.9379999999999998E-4</v>
      </c>
      <c r="E356" s="626">
        <v>162955</v>
      </c>
      <c r="F356" s="626">
        <v>-217345</v>
      </c>
      <c r="G356" s="626">
        <v>189212</v>
      </c>
      <c r="H356" s="626"/>
      <c r="I356" s="627">
        <v>0</v>
      </c>
      <c r="J356" s="627">
        <v>380248</v>
      </c>
      <c r="K356" s="627">
        <v>0</v>
      </c>
      <c r="L356" s="626">
        <v>12236</v>
      </c>
      <c r="M356" s="626"/>
      <c r="N356" s="627">
        <v>44476</v>
      </c>
      <c r="O356" s="627">
        <v>434116</v>
      </c>
      <c r="P356" s="627">
        <v>0</v>
      </c>
      <c r="Q356" s="626">
        <v>1883.7</v>
      </c>
      <c r="R356" s="626"/>
      <c r="S356" s="627">
        <v>86387</v>
      </c>
      <c r="T356" s="628">
        <v>2573</v>
      </c>
      <c r="U356" s="628">
        <v>88960</v>
      </c>
    </row>
    <row r="357" spans="1:21" x14ac:dyDescent="0.25">
      <c r="A357" s="623">
        <v>93661</v>
      </c>
      <c r="B357" s="624" t="s">
        <v>1495</v>
      </c>
      <c r="C357" s="625">
        <v>1.2750000000000001E-4</v>
      </c>
      <c r="D357" s="625">
        <v>1.3520000000000001E-4</v>
      </c>
      <c r="E357" s="626">
        <v>62267</v>
      </c>
      <c r="F357" s="626">
        <v>-74619</v>
      </c>
      <c r="G357" s="626">
        <v>57221</v>
      </c>
      <c r="H357" s="626"/>
      <c r="I357" s="627">
        <v>0</v>
      </c>
      <c r="J357" s="627">
        <v>114994</v>
      </c>
      <c r="K357" s="627">
        <v>0</v>
      </c>
      <c r="L357" s="626">
        <v>6463</v>
      </c>
      <c r="M357" s="626"/>
      <c r="N357" s="627">
        <v>13450</v>
      </c>
      <c r="O357" s="627">
        <v>131285</v>
      </c>
      <c r="P357" s="627">
        <v>0</v>
      </c>
      <c r="Q357" s="626">
        <v>0</v>
      </c>
      <c r="R357" s="626"/>
      <c r="S357" s="627">
        <v>26125</v>
      </c>
      <c r="T357" s="628">
        <v>1966</v>
      </c>
      <c r="U357" s="628">
        <v>28091</v>
      </c>
    </row>
    <row r="358" spans="1:21" x14ac:dyDescent="0.25">
      <c r="A358" s="623">
        <v>93671</v>
      </c>
      <c r="B358" s="624" t="s">
        <v>1496</v>
      </c>
      <c r="C358" s="625">
        <v>3.5710000000000001E-4</v>
      </c>
      <c r="D358" s="625">
        <v>2.8600000000000001E-4</v>
      </c>
      <c r="E358" s="626">
        <v>138775</v>
      </c>
      <c r="F358" s="626">
        <v>-157849</v>
      </c>
      <c r="G358" s="626">
        <v>160264</v>
      </c>
      <c r="H358" s="626"/>
      <c r="I358" s="627">
        <v>0</v>
      </c>
      <c r="J358" s="627">
        <v>322074</v>
      </c>
      <c r="K358" s="627">
        <v>0</v>
      </c>
      <c r="L358" s="626">
        <v>97320</v>
      </c>
      <c r="M358" s="626"/>
      <c r="N358" s="627">
        <v>37672</v>
      </c>
      <c r="O358" s="627">
        <v>367701</v>
      </c>
      <c r="P358" s="627">
        <v>0</v>
      </c>
      <c r="Q358" s="626">
        <v>0</v>
      </c>
      <c r="R358" s="626"/>
      <c r="S358" s="627">
        <v>73171</v>
      </c>
      <c r="T358" s="628">
        <v>29327</v>
      </c>
      <c r="U358" s="628">
        <v>102498</v>
      </c>
    </row>
    <row r="359" spans="1:21" x14ac:dyDescent="0.25">
      <c r="A359" s="623">
        <v>93677</v>
      </c>
      <c r="B359" s="624" t="s">
        <v>1497</v>
      </c>
      <c r="C359" s="625">
        <v>0</v>
      </c>
      <c r="D359" s="625">
        <v>0</v>
      </c>
      <c r="E359" s="626"/>
      <c r="F359" s="626">
        <v>0</v>
      </c>
      <c r="G359" s="626">
        <v>0</v>
      </c>
      <c r="H359" s="626"/>
      <c r="I359" s="627">
        <v>0</v>
      </c>
      <c r="J359" s="627">
        <v>0</v>
      </c>
      <c r="K359" s="627">
        <v>0</v>
      </c>
      <c r="L359" s="626">
        <v>0</v>
      </c>
      <c r="M359" s="626"/>
      <c r="N359" s="627">
        <v>0</v>
      </c>
      <c r="O359" s="627">
        <v>0</v>
      </c>
      <c r="P359" s="627">
        <v>0</v>
      </c>
      <c r="Q359" s="626">
        <v>2167.75</v>
      </c>
      <c r="R359" s="626"/>
      <c r="S359" s="627">
        <v>0</v>
      </c>
      <c r="T359" s="628">
        <v>-725</v>
      </c>
      <c r="U359" s="628">
        <v>-725</v>
      </c>
    </row>
    <row r="360" spans="1:21" x14ac:dyDescent="0.25">
      <c r="A360" s="623">
        <v>93681</v>
      </c>
      <c r="B360" s="624" t="s">
        <v>1498</v>
      </c>
      <c r="C360" s="625">
        <v>1.2769999999999999E-4</v>
      </c>
      <c r="D360" s="625">
        <v>1.204E-4</v>
      </c>
      <c r="E360" s="626">
        <v>46373</v>
      </c>
      <c r="F360" s="626">
        <v>-66451</v>
      </c>
      <c r="G360" s="626">
        <v>57311</v>
      </c>
      <c r="H360" s="626"/>
      <c r="I360" s="627">
        <v>0</v>
      </c>
      <c r="J360" s="627">
        <v>115175</v>
      </c>
      <c r="K360" s="627">
        <v>0</v>
      </c>
      <c r="L360" s="626">
        <v>554</v>
      </c>
      <c r="M360" s="626"/>
      <c r="N360" s="627">
        <v>13471</v>
      </c>
      <c r="O360" s="627">
        <v>131491</v>
      </c>
      <c r="P360" s="627">
        <v>0</v>
      </c>
      <c r="Q360" s="626">
        <v>10838.75</v>
      </c>
      <c r="R360" s="626"/>
      <c r="S360" s="627">
        <v>26166</v>
      </c>
      <c r="T360" s="628">
        <v>-3480</v>
      </c>
      <c r="U360" s="628">
        <v>22686</v>
      </c>
    </row>
    <row r="361" spans="1:21" x14ac:dyDescent="0.25">
      <c r="A361" s="623">
        <v>93691</v>
      </c>
      <c r="B361" s="624" t="s">
        <v>1499</v>
      </c>
      <c r="C361" s="625">
        <v>1.1314999999999999E-3</v>
      </c>
      <c r="D361" s="625">
        <v>1.1435E-3</v>
      </c>
      <c r="E361" s="626">
        <v>414994</v>
      </c>
      <c r="F361" s="626">
        <v>-631118</v>
      </c>
      <c r="G361" s="626">
        <v>507810</v>
      </c>
      <c r="H361" s="626"/>
      <c r="I361" s="627">
        <v>0</v>
      </c>
      <c r="J361" s="627">
        <v>1020518</v>
      </c>
      <c r="K361" s="627">
        <v>0</v>
      </c>
      <c r="L361" s="626">
        <v>0</v>
      </c>
      <c r="M361" s="626"/>
      <c r="N361" s="627">
        <v>119365</v>
      </c>
      <c r="O361" s="627">
        <v>1165091</v>
      </c>
      <c r="P361" s="627">
        <v>0</v>
      </c>
      <c r="Q361" s="626">
        <v>59651</v>
      </c>
      <c r="R361" s="626"/>
      <c r="S361" s="627">
        <v>231847</v>
      </c>
      <c r="T361" s="628">
        <v>-16633</v>
      </c>
      <c r="U361" s="628">
        <v>215214</v>
      </c>
    </row>
    <row r="362" spans="1:21" x14ac:dyDescent="0.25">
      <c r="A362" s="623">
        <v>93701</v>
      </c>
      <c r="B362" s="624" t="s">
        <v>1500</v>
      </c>
      <c r="C362" s="625">
        <v>4.7169999999999997E-4</v>
      </c>
      <c r="D362" s="625">
        <v>4.5029999999999999E-4</v>
      </c>
      <c r="E362" s="626">
        <v>186358</v>
      </c>
      <c r="F362" s="626">
        <v>-248529</v>
      </c>
      <c r="G362" s="626">
        <v>211696</v>
      </c>
      <c r="H362" s="626"/>
      <c r="I362" s="627">
        <v>0</v>
      </c>
      <c r="J362" s="627">
        <v>425434</v>
      </c>
      <c r="K362" s="627">
        <v>0</v>
      </c>
      <c r="L362" s="626">
        <v>19505</v>
      </c>
      <c r="M362" s="626"/>
      <c r="N362" s="627">
        <v>49761</v>
      </c>
      <c r="O362" s="627">
        <v>485703</v>
      </c>
      <c r="P362" s="627">
        <v>0</v>
      </c>
      <c r="Q362" s="626">
        <v>0</v>
      </c>
      <c r="R362" s="626"/>
      <c r="S362" s="627">
        <v>96652</v>
      </c>
      <c r="T362" s="628">
        <v>5791</v>
      </c>
      <c r="U362" s="628">
        <v>102443</v>
      </c>
    </row>
    <row r="363" spans="1:21" x14ac:dyDescent="0.25">
      <c r="A363" s="623">
        <v>93704</v>
      </c>
      <c r="B363" s="624" t="s">
        <v>1501</v>
      </c>
      <c r="C363" s="625">
        <v>3.3000000000000002E-6</v>
      </c>
      <c r="D363" s="625">
        <v>3.5999999999999998E-6</v>
      </c>
      <c r="E363" s="626">
        <v>1740</v>
      </c>
      <c r="F363" s="626">
        <v>-1987</v>
      </c>
      <c r="G363" s="626">
        <v>1481</v>
      </c>
      <c r="H363" s="626"/>
      <c r="I363" s="627">
        <v>0</v>
      </c>
      <c r="J363" s="627">
        <v>2976</v>
      </c>
      <c r="K363" s="627">
        <v>0</v>
      </c>
      <c r="L363" s="626">
        <v>100</v>
      </c>
      <c r="M363" s="626"/>
      <c r="N363" s="627">
        <v>348</v>
      </c>
      <c r="O363" s="627">
        <v>3398</v>
      </c>
      <c r="P363" s="627">
        <v>0</v>
      </c>
      <c r="Q363" s="626">
        <v>147</v>
      </c>
      <c r="R363" s="626"/>
      <c r="S363" s="627">
        <v>676</v>
      </c>
      <c r="T363" s="628">
        <v>-23</v>
      </c>
      <c r="U363" s="628">
        <v>653</v>
      </c>
    </row>
    <row r="364" spans="1:21" x14ac:dyDescent="0.25">
      <c r="A364" s="623">
        <v>93801</v>
      </c>
      <c r="B364" s="624" t="s">
        <v>1502</v>
      </c>
      <c r="C364" s="625">
        <v>4.4959999999999998E-4</v>
      </c>
      <c r="D364" s="625">
        <v>5.4609999999999999E-4</v>
      </c>
      <c r="E364" s="626">
        <v>310339</v>
      </c>
      <c r="F364" s="626">
        <v>-301402</v>
      </c>
      <c r="G364" s="626">
        <v>201778</v>
      </c>
      <c r="H364" s="626"/>
      <c r="I364" s="627">
        <v>0</v>
      </c>
      <c r="J364" s="627">
        <v>405501</v>
      </c>
      <c r="K364" s="627">
        <v>0</v>
      </c>
      <c r="L364" s="626">
        <v>32756</v>
      </c>
      <c r="M364" s="626"/>
      <c r="N364" s="627">
        <v>47430</v>
      </c>
      <c r="O364" s="627">
        <v>462947</v>
      </c>
      <c r="P364" s="627">
        <v>0</v>
      </c>
      <c r="Q364" s="626">
        <v>4422.21</v>
      </c>
      <c r="R364" s="626"/>
      <c r="S364" s="627">
        <v>92124</v>
      </c>
      <c r="T364" s="628">
        <v>7096</v>
      </c>
      <c r="U364" s="628">
        <v>99220</v>
      </c>
    </row>
    <row r="365" spans="1:21" x14ac:dyDescent="0.25">
      <c r="A365" s="623">
        <v>93803</v>
      </c>
      <c r="B365" s="624" t="s">
        <v>1503</v>
      </c>
      <c r="C365" s="625">
        <v>1.582E-4</v>
      </c>
      <c r="D365" s="625">
        <v>1.6320000000000001E-4</v>
      </c>
      <c r="E365" s="626">
        <v>54158</v>
      </c>
      <c r="F365" s="626">
        <v>-90073</v>
      </c>
      <c r="G365" s="626">
        <v>70999</v>
      </c>
      <c r="H365" s="626"/>
      <c r="I365" s="627">
        <v>0</v>
      </c>
      <c r="J365" s="627">
        <v>142683</v>
      </c>
      <c r="K365" s="627">
        <v>0</v>
      </c>
      <c r="L365" s="626">
        <v>0</v>
      </c>
      <c r="M365" s="626"/>
      <c r="N365" s="627">
        <v>16689</v>
      </c>
      <c r="O365" s="627">
        <v>162896</v>
      </c>
      <c r="P365" s="627">
        <v>0</v>
      </c>
      <c r="Q365" s="626">
        <v>27950</v>
      </c>
      <c r="R365" s="626"/>
      <c r="S365" s="627">
        <v>32415</v>
      </c>
      <c r="T365" s="628">
        <v>-8492</v>
      </c>
      <c r="U365" s="628">
        <v>23924</v>
      </c>
    </row>
    <row r="366" spans="1:21" x14ac:dyDescent="0.25">
      <c r="A366" s="623">
        <v>93806</v>
      </c>
      <c r="B366" s="624" t="s">
        <v>1504</v>
      </c>
      <c r="C366" s="625">
        <v>7.7899999999999996E-5</v>
      </c>
      <c r="D366" s="625">
        <v>7.3700000000000002E-5</v>
      </c>
      <c r="E366" s="626">
        <v>31151</v>
      </c>
      <c r="F366" s="626">
        <v>-40676</v>
      </c>
      <c r="G366" s="626">
        <v>34961</v>
      </c>
      <c r="H366" s="626"/>
      <c r="I366" s="627">
        <v>0</v>
      </c>
      <c r="J366" s="627">
        <v>70259</v>
      </c>
      <c r="K366" s="627">
        <v>0</v>
      </c>
      <c r="L366" s="626">
        <v>2429</v>
      </c>
      <c r="M366" s="626"/>
      <c r="N366" s="627">
        <v>8218</v>
      </c>
      <c r="O366" s="627">
        <v>80213</v>
      </c>
      <c r="P366" s="627">
        <v>0</v>
      </c>
      <c r="Q366" s="626">
        <v>28695</v>
      </c>
      <c r="R366" s="626"/>
      <c r="S366" s="627">
        <v>15962</v>
      </c>
      <c r="T366" s="628">
        <v>-8961</v>
      </c>
      <c r="U366" s="628">
        <v>7001</v>
      </c>
    </row>
    <row r="367" spans="1:21" x14ac:dyDescent="0.25">
      <c r="A367" s="623">
        <v>93821</v>
      </c>
      <c r="B367" s="624" t="s">
        <v>1505</v>
      </c>
      <c r="C367" s="625">
        <v>5.2899999999999998E-5</v>
      </c>
      <c r="D367" s="625">
        <v>4.7899999999999999E-5</v>
      </c>
      <c r="E367" s="626">
        <v>24453</v>
      </c>
      <c r="F367" s="626">
        <v>-26437</v>
      </c>
      <c r="G367" s="626">
        <v>23741</v>
      </c>
      <c r="H367" s="626"/>
      <c r="I367" s="627">
        <v>0</v>
      </c>
      <c r="J367" s="627">
        <v>47711</v>
      </c>
      <c r="K367" s="627">
        <v>0</v>
      </c>
      <c r="L367" s="626">
        <v>9096</v>
      </c>
      <c r="M367" s="626"/>
      <c r="N367" s="627">
        <v>5581</v>
      </c>
      <c r="O367" s="627">
        <v>54470</v>
      </c>
      <c r="P367" s="627">
        <v>0</v>
      </c>
      <c r="Q367" s="626">
        <v>0</v>
      </c>
      <c r="R367" s="626"/>
      <c r="S367" s="627">
        <v>10839</v>
      </c>
      <c r="T367" s="628">
        <v>2623</v>
      </c>
      <c r="U367" s="628">
        <v>13462</v>
      </c>
    </row>
    <row r="368" spans="1:21" x14ac:dyDescent="0.25">
      <c r="A368" s="623">
        <v>93901</v>
      </c>
      <c r="B368" s="624" t="s">
        <v>1506</v>
      </c>
      <c r="C368" s="625">
        <v>1.7983999999999999E-3</v>
      </c>
      <c r="D368" s="625">
        <v>1.8154E-3</v>
      </c>
      <c r="E368" s="626">
        <v>790415</v>
      </c>
      <c r="F368" s="626">
        <v>-1001952</v>
      </c>
      <c r="G368" s="626">
        <v>807111</v>
      </c>
      <c r="H368" s="626"/>
      <c r="I368" s="627">
        <v>0</v>
      </c>
      <c r="J368" s="627">
        <v>1622006</v>
      </c>
      <c r="K368" s="627">
        <v>0</v>
      </c>
      <c r="L368" s="626">
        <v>45329</v>
      </c>
      <c r="M368" s="626"/>
      <c r="N368" s="627">
        <v>189719</v>
      </c>
      <c r="O368" s="627">
        <v>1851789</v>
      </c>
      <c r="P368" s="627">
        <v>0</v>
      </c>
      <c r="Q368" s="626">
        <v>0</v>
      </c>
      <c r="R368" s="626"/>
      <c r="S368" s="627">
        <v>368496</v>
      </c>
      <c r="T368" s="628">
        <v>12793</v>
      </c>
      <c r="U368" s="628">
        <v>381288</v>
      </c>
    </row>
    <row r="369" spans="1:21" x14ac:dyDescent="0.25">
      <c r="A369" s="623">
        <v>93904</v>
      </c>
      <c r="B369" s="624" t="s">
        <v>1507</v>
      </c>
      <c r="C369" s="625">
        <v>2.5700000000000001E-5</v>
      </c>
      <c r="D369" s="625">
        <v>2.3099999999999999E-5</v>
      </c>
      <c r="E369" s="626">
        <v>13661</v>
      </c>
      <c r="F369" s="626">
        <v>-12749</v>
      </c>
      <c r="G369" s="626">
        <v>11534</v>
      </c>
      <c r="H369" s="626"/>
      <c r="I369" s="627">
        <v>0</v>
      </c>
      <c r="J369" s="627">
        <v>23179</v>
      </c>
      <c r="K369" s="627">
        <v>0</v>
      </c>
      <c r="L369" s="626">
        <v>4336</v>
      </c>
      <c r="M369" s="626"/>
      <c r="N369" s="627">
        <v>2711</v>
      </c>
      <c r="O369" s="627">
        <v>26463</v>
      </c>
      <c r="P369" s="627">
        <v>0</v>
      </c>
      <c r="Q369" s="626">
        <v>83.72</v>
      </c>
      <c r="R369" s="626"/>
      <c r="S369" s="627">
        <v>5266</v>
      </c>
      <c r="T369" s="628">
        <v>1107</v>
      </c>
      <c r="U369" s="628">
        <v>6373</v>
      </c>
    </row>
    <row r="370" spans="1:21" x14ac:dyDescent="0.25">
      <c r="A370" s="623">
        <v>93906</v>
      </c>
      <c r="B370" s="624" t="s">
        <v>1508</v>
      </c>
      <c r="C370" s="625">
        <v>3.4020000000000001E-3</v>
      </c>
      <c r="D370" s="625">
        <v>3.6600000000000001E-3</v>
      </c>
      <c r="E370" s="626">
        <v>1383160</v>
      </c>
      <c r="F370" s="626">
        <v>-2020020</v>
      </c>
      <c r="G370" s="626">
        <v>1526797</v>
      </c>
      <c r="H370" s="626"/>
      <c r="I370" s="627">
        <v>0</v>
      </c>
      <c r="J370" s="627">
        <v>3068318</v>
      </c>
      <c r="K370" s="627">
        <v>0</v>
      </c>
      <c r="L370" s="626">
        <v>45250.66</v>
      </c>
      <c r="M370" s="626"/>
      <c r="N370" s="627">
        <v>358887</v>
      </c>
      <c r="O370" s="627">
        <v>3502995</v>
      </c>
      <c r="P370" s="627">
        <v>0</v>
      </c>
      <c r="Q370" s="626">
        <v>185657</v>
      </c>
      <c r="R370" s="626"/>
      <c r="S370" s="627">
        <v>697077</v>
      </c>
      <c r="T370" s="628">
        <v>-33467</v>
      </c>
      <c r="U370" s="628">
        <v>663609</v>
      </c>
    </row>
    <row r="371" spans="1:21" x14ac:dyDescent="0.25">
      <c r="A371" s="623">
        <v>93908</v>
      </c>
      <c r="B371" s="624" t="s">
        <v>1509</v>
      </c>
      <c r="C371" s="625">
        <v>5.1309999999999995E-4</v>
      </c>
      <c r="D371" s="625">
        <v>5.6240000000000001E-4</v>
      </c>
      <c r="E371" s="626">
        <v>215864</v>
      </c>
      <c r="F371" s="626">
        <v>-310399</v>
      </c>
      <c r="G371" s="626">
        <v>230276</v>
      </c>
      <c r="H371" s="626"/>
      <c r="I371" s="627">
        <v>0</v>
      </c>
      <c r="J371" s="627">
        <v>462773</v>
      </c>
      <c r="K371" s="627">
        <v>0</v>
      </c>
      <c r="L371" s="626">
        <v>12663</v>
      </c>
      <c r="M371" s="626"/>
      <c r="N371" s="627">
        <v>54128</v>
      </c>
      <c r="O371" s="627">
        <v>528332</v>
      </c>
      <c r="P371" s="627">
        <v>0</v>
      </c>
      <c r="Q371" s="626">
        <v>29543</v>
      </c>
      <c r="R371" s="626"/>
      <c r="S371" s="627">
        <v>105135</v>
      </c>
      <c r="T371" s="628">
        <v>-3499</v>
      </c>
      <c r="U371" s="628">
        <v>101636</v>
      </c>
    </row>
    <row r="372" spans="1:21" x14ac:dyDescent="0.25">
      <c r="A372" s="623">
        <v>93910</v>
      </c>
      <c r="B372" s="624" t="s">
        <v>1510</v>
      </c>
      <c r="C372" s="625">
        <v>2.8830000000000001E-4</v>
      </c>
      <c r="D372" s="625">
        <v>2.9070000000000002E-4</v>
      </c>
      <c r="E372" s="626">
        <v>107591</v>
      </c>
      <c r="F372" s="626">
        <v>-160443</v>
      </c>
      <c r="G372" s="626">
        <v>129387</v>
      </c>
      <c r="H372" s="626"/>
      <c r="I372" s="627">
        <v>0</v>
      </c>
      <c r="J372" s="627">
        <v>260022</v>
      </c>
      <c r="K372" s="627">
        <v>0</v>
      </c>
      <c r="L372" s="626">
        <v>0</v>
      </c>
      <c r="M372" s="626"/>
      <c r="N372" s="627">
        <v>30414</v>
      </c>
      <c r="O372" s="627">
        <v>296859</v>
      </c>
      <c r="P372" s="627">
        <v>0</v>
      </c>
      <c r="Q372" s="626">
        <v>25124</v>
      </c>
      <c r="R372" s="626"/>
      <c r="S372" s="627">
        <v>59073</v>
      </c>
      <c r="T372" s="628">
        <v>-7698</v>
      </c>
      <c r="U372" s="628">
        <v>51376</v>
      </c>
    </row>
    <row r="373" spans="1:21" x14ac:dyDescent="0.25">
      <c r="A373" s="623">
        <v>93911</v>
      </c>
      <c r="B373" s="624" t="s">
        <v>1511</v>
      </c>
      <c r="C373" s="625">
        <v>7.1869999999999996E-4</v>
      </c>
      <c r="D373" s="625">
        <v>6.7610000000000001E-4</v>
      </c>
      <c r="E373" s="626">
        <v>282624</v>
      </c>
      <c r="F373" s="626">
        <v>-373152</v>
      </c>
      <c r="G373" s="626">
        <v>322548</v>
      </c>
      <c r="H373" s="626"/>
      <c r="I373" s="627">
        <v>0</v>
      </c>
      <c r="J373" s="627">
        <v>648207</v>
      </c>
      <c r="K373" s="627">
        <v>0</v>
      </c>
      <c r="L373" s="626">
        <v>30430</v>
      </c>
      <c r="M373" s="626"/>
      <c r="N373" s="627">
        <v>75818</v>
      </c>
      <c r="O373" s="627">
        <v>740036</v>
      </c>
      <c r="P373" s="627">
        <v>0</v>
      </c>
      <c r="Q373" s="626">
        <v>0</v>
      </c>
      <c r="R373" s="626"/>
      <c r="S373" s="627">
        <v>147263</v>
      </c>
      <c r="T373" s="628">
        <v>8627</v>
      </c>
      <c r="U373" s="628">
        <v>155890</v>
      </c>
    </row>
    <row r="374" spans="1:21" x14ac:dyDescent="0.25">
      <c r="A374" s="623">
        <v>93913</v>
      </c>
      <c r="B374" s="624" t="s">
        <v>1512</v>
      </c>
      <c r="C374" s="625">
        <v>5.5699999999999999E-5</v>
      </c>
      <c r="D374" s="625">
        <v>5.9599999999999999E-5</v>
      </c>
      <c r="E374" s="626">
        <v>24049</v>
      </c>
      <c r="F374" s="626">
        <v>-32894</v>
      </c>
      <c r="G374" s="626">
        <v>24998</v>
      </c>
      <c r="H374" s="626"/>
      <c r="I374" s="627">
        <v>0</v>
      </c>
      <c r="J374" s="627">
        <v>50237</v>
      </c>
      <c r="K374" s="627">
        <v>0</v>
      </c>
      <c r="L374" s="626">
        <v>0</v>
      </c>
      <c r="M374" s="626"/>
      <c r="N374" s="627">
        <v>5876</v>
      </c>
      <c r="O374" s="627">
        <v>57354</v>
      </c>
      <c r="P374" s="627">
        <v>0</v>
      </c>
      <c r="Q374" s="626">
        <v>1820</v>
      </c>
      <c r="R374" s="626"/>
      <c r="S374" s="627">
        <v>11413</v>
      </c>
      <c r="T374" s="628">
        <v>-485</v>
      </c>
      <c r="U374" s="628">
        <v>10928</v>
      </c>
    </row>
    <row r="375" spans="1:21" x14ac:dyDescent="0.25">
      <c r="A375" s="623">
        <v>93914</v>
      </c>
      <c r="B375" s="624" t="s">
        <v>1513</v>
      </c>
      <c r="C375" s="625">
        <v>1.0000000000000001E-5</v>
      </c>
      <c r="D375" s="625">
        <v>1.04E-5</v>
      </c>
      <c r="E375" s="626">
        <v>6184</v>
      </c>
      <c r="F375" s="626">
        <v>-5740</v>
      </c>
      <c r="G375" s="626">
        <v>4488</v>
      </c>
      <c r="H375" s="626"/>
      <c r="I375" s="627">
        <v>0</v>
      </c>
      <c r="J375" s="627">
        <v>9019.16</v>
      </c>
      <c r="K375" s="627">
        <v>0</v>
      </c>
      <c r="L375" s="626">
        <v>2751</v>
      </c>
      <c r="M375" s="626"/>
      <c r="N375" s="627">
        <v>1054.93</v>
      </c>
      <c r="O375" s="627">
        <v>10297</v>
      </c>
      <c r="P375" s="627">
        <v>0</v>
      </c>
      <c r="Q375" s="626">
        <v>0</v>
      </c>
      <c r="R375" s="626"/>
      <c r="S375" s="627">
        <v>2049.02</v>
      </c>
      <c r="T375" s="628">
        <v>820</v>
      </c>
      <c r="U375" s="628">
        <v>2869</v>
      </c>
    </row>
    <row r="376" spans="1:21" x14ac:dyDescent="0.25">
      <c r="A376" s="623">
        <v>93921</v>
      </c>
      <c r="B376" s="624" t="s">
        <v>1514</v>
      </c>
      <c r="C376" s="625">
        <v>2.8130000000000001E-4</v>
      </c>
      <c r="D376" s="625">
        <v>2.6600000000000001E-4</v>
      </c>
      <c r="E376" s="626">
        <v>116105</v>
      </c>
      <c r="F376" s="626">
        <v>-146810</v>
      </c>
      <c r="G376" s="626">
        <v>126246</v>
      </c>
      <c r="H376" s="626"/>
      <c r="I376" s="627">
        <v>0</v>
      </c>
      <c r="J376" s="627">
        <v>253709</v>
      </c>
      <c r="K376" s="627">
        <v>0</v>
      </c>
      <c r="L376" s="626">
        <v>21099</v>
      </c>
      <c r="M376" s="626"/>
      <c r="N376" s="627">
        <v>29675</v>
      </c>
      <c r="O376" s="627">
        <v>289651</v>
      </c>
      <c r="P376" s="627">
        <v>0</v>
      </c>
      <c r="Q376" s="626">
        <v>0</v>
      </c>
      <c r="R376" s="626"/>
      <c r="S376" s="627">
        <v>57639</v>
      </c>
      <c r="T376" s="628">
        <v>6204</v>
      </c>
      <c r="U376" s="628">
        <v>63843</v>
      </c>
    </row>
    <row r="377" spans="1:21" x14ac:dyDescent="0.25">
      <c r="A377" s="623">
        <v>93931</v>
      </c>
      <c r="B377" s="624" t="s">
        <v>1515</v>
      </c>
      <c r="C377" s="625">
        <v>5.1309999999999995E-4</v>
      </c>
      <c r="D377" s="625">
        <v>3.6230000000000002E-4</v>
      </c>
      <c r="E377" s="626">
        <v>183687</v>
      </c>
      <c r="F377" s="626">
        <v>-199960</v>
      </c>
      <c r="G377" s="626">
        <v>230276</v>
      </c>
      <c r="H377" s="626"/>
      <c r="I377" s="627">
        <v>0</v>
      </c>
      <c r="J377" s="627">
        <v>462773</v>
      </c>
      <c r="K377" s="627">
        <v>0</v>
      </c>
      <c r="L377" s="626">
        <v>287416</v>
      </c>
      <c r="M377" s="626"/>
      <c r="N377" s="627">
        <v>54128</v>
      </c>
      <c r="O377" s="627">
        <v>528332</v>
      </c>
      <c r="P377" s="627">
        <v>0</v>
      </c>
      <c r="Q377" s="626">
        <v>0</v>
      </c>
      <c r="R377" s="626"/>
      <c r="S377" s="627">
        <v>105135</v>
      </c>
      <c r="T377" s="628">
        <v>89922</v>
      </c>
      <c r="U377" s="628">
        <v>195057</v>
      </c>
    </row>
    <row r="378" spans="1:21" x14ac:dyDescent="0.25">
      <c r="A378" s="623">
        <v>94001</v>
      </c>
      <c r="B378" s="624" t="s">
        <v>1516</v>
      </c>
      <c r="C378" s="625">
        <v>8.1820000000000005E-4</v>
      </c>
      <c r="D378" s="625">
        <v>8.5919999999999996E-4</v>
      </c>
      <c r="E378" s="626">
        <v>364818</v>
      </c>
      <c r="F378" s="626">
        <v>-474208</v>
      </c>
      <c r="G378" s="626">
        <v>367203</v>
      </c>
      <c r="H378" s="626"/>
      <c r="I378" s="627">
        <v>0</v>
      </c>
      <c r="J378" s="627">
        <v>737948</v>
      </c>
      <c r="K378" s="627">
        <v>0</v>
      </c>
      <c r="L378" s="626">
        <v>0</v>
      </c>
      <c r="M378" s="626"/>
      <c r="N378" s="627">
        <v>86314</v>
      </c>
      <c r="O378" s="627">
        <v>842490</v>
      </c>
      <c r="P378" s="627">
        <v>0</v>
      </c>
      <c r="Q378" s="626">
        <v>80125</v>
      </c>
      <c r="R378" s="626"/>
      <c r="S378" s="627">
        <v>167651</v>
      </c>
      <c r="T378" s="628">
        <v>-26479</v>
      </c>
      <c r="U378" s="628">
        <v>141172</v>
      </c>
    </row>
    <row r="379" spans="1:21" x14ac:dyDescent="0.25">
      <c r="A379" s="623">
        <v>94002</v>
      </c>
      <c r="B379" s="624" t="s">
        <v>1517</v>
      </c>
      <c r="C379" s="625">
        <v>8.3000000000000002E-6</v>
      </c>
      <c r="D379" s="625">
        <v>8.8000000000000004E-6</v>
      </c>
      <c r="E379" s="626">
        <v>4285</v>
      </c>
      <c r="F379" s="626">
        <v>-4857</v>
      </c>
      <c r="G379" s="626">
        <v>3725</v>
      </c>
      <c r="H379" s="626"/>
      <c r="I379" s="627">
        <v>0</v>
      </c>
      <c r="J379" s="627">
        <v>7486</v>
      </c>
      <c r="K379" s="627">
        <v>0</v>
      </c>
      <c r="L379" s="626">
        <v>359</v>
      </c>
      <c r="M379" s="626"/>
      <c r="N379" s="627">
        <v>876</v>
      </c>
      <c r="O379" s="627">
        <v>8546</v>
      </c>
      <c r="P379" s="627">
        <v>0</v>
      </c>
      <c r="Q379" s="626">
        <v>645.84</v>
      </c>
      <c r="R379" s="626"/>
      <c r="S379" s="627">
        <v>1701</v>
      </c>
      <c r="T379" s="628">
        <v>-122</v>
      </c>
      <c r="U379" s="628">
        <v>1579</v>
      </c>
    </row>
    <row r="380" spans="1:21" x14ac:dyDescent="0.25">
      <c r="A380" s="623">
        <v>94004</v>
      </c>
      <c r="B380" s="624" t="s">
        <v>1518</v>
      </c>
      <c r="C380" s="625">
        <v>2.2000000000000001E-6</v>
      </c>
      <c r="D380" s="625">
        <v>2.7E-6</v>
      </c>
      <c r="E380" s="626">
        <v>1141</v>
      </c>
      <c r="F380" s="626">
        <v>-1490</v>
      </c>
      <c r="G380" s="626">
        <v>987</v>
      </c>
      <c r="H380" s="626"/>
      <c r="I380" s="627">
        <v>0</v>
      </c>
      <c r="J380" s="627">
        <v>1984</v>
      </c>
      <c r="K380" s="627">
        <v>0</v>
      </c>
      <c r="L380" s="626">
        <v>0</v>
      </c>
      <c r="M380" s="626"/>
      <c r="N380" s="627">
        <v>232</v>
      </c>
      <c r="O380" s="627">
        <v>2265</v>
      </c>
      <c r="P380" s="627">
        <v>0</v>
      </c>
      <c r="Q380" s="626">
        <v>1821</v>
      </c>
      <c r="R380" s="626"/>
      <c r="S380" s="627">
        <v>451</v>
      </c>
      <c r="T380" s="628">
        <v>-598</v>
      </c>
      <c r="U380" s="628">
        <v>-147</v>
      </c>
    </row>
    <row r="381" spans="1:21" x14ac:dyDescent="0.25">
      <c r="A381" s="623">
        <v>94005</v>
      </c>
      <c r="B381" s="624" t="s">
        <v>1519</v>
      </c>
      <c r="C381" s="625">
        <v>6.2999999999999998E-6</v>
      </c>
      <c r="D381" s="625">
        <v>8.3999999999999992E-6</v>
      </c>
      <c r="E381" s="626">
        <v>2217</v>
      </c>
      <c r="F381" s="626">
        <v>-4636</v>
      </c>
      <c r="G381" s="626">
        <v>2827</v>
      </c>
      <c r="H381" s="626"/>
      <c r="I381" s="627">
        <v>0</v>
      </c>
      <c r="J381" s="627">
        <v>5682</v>
      </c>
      <c r="K381" s="627">
        <v>0</v>
      </c>
      <c r="L381" s="626">
        <v>0</v>
      </c>
      <c r="M381" s="626"/>
      <c r="N381" s="627">
        <v>665</v>
      </c>
      <c r="O381" s="627">
        <v>6487</v>
      </c>
      <c r="P381" s="627">
        <v>0</v>
      </c>
      <c r="Q381" s="626">
        <v>2165</v>
      </c>
      <c r="R381" s="626"/>
      <c r="S381" s="627">
        <v>1291</v>
      </c>
      <c r="T381" s="628">
        <v>-597</v>
      </c>
      <c r="U381" s="628">
        <v>694</v>
      </c>
    </row>
    <row r="382" spans="1:21" x14ac:dyDescent="0.25">
      <c r="A382" s="623">
        <v>94011</v>
      </c>
      <c r="B382" s="624" t="s">
        <v>1520</v>
      </c>
      <c r="C382" s="625">
        <v>1.3900000000000001E-5</v>
      </c>
      <c r="D382" s="625">
        <v>1.3499999999999999E-5</v>
      </c>
      <c r="E382" s="626">
        <v>5011</v>
      </c>
      <c r="F382" s="626">
        <v>-7451</v>
      </c>
      <c r="G382" s="626">
        <v>6238</v>
      </c>
      <c r="H382" s="626"/>
      <c r="I382" s="627">
        <v>0</v>
      </c>
      <c r="J382" s="627">
        <v>12537</v>
      </c>
      <c r="K382" s="627">
        <v>0</v>
      </c>
      <c r="L382" s="626">
        <v>0</v>
      </c>
      <c r="M382" s="626"/>
      <c r="N382" s="627">
        <v>1466</v>
      </c>
      <c r="O382" s="627">
        <v>14313</v>
      </c>
      <c r="P382" s="627">
        <v>0</v>
      </c>
      <c r="Q382" s="626">
        <v>1505</v>
      </c>
      <c r="R382" s="626"/>
      <c r="S382" s="627">
        <v>2848</v>
      </c>
      <c r="T382" s="628">
        <v>-485</v>
      </c>
      <c r="U382" s="628">
        <v>2363</v>
      </c>
    </row>
    <row r="383" spans="1:21" x14ac:dyDescent="0.25">
      <c r="A383" s="623">
        <v>94021</v>
      </c>
      <c r="B383" s="624" t="s">
        <v>1521</v>
      </c>
      <c r="C383" s="625">
        <v>7.6899999999999999E-5</v>
      </c>
      <c r="D383" s="625">
        <v>7.3999999999999996E-5</v>
      </c>
      <c r="E383" s="626">
        <v>35767</v>
      </c>
      <c r="F383" s="626">
        <v>-40842</v>
      </c>
      <c r="G383" s="626">
        <v>34512</v>
      </c>
      <c r="H383" s="626"/>
      <c r="I383" s="627">
        <v>0</v>
      </c>
      <c r="J383" s="627">
        <v>69357</v>
      </c>
      <c r="K383" s="627">
        <v>0</v>
      </c>
      <c r="L383" s="626">
        <v>15464</v>
      </c>
      <c r="M383" s="626"/>
      <c r="N383" s="627">
        <v>8112</v>
      </c>
      <c r="O383" s="627">
        <v>79183</v>
      </c>
      <c r="P383" s="627">
        <v>0</v>
      </c>
      <c r="Q383" s="626">
        <v>0</v>
      </c>
      <c r="R383" s="626"/>
      <c r="S383" s="627">
        <v>15757</v>
      </c>
      <c r="T383" s="628">
        <v>4772</v>
      </c>
      <c r="U383" s="628">
        <v>20529</v>
      </c>
    </row>
    <row r="384" spans="1:21" x14ac:dyDescent="0.25">
      <c r="A384" s="623">
        <v>94031</v>
      </c>
      <c r="B384" s="624" t="s">
        <v>1522</v>
      </c>
      <c r="C384" s="625">
        <v>6.9E-6</v>
      </c>
      <c r="D384" s="625">
        <v>3.7000000000000002E-6</v>
      </c>
      <c r="E384" s="626">
        <v>6682</v>
      </c>
      <c r="F384" s="626">
        <v>-2042</v>
      </c>
      <c r="G384" s="626">
        <v>3097</v>
      </c>
      <c r="H384" s="626"/>
      <c r="I384" s="627">
        <v>0</v>
      </c>
      <c r="J384" s="627">
        <v>6223</v>
      </c>
      <c r="K384" s="627">
        <v>0</v>
      </c>
      <c r="L384" s="626">
        <v>5309</v>
      </c>
      <c r="M384" s="626"/>
      <c r="N384" s="627">
        <v>728</v>
      </c>
      <c r="O384" s="627">
        <v>7105</v>
      </c>
      <c r="P384" s="627">
        <v>0</v>
      </c>
      <c r="Q384" s="626">
        <v>122.59</v>
      </c>
      <c r="R384" s="626"/>
      <c r="S384" s="627">
        <v>1414</v>
      </c>
      <c r="T384" s="628">
        <v>1349</v>
      </c>
      <c r="U384" s="628">
        <v>2763</v>
      </c>
    </row>
    <row r="385" spans="1:21" x14ac:dyDescent="0.25">
      <c r="A385" s="623">
        <v>94101</v>
      </c>
      <c r="B385" s="624" t="s">
        <v>1523</v>
      </c>
      <c r="C385" s="625">
        <v>1.9464599999999999E-2</v>
      </c>
      <c r="D385" s="625">
        <v>1.84431E-2</v>
      </c>
      <c r="E385" s="626">
        <v>7761803</v>
      </c>
      <c r="F385" s="626">
        <v>-10179079</v>
      </c>
      <c r="G385" s="626">
        <v>8735596</v>
      </c>
      <c r="H385" s="626"/>
      <c r="I385" s="627">
        <v>0</v>
      </c>
      <c r="J385" s="627">
        <v>17555434</v>
      </c>
      <c r="K385" s="627">
        <v>0</v>
      </c>
      <c r="L385" s="626">
        <v>570013</v>
      </c>
      <c r="M385" s="626"/>
      <c r="N385" s="627">
        <v>2053379</v>
      </c>
      <c r="O385" s="627">
        <v>20042446</v>
      </c>
      <c r="P385" s="627">
        <v>0</v>
      </c>
      <c r="Q385" s="626">
        <v>782940</v>
      </c>
      <c r="R385" s="626"/>
      <c r="S385" s="627">
        <v>3988335</v>
      </c>
      <c r="T385" s="628">
        <v>-112635</v>
      </c>
      <c r="U385" s="628">
        <v>3875701</v>
      </c>
    </row>
    <row r="386" spans="1:21" x14ac:dyDescent="0.25">
      <c r="A386" s="623">
        <v>94102</v>
      </c>
      <c r="B386" s="624" t="s">
        <v>1524</v>
      </c>
      <c r="C386" s="625">
        <v>2.7809999999999998E-4</v>
      </c>
      <c r="D386" s="625">
        <v>2.9030000000000001E-4</v>
      </c>
      <c r="E386" s="626">
        <v>95896</v>
      </c>
      <c r="F386" s="626">
        <v>-160222</v>
      </c>
      <c r="G386" s="626">
        <v>124810</v>
      </c>
      <c r="H386" s="626"/>
      <c r="I386" s="627">
        <v>0</v>
      </c>
      <c r="J386" s="627">
        <v>250823</v>
      </c>
      <c r="K386" s="627">
        <v>0</v>
      </c>
      <c r="L386" s="626">
        <v>7762</v>
      </c>
      <c r="M386" s="626"/>
      <c r="N386" s="627">
        <v>29338</v>
      </c>
      <c r="O386" s="627">
        <v>286356</v>
      </c>
      <c r="P386" s="627">
        <v>0</v>
      </c>
      <c r="Q386" s="626">
        <v>22547</v>
      </c>
      <c r="R386" s="626"/>
      <c r="S386" s="627">
        <v>56983</v>
      </c>
      <c r="T386" s="628">
        <v>-3306</v>
      </c>
      <c r="U386" s="628">
        <v>53677</v>
      </c>
    </row>
    <row r="387" spans="1:21" x14ac:dyDescent="0.25">
      <c r="A387" s="623">
        <v>94108</v>
      </c>
      <c r="B387" s="624" t="s">
        <v>1525</v>
      </c>
      <c r="C387" s="625">
        <v>3.991E-4</v>
      </c>
      <c r="D387" s="625">
        <v>3.8749999999999999E-4</v>
      </c>
      <c r="E387" s="626">
        <v>106283</v>
      </c>
      <c r="F387" s="626">
        <v>-213868</v>
      </c>
      <c r="G387" s="626">
        <v>179114</v>
      </c>
      <c r="H387" s="626"/>
      <c r="I387" s="627">
        <v>0</v>
      </c>
      <c r="J387" s="627">
        <v>359955</v>
      </c>
      <c r="K387" s="627">
        <v>0</v>
      </c>
      <c r="L387" s="626">
        <v>0</v>
      </c>
      <c r="M387" s="626"/>
      <c r="N387" s="627">
        <v>42102</v>
      </c>
      <c r="O387" s="627">
        <v>410948</v>
      </c>
      <c r="P387" s="627">
        <v>0</v>
      </c>
      <c r="Q387" s="626">
        <v>76781</v>
      </c>
      <c r="R387" s="626"/>
      <c r="S387" s="627">
        <v>81776</v>
      </c>
      <c r="T387" s="628">
        <v>-23008</v>
      </c>
      <c r="U387" s="628">
        <v>58769</v>
      </c>
    </row>
    <row r="388" spans="1:21" x14ac:dyDescent="0.25">
      <c r="A388" s="623">
        <v>94109</v>
      </c>
      <c r="B388" s="624" t="s">
        <v>1526</v>
      </c>
      <c r="C388" s="625">
        <v>1.359E-4</v>
      </c>
      <c r="D388" s="625">
        <v>1.217E-4</v>
      </c>
      <c r="E388" s="626">
        <v>30593</v>
      </c>
      <c r="F388" s="626">
        <v>-67168</v>
      </c>
      <c r="G388" s="626">
        <v>60991</v>
      </c>
      <c r="H388" s="626"/>
      <c r="I388" s="627">
        <v>0</v>
      </c>
      <c r="J388" s="627">
        <v>122570</v>
      </c>
      <c r="K388" s="627">
        <v>0</v>
      </c>
      <c r="L388" s="626">
        <v>2403.96</v>
      </c>
      <c r="M388" s="626"/>
      <c r="N388" s="627">
        <v>14336</v>
      </c>
      <c r="O388" s="627">
        <v>139934</v>
      </c>
      <c r="P388" s="627">
        <v>0</v>
      </c>
      <c r="Q388" s="626">
        <v>9763</v>
      </c>
      <c r="R388" s="626"/>
      <c r="S388" s="627">
        <v>27846</v>
      </c>
      <c r="T388" s="628">
        <v>-1752</v>
      </c>
      <c r="U388" s="628">
        <v>26094</v>
      </c>
    </row>
    <row r="389" spans="1:21" x14ac:dyDescent="0.25">
      <c r="A389" s="623">
        <v>94111</v>
      </c>
      <c r="B389" s="624" t="s">
        <v>1527</v>
      </c>
      <c r="C389" s="625">
        <v>2.7054000000000002E-2</v>
      </c>
      <c r="D389" s="625">
        <v>2.7062200000000002E-2</v>
      </c>
      <c r="E389" s="626">
        <v>10414334</v>
      </c>
      <c r="F389" s="626">
        <v>-14936115</v>
      </c>
      <c r="G389" s="626">
        <v>12141673</v>
      </c>
      <c r="H389" s="626"/>
      <c r="I389" s="627">
        <v>0</v>
      </c>
      <c r="J389" s="627">
        <v>24400435</v>
      </c>
      <c r="K389" s="627">
        <v>0</v>
      </c>
      <c r="L389" s="626">
        <v>22736</v>
      </c>
      <c r="M389" s="626"/>
      <c r="N389" s="627">
        <v>2854008</v>
      </c>
      <c r="O389" s="627">
        <v>27857152</v>
      </c>
      <c r="P389" s="627">
        <v>0</v>
      </c>
      <c r="Q389" s="626">
        <v>506101</v>
      </c>
      <c r="R389" s="626"/>
      <c r="S389" s="627">
        <v>5543419</v>
      </c>
      <c r="T389" s="628">
        <v>-124883</v>
      </c>
      <c r="U389" s="628">
        <v>5418536</v>
      </c>
    </row>
    <row r="390" spans="1:21" x14ac:dyDescent="0.25">
      <c r="A390" s="623">
        <v>94112</v>
      </c>
      <c r="B390" s="624" t="s">
        <v>1528</v>
      </c>
      <c r="C390" s="625">
        <v>1.6909999999999999E-4</v>
      </c>
      <c r="D390" s="625">
        <v>1.7239999999999999E-4</v>
      </c>
      <c r="E390" s="626">
        <v>60495</v>
      </c>
      <c r="F390" s="626">
        <v>-95151</v>
      </c>
      <c r="G390" s="626">
        <v>75891</v>
      </c>
      <c r="H390" s="626"/>
      <c r="I390" s="627">
        <v>0</v>
      </c>
      <c r="J390" s="627">
        <v>152514</v>
      </c>
      <c r="K390" s="627">
        <v>0</v>
      </c>
      <c r="L390" s="626">
        <v>0</v>
      </c>
      <c r="M390" s="626"/>
      <c r="N390" s="627">
        <v>17839</v>
      </c>
      <c r="O390" s="627">
        <v>174120</v>
      </c>
      <c r="P390" s="627">
        <v>0</v>
      </c>
      <c r="Q390" s="626">
        <v>16225</v>
      </c>
      <c r="R390" s="626"/>
      <c r="S390" s="627">
        <v>34649</v>
      </c>
      <c r="T390" s="628">
        <v>-4766</v>
      </c>
      <c r="U390" s="628">
        <v>29883</v>
      </c>
    </row>
    <row r="391" spans="1:21" x14ac:dyDescent="0.25">
      <c r="A391" s="623">
        <v>94117</v>
      </c>
      <c r="B391" s="624" t="s">
        <v>1529</v>
      </c>
      <c r="C391" s="625">
        <v>4.17E-4</v>
      </c>
      <c r="D391" s="625">
        <v>3.8910000000000003E-4</v>
      </c>
      <c r="E391" s="626">
        <v>166742</v>
      </c>
      <c r="F391" s="626">
        <v>-214751</v>
      </c>
      <c r="G391" s="626">
        <v>187147</v>
      </c>
      <c r="H391" s="626"/>
      <c r="I391" s="627">
        <v>0</v>
      </c>
      <c r="J391" s="627">
        <v>376099</v>
      </c>
      <c r="K391" s="627">
        <v>0</v>
      </c>
      <c r="L391" s="626">
        <v>17190</v>
      </c>
      <c r="M391" s="626"/>
      <c r="N391" s="627">
        <v>43991</v>
      </c>
      <c r="O391" s="627">
        <v>429379</v>
      </c>
      <c r="P391" s="627">
        <v>0</v>
      </c>
      <c r="Q391" s="626">
        <v>0</v>
      </c>
      <c r="R391" s="626"/>
      <c r="S391" s="627">
        <v>85444</v>
      </c>
      <c r="T391" s="628">
        <v>4529</v>
      </c>
      <c r="U391" s="628">
        <v>89973</v>
      </c>
    </row>
    <row r="392" spans="1:21" x14ac:dyDescent="0.25">
      <c r="A392" s="623">
        <v>94118</v>
      </c>
      <c r="B392" s="624" t="s">
        <v>1530</v>
      </c>
      <c r="C392" s="625">
        <v>1.918E-4</v>
      </c>
      <c r="D392" s="625">
        <v>1.9819999999999999E-4</v>
      </c>
      <c r="E392" s="626">
        <v>52305</v>
      </c>
      <c r="F392" s="626">
        <v>-109390</v>
      </c>
      <c r="G392" s="626">
        <v>86079</v>
      </c>
      <c r="H392" s="626"/>
      <c r="I392" s="627">
        <v>0</v>
      </c>
      <c r="J392" s="627">
        <v>172987</v>
      </c>
      <c r="K392" s="627">
        <v>0</v>
      </c>
      <c r="L392" s="626">
        <v>0</v>
      </c>
      <c r="M392" s="626"/>
      <c r="N392" s="627">
        <v>20234</v>
      </c>
      <c r="O392" s="627">
        <v>197494</v>
      </c>
      <c r="P392" s="627">
        <v>0</v>
      </c>
      <c r="Q392" s="626">
        <v>45232</v>
      </c>
      <c r="R392" s="626"/>
      <c r="S392" s="627">
        <v>39300</v>
      </c>
      <c r="T392" s="628">
        <v>-13304</v>
      </c>
      <c r="U392" s="628">
        <v>25997</v>
      </c>
    </row>
    <row r="393" spans="1:21" x14ac:dyDescent="0.25">
      <c r="A393" s="623">
        <v>94121</v>
      </c>
      <c r="B393" s="624" t="s">
        <v>1531</v>
      </c>
      <c r="C393" s="625">
        <v>1.20112E-2</v>
      </c>
      <c r="D393" s="625">
        <v>1.16855E-2</v>
      </c>
      <c r="E393" s="626">
        <v>4688858</v>
      </c>
      <c r="F393" s="626">
        <v>-6449438</v>
      </c>
      <c r="G393" s="626">
        <v>5390554</v>
      </c>
      <c r="H393" s="626"/>
      <c r="I393" s="627">
        <v>0</v>
      </c>
      <c r="J393" s="627">
        <v>10833093</v>
      </c>
      <c r="K393" s="627">
        <v>0</v>
      </c>
      <c r="L393" s="626">
        <v>58083</v>
      </c>
      <c r="M393" s="626"/>
      <c r="N393" s="627">
        <v>1267098</v>
      </c>
      <c r="O393" s="627">
        <v>12367776</v>
      </c>
      <c r="P393" s="627">
        <v>0</v>
      </c>
      <c r="Q393" s="626">
        <v>255935</v>
      </c>
      <c r="R393" s="626"/>
      <c r="S393" s="627">
        <v>2461119</v>
      </c>
      <c r="T393" s="628">
        <v>-70392</v>
      </c>
      <c r="U393" s="628">
        <v>2390727</v>
      </c>
    </row>
    <row r="394" spans="1:21" x14ac:dyDescent="0.25">
      <c r="A394" s="623">
        <v>94127</v>
      </c>
      <c r="B394" s="624" t="s">
        <v>1532</v>
      </c>
      <c r="C394" s="625">
        <v>1.4530000000000001E-4</v>
      </c>
      <c r="D394" s="625">
        <v>1.4970000000000001E-4</v>
      </c>
      <c r="E394" s="626">
        <v>62165</v>
      </c>
      <c r="F394" s="626">
        <v>-82622</v>
      </c>
      <c r="G394" s="626">
        <v>65210</v>
      </c>
      <c r="H394" s="626"/>
      <c r="I394" s="627">
        <v>0</v>
      </c>
      <c r="J394" s="627">
        <v>131048</v>
      </c>
      <c r="K394" s="627">
        <v>0</v>
      </c>
      <c r="L394" s="626">
        <v>1794</v>
      </c>
      <c r="M394" s="626"/>
      <c r="N394" s="627">
        <v>15328</v>
      </c>
      <c r="O394" s="627">
        <v>149614</v>
      </c>
      <c r="P394" s="627">
        <v>0</v>
      </c>
      <c r="Q394" s="626">
        <v>836</v>
      </c>
      <c r="R394" s="626"/>
      <c r="S394" s="627">
        <v>29772</v>
      </c>
      <c r="T394" s="628">
        <v>381</v>
      </c>
      <c r="U394" s="628">
        <v>30153</v>
      </c>
    </row>
    <row r="395" spans="1:21" x14ac:dyDescent="0.25">
      <c r="A395" s="623">
        <v>94131</v>
      </c>
      <c r="B395" s="624" t="s">
        <v>1533</v>
      </c>
      <c r="C395" s="625">
        <v>2.0120000000000001E-4</v>
      </c>
      <c r="D395" s="625">
        <v>1.9819999999999999E-4</v>
      </c>
      <c r="E395" s="626">
        <v>86000</v>
      </c>
      <c r="F395" s="626">
        <v>-109390</v>
      </c>
      <c r="G395" s="626">
        <v>90297</v>
      </c>
      <c r="H395" s="626"/>
      <c r="I395" s="627">
        <v>0</v>
      </c>
      <c r="J395" s="627">
        <v>181465</v>
      </c>
      <c r="K395" s="627">
        <v>0</v>
      </c>
      <c r="L395" s="626">
        <v>5160</v>
      </c>
      <c r="M395" s="626"/>
      <c r="N395" s="627">
        <v>21225</v>
      </c>
      <c r="O395" s="627">
        <v>207173</v>
      </c>
      <c r="P395" s="627">
        <v>0</v>
      </c>
      <c r="Q395" s="626">
        <v>1683</v>
      </c>
      <c r="R395" s="626"/>
      <c r="S395" s="627">
        <v>41226</v>
      </c>
      <c r="T395" s="628">
        <v>788</v>
      </c>
      <c r="U395" s="628">
        <v>42014</v>
      </c>
    </row>
    <row r="396" spans="1:21" x14ac:dyDescent="0.25">
      <c r="A396" s="623">
        <v>94151</v>
      </c>
      <c r="B396" s="624" t="s">
        <v>1534</v>
      </c>
      <c r="C396" s="625">
        <v>4.0200000000000001E-4</v>
      </c>
      <c r="D396" s="625">
        <v>3.837E-4</v>
      </c>
      <c r="E396" s="626">
        <v>137673</v>
      </c>
      <c r="F396" s="626">
        <v>-211771</v>
      </c>
      <c r="G396" s="626">
        <v>180415</v>
      </c>
      <c r="H396" s="626"/>
      <c r="I396" s="627">
        <v>0</v>
      </c>
      <c r="J396" s="627">
        <v>362570</v>
      </c>
      <c r="K396" s="627">
        <v>0</v>
      </c>
      <c r="L396" s="626">
        <v>0</v>
      </c>
      <c r="M396" s="626"/>
      <c r="N396" s="627">
        <v>42408</v>
      </c>
      <c r="O396" s="627">
        <v>413934</v>
      </c>
      <c r="P396" s="627">
        <v>0</v>
      </c>
      <c r="Q396" s="626">
        <v>15932</v>
      </c>
      <c r="R396" s="626"/>
      <c r="S396" s="627">
        <v>82371</v>
      </c>
      <c r="T396" s="628">
        <v>-4738</v>
      </c>
      <c r="U396" s="628">
        <v>77633</v>
      </c>
    </row>
    <row r="397" spans="1:21" x14ac:dyDescent="0.25">
      <c r="A397" s="623">
        <v>94157</v>
      </c>
      <c r="B397" s="624" t="s">
        <v>1535</v>
      </c>
      <c r="C397" s="625">
        <v>8.1999999999999994E-6</v>
      </c>
      <c r="D397" s="625">
        <v>6.8000000000000001E-6</v>
      </c>
      <c r="E397" s="626">
        <v>5209</v>
      </c>
      <c r="F397" s="626">
        <v>-3753</v>
      </c>
      <c r="G397" s="626">
        <v>3680</v>
      </c>
      <c r="H397" s="626"/>
      <c r="I397" s="627">
        <v>0</v>
      </c>
      <c r="J397" s="627">
        <v>7396</v>
      </c>
      <c r="K397" s="627">
        <v>0</v>
      </c>
      <c r="L397" s="626">
        <v>5172</v>
      </c>
      <c r="M397" s="626"/>
      <c r="N397" s="627">
        <v>865</v>
      </c>
      <c r="O397" s="627">
        <v>8443</v>
      </c>
      <c r="P397" s="627">
        <v>0</v>
      </c>
      <c r="Q397" s="626">
        <v>0</v>
      </c>
      <c r="R397" s="626"/>
      <c r="S397" s="627">
        <v>1680</v>
      </c>
      <c r="T397" s="628">
        <v>1551</v>
      </c>
      <c r="U397" s="628">
        <v>3231</v>
      </c>
    </row>
    <row r="398" spans="1:21" x14ac:dyDescent="0.25">
      <c r="A398" s="623">
        <v>94161</v>
      </c>
      <c r="B398" s="624" t="s">
        <v>1536</v>
      </c>
      <c r="C398" s="625">
        <v>5.3000000000000001E-5</v>
      </c>
      <c r="D398" s="625">
        <v>4.0599999999999998E-5</v>
      </c>
      <c r="E398" s="626">
        <v>21407</v>
      </c>
      <c r="F398" s="626">
        <v>-22408</v>
      </c>
      <c r="G398" s="626">
        <v>23786</v>
      </c>
      <c r="H398" s="626"/>
      <c r="I398" s="627">
        <v>0</v>
      </c>
      <c r="J398" s="627">
        <v>47802</v>
      </c>
      <c r="K398" s="627">
        <v>0</v>
      </c>
      <c r="L398" s="626">
        <v>10210</v>
      </c>
      <c r="M398" s="626"/>
      <c r="N398" s="627">
        <v>5591</v>
      </c>
      <c r="O398" s="627">
        <v>54573</v>
      </c>
      <c r="P398" s="627">
        <v>0</v>
      </c>
      <c r="Q398" s="626">
        <v>0</v>
      </c>
      <c r="R398" s="626"/>
      <c r="S398" s="627">
        <v>10860</v>
      </c>
      <c r="T398" s="628">
        <v>2796</v>
      </c>
      <c r="U398" s="628">
        <v>13656</v>
      </c>
    </row>
    <row r="399" spans="1:21" x14ac:dyDescent="0.25">
      <c r="A399" s="623">
        <v>94168</v>
      </c>
      <c r="B399" s="624" t="s">
        <v>1537</v>
      </c>
      <c r="C399" s="625">
        <v>4.18E-5</v>
      </c>
      <c r="D399" s="625">
        <v>4.4499999999999997E-5</v>
      </c>
      <c r="E399" s="626">
        <v>12999</v>
      </c>
      <c r="F399" s="626">
        <v>-24560</v>
      </c>
      <c r="G399" s="626">
        <v>18760</v>
      </c>
      <c r="H399" s="626"/>
      <c r="I399" s="627">
        <v>0</v>
      </c>
      <c r="J399" s="627">
        <v>37700</v>
      </c>
      <c r="K399" s="627">
        <v>0</v>
      </c>
      <c r="L399" s="626">
        <v>0</v>
      </c>
      <c r="M399" s="626"/>
      <c r="N399" s="627">
        <v>4410</v>
      </c>
      <c r="O399" s="627">
        <v>43041</v>
      </c>
      <c r="P399" s="627">
        <v>0</v>
      </c>
      <c r="Q399" s="626">
        <v>10581</v>
      </c>
      <c r="R399" s="626"/>
      <c r="S399" s="627">
        <v>8565</v>
      </c>
      <c r="T399" s="628">
        <v>-3167</v>
      </c>
      <c r="U399" s="628">
        <v>5398</v>
      </c>
    </row>
    <row r="400" spans="1:21" x14ac:dyDescent="0.25">
      <c r="A400" s="623">
        <v>94171</v>
      </c>
      <c r="B400" s="624" t="s">
        <v>1538</v>
      </c>
      <c r="C400" s="625">
        <v>5.1100000000000002E-5</v>
      </c>
      <c r="D400" s="625">
        <v>4.18E-5</v>
      </c>
      <c r="E400" s="626">
        <v>22153</v>
      </c>
      <c r="F400" s="626">
        <v>-23070</v>
      </c>
      <c r="G400" s="626">
        <v>22933</v>
      </c>
      <c r="H400" s="626"/>
      <c r="I400" s="627">
        <v>0</v>
      </c>
      <c r="J400" s="627">
        <v>46088</v>
      </c>
      <c r="K400" s="627">
        <v>0</v>
      </c>
      <c r="L400" s="626">
        <v>7548</v>
      </c>
      <c r="M400" s="626"/>
      <c r="N400" s="627">
        <v>5391</v>
      </c>
      <c r="O400" s="627">
        <v>52617</v>
      </c>
      <c r="P400" s="627">
        <v>0</v>
      </c>
      <c r="Q400" s="626">
        <v>2604.29</v>
      </c>
      <c r="R400" s="626"/>
      <c r="S400" s="627">
        <v>10470</v>
      </c>
      <c r="T400" s="628">
        <v>1105</v>
      </c>
      <c r="U400" s="628">
        <v>11575</v>
      </c>
    </row>
    <row r="401" spans="1:21" x14ac:dyDescent="0.25">
      <c r="A401" s="623">
        <v>94172</v>
      </c>
      <c r="B401" s="624" t="s">
        <v>1539</v>
      </c>
      <c r="C401" s="625">
        <v>3.1379999999999998E-4</v>
      </c>
      <c r="D401" s="625">
        <v>3.0210000000000002E-4</v>
      </c>
      <c r="E401" s="626">
        <v>81118</v>
      </c>
      <c r="F401" s="626">
        <v>-166734</v>
      </c>
      <c r="G401" s="626">
        <v>140832</v>
      </c>
      <c r="H401" s="626"/>
      <c r="I401" s="627">
        <v>0</v>
      </c>
      <c r="J401" s="627">
        <v>283021</v>
      </c>
      <c r="K401" s="627">
        <v>0</v>
      </c>
      <c r="L401" s="626">
        <v>0</v>
      </c>
      <c r="M401" s="626"/>
      <c r="N401" s="627">
        <v>33104</v>
      </c>
      <c r="O401" s="627">
        <v>323116</v>
      </c>
      <c r="P401" s="627">
        <v>0</v>
      </c>
      <c r="Q401" s="626">
        <v>72580</v>
      </c>
      <c r="R401" s="626"/>
      <c r="S401" s="627">
        <v>64298</v>
      </c>
      <c r="T401" s="628">
        <v>-22164</v>
      </c>
      <c r="U401" s="628">
        <v>42134</v>
      </c>
    </row>
    <row r="402" spans="1:21" x14ac:dyDescent="0.25">
      <c r="A402" s="623">
        <v>94201</v>
      </c>
      <c r="B402" s="624" t="s">
        <v>1540</v>
      </c>
      <c r="C402" s="625">
        <v>3.4115E-3</v>
      </c>
      <c r="D402" s="625">
        <v>3.3898000000000001E-3</v>
      </c>
      <c r="E402" s="626">
        <v>1437510</v>
      </c>
      <c r="F402" s="626">
        <v>-1870892</v>
      </c>
      <c r="G402" s="626">
        <v>1531061</v>
      </c>
      <c r="H402" s="626"/>
      <c r="I402" s="627">
        <v>0</v>
      </c>
      <c r="J402" s="627">
        <v>3076886</v>
      </c>
      <c r="K402" s="627">
        <v>0</v>
      </c>
      <c r="L402" s="626">
        <v>50619</v>
      </c>
      <c r="M402" s="626"/>
      <c r="N402" s="627">
        <v>359889</v>
      </c>
      <c r="O402" s="627">
        <v>3512777</v>
      </c>
      <c r="P402" s="627">
        <v>0</v>
      </c>
      <c r="Q402" s="626">
        <v>5561</v>
      </c>
      <c r="R402" s="626"/>
      <c r="S402" s="627">
        <v>699023</v>
      </c>
      <c r="T402" s="628">
        <v>11391</v>
      </c>
      <c r="U402" s="628">
        <v>710414</v>
      </c>
    </row>
    <row r="403" spans="1:21" x14ac:dyDescent="0.25">
      <c r="A403" s="623">
        <v>94204</v>
      </c>
      <c r="B403" s="624" t="s">
        <v>1541</v>
      </c>
      <c r="C403" s="625">
        <v>2.41E-5</v>
      </c>
      <c r="D403" s="625">
        <v>2.26E-5</v>
      </c>
      <c r="E403" s="626">
        <v>15436</v>
      </c>
      <c r="F403" s="626">
        <v>-12473</v>
      </c>
      <c r="G403" s="626">
        <v>10816</v>
      </c>
      <c r="H403" s="626"/>
      <c r="I403" s="627">
        <v>0</v>
      </c>
      <c r="J403" s="627">
        <v>21736</v>
      </c>
      <c r="K403" s="627">
        <v>0</v>
      </c>
      <c r="L403" s="626">
        <v>8780</v>
      </c>
      <c r="M403" s="626"/>
      <c r="N403" s="627">
        <v>2542</v>
      </c>
      <c r="O403" s="627">
        <v>24815</v>
      </c>
      <c r="P403" s="627">
        <v>0</v>
      </c>
      <c r="Q403" s="626">
        <v>0</v>
      </c>
      <c r="R403" s="626"/>
      <c r="S403" s="627">
        <v>4938</v>
      </c>
      <c r="T403" s="628">
        <v>2538</v>
      </c>
      <c r="U403" s="628">
        <v>7476</v>
      </c>
    </row>
    <row r="404" spans="1:21" x14ac:dyDescent="0.25">
      <c r="A404" s="623">
        <v>94205</v>
      </c>
      <c r="B404" s="624" t="s">
        <v>1542</v>
      </c>
      <c r="C404" s="625">
        <v>2.6999999999999999E-5</v>
      </c>
      <c r="D404" s="625">
        <v>2.5400000000000001E-5</v>
      </c>
      <c r="E404" s="626">
        <v>12286</v>
      </c>
      <c r="F404" s="626">
        <v>-14019</v>
      </c>
      <c r="G404" s="626">
        <v>12117</v>
      </c>
      <c r="H404" s="626"/>
      <c r="I404" s="627">
        <v>0</v>
      </c>
      <c r="J404" s="627">
        <v>24352</v>
      </c>
      <c r="K404" s="627">
        <v>0</v>
      </c>
      <c r="L404" s="626">
        <v>2123</v>
      </c>
      <c r="M404" s="626"/>
      <c r="N404" s="627">
        <v>2848</v>
      </c>
      <c r="O404" s="627">
        <v>27802</v>
      </c>
      <c r="P404" s="627">
        <v>0</v>
      </c>
      <c r="Q404" s="626">
        <v>10106</v>
      </c>
      <c r="R404" s="626"/>
      <c r="S404" s="627">
        <v>5532</v>
      </c>
      <c r="T404" s="628">
        <v>-2824</v>
      </c>
      <c r="U404" s="628">
        <v>2708</v>
      </c>
    </row>
    <row r="405" spans="1:21" x14ac:dyDescent="0.25">
      <c r="A405" s="623">
        <v>94209</v>
      </c>
      <c r="B405" s="624" t="s">
        <v>1543</v>
      </c>
      <c r="C405" s="625">
        <v>3.5540000000000002E-4</v>
      </c>
      <c r="D405" s="625">
        <v>3.234E-4</v>
      </c>
      <c r="E405" s="626">
        <v>148246</v>
      </c>
      <c r="F405" s="626">
        <v>-178490</v>
      </c>
      <c r="G405" s="626">
        <v>159501</v>
      </c>
      <c r="H405" s="626"/>
      <c r="I405" s="627">
        <v>0</v>
      </c>
      <c r="J405" s="627">
        <v>320541</v>
      </c>
      <c r="K405" s="627">
        <v>0</v>
      </c>
      <c r="L405" s="626">
        <v>33797</v>
      </c>
      <c r="M405" s="626"/>
      <c r="N405" s="627">
        <v>37492</v>
      </c>
      <c r="O405" s="627">
        <v>365951</v>
      </c>
      <c r="P405" s="627">
        <v>0</v>
      </c>
      <c r="Q405" s="626">
        <v>0</v>
      </c>
      <c r="R405" s="626"/>
      <c r="S405" s="627">
        <v>72822</v>
      </c>
      <c r="T405" s="628">
        <v>9490</v>
      </c>
      <c r="U405" s="628">
        <v>82313</v>
      </c>
    </row>
    <row r="406" spans="1:21" x14ac:dyDescent="0.25">
      <c r="A406" s="623">
        <v>94211</v>
      </c>
      <c r="B406" s="624" t="s">
        <v>1544</v>
      </c>
      <c r="C406" s="625">
        <v>1.217E-4</v>
      </c>
      <c r="D406" s="625">
        <v>1.516E-4</v>
      </c>
      <c r="E406" s="626">
        <v>53405</v>
      </c>
      <c r="F406" s="626">
        <v>-83671</v>
      </c>
      <c r="G406" s="626">
        <v>54618</v>
      </c>
      <c r="H406" s="626"/>
      <c r="I406" s="627">
        <v>0</v>
      </c>
      <c r="J406" s="627">
        <v>109763</v>
      </c>
      <c r="K406" s="627">
        <v>0</v>
      </c>
      <c r="L406" s="626">
        <v>0</v>
      </c>
      <c r="M406" s="626"/>
      <c r="N406" s="627">
        <v>12838</v>
      </c>
      <c r="O406" s="627">
        <v>125313</v>
      </c>
      <c r="P406" s="627">
        <v>0</v>
      </c>
      <c r="Q406" s="626">
        <v>44410</v>
      </c>
      <c r="R406" s="626"/>
      <c r="S406" s="627">
        <v>24937</v>
      </c>
      <c r="T406" s="628">
        <v>-13542</v>
      </c>
      <c r="U406" s="628">
        <v>11394</v>
      </c>
    </row>
    <row r="407" spans="1:21" x14ac:dyDescent="0.25">
      <c r="A407" s="623">
        <v>94221</v>
      </c>
      <c r="B407" s="624" t="s">
        <v>1545</v>
      </c>
      <c r="C407" s="625">
        <v>1.1294E-3</v>
      </c>
      <c r="D407" s="625">
        <v>8.6799999999999996E-4</v>
      </c>
      <c r="E407" s="626">
        <v>398427</v>
      </c>
      <c r="F407" s="626">
        <v>-479065</v>
      </c>
      <c r="G407" s="626">
        <v>506868</v>
      </c>
      <c r="H407" s="626"/>
      <c r="I407" s="627">
        <v>0</v>
      </c>
      <c r="J407" s="627">
        <v>1018624</v>
      </c>
      <c r="K407" s="627">
        <v>0</v>
      </c>
      <c r="L407" s="626">
        <v>133753</v>
      </c>
      <c r="M407" s="626"/>
      <c r="N407" s="627">
        <v>119144</v>
      </c>
      <c r="O407" s="627">
        <v>1162928</v>
      </c>
      <c r="P407" s="627">
        <v>0</v>
      </c>
      <c r="Q407" s="626">
        <v>95551</v>
      </c>
      <c r="R407" s="626"/>
      <c r="S407" s="627">
        <v>231416</v>
      </c>
      <c r="T407" s="628">
        <v>3057</v>
      </c>
      <c r="U407" s="628">
        <v>234473</v>
      </c>
    </row>
    <row r="408" spans="1:21" x14ac:dyDescent="0.25">
      <c r="A408" s="623">
        <v>94231</v>
      </c>
      <c r="B408" s="624" t="s">
        <v>1546</v>
      </c>
      <c r="C408" s="625">
        <v>1.9469999999999999E-4</v>
      </c>
      <c r="D408" s="625">
        <v>2.0149999999999999E-4</v>
      </c>
      <c r="E408" s="626">
        <v>75465</v>
      </c>
      <c r="F408" s="626">
        <v>-111211</v>
      </c>
      <c r="G408" s="626">
        <v>87380</v>
      </c>
      <c r="H408" s="626"/>
      <c r="I408" s="627">
        <v>0</v>
      </c>
      <c r="J408" s="627">
        <v>175603</v>
      </c>
      <c r="K408" s="627">
        <v>0</v>
      </c>
      <c r="L408" s="626">
        <v>0</v>
      </c>
      <c r="M408" s="626"/>
      <c r="N408" s="627">
        <v>20539</v>
      </c>
      <c r="O408" s="627">
        <v>200480</v>
      </c>
      <c r="P408" s="627">
        <v>0</v>
      </c>
      <c r="Q408" s="626">
        <v>16781</v>
      </c>
      <c r="R408" s="626"/>
      <c r="S408" s="627">
        <v>39894</v>
      </c>
      <c r="T408" s="628">
        <v>-5034</v>
      </c>
      <c r="U408" s="628">
        <v>34861</v>
      </c>
    </row>
    <row r="409" spans="1:21" x14ac:dyDescent="0.25">
      <c r="A409" s="623">
        <v>94241</v>
      </c>
      <c r="B409" s="624" t="s">
        <v>1547</v>
      </c>
      <c r="C409" s="625">
        <v>8.4800000000000001E-5</v>
      </c>
      <c r="D409" s="625">
        <v>9.3800000000000003E-5</v>
      </c>
      <c r="E409" s="626">
        <v>40323</v>
      </c>
      <c r="F409" s="626">
        <v>-51770</v>
      </c>
      <c r="G409" s="626">
        <v>38058</v>
      </c>
      <c r="H409" s="626"/>
      <c r="I409" s="627">
        <v>0</v>
      </c>
      <c r="J409" s="627">
        <v>76482</v>
      </c>
      <c r="K409" s="627">
        <v>0</v>
      </c>
      <c r="L409" s="626">
        <v>1946</v>
      </c>
      <c r="M409" s="626"/>
      <c r="N409" s="627">
        <v>8946</v>
      </c>
      <c r="O409" s="627">
        <v>87317</v>
      </c>
      <c r="P409" s="627">
        <v>0</v>
      </c>
      <c r="Q409" s="626">
        <v>1798</v>
      </c>
      <c r="R409" s="626"/>
      <c r="S409" s="627">
        <v>17376</v>
      </c>
      <c r="T409" s="628">
        <v>180</v>
      </c>
      <c r="U409" s="628">
        <v>17556</v>
      </c>
    </row>
    <row r="410" spans="1:21" x14ac:dyDescent="0.25">
      <c r="A410" s="623">
        <v>94251</v>
      </c>
      <c r="B410" s="624" t="s">
        <v>1548</v>
      </c>
      <c r="C410" s="625">
        <v>2.37E-5</v>
      </c>
      <c r="D410" s="625">
        <v>3.1399999999999998E-5</v>
      </c>
      <c r="E410" s="626">
        <v>8401</v>
      </c>
      <c r="F410" s="626">
        <v>-17330</v>
      </c>
      <c r="G410" s="626">
        <v>10636</v>
      </c>
      <c r="H410" s="626"/>
      <c r="I410" s="627">
        <v>0</v>
      </c>
      <c r="J410" s="627">
        <v>21375</v>
      </c>
      <c r="K410" s="627">
        <v>0</v>
      </c>
      <c r="L410" s="626">
        <v>0</v>
      </c>
      <c r="M410" s="626"/>
      <c r="N410" s="627">
        <v>2500</v>
      </c>
      <c r="O410" s="627">
        <v>24404</v>
      </c>
      <c r="P410" s="627">
        <v>0</v>
      </c>
      <c r="Q410" s="626">
        <v>7479</v>
      </c>
      <c r="R410" s="626"/>
      <c r="S410" s="627">
        <v>4856</v>
      </c>
      <c r="T410" s="628">
        <v>-2035</v>
      </c>
      <c r="U410" s="628">
        <v>2821</v>
      </c>
    </row>
    <row r="411" spans="1:21" x14ac:dyDescent="0.25">
      <c r="A411" s="623">
        <v>94261</v>
      </c>
      <c r="B411" s="624" t="s">
        <v>1549</v>
      </c>
      <c r="C411" s="625">
        <v>1.66E-5</v>
      </c>
      <c r="D411" s="625">
        <v>2.0100000000000001E-5</v>
      </c>
      <c r="E411" s="626">
        <v>14576</v>
      </c>
      <c r="F411" s="626">
        <v>-11094</v>
      </c>
      <c r="G411" s="626">
        <v>7450</v>
      </c>
      <c r="H411" s="626"/>
      <c r="I411" s="627">
        <v>0</v>
      </c>
      <c r="J411" s="627">
        <v>14972</v>
      </c>
      <c r="K411" s="627">
        <v>0</v>
      </c>
      <c r="L411" s="626">
        <v>5710</v>
      </c>
      <c r="M411" s="626"/>
      <c r="N411" s="627">
        <v>1751</v>
      </c>
      <c r="O411" s="627">
        <v>17093</v>
      </c>
      <c r="P411" s="627">
        <v>0</v>
      </c>
      <c r="Q411" s="626">
        <v>0</v>
      </c>
      <c r="R411" s="626"/>
      <c r="S411" s="627">
        <v>3401</v>
      </c>
      <c r="T411" s="628">
        <v>1639</v>
      </c>
      <c r="U411" s="628">
        <v>5040</v>
      </c>
    </row>
    <row r="412" spans="1:21" x14ac:dyDescent="0.25">
      <c r="A412" s="623">
        <v>94301</v>
      </c>
      <c r="B412" s="624" t="s">
        <v>1550</v>
      </c>
      <c r="C412" s="625">
        <v>6.0625999999999996E-3</v>
      </c>
      <c r="D412" s="625">
        <v>6.1358999999999997E-3</v>
      </c>
      <c r="E412" s="626">
        <v>2406347</v>
      </c>
      <c r="F412" s="626">
        <v>-3386514</v>
      </c>
      <c r="G412" s="626">
        <v>2720859</v>
      </c>
      <c r="H412" s="626"/>
      <c r="I412" s="627">
        <v>0</v>
      </c>
      <c r="J412" s="627">
        <v>5467956</v>
      </c>
      <c r="K412" s="627">
        <v>0</v>
      </c>
      <c r="L412" s="626">
        <v>28375</v>
      </c>
      <c r="M412" s="626"/>
      <c r="N412" s="627">
        <v>639562</v>
      </c>
      <c r="O412" s="627">
        <v>6242580</v>
      </c>
      <c r="P412" s="627">
        <v>0</v>
      </c>
      <c r="Q412" s="626">
        <v>106045</v>
      </c>
      <c r="R412" s="626"/>
      <c r="S412" s="627">
        <v>1242239</v>
      </c>
      <c r="T412" s="628">
        <v>-18270</v>
      </c>
      <c r="U412" s="628">
        <v>1223968</v>
      </c>
    </row>
    <row r="413" spans="1:21" x14ac:dyDescent="0.25">
      <c r="A413" s="623">
        <v>94311</v>
      </c>
      <c r="B413" s="624" t="s">
        <v>1551</v>
      </c>
      <c r="C413" s="625">
        <v>8.4360000000000001E-4</v>
      </c>
      <c r="D413" s="625">
        <v>9.1140000000000004E-4</v>
      </c>
      <c r="E413" s="626">
        <v>354169</v>
      </c>
      <c r="F413" s="626">
        <v>-503018</v>
      </c>
      <c r="G413" s="626">
        <v>378603</v>
      </c>
      <c r="H413" s="626"/>
      <c r="I413" s="627">
        <v>0</v>
      </c>
      <c r="J413" s="627">
        <v>760856</v>
      </c>
      <c r="K413" s="627">
        <v>0</v>
      </c>
      <c r="L413" s="626">
        <v>8398.91</v>
      </c>
      <c r="M413" s="626"/>
      <c r="N413" s="627">
        <v>88994</v>
      </c>
      <c r="O413" s="627">
        <v>868644</v>
      </c>
      <c r="P413" s="627">
        <v>0</v>
      </c>
      <c r="Q413" s="626">
        <v>39856</v>
      </c>
      <c r="R413" s="626"/>
      <c r="S413" s="627">
        <v>172855</v>
      </c>
      <c r="T413" s="628">
        <v>-7625</v>
      </c>
      <c r="U413" s="628">
        <v>165231</v>
      </c>
    </row>
    <row r="414" spans="1:21" x14ac:dyDescent="0.25">
      <c r="A414" s="623">
        <v>94313</v>
      </c>
      <c r="B414" s="624" t="s">
        <v>1552</v>
      </c>
      <c r="C414" s="625">
        <v>1.8099999999999999E-5</v>
      </c>
      <c r="D414" s="625">
        <v>2.0999999999999999E-5</v>
      </c>
      <c r="E414" s="626">
        <v>13402</v>
      </c>
      <c r="F414" s="626">
        <v>-11590</v>
      </c>
      <c r="G414" s="626">
        <v>8123</v>
      </c>
      <c r="H414" s="626"/>
      <c r="I414" s="627">
        <v>0</v>
      </c>
      <c r="J414" s="627">
        <v>16325</v>
      </c>
      <c r="K414" s="627">
        <v>0</v>
      </c>
      <c r="L414" s="626">
        <v>4957</v>
      </c>
      <c r="M414" s="626"/>
      <c r="N414" s="627">
        <v>1909</v>
      </c>
      <c r="O414" s="627">
        <v>18637</v>
      </c>
      <c r="P414" s="627">
        <v>0</v>
      </c>
      <c r="Q414" s="626">
        <v>0</v>
      </c>
      <c r="R414" s="626"/>
      <c r="S414" s="627">
        <v>3709</v>
      </c>
      <c r="T414" s="628">
        <v>1459</v>
      </c>
      <c r="U414" s="628">
        <v>5168</v>
      </c>
    </row>
    <row r="415" spans="1:21" x14ac:dyDescent="0.25">
      <c r="A415" s="623">
        <v>94317</v>
      </c>
      <c r="B415" s="624" t="s">
        <v>1553</v>
      </c>
      <c r="C415" s="625">
        <v>1.15E-5</v>
      </c>
      <c r="D415" s="625">
        <v>1.11E-5</v>
      </c>
      <c r="E415" s="626">
        <v>8264</v>
      </c>
      <c r="F415" s="626">
        <v>-6126</v>
      </c>
      <c r="G415" s="626">
        <v>5161</v>
      </c>
      <c r="H415" s="626"/>
      <c r="I415" s="627">
        <v>0</v>
      </c>
      <c r="J415" s="627">
        <v>10372</v>
      </c>
      <c r="K415" s="627">
        <v>0</v>
      </c>
      <c r="L415" s="626">
        <v>5283</v>
      </c>
      <c r="M415" s="626"/>
      <c r="N415" s="627">
        <v>1213</v>
      </c>
      <c r="O415" s="627">
        <v>11841</v>
      </c>
      <c r="P415" s="627">
        <v>0</v>
      </c>
      <c r="Q415" s="626">
        <v>0</v>
      </c>
      <c r="R415" s="626"/>
      <c r="S415" s="627">
        <v>2356</v>
      </c>
      <c r="T415" s="628">
        <v>1541</v>
      </c>
      <c r="U415" s="628">
        <v>3897</v>
      </c>
    </row>
    <row r="416" spans="1:21" x14ac:dyDescent="0.25">
      <c r="A416" s="623">
        <v>94321</v>
      </c>
      <c r="B416" s="624" t="s">
        <v>1554</v>
      </c>
      <c r="C416" s="625">
        <v>2.7270000000000001E-4</v>
      </c>
      <c r="D416" s="625">
        <v>2.676E-4</v>
      </c>
      <c r="E416" s="626">
        <v>95061</v>
      </c>
      <c r="F416" s="626">
        <v>-147693</v>
      </c>
      <c r="G416" s="626">
        <v>122386</v>
      </c>
      <c r="H416" s="626"/>
      <c r="I416" s="627">
        <v>0</v>
      </c>
      <c r="J416" s="627">
        <v>245952</v>
      </c>
      <c r="K416" s="627">
        <v>0</v>
      </c>
      <c r="L416" s="626">
        <v>5110</v>
      </c>
      <c r="M416" s="626"/>
      <c r="N416" s="627">
        <v>28768</v>
      </c>
      <c r="O416" s="627">
        <v>280796</v>
      </c>
      <c r="P416" s="627">
        <v>0</v>
      </c>
      <c r="Q416" s="626">
        <v>9322</v>
      </c>
      <c r="R416" s="626"/>
      <c r="S416" s="627">
        <v>55877</v>
      </c>
      <c r="T416" s="628">
        <v>-731</v>
      </c>
      <c r="U416" s="628">
        <v>55146</v>
      </c>
    </row>
    <row r="417" spans="1:21" x14ac:dyDescent="0.25">
      <c r="A417" s="623">
        <v>94331</v>
      </c>
      <c r="B417" s="624" t="s">
        <v>1555</v>
      </c>
      <c r="C417" s="625">
        <v>1.7420000000000001E-4</v>
      </c>
      <c r="D417" s="625">
        <v>1.7119999999999999E-4</v>
      </c>
      <c r="E417" s="626">
        <v>78312</v>
      </c>
      <c r="F417" s="626">
        <v>-94488</v>
      </c>
      <c r="G417" s="626">
        <v>78180</v>
      </c>
      <c r="H417" s="626"/>
      <c r="I417" s="627">
        <v>0</v>
      </c>
      <c r="J417" s="627">
        <v>157114</v>
      </c>
      <c r="K417" s="627">
        <v>0</v>
      </c>
      <c r="L417" s="626">
        <v>19876</v>
      </c>
      <c r="M417" s="626"/>
      <c r="N417" s="627">
        <v>18377</v>
      </c>
      <c r="O417" s="627">
        <v>179371</v>
      </c>
      <c r="P417" s="627">
        <v>0</v>
      </c>
      <c r="Q417" s="626">
        <v>0</v>
      </c>
      <c r="R417" s="626"/>
      <c r="S417" s="627">
        <v>35694</v>
      </c>
      <c r="T417" s="628">
        <v>6081</v>
      </c>
      <c r="U417" s="628">
        <v>41775</v>
      </c>
    </row>
    <row r="418" spans="1:21" x14ac:dyDescent="0.25">
      <c r="A418" s="623">
        <v>94341</v>
      </c>
      <c r="B418" s="624" t="s">
        <v>1556</v>
      </c>
      <c r="C418" s="625">
        <v>8.8399999999999994E-5</v>
      </c>
      <c r="D418" s="625">
        <v>8.3499999999999997E-5</v>
      </c>
      <c r="E418" s="626">
        <v>32630</v>
      </c>
      <c r="F418" s="626">
        <v>-46085</v>
      </c>
      <c r="G418" s="626">
        <v>39673</v>
      </c>
      <c r="H418" s="626"/>
      <c r="I418" s="627">
        <v>0</v>
      </c>
      <c r="J418" s="627">
        <v>79729</v>
      </c>
      <c r="K418" s="627">
        <v>0</v>
      </c>
      <c r="L418" s="626">
        <v>695</v>
      </c>
      <c r="M418" s="626"/>
      <c r="N418" s="627">
        <v>9326</v>
      </c>
      <c r="O418" s="627">
        <v>91024</v>
      </c>
      <c r="P418" s="627">
        <v>0</v>
      </c>
      <c r="Q418" s="626">
        <v>5830.5</v>
      </c>
      <c r="R418" s="626"/>
      <c r="S418" s="627">
        <v>18113</v>
      </c>
      <c r="T418" s="628">
        <v>-1768</v>
      </c>
      <c r="U418" s="628">
        <v>16345</v>
      </c>
    </row>
    <row r="419" spans="1:21" x14ac:dyDescent="0.25">
      <c r="A419" s="623">
        <v>94347</v>
      </c>
      <c r="B419" s="624" t="s">
        <v>1557</v>
      </c>
      <c r="C419" s="625">
        <v>1.31E-5</v>
      </c>
      <c r="D419" s="625">
        <v>1.49E-5</v>
      </c>
      <c r="E419" s="626">
        <v>7297</v>
      </c>
      <c r="F419" s="626">
        <v>-8224</v>
      </c>
      <c r="G419" s="626">
        <v>5879</v>
      </c>
      <c r="H419" s="626"/>
      <c r="I419" s="627">
        <v>0</v>
      </c>
      <c r="J419" s="627">
        <v>11815</v>
      </c>
      <c r="K419" s="627">
        <v>0</v>
      </c>
      <c r="L419" s="626">
        <v>3077</v>
      </c>
      <c r="M419" s="626"/>
      <c r="N419" s="627">
        <v>1382</v>
      </c>
      <c r="O419" s="627">
        <v>13489</v>
      </c>
      <c r="P419" s="627">
        <v>0</v>
      </c>
      <c r="Q419" s="626">
        <v>0</v>
      </c>
      <c r="R419" s="626"/>
      <c r="S419" s="627">
        <v>2684</v>
      </c>
      <c r="T419" s="628">
        <v>1009</v>
      </c>
      <c r="U419" s="628">
        <v>3693</v>
      </c>
    </row>
    <row r="420" spans="1:21" x14ac:dyDescent="0.25">
      <c r="A420" s="623">
        <v>94351</v>
      </c>
      <c r="B420" s="624" t="s">
        <v>1558</v>
      </c>
      <c r="C420" s="625">
        <v>2.3049999999999999E-4</v>
      </c>
      <c r="D420" s="625">
        <v>2.1900000000000001E-4</v>
      </c>
      <c r="E420" s="626">
        <v>88142</v>
      </c>
      <c r="F420" s="626">
        <v>-120870</v>
      </c>
      <c r="G420" s="626">
        <v>103447</v>
      </c>
      <c r="H420" s="626"/>
      <c r="I420" s="627">
        <v>0</v>
      </c>
      <c r="J420" s="627">
        <v>207892</v>
      </c>
      <c r="K420" s="627">
        <v>0</v>
      </c>
      <c r="L420" s="626">
        <v>3341</v>
      </c>
      <c r="M420" s="626"/>
      <c r="N420" s="627">
        <v>24316</v>
      </c>
      <c r="O420" s="627">
        <v>237343</v>
      </c>
      <c r="P420" s="627">
        <v>0</v>
      </c>
      <c r="Q420" s="626">
        <v>5005.26</v>
      </c>
      <c r="R420" s="626"/>
      <c r="S420" s="627">
        <v>47230</v>
      </c>
      <c r="T420" s="628">
        <v>-799</v>
      </c>
      <c r="U420" s="628">
        <v>46430</v>
      </c>
    </row>
    <row r="421" spans="1:21" x14ac:dyDescent="0.25">
      <c r="A421" s="623">
        <v>94401</v>
      </c>
      <c r="B421" s="624" t="s">
        <v>1559</v>
      </c>
      <c r="C421" s="625">
        <v>3.3264000000000002E-3</v>
      </c>
      <c r="D421" s="625">
        <v>3.3192999999999999E-3</v>
      </c>
      <c r="E421" s="626">
        <v>1386679</v>
      </c>
      <c r="F421" s="626">
        <v>-1831981</v>
      </c>
      <c r="G421" s="626">
        <v>1492868</v>
      </c>
      <c r="H421" s="626"/>
      <c r="I421" s="627">
        <v>0</v>
      </c>
      <c r="J421" s="627">
        <v>3000133</v>
      </c>
      <c r="K421" s="627">
        <v>0</v>
      </c>
      <c r="L421" s="626">
        <v>27625</v>
      </c>
      <c r="M421" s="626"/>
      <c r="N421" s="627">
        <v>350912</v>
      </c>
      <c r="O421" s="627">
        <v>3425151</v>
      </c>
      <c r="P421" s="627">
        <v>0</v>
      </c>
      <c r="Q421" s="626">
        <v>954</v>
      </c>
      <c r="R421" s="626"/>
      <c r="S421" s="627">
        <v>681586</v>
      </c>
      <c r="T421" s="628">
        <v>6913</v>
      </c>
      <c r="U421" s="628">
        <v>688499</v>
      </c>
    </row>
    <row r="422" spans="1:21" x14ac:dyDescent="0.25">
      <c r="A422" s="623">
        <v>94402</v>
      </c>
      <c r="B422" s="624" t="s">
        <v>1560</v>
      </c>
      <c r="C422" s="625">
        <v>0</v>
      </c>
      <c r="D422" s="625">
        <v>5.0961000000000001E-3</v>
      </c>
      <c r="E422" s="626"/>
      <c r="F422" s="626">
        <v>-2812629</v>
      </c>
      <c r="G422" s="626">
        <v>0</v>
      </c>
      <c r="H422" s="626"/>
      <c r="I422" s="627">
        <v>0</v>
      </c>
      <c r="J422" s="627">
        <v>0</v>
      </c>
      <c r="K422" s="627">
        <v>0</v>
      </c>
      <c r="L422" s="626">
        <v>0</v>
      </c>
      <c r="M422" s="626"/>
      <c r="N422" s="627">
        <v>0</v>
      </c>
      <c r="O422" s="627">
        <v>0</v>
      </c>
      <c r="P422" s="627">
        <v>0</v>
      </c>
      <c r="Q422" s="626">
        <v>3789229</v>
      </c>
      <c r="R422" s="626"/>
      <c r="S422" s="627">
        <v>0</v>
      </c>
      <c r="T422" s="628">
        <v>-1007431</v>
      </c>
      <c r="U422" s="628">
        <v>-1007431</v>
      </c>
    </row>
    <row r="423" spans="1:21" x14ac:dyDescent="0.25">
      <c r="A423" s="623">
        <v>94408</v>
      </c>
      <c r="B423" s="624" t="s">
        <v>1561</v>
      </c>
      <c r="C423" s="625">
        <v>1.9000000000000001E-5</v>
      </c>
      <c r="D423" s="625">
        <v>1.7099999999999999E-5</v>
      </c>
      <c r="E423" s="626">
        <v>7969</v>
      </c>
      <c r="F423" s="626">
        <v>-9438</v>
      </c>
      <c r="G423" s="626">
        <v>8527</v>
      </c>
      <c r="H423" s="626"/>
      <c r="I423" s="627">
        <v>0</v>
      </c>
      <c r="J423" s="627">
        <v>17136</v>
      </c>
      <c r="K423" s="627">
        <v>0</v>
      </c>
      <c r="L423" s="626">
        <v>1501</v>
      </c>
      <c r="M423" s="626"/>
      <c r="N423" s="627">
        <v>2004</v>
      </c>
      <c r="O423" s="627">
        <v>19564</v>
      </c>
      <c r="P423" s="627">
        <v>0</v>
      </c>
      <c r="Q423" s="626">
        <v>5540.47</v>
      </c>
      <c r="R423" s="626"/>
      <c r="S423" s="627">
        <v>3893</v>
      </c>
      <c r="T423" s="628">
        <v>-1460</v>
      </c>
      <c r="U423" s="628">
        <v>2433</v>
      </c>
    </row>
    <row r="424" spans="1:21" x14ac:dyDescent="0.25">
      <c r="A424" s="623">
        <v>94411</v>
      </c>
      <c r="B424" s="624" t="s">
        <v>1562</v>
      </c>
      <c r="C424" s="625">
        <v>1.1820999999999999E-3</v>
      </c>
      <c r="D424" s="625">
        <v>1.1234999999999999E-3</v>
      </c>
      <c r="E424" s="626">
        <v>463628</v>
      </c>
      <c r="F424" s="626">
        <v>-620080</v>
      </c>
      <c r="G424" s="626">
        <v>530519</v>
      </c>
      <c r="H424" s="626"/>
      <c r="I424" s="627">
        <v>0</v>
      </c>
      <c r="J424" s="627">
        <v>1066155</v>
      </c>
      <c r="K424" s="627">
        <v>0</v>
      </c>
      <c r="L424" s="626">
        <v>26062</v>
      </c>
      <c r="M424" s="626"/>
      <c r="N424" s="627">
        <v>124703</v>
      </c>
      <c r="O424" s="627">
        <v>1217193</v>
      </c>
      <c r="P424" s="627">
        <v>0</v>
      </c>
      <c r="Q424" s="626">
        <v>182</v>
      </c>
      <c r="R424" s="626"/>
      <c r="S424" s="627">
        <v>242215</v>
      </c>
      <c r="T424" s="628">
        <v>6761</v>
      </c>
      <c r="U424" s="628">
        <v>248976</v>
      </c>
    </row>
    <row r="425" spans="1:21" x14ac:dyDescent="0.25">
      <c r="A425" s="623">
        <v>94412</v>
      </c>
      <c r="B425" s="624" t="s">
        <v>1563</v>
      </c>
      <c r="C425" s="625">
        <v>1.7200000000000001E-5</v>
      </c>
      <c r="D425" s="625">
        <v>1.8E-5</v>
      </c>
      <c r="E425" s="626">
        <v>14436</v>
      </c>
      <c r="F425" s="626">
        <v>-9935</v>
      </c>
      <c r="G425" s="626">
        <v>7719</v>
      </c>
      <c r="H425" s="626"/>
      <c r="I425" s="627">
        <v>0</v>
      </c>
      <c r="J425" s="627">
        <v>15513</v>
      </c>
      <c r="K425" s="627">
        <v>0</v>
      </c>
      <c r="L425" s="626">
        <v>11778</v>
      </c>
      <c r="M425" s="626"/>
      <c r="N425" s="627">
        <v>1814</v>
      </c>
      <c r="O425" s="627">
        <v>17711</v>
      </c>
      <c r="P425" s="627">
        <v>0</v>
      </c>
      <c r="Q425" s="626">
        <v>0</v>
      </c>
      <c r="R425" s="626"/>
      <c r="S425" s="627">
        <v>3524</v>
      </c>
      <c r="T425" s="628">
        <v>3553</v>
      </c>
      <c r="U425" s="628">
        <v>7077</v>
      </c>
    </row>
    <row r="426" spans="1:21" x14ac:dyDescent="0.25">
      <c r="A426" s="623">
        <v>94421</v>
      </c>
      <c r="B426" s="624" t="s">
        <v>1564</v>
      </c>
      <c r="C426" s="625">
        <v>1.7149999999999999E-4</v>
      </c>
      <c r="D426" s="625">
        <v>1.6330000000000001E-4</v>
      </c>
      <c r="E426" s="626">
        <v>68791</v>
      </c>
      <c r="F426" s="626">
        <v>-90128</v>
      </c>
      <c r="G426" s="626">
        <v>76968</v>
      </c>
      <c r="H426" s="626"/>
      <c r="I426" s="627">
        <v>0</v>
      </c>
      <c r="J426" s="627">
        <v>154679</v>
      </c>
      <c r="K426" s="627">
        <v>0</v>
      </c>
      <c r="L426" s="626">
        <v>4780</v>
      </c>
      <c r="M426" s="626"/>
      <c r="N426" s="627">
        <v>18092</v>
      </c>
      <c r="O426" s="627">
        <v>176591</v>
      </c>
      <c r="P426" s="627">
        <v>0</v>
      </c>
      <c r="Q426" s="626">
        <v>14753</v>
      </c>
      <c r="R426" s="626"/>
      <c r="S426" s="627">
        <v>35141</v>
      </c>
      <c r="T426" s="628">
        <v>-3683</v>
      </c>
      <c r="U426" s="628">
        <v>31458</v>
      </c>
    </row>
    <row r="427" spans="1:21" x14ac:dyDescent="0.25">
      <c r="A427" s="623">
        <v>94427</v>
      </c>
      <c r="B427" s="624" t="s">
        <v>1565</v>
      </c>
      <c r="C427" s="625">
        <v>1.56E-5</v>
      </c>
      <c r="D427" s="625">
        <v>1.5800000000000001E-5</v>
      </c>
      <c r="E427" s="626">
        <v>7889</v>
      </c>
      <c r="F427" s="626">
        <v>-8720</v>
      </c>
      <c r="G427" s="626">
        <v>7001</v>
      </c>
      <c r="H427" s="626"/>
      <c r="I427" s="627">
        <v>0</v>
      </c>
      <c r="J427" s="627">
        <v>14070</v>
      </c>
      <c r="K427" s="627">
        <v>0</v>
      </c>
      <c r="L427" s="626">
        <v>1064</v>
      </c>
      <c r="M427" s="626"/>
      <c r="N427" s="627">
        <v>1646</v>
      </c>
      <c r="O427" s="627">
        <v>16063</v>
      </c>
      <c r="P427" s="627">
        <v>0</v>
      </c>
      <c r="Q427" s="626">
        <v>296</v>
      </c>
      <c r="R427" s="626"/>
      <c r="S427" s="627">
        <v>3196</v>
      </c>
      <c r="T427" s="628">
        <v>179</v>
      </c>
      <c r="U427" s="628">
        <v>3376</v>
      </c>
    </row>
    <row r="428" spans="1:21" x14ac:dyDescent="0.25">
      <c r="A428" s="623">
        <v>94428</v>
      </c>
      <c r="B428" s="624" t="s">
        <v>1566</v>
      </c>
      <c r="C428" s="625">
        <v>7.7799999999999994E-5</v>
      </c>
      <c r="D428" s="625">
        <v>7.4900000000000005E-5</v>
      </c>
      <c r="E428" s="626">
        <v>33482</v>
      </c>
      <c r="F428" s="626">
        <v>-41339</v>
      </c>
      <c r="G428" s="626">
        <v>34916</v>
      </c>
      <c r="H428" s="626"/>
      <c r="I428" s="627">
        <v>0</v>
      </c>
      <c r="J428" s="627">
        <v>70169</v>
      </c>
      <c r="K428" s="627">
        <v>0</v>
      </c>
      <c r="L428" s="626">
        <v>3717</v>
      </c>
      <c r="M428" s="626"/>
      <c r="N428" s="627">
        <v>8207</v>
      </c>
      <c r="O428" s="627">
        <v>80110</v>
      </c>
      <c r="P428" s="627">
        <v>0</v>
      </c>
      <c r="Q428" s="626">
        <v>0</v>
      </c>
      <c r="R428" s="626"/>
      <c r="S428" s="627">
        <v>15941</v>
      </c>
      <c r="T428" s="628">
        <v>996</v>
      </c>
      <c r="U428" s="628">
        <v>16938</v>
      </c>
    </row>
    <row r="429" spans="1:21" x14ac:dyDescent="0.25">
      <c r="A429" s="623">
        <v>94431</v>
      </c>
      <c r="B429" s="624" t="s">
        <v>1567</v>
      </c>
      <c r="C429" s="625">
        <v>3.6390000000000001E-4</v>
      </c>
      <c r="D429" s="625">
        <v>3.7550000000000002E-4</v>
      </c>
      <c r="E429" s="626">
        <v>242673</v>
      </c>
      <c r="F429" s="626">
        <v>-207245</v>
      </c>
      <c r="G429" s="626">
        <v>163316</v>
      </c>
      <c r="H429" s="626"/>
      <c r="I429" s="627">
        <v>0</v>
      </c>
      <c r="J429" s="627">
        <v>328207</v>
      </c>
      <c r="K429" s="627">
        <v>0</v>
      </c>
      <c r="L429" s="626">
        <v>66437</v>
      </c>
      <c r="M429" s="626"/>
      <c r="N429" s="627">
        <v>38389</v>
      </c>
      <c r="O429" s="627">
        <v>374703</v>
      </c>
      <c r="P429" s="627">
        <v>0</v>
      </c>
      <c r="Q429" s="626">
        <v>1845</v>
      </c>
      <c r="R429" s="626"/>
      <c r="S429" s="627">
        <v>74564</v>
      </c>
      <c r="T429" s="628">
        <v>16775</v>
      </c>
      <c r="U429" s="628">
        <v>91339</v>
      </c>
    </row>
    <row r="430" spans="1:21" x14ac:dyDescent="0.25">
      <c r="A430" s="623">
        <v>94437</v>
      </c>
      <c r="B430" s="624" t="s">
        <v>1568</v>
      </c>
      <c r="C430" s="625">
        <v>1.1600000000000001E-5</v>
      </c>
      <c r="D430" s="625">
        <v>1.01E-5</v>
      </c>
      <c r="E430" s="626">
        <v>9983</v>
      </c>
      <c r="F430" s="626">
        <v>-5574</v>
      </c>
      <c r="G430" s="626">
        <v>5206</v>
      </c>
      <c r="H430" s="626"/>
      <c r="I430" s="627">
        <v>0</v>
      </c>
      <c r="J430" s="627">
        <v>10462</v>
      </c>
      <c r="K430" s="627">
        <v>0</v>
      </c>
      <c r="L430" s="626">
        <v>9266</v>
      </c>
      <c r="M430" s="626"/>
      <c r="N430" s="627">
        <v>1224</v>
      </c>
      <c r="O430" s="627">
        <v>11944</v>
      </c>
      <c r="P430" s="627">
        <v>0</v>
      </c>
      <c r="Q430" s="626">
        <v>0</v>
      </c>
      <c r="R430" s="626"/>
      <c r="S430" s="627">
        <v>2377</v>
      </c>
      <c r="T430" s="628">
        <v>2720</v>
      </c>
      <c r="U430" s="628">
        <v>5097</v>
      </c>
    </row>
    <row r="431" spans="1:21" x14ac:dyDescent="0.25">
      <c r="A431" s="623">
        <v>94501</v>
      </c>
      <c r="B431" s="624" t="s">
        <v>1569</v>
      </c>
      <c r="C431" s="625">
        <v>5.5922999999999997E-3</v>
      </c>
      <c r="D431" s="625">
        <v>5.4612999999999997E-3</v>
      </c>
      <c r="E431" s="626">
        <v>2353504</v>
      </c>
      <c r="F431" s="626">
        <v>-3014190</v>
      </c>
      <c r="G431" s="626">
        <v>2509791</v>
      </c>
      <c r="H431" s="626"/>
      <c r="I431" s="627">
        <v>0</v>
      </c>
      <c r="J431" s="627">
        <v>5043785</v>
      </c>
      <c r="K431" s="627">
        <v>0</v>
      </c>
      <c r="L431" s="626">
        <v>320395</v>
      </c>
      <c r="M431" s="626"/>
      <c r="N431" s="627">
        <v>589949</v>
      </c>
      <c r="O431" s="627">
        <v>5758319</v>
      </c>
      <c r="P431" s="627">
        <v>0</v>
      </c>
      <c r="Q431" s="626">
        <v>0</v>
      </c>
      <c r="R431" s="626"/>
      <c r="S431" s="627">
        <v>1145873</v>
      </c>
      <c r="T431" s="628">
        <v>96428</v>
      </c>
      <c r="U431" s="628">
        <v>1242302</v>
      </c>
    </row>
    <row r="432" spans="1:21" x14ac:dyDescent="0.25">
      <c r="A432" s="623">
        <v>94511</v>
      </c>
      <c r="B432" s="624" t="s">
        <v>1570</v>
      </c>
      <c r="C432" s="625">
        <v>1.7692999999999999E-3</v>
      </c>
      <c r="D432" s="625">
        <v>1.3025000000000001E-3</v>
      </c>
      <c r="E432" s="626">
        <v>678134</v>
      </c>
      <c r="F432" s="626">
        <v>-718873</v>
      </c>
      <c r="G432" s="626">
        <v>794051</v>
      </c>
      <c r="H432" s="626"/>
      <c r="I432" s="627">
        <v>0</v>
      </c>
      <c r="J432" s="627">
        <v>1595760</v>
      </c>
      <c r="K432" s="627">
        <v>0</v>
      </c>
      <c r="L432" s="626">
        <v>305854</v>
      </c>
      <c r="M432" s="626"/>
      <c r="N432" s="627">
        <v>186649</v>
      </c>
      <c r="O432" s="627">
        <v>1821825</v>
      </c>
      <c r="P432" s="627">
        <v>0</v>
      </c>
      <c r="Q432" s="626">
        <v>0</v>
      </c>
      <c r="R432" s="626"/>
      <c r="S432" s="627">
        <v>362533</v>
      </c>
      <c r="T432" s="628">
        <v>81036</v>
      </c>
      <c r="U432" s="628">
        <v>443569</v>
      </c>
    </row>
    <row r="433" spans="1:21" x14ac:dyDescent="0.25">
      <c r="A433" s="623">
        <v>94512</v>
      </c>
      <c r="B433" s="624" t="s">
        <v>1571</v>
      </c>
      <c r="C433" s="625">
        <v>0</v>
      </c>
      <c r="D433" s="625">
        <v>3.9780000000000002E-4</v>
      </c>
      <c r="E433" s="626"/>
      <c r="F433" s="626">
        <v>-219553</v>
      </c>
      <c r="G433" s="626">
        <v>0</v>
      </c>
      <c r="H433" s="626"/>
      <c r="I433" s="627">
        <v>0</v>
      </c>
      <c r="J433" s="627">
        <v>0</v>
      </c>
      <c r="K433" s="627">
        <v>0</v>
      </c>
      <c r="L433" s="626">
        <v>0</v>
      </c>
      <c r="M433" s="626"/>
      <c r="N433" s="627">
        <v>0</v>
      </c>
      <c r="O433" s="627">
        <v>0</v>
      </c>
      <c r="P433" s="627">
        <v>0</v>
      </c>
      <c r="Q433" s="626">
        <v>296006</v>
      </c>
      <c r="R433" s="626"/>
      <c r="S433" s="627">
        <v>0</v>
      </c>
      <c r="T433" s="628">
        <v>-78713</v>
      </c>
      <c r="U433" s="628">
        <v>-78713</v>
      </c>
    </row>
    <row r="434" spans="1:21" x14ac:dyDescent="0.25">
      <c r="A434" s="623">
        <v>94517</v>
      </c>
      <c r="B434" s="624" t="s">
        <v>1572</v>
      </c>
      <c r="C434" s="625">
        <v>4.9100000000000001E-5</v>
      </c>
      <c r="D434" s="625">
        <v>4.8399999999999997E-5</v>
      </c>
      <c r="E434" s="626">
        <v>29071</v>
      </c>
      <c r="F434" s="626">
        <v>-26713</v>
      </c>
      <c r="G434" s="626">
        <v>22036</v>
      </c>
      <c r="H434" s="626"/>
      <c r="I434" s="627">
        <v>0</v>
      </c>
      <c r="J434" s="627">
        <v>44284</v>
      </c>
      <c r="K434" s="627">
        <v>0</v>
      </c>
      <c r="L434" s="626">
        <v>18662</v>
      </c>
      <c r="M434" s="626"/>
      <c r="N434" s="627">
        <v>5180</v>
      </c>
      <c r="O434" s="627">
        <v>50558</v>
      </c>
      <c r="P434" s="627">
        <v>0</v>
      </c>
      <c r="Q434" s="626">
        <v>0</v>
      </c>
      <c r="R434" s="626"/>
      <c r="S434" s="627">
        <v>10061</v>
      </c>
      <c r="T434" s="628">
        <v>5686</v>
      </c>
      <c r="U434" s="628">
        <v>15747</v>
      </c>
    </row>
    <row r="435" spans="1:21" x14ac:dyDescent="0.25">
      <c r="A435" s="623">
        <v>94521</v>
      </c>
      <c r="B435" s="624" t="s">
        <v>1573</v>
      </c>
      <c r="C435" s="625">
        <v>1.6320000000000001E-4</v>
      </c>
      <c r="D435" s="625">
        <v>1.4440000000000001E-4</v>
      </c>
      <c r="E435" s="626">
        <v>57170</v>
      </c>
      <c r="F435" s="626">
        <v>-79697</v>
      </c>
      <c r="G435" s="626">
        <v>73243</v>
      </c>
      <c r="H435" s="626"/>
      <c r="I435" s="627">
        <v>0</v>
      </c>
      <c r="J435" s="627">
        <v>147193</v>
      </c>
      <c r="K435" s="627">
        <v>0</v>
      </c>
      <c r="L435" s="626">
        <v>8170</v>
      </c>
      <c r="M435" s="626"/>
      <c r="N435" s="627">
        <v>17216</v>
      </c>
      <c r="O435" s="627">
        <v>168045</v>
      </c>
      <c r="P435" s="627">
        <v>0</v>
      </c>
      <c r="Q435" s="626">
        <v>0</v>
      </c>
      <c r="R435" s="626"/>
      <c r="S435" s="627">
        <v>33440</v>
      </c>
      <c r="T435" s="628">
        <v>2319</v>
      </c>
      <c r="U435" s="628">
        <v>35759</v>
      </c>
    </row>
    <row r="436" spans="1:21" x14ac:dyDescent="0.25">
      <c r="A436" s="623">
        <v>94527</v>
      </c>
      <c r="B436" s="624" t="s">
        <v>1574</v>
      </c>
      <c r="C436" s="625">
        <v>9.0000000000000002E-6</v>
      </c>
      <c r="D436" s="625">
        <v>8.8999999999999995E-6</v>
      </c>
      <c r="E436" s="626">
        <v>4401</v>
      </c>
      <c r="F436" s="626">
        <v>-4912</v>
      </c>
      <c r="G436" s="626">
        <v>4039</v>
      </c>
      <c r="H436" s="626"/>
      <c r="I436" s="627">
        <v>0</v>
      </c>
      <c r="J436" s="627">
        <v>8117</v>
      </c>
      <c r="K436" s="627">
        <v>0</v>
      </c>
      <c r="L436" s="626">
        <v>646</v>
      </c>
      <c r="M436" s="626"/>
      <c r="N436" s="627">
        <v>949</v>
      </c>
      <c r="O436" s="627">
        <v>9267</v>
      </c>
      <c r="P436" s="627">
        <v>0</v>
      </c>
      <c r="Q436" s="626">
        <v>87</v>
      </c>
      <c r="R436" s="626"/>
      <c r="S436" s="627">
        <v>1844</v>
      </c>
      <c r="T436" s="628">
        <v>140</v>
      </c>
      <c r="U436" s="628">
        <v>1984</v>
      </c>
    </row>
    <row r="437" spans="1:21" x14ac:dyDescent="0.25">
      <c r="A437" s="623">
        <v>94531</v>
      </c>
      <c r="B437" s="624" t="s">
        <v>1575</v>
      </c>
      <c r="C437" s="625">
        <v>1.66E-5</v>
      </c>
      <c r="D437" s="625">
        <v>1.7600000000000001E-5</v>
      </c>
      <c r="E437" s="626">
        <v>10252</v>
      </c>
      <c r="F437" s="626">
        <v>-9714</v>
      </c>
      <c r="G437" s="626">
        <v>7450</v>
      </c>
      <c r="H437" s="626"/>
      <c r="I437" s="627">
        <v>0</v>
      </c>
      <c r="J437" s="627">
        <v>14972</v>
      </c>
      <c r="K437" s="627">
        <v>0</v>
      </c>
      <c r="L437" s="626">
        <v>4255</v>
      </c>
      <c r="M437" s="626"/>
      <c r="N437" s="627">
        <v>1751</v>
      </c>
      <c r="O437" s="627">
        <v>17093</v>
      </c>
      <c r="P437" s="627">
        <v>0</v>
      </c>
      <c r="Q437" s="626">
        <v>0</v>
      </c>
      <c r="R437" s="626"/>
      <c r="S437" s="627">
        <v>3401</v>
      </c>
      <c r="T437" s="628">
        <v>1274</v>
      </c>
      <c r="U437" s="628">
        <v>4675</v>
      </c>
    </row>
    <row r="438" spans="1:21" x14ac:dyDescent="0.25">
      <c r="A438" s="623">
        <v>94532</v>
      </c>
      <c r="B438" s="624" t="s">
        <v>1576</v>
      </c>
      <c r="C438" s="625">
        <v>1.155E-4</v>
      </c>
      <c r="D438" s="625">
        <v>1.1239999999999999E-4</v>
      </c>
      <c r="E438" s="626">
        <v>43686</v>
      </c>
      <c r="F438" s="626">
        <v>-62036</v>
      </c>
      <c r="G438" s="626">
        <v>51836</v>
      </c>
      <c r="H438" s="626"/>
      <c r="I438" s="627">
        <v>0</v>
      </c>
      <c r="J438" s="627">
        <v>104171</v>
      </c>
      <c r="K438" s="627">
        <v>0</v>
      </c>
      <c r="L438" s="626">
        <v>0</v>
      </c>
      <c r="M438" s="626"/>
      <c r="N438" s="627">
        <v>12184</v>
      </c>
      <c r="O438" s="627">
        <v>118929</v>
      </c>
      <c r="P438" s="627">
        <v>0</v>
      </c>
      <c r="Q438" s="626">
        <v>9222</v>
      </c>
      <c r="R438" s="626"/>
      <c r="S438" s="627">
        <v>23666</v>
      </c>
      <c r="T438" s="628">
        <v>-3043</v>
      </c>
      <c r="U438" s="628">
        <v>20624</v>
      </c>
    </row>
    <row r="439" spans="1:21" x14ac:dyDescent="0.25">
      <c r="A439" s="623">
        <v>94541</v>
      </c>
      <c r="B439" s="624" t="s">
        <v>1577</v>
      </c>
      <c r="C439" s="625">
        <v>2.8739999999999999E-4</v>
      </c>
      <c r="D439" s="625">
        <v>3.0019999999999998E-4</v>
      </c>
      <c r="E439" s="626">
        <v>103532</v>
      </c>
      <c r="F439" s="626">
        <v>-165686</v>
      </c>
      <c r="G439" s="626">
        <v>128983</v>
      </c>
      <c r="H439" s="626"/>
      <c r="I439" s="627">
        <v>0</v>
      </c>
      <c r="J439" s="627">
        <v>259211</v>
      </c>
      <c r="K439" s="627">
        <v>0</v>
      </c>
      <c r="L439" s="626">
        <v>0</v>
      </c>
      <c r="M439" s="626"/>
      <c r="N439" s="627">
        <v>30319</v>
      </c>
      <c r="O439" s="627">
        <v>295932</v>
      </c>
      <c r="P439" s="627">
        <v>0</v>
      </c>
      <c r="Q439" s="626">
        <v>21032</v>
      </c>
      <c r="R439" s="626"/>
      <c r="S439" s="627">
        <v>58889</v>
      </c>
      <c r="T439" s="628">
        <v>-5586</v>
      </c>
      <c r="U439" s="628">
        <v>53303</v>
      </c>
    </row>
    <row r="440" spans="1:21" x14ac:dyDescent="0.25">
      <c r="A440" s="623">
        <v>94547</v>
      </c>
      <c r="B440" s="624" t="s">
        <v>1578</v>
      </c>
      <c r="C440" s="625">
        <v>1.3499999999999999E-5</v>
      </c>
      <c r="D440" s="625">
        <v>1.4E-5</v>
      </c>
      <c r="E440" s="626">
        <v>7360</v>
      </c>
      <c r="F440" s="626">
        <v>-7727</v>
      </c>
      <c r="G440" s="626">
        <v>6059</v>
      </c>
      <c r="H440" s="626"/>
      <c r="I440" s="627">
        <v>0</v>
      </c>
      <c r="J440" s="627">
        <v>12176</v>
      </c>
      <c r="K440" s="627">
        <v>0</v>
      </c>
      <c r="L440" s="626">
        <v>1270</v>
      </c>
      <c r="M440" s="626"/>
      <c r="N440" s="627">
        <v>1424</v>
      </c>
      <c r="O440" s="627">
        <v>13901</v>
      </c>
      <c r="P440" s="627">
        <v>0</v>
      </c>
      <c r="Q440" s="626">
        <v>0</v>
      </c>
      <c r="R440" s="626"/>
      <c r="S440" s="627">
        <v>2766</v>
      </c>
      <c r="T440" s="628">
        <v>344</v>
      </c>
      <c r="U440" s="628">
        <v>3110</v>
      </c>
    </row>
    <row r="441" spans="1:21" x14ac:dyDescent="0.25">
      <c r="A441" s="623">
        <v>94551</v>
      </c>
      <c r="B441" s="624" t="s">
        <v>1579</v>
      </c>
      <c r="C441" s="625">
        <v>3.0599999999999998E-5</v>
      </c>
      <c r="D441" s="625">
        <v>4.5000000000000003E-5</v>
      </c>
      <c r="E441" s="626">
        <v>21069</v>
      </c>
      <c r="F441" s="626">
        <v>-24836.31</v>
      </c>
      <c r="G441" s="626">
        <v>13733</v>
      </c>
      <c r="H441" s="626"/>
      <c r="I441" s="627">
        <v>0</v>
      </c>
      <c r="J441" s="627">
        <v>27599</v>
      </c>
      <c r="K441" s="627">
        <v>0</v>
      </c>
      <c r="L441" s="626">
        <v>5089</v>
      </c>
      <c r="M441" s="626"/>
      <c r="N441" s="627">
        <v>3228</v>
      </c>
      <c r="O441" s="627">
        <v>31508</v>
      </c>
      <c r="P441" s="627">
        <v>0</v>
      </c>
      <c r="Q441" s="626">
        <v>3309</v>
      </c>
      <c r="R441" s="626"/>
      <c r="S441" s="627">
        <v>6270</v>
      </c>
      <c r="T441" s="628">
        <v>836</v>
      </c>
      <c r="U441" s="628">
        <v>7106</v>
      </c>
    </row>
    <row r="442" spans="1:21" x14ac:dyDescent="0.25">
      <c r="A442" s="623">
        <v>94601</v>
      </c>
      <c r="B442" s="624" t="s">
        <v>1580</v>
      </c>
      <c r="C442" s="625">
        <v>9.7179999999999999E-4</v>
      </c>
      <c r="D442" s="625">
        <v>1.0158999999999999E-3</v>
      </c>
      <c r="E442" s="626">
        <v>430037</v>
      </c>
      <c r="F442" s="626">
        <v>-560693</v>
      </c>
      <c r="G442" s="626">
        <v>436138</v>
      </c>
      <c r="H442" s="626"/>
      <c r="I442" s="627">
        <v>0</v>
      </c>
      <c r="J442" s="627">
        <v>876482</v>
      </c>
      <c r="K442" s="627">
        <v>0</v>
      </c>
      <c r="L442" s="626">
        <v>3989</v>
      </c>
      <c r="M442" s="626"/>
      <c r="N442" s="627">
        <v>102518</v>
      </c>
      <c r="O442" s="627">
        <v>1000650</v>
      </c>
      <c r="P442" s="627">
        <v>0</v>
      </c>
      <c r="Q442" s="626">
        <v>4581</v>
      </c>
      <c r="R442" s="626"/>
      <c r="S442" s="627">
        <v>199124</v>
      </c>
      <c r="T442" s="628">
        <v>135</v>
      </c>
      <c r="U442" s="628">
        <v>199259</v>
      </c>
    </row>
    <row r="443" spans="1:21" x14ac:dyDescent="0.25">
      <c r="A443" s="623">
        <v>94604</v>
      </c>
      <c r="B443" s="624" t="s">
        <v>1581</v>
      </c>
      <c r="C443" s="625">
        <v>2.76E-5</v>
      </c>
      <c r="D443" s="625">
        <v>2.8500000000000002E-5</v>
      </c>
      <c r="E443" s="626">
        <v>12452</v>
      </c>
      <c r="F443" s="626">
        <v>-15730</v>
      </c>
      <c r="G443" s="626">
        <v>12387</v>
      </c>
      <c r="H443" s="626"/>
      <c r="I443" s="627">
        <v>0</v>
      </c>
      <c r="J443" s="627">
        <v>24893</v>
      </c>
      <c r="K443" s="627">
        <v>0</v>
      </c>
      <c r="L443" s="626">
        <v>306</v>
      </c>
      <c r="M443" s="626"/>
      <c r="N443" s="627">
        <v>2912</v>
      </c>
      <c r="O443" s="627">
        <v>28419</v>
      </c>
      <c r="P443" s="627">
        <v>0</v>
      </c>
      <c r="Q443" s="626">
        <v>78</v>
      </c>
      <c r="R443" s="626"/>
      <c r="S443" s="627">
        <v>5655</v>
      </c>
      <c r="T443" s="628">
        <v>54</v>
      </c>
      <c r="U443" s="628">
        <v>5709</v>
      </c>
    </row>
    <row r="444" spans="1:21" x14ac:dyDescent="0.25">
      <c r="A444" s="623">
        <v>94606</v>
      </c>
      <c r="B444" s="624" t="s">
        <v>1582</v>
      </c>
      <c r="C444" s="625">
        <v>2.8610000000000002E-4</v>
      </c>
      <c r="D444" s="625">
        <v>3.1530000000000002E-4</v>
      </c>
      <c r="E444" s="626">
        <v>114419</v>
      </c>
      <c r="F444" s="626">
        <v>-174020</v>
      </c>
      <c r="G444" s="626">
        <v>128400</v>
      </c>
      <c r="H444" s="626"/>
      <c r="I444" s="627">
        <v>0</v>
      </c>
      <c r="J444" s="627">
        <v>258038</v>
      </c>
      <c r="K444" s="627">
        <v>0</v>
      </c>
      <c r="L444" s="626">
        <v>0</v>
      </c>
      <c r="M444" s="626"/>
      <c r="N444" s="627">
        <v>30182</v>
      </c>
      <c r="O444" s="627">
        <v>294593</v>
      </c>
      <c r="P444" s="627">
        <v>0</v>
      </c>
      <c r="Q444" s="626">
        <v>49118</v>
      </c>
      <c r="R444" s="626"/>
      <c r="S444" s="627">
        <v>58622</v>
      </c>
      <c r="T444" s="628">
        <v>-14801</v>
      </c>
      <c r="U444" s="628">
        <v>43822</v>
      </c>
    </row>
    <row r="445" spans="1:21" x14ac:dyDescent="0.25">
      <c r="A445" s="623">
        <v>94611</v>
      </c>
      <c r="B445" s="624" t="s">
        <v>1583</v>
      </c>
      <c r="C445" s="625">
        <v>4.5360000000000002E-4</v>
      </c>
      <c r="D445" s="625">
        <v>4.5520000000000001E-4</v>
      </c>
      <c r="E445" s="626">
        <v>193171</v>
      </c>
      <c r="F445" s="626">
        <v>-251233</v>
      </c>
      <c r="G445" s="626">
        <v>203573</v>
      </c>
      <c r="H445" s="626"/>
      <c r="I445" s="627">
        <v>0</v>
      </c>
      <c r="J445" s="627">
        <v>409109</v>
      </c>
      <c r="K445" s="627">
        <v>0</v>
      </c>
      <c r="L445" s="626">
        <v>5197</v>
      </c>
      <c r="M445" s="626"/>
      <c r="N445" s="627">
        <v>47852</v>
      </c>
      <c r="O445" s="627">
        <v>467066</v>
      </c>
      <c r="P445" s="627">
        <v>0</v>
      </c>
      <c r="Q445" s="626">
        <v>7385.3</v>
      </c>
      <c r="R445" s="626"/>
      <c r="S445" s="627">
        <v>92944</v>
      </c>
      <c r="T445" s="628">
        <v>-1109</v>
      </c>
      <c r="U445" s="628">
        <v>91834</v>
      </c>
    </row>
    <row r="446" spans="1:21" x14ac:dyDescent="0.25">
      <c r="A446" s="623">
        <v>94621</v>
      </c>
      <c r="B446" s="624" t="s">
        <v>1584</v>
      </c>
      <c r="C446" s="625">
        <v>1.5200000000000001E-4</v>
      </c>
      <c r="D446" s="625">
        <v>1.942E-4</v>
      </c>
      <c r="E446" s="626">
        <v>71064</v>
      </c>
      <c r="F446" s="626">
        <v>-107182</v>
      </c>
      <c r="G446" s="626">
        <v>68217</v>
      </c>
      <c r="H446" s="626"/>
      <c r="I446" s="627">
        <v>0</v>
      </c>
      <c r="J446" s="627">
        <v>137091</v>
      </c>
      <c r="K446" s="627">
        <v>0</v>
      </c>
      <c r="L446" s="626">
        <v>19889</v>
      </c>
      <c r="M446" s="626"/>
      <c r="N446" s="627">
        <v>16035</v>
      </c>
      <c r="O446" s="627">
        <v>156512</v>
      </c>
      <c r="P446" s="627">
        <v>0</v>
      </c>
      <c r="Q446" s="626">
        <v>22477</v>
      </c>
      <c r="R446" s="626"/>
      <c r="S446" s="627">
        <v>31145</v>
      </c>
      <c r="T446" s="628">
        <v>768</v>
      </c>
      <c r="U446" s="628">
        <v>31913</v>
      </c>
    </row>
    <row r="447" spans="1:21" x14ac:dyDescent="0.25">
      <c r="A447" s="623">
        <v>94631</v>
      </c>
      <c r="B447" s="624" t="s">
        <v>1585</v>
      </c>
      <c r="C447" s="625">
        <v>4.0299999999999997E-5</v>
      </c>
      <c r="D447" s="625">
        <v>4.1300000000000001E-5</v>
      </c>
      <c r="E447" s="626">
        <v>20240</v>
      </c>
      <c r="F447" s="626">
        <v>-22794</v>
      </c>
      <c r="G447" s="626">
        <v>18086</v>
      </c>
      <c r="H447" s="626"/>
      <c r="I447" s="627">
        <v>0</v>
      </c>
      <c r="J447" s="627">
        <v>36347</v>
      </c>
      <c r="K447" s="627">
        <v>0</v>
      </c>
      <c r="L447" s="626">
        <v>3734</v>
      </c>
      <c r="M447" s="626"/>
      <c r="N447" s="627">
        <v>4251</v>
      </c>
      <c r="O447" s="627">
        <v>41496</v>
      </c>
      <c r="P447" s="627">
        <v>0</v>
      </c>
      <c r="Q447" s="626">
        <v>0</v>
      </c>
      <c r="R447" s="626"/>
      <c r="S447" s="627">
        <v>8258</v>
      </c>
      <c r="T447" s="628">
        <v>1082</v>
      </c>
      <c r="U447" s="628">
        <v>9339</v>
      </c>
    </row>
    <row r="448" spans="1:21" x14ac:dyDescent="0.25">
      <c r="A448" s="623">
        <v>94641</v>
      </c>
      <c r="B448" s="624" t="s">
        <v>1586</v>
      </c>
      <c r="C448" s="625">
        <v>4.6999999999999999E-6</v>
      </c>
      <c r="D448" s="625">
        <v>5.1000000000000003E-6</v>
      </c>
      <c r="E448" s="626">
        <v>4958</v>
      </c>
      <c r="F448" s="626">
        <v>-2815</v>
      </c>
      <c r="G448" s="626">
        <v>2109</v>
      </c>
      <c r="H448" s="626"/>
      <c r="I448" s="627">
        <v>0</v>
      </c>
      <c r="J448" s="627">
        <v>4239</v>
      </c>
      <c r="K448" s="627">
        <v>0</v>
      </c>
      <c r="L448" s="626">
        <v>3886</v>
      </c>
      <c r="M448" s="626"/>
      <c r="N448" s="627">
        <v>496</v>
      </c>
      <c r="O448" s="627">
        <v>4840</v>
      </c>
      <c r="P448" s="627">
        <v>0</v>
      </c>
      <c r="Q448" s="626">
        <v>0</v>
      </c>
      <c r="R448" s="626"/>
      <c r="S448" s="627">
        <v>963</v>
      </c>
      <c r="T448" s="628">
        <v>1145</v>
      </c>
      <c r="U448" s="628">
        <v>2108</v>
      </c>
    </row>
    <row r="449" spans="1:21" x14ac:dyDescent="0.25">
      <c r="A449" s="623">
        <v>94701</v>
      </c>
      <c r="B449" s="624" t="s">
        <v>1587</v>
      </c>
      <c r="C449" s="625">
        <v>2.6064999999999999E-3</v>
      </c>
      <c r="D449" s="625">
        <v>2.4745000000000001E-3</v>
      </c>
      <c r="E449" s="626">
        <v>1034649</v>
      </c>
      <c r="F449" s="626">
        <v>-1365721</v>
      </c>
      <c r="G449" s="626">
        <v>1169782</v>
      </c>
      <c r="H449" s="626"/>
      <c r="I449" s="627">
        <v>0</v>
      </c>
      <c r="J449" s="627">
        <v>2350844</v>
      </c>
      <c r="K449" s="627">
        <v>0</v>
      </c>
      <c r="L449" s="626">
        <v>106283</v>
      </c>
      <c r="M449" s="626"/>
      <c r="N449" s="627">
        <v>274968</v>
      </c>
      <c r="O449" s="627">
        <v>2683879</v>
      </c>
      <c r="P449" s="627">
        <v>0</v>
      </c>
      <c r="Q449" s="626">
        <v>0</v>
      </c>
      <c r="R449" s="626"/>
      <c r="S449" s="627">
        <v>534077</v>
      </c>
      <c r="T449" s="628">
        <v>30516</v>
      </c>
      <c r="U449" s="628">
        <v>564593</v>
      </c>
    </row>
    <row r="450" spans="1:21" x14ac:dyDescent="0.25">
      <c r="A450" s="623">
        <v>94704</v>
      </c>
      <c r="B450" s="624" t="s">
        <v>1588</v>
      </c>
      <c r="C450" s="625">
        <v>1.0900000000000001E-5</v>
      </c>
      <c r="D450" s="625">
        <v>1.11E-5</v>
      </c>
      <c r="E450" s="626">
        <v>4681</v>
      </c>
      <c r="F450" s="626">
        <v>-6126</v>
      </c>
      <c r="G450" s="626">
        <v>4892</v>
      </c>
      <c r="H450" s="626"/>
      <c r="I450" s="627">
        <v>0</v>
      </c>
      <c r="J450" s="627">
        <v>9831</v>
      </c>
      <c r="K450" s="627">
        <v>0</v>
      </c>
      <c r="L450" s="626">
        <v>216</v>
      </c>
      <c r="M450" s="626"/>
      <c r="N450" s="627">
        <v>1150</v>
      </c>
      <c r="O450" s="627">
        <v>11224</v>
      </c>
      <c r="P450" s="627">
        <v>0</v>
      </c>
      <c r="Q450" s="626">
        <v>0</v>
      </c>
      <c r="R450" s="626"/>
      <c r="S450" s="627">
        <v>2233</v>
      </c>
      <c r="T450" s="628">
        <v>69</v>
      </c>
      <c r="U450" s="628">
        <v>2302</v>
      </c>
    </row>
    <row r="451" spans="1:21" x14ac:dyDescent="0.25">
      <c r="A451" s="623">
        <v>94711</v>
      </c>
      <c r="B451" s="624" t="s">
        <v>1589</v>
      </c>
      <c r="C451" s="625">
        <v>3.5270000000000001E-4</v>
      </c>
      <c r="D451" s="625">
        <v>3.2749999999999999E-4</v>
      </c>
      <c r="E451" s="626">
        <v>145824</v>
      </c>
      <c r="F451" s="626">
        <v>-180753</v>
      </c>
      <c r="G451" s="626">
        <v>158290</v>
      </c>
      <c r="H451" s="626"/>
      <c r="I451" s="627">
        <v>0</v>
      </c>
      <c r="J451" s="627">
        <v>318106</v>
      </c>
      <c r="K451" s="627">
        <v>0</v>
      </c>
      <c r="L451" s="626">
        <v>19128</v>
      </c>
      <c r="M451" s="626"/>
      <c r="N451" s="627">
        <v>37207</v>
      </c>
      <c r="O451" s="627">
        <v>363171</v>
      </c>
      <c r="P451" s="627">
        <v>0</v>
      </c>
      <c r="Q451" s="626">
        <v>7454</v>
      </c>
      <c r="R451" s="626"/>
      <c r="S451" s="627">
        <v>72269</v>
      </c>
      <c r="T451" s="628">
        <v>2514</v>
      </c>
      <c r="U451" s="628">
        <v>74783</v>
      </c>
    </row>
    <row r="452" spans="1:21" x14ac:dyDescent="0.25">
      <c r="A452" s="623">
        <v>94801</v>
      </c>
      <c r="B452" s="624" t="s">
        <v>1590</v>
      </c>
      <c r="C452" s="625">
        <v>7.425E-4</v>
      </c>
      <c r="D452" s="625">
        <v>7.0549999999999996E-4</v>
      </c>
      <c r="E452" s="626">
        <v>337755</v>
      </c>
      <c r="F452" s="626">
        <v>-389378</v>
      </c>
      <c r="G452" s="626">
        <v>333230</v>
      </c>
      <c r="H452" s="626"/>
      <c r="I452" s="627">
        <v>0</v>
      </c>
      <c r="J452" s="627">
        <v>669672.63</v>
      </c>
      <c r="K452" s="627">
        <v>0</v>
      </c>
      <c r="L452" s="626">
        <v>68986</v>
      </c>
      <c r="M452" s="626"/>
      <c r="N452" s="627">
        <v>78329</v>
      </c>
      <c r="O452" s="627">
        <v>764543</v>
      </c>
      <c r="P452" s="627">
        <v>0</v>
      </c>
      <c r="Q452" s="626">
        <v>0</v>
      </c>
      <c r="R452" s="626"/>
      <c r="S452" s="627">
        <v>152140</v>
      </c>
      <c r="T452" s="628">
        <v>19193</v>
      </c>
      <c r="U452" s="628">
        <v>171332</v>
      </c>
    </row>
    <row r="453" spans="1:21" x14ac:dyDescent="0.25">
      <c r="A453" s="623">
        <v>94804</v>
      </c>
      <c r="B453" s="624" t="s">
        <v>1591</v>
      </c>
      <c r="C453" s="625">
        <v>5.5999999999999997E-6</v>
      </c>
      <c r="D453" s="625">
        <v>6.0000000000000002E-6</v>
      </c>
      <c r="E453" s="626">
        <v>2762</v>
      </c>
      <c r="F453" s="626">
        <v>-3312</v>
      </c>
      <c r="G453" s="626">
        <v>2513</v>
      </c>
      <c r="H453" s="626"/>
      <c r="I453" s="627">
        <v>0</v>
      </c>
      <c r="J453" s="627">
        <v>5051</v>
      </c>
      <c r="K453" s="627">
        <v>0</v>
      </c>
      <c r="L453" s="626">
        <v>5272</v>
      </c>
      <c r="M453" s="626"/>
      <c r="N453" s="627">
        <v>591</v>
      </c>
      <c r="O453" s="627">
        <v>5766</v>
      </c>
      <c r="P453" s="627">
        <v>0</v>
      </c>
      <c r="Q453" s="626">
        <v>0</v>
      </c>
      <c r="R453" s="626"/>
      <c r="S453" s="627">
        <v>1147</v>
      </c>
      <c r="T453" s="628">
        <v>1756</v>
      </c>
      <c r="U453" s="628">
        <v>2904</v>
      </c>
    </row>
    <row r="454" spans="1:21" x14ac:dyDescent="0.25">
      <c r="A454" s="623">
        <v>94812</v>
      </c>
      <c r="B454" s="624" t="s">
        <v>1592</v>
      </c>
      <c r="C454" s="625">
        <v>2.8200000000000001E-5</v>
      </c>
      <c r="D454" s="625">
        <v>2.7699999999999999E-5</v>
      </c>
      <c r="E454" s="626">
        <v>17490</v>
      </c>
      <c r="F454" s="626">
        <v>-15288</v>
      </c>
      <c r="G454" s="626">
        <v>12656</v>
      </c>
      <c r="H454" s="626"/>
      <c r="I454" s="627">
        <v>0</v>
      </c>
      <c r="J454" s="627">
        <v>25434</v>
      </c>
      <c r="K454" s="627">
        <v>0</v>
      </c>
      <c r="L454" s="626">
        <v>6140</v>
      </c>
      <c r="M454" s="626"/>
      <c r="N454" s="627">
        <v>2975</v>
      </c>
      <c r="O454" s="627">
        <v>29037</v>
      </c>
      <c r="P454" s="627">
        <v>0</v>
      </c>
      <c r="Q454" s="626">
        <v>0</v>
      </c>
      <c r="R454" s="626"/>
      <c r="S454" s="627">
        <v>5778</v>
      </c>
      <c r="T454" s="628">
        <v>1684</v>
      </c>
      <c r="U454" s="628">
        <v>7462</v>
      </c>
    </row>
    <row r="455" spans="1:21" x14ac:dyDescent="0.25">
      <c r="A455" s="623">
        <v>94901</v>
      </c>
      <c r="B455" s="624" t="s">
        <v>1593</v>
      </c>
      <c r="C455" s="625">
        <v>6.6921999999999997E-3</v>
      </c>
      <c r="D455" s="625">
        <v>6.8738999999999996E-3</v>
      </c>
      <c r="E455" s="626">
        <v>2752711</v>
      </c>
      <c r="F455" s="626">
        <v>-3793829</v>
      </c>
      <c r="G455" s="626">
        <v>3003419</v>
      </c>
      <c r="H455" s="626"/>
      <c r="I455" s="627">
        <v>0</v>
      </c>
      <c r="J455" s="627">
        <v>6035802</v>
      </c>
      <c r="K455" s="627">
        <v>0</v>
      </c>
      <c r="L455" s="626">
        <v>27750</v>
      </c>
      <c r="M455" s="626"/>
      <c r="N455" s="627">
        <v>705980</v>
      </c>
      <c r="O455" s="627">
        <v>6890871</v>
      </c>
      <c r="P455" s="627">
        <v>0</v>
      </c>
      <c r="Q455" s="626">
        <v>111333</v>
      </c>
      <c r="R455" s="626"/>
      <c r="S455" s="627">
        <v>1371245</v>
      </c>
      <c r="T455" s="628">
        <v>-19864</v>
      </c>
      <c r="U455" s="628">
        <v>1351381</v>
      </c>
    </row>
    <row r="456" spans="1:21" x14ac:dyDescent="0.25">
      <c r="A456" s="623">
        <v>94908</v>
      </c>
      <c r="B456" s="624" t="s">
        <v>1594</v>
      </c>
      <c r="C456" s="625">
        <v>4.2799999999999997E-5</v>
      </c>
      <c r="D456" s="625">
        <v>4.4299999999999999E-5</v>
      </c>
      <c r="E456" s="626">
        <v>15426</v>
      </c>
      <c r="F456" s="626">
        <v>-24450</v>
      </c>
      <c r="G456" s="626">
        <v>19208</v>
      </c>
      <c r="H456" s="626"/>
      <c r="I456" s="627">
        <v>0</v>
      </c>
      <c r="J456" s="627">
        <v>38602</v>
      </c>
      <c r="K456" s="627">
        <v>0</v>
      </c>
      <c r="L456" s="626">
        <v>0</v>
      </c>
      <c r="M456" s="626"/>
      <c r="N456" s="627">
        <v>4515</v>
      </c>
      <c r="O456" s="627">
        <v>44071</v>
      </c>
      <c r="P456" s="627">
        <v>0</v>
      </c>
      <c r="Q456" s="626">
        <v>6118</v>
      </c>
      <c r="R456" s="626"/>
      <c r="S456" s="627">
        <v>8770</v>
      </c>
      <c r="T456" s="628">
        <v>-1852</v>
      </c>
      <c r="U456" s="628">
        <v>6918</v>
      </c>
    </row>
    <row r="457" spans="1:21" x14ac:dyDescent="0.25">
      <c r="A457" s="623">
        <v>94911</v>
      </c>
      <c r="B457" s="624" t="s">
        <v>1595</v>
      </c>
      <c r="C457" s="625">
        <v>2.8086000000000001E-3</v>
      </c>
      <c r="D457" s="625">
        <v>2.8134000000000002E-3</v>
      </c>
      <c r="E457" s="626">
        <v>1163784</v>
      </c>
      <c r="F457" s="626">
        <v>-1552766</v>
      </c>
      <c r="G457" s="626">
        <v>1260483</v>
      </c>
      <c r="H457" s="626"/>
      <c r="I457" s="627">
        <v>0</v>
      </c>
      <c r="J457" s="627">
        <v>2533121</v>
      </c>
      <c r="K457" s="627">
        <v>0</v>
      </c>
      <c r="L457" s="626">
        <v>10171</v>
      </c>
      <c r="M457" s="626"/>
      <c r="N457" s="627">
        <v>296288</v>
      </c>
      <c r="O457" s="627">
        <v>2891979</v>
      </c>
      <c r="P457" s="627">
        <v>0</v>
      </c>
      <c r="Q457" s="626">
        <v>21982</v>
      </c>
      <c r="R457" s="626"/>
      <c r="S457" s="627">
        <v>575488</v>
      </c>
      <c r="T457" s="628">
        <v>-4690</v>
      </c>
      <c r="U457" s="628">
        <v>570798</v>
      </c>
    </row>
    <row r="458" spans="1:21" x14ac:dyDescent="0.25">
      <c r="A458" s="623">
        <v>94917</v>
      </c>
      <c r="B458" s="624" t="s">
        <v>1596</v>
      </c>
      <c r="C458" s="625">
        <v>4.0399999999999999E-5</v>
      </c>
      <c r="D458" s="625">
        <v>4.1399999999999997E-5</v>
      </c>
      <c r="E458" s="626">
        <v>26013</v>
      </c>
      <c r="F458" s="626">
        <v>-22849</v>
      </c>
      <c r="G458" s="626">
        <v>18131</v>
      </c>
      <c r="H458" s="626"/>
      <c r="I458" s="627">
        <v>0</v>
      </c>
      <c r="J458" s="627">
        <v>36437</v>
      </c>
      <c r="K458" s="627">
        <v>0</v>
      </c>
      <c r="L458" s="626">
        <v>13207</v>
      </c>
      <c r="M458" s="626"/>
      <c r="N458" s="627">
        <v>4262</v>
      </c>
      <c r="O458" s="627">
        <v>41599</v>
      </c>
      <c r="P458" s="627">
        <v>0</v>
      </c>
      <c r="Q458" s="626">
        <v>0</v>
      </c>
      <c r="R458" s="626"/>
      <c r="S458" s="627">
        <v>8278</v>
      </c>
      <c r="T458" s="628">
        <v>3920</v>
      </c>
      <c r="U458" s="628">
        <v>12198</v>
      </c>
    </row>
    <row r="459" spans="1:21" x14ac:dyDescent="0.25">
      <c r="A459" s="623">
        <v>94921</v>
      </c>
      <c r="B459" s="624" t="s">
        <v>1597</v>
      </c>
      <c r="C459" s="625">
        <v>4.0699999999999998E-3</v>
      </c>
      <c r="D459" s="625">
        <v>4.0539E-3</v>
      </c>
      <c r="E459" s="626">
        <v>1399413</v>
      </c>
      <c r="F459" s="626">
        <v>-2237420</v>
      </c>
      <c r="G459" s="626">
        <v>1826592</v>
      </c>
      <c r="H459" s="626"/>
      <c r="I459" s="627">
        <v>0</v>
      </c>
      <c r="J459" s="627">
        <v>3670798</v>
      </c>
      <c r="K459" s="627">
        <v>0</v>
      </c>
      <c r="L459" s="626">
        <v>0</v>
      </c>
      <c r="M459" s="626"/>
      <c r="N459" s="627">
        <v>429356.51</v>
      </c>
      <c r="O459" s="627">
        <v>4190826.09</v>
      </c>
      <c r="P459" s="627">
        <v>0</v>
      </c>
      <c r="Q459" s="626">
        <v>261755</v>
      </c>
      <c r="R459" s="626"/>
      <c r="S459" s="627">
        <v>833951.14</v>
      </c>
      <c r="T459" s="628">
        <v>-73258</v>
      </c>
      <c r="U459" s="628">
        <v>760693</v>
      </c>
    </row>
    <row r="460" spans="1:21" x14ac:dyDescent="0.25">
      <c r="A460" s="623">
        <v>94923</v>
      </c>
      <c r="B460" s="624" t="s">
        <v>1598</v>
      </c>
      <c r="C460" s="625">
        <v>2.9300000000000001E-5</v>
      </c>
      <c r="D460" s="625">
        <v>3.0800000000000003E-5</v>
      </c>
      <c r="E460" s="626">
        <v>14772</v>
      </c>
      <c r="F460" s="626">
        <v>-16999</v>
      </c>
      <c r="G460" s="626">
        <v>13150</v>
      </c>
      <c r="H460" s="626"/>
      <c r="I460" s="627">
        <v>0</v>
      </c>
      <c r="J460" s="627">
        <v>26426</v>
      </c>
      <c r="K460" s="627">
        <v>0</v>
      </c>
      <c r="L460" s="626">
        <v>1174</v>
      </c>
      <c r="M460" s="626"/>
      <c r="N460" s="627">
        <v>3091</v>
      </c>
      <c r="O460" s="627">
        <v>30170</v>
      </c>
      <c r="P460" s="627">
        <v>0</v>
      </c>
      <c r="Q460" s="626">
        <v>260.13</v>
      </c>
      <c r="R460" s="626"/>
      <c r="S460" s="627">
        <v>6004</v>
      </c>
      <c r="T460" s="628">
        <v>220</v>
      </c>
      <c r="U460" s="628">
        <v>6224</v>
      </c>
    </row>
    <row r="461" spans="1:21" x14ac:dyDescent="0.25">
      <c r="A461" s="623">
        <v>94927</v>
      </c>
      <c r="B461" s="624" t="s">
        <v>1599</v>
      </c>
      <c r="C461" s="625">
        <v>3.2700000000000002E-5</v>
      </c>
      <c r="D461" s="625">
        <v>3.4400000000000003E-5</v>
      </c>
      <c r="E461" s="626">
        <v>15406</v>
      </c>
      <c r="F461" s="626">
        <v>-18986</v>
      </c>
      <c r="G461" s="626">
        <v>14676</v>
      </c>
      <c r="H461" s="626"/>
      <c r="I461" s="627">
        <v>0</v>
      </c>
      <c r="J461" s="627">
        <v>29493</v>
      </c>
      <c r="K461" s="627">
        <v>0</v>
      </c>
      <c r="L461" s="626">
        <v>436</v>
      </c>
      <c r="M461" s="626"/>
      <c r="N461" s="627">
        <v>3450</v>
      </c>
      <c r="O461" s="627">
        <v>33671</v>
      </c>
      <c r="P461" s="627">
        <v>0</v>
      </c>
      <c r="Q461" s="626">
        <v>78</v>
      </c>
      <c r="R461" s="626"/>
      <c r="S461" s="627">
        <v>6700</v>
      </c>
      <c r="T461" s="628">
        <v>88</v>
      </c>
      <c r="U461" s="628">
        <v>6788</v>
      </c>
    </row>
    <row r="462" spans="1:21" x14ac:dyDescent="0.25">
      <c r="A462" s="623">
        <v>94931</v>
      </c>
      <c r="B462" s="624" t="s">
        <v>1600</v>
      </c>
      <c r="C462" s="625">
        <v>2.4020000000000001E-4</v>
      </c>
      <c r="D462" s="625">
        <v>2.3149999999999999E-4</v>
      </c>
      <c r="E462" s="626">
        <v>86895</v>
      </c>
      <c r="F462" s="626">
        <v>-127769</v>
      </c>
      <c r="G462" s="626">
        <v>107800</v>
      </c>
      <c r="H462" s="626"/>
      <c r="I462" s="627">
        <v>0</v>
      </c>
      <c r="J462" s="627">
        <v>216640</v>
      </c>
      <c r="K462" s="627">
        <v>0</v>
      </c>
      <c r="L462" s="626">
        <v>0</v>
      </c>
      <c r="M462" s="626"/>
      <c r="N462" s="627">
        <v>25339</v>
      </c>
      <c r="O462" s="627">
        <v>247331</v>
      </c>
      <c r="P462" s="627">
        <v>0</v>
      </c>
      <c r="Q462" s="626">
        <v>13608</v>
      </c>
      <c r="R462" s="626"/>
      <c r="S462" s="627">
        <v>49217</v>
      </c>
      <c r="T462" s="628">
        <v>-4351</v>
      </c>
      <c r="U462" s="628">
        <v>44866</v>
      </c>
    </row>
    <row r="463" spans="1:21" x14ac:dyDescent="0.25">
      <c r="A463" s="623">
        <v>94941</v>
      </c>
      <c r="B463" s="624" t="s">
        <v>1601</v>
      </c>
      <c r="C463" s="625">
        <v>5.0549999999999998E-4</v>
      </c>
      <c r="D463" s="625">
        <v>4.35E-4</v>
      </c>
      <c r="E463" s="626">
        <v>212016</v>
      </c>
      <c r="F463" s="626">
        <v>-240084.33</v>
      </c>
      <c r="G463" s="626">
        <v>226865</v>
      </c>
      <c r="H463" s="626"/>
      <c r="I463" s="627">
        <v>0</v>
      </c>
      <c r="J463" s="627">
        <v>455919</v>
      </c>
      <c r="K463" s="627">
        <v>0</v>
      </c>
      <c r="L463" s="626">
        <v>138270</v>
      </c>
      <c r="M463" s="626"/>
      <c r="N463" s="627">
        <v>53327</v>
      </c>
      <c r="O463" s="627">
        <v>520507</v>
      </c>
      <c r="P463" s="627">
        <v>0</v>
      </c>
      <c r="Q463" s="626">
        <v>0</v>
      </c>
      <c r="R463" s="626"/>
      <c r="S463" s="627">
        <v>103578</v>
      </c>
      <c r="T463" s="628">
        <v>42325</v>
      </c>
      <c r="U463" s="628">
        <v>145903</v>
      </c>
    </row>
    <row r="464" spans="1:21" x14ac:dyDescent="0.25">
      <c r="A464" s="623">
        <v>95001</v>
      </c>
      <c r="B464" s="624" t="s">
        <v>1602</v>
      </c>
      <c r="C464" s="625">
        <v>2.3674E-3</v>
      </c>
      <c r="D464" s="625">
        <v>2.3798000000000001E-3</v>
      </c>
      <c r="E464" s="626">
        <v>1049790</v>
      </c>
      <c r="F464" s="626">
        <v>-1313454</v>
      </c>
      <c r="G464" s="626">
        <v>1062475</v>
      </c>
      <c r="H464" s="626"/>
      <c r="I464" s="627">
        <v>0</v>
      </c>
      <c r="J464" s="627">
        <v>2135196</v>
      </c>
      <c r="K464" s="627">
        <v>0</v>
      </c>
      <c r="L464" s="626">
        <v>57256</v>
      </c>
      <c r="M464" s="626"/>
      <c r="N464" s="627">
        <v>249744</v>
      </c>
      <c r="O464" s="627">
        <v>2437681</v>
      </c>
      <c r="P464" s="627">
        <v>0</v>
      </c>
      <c r="Q464" s="626">
        <v>12052.69</v>
      </c>
      <c r="R464" s="626"/>
      <c r="S464" s="627">
        <v>485085</v>
      </c>
      <c r="T464" s="628">
        <v>10957</v>
      </c>
      <c r="U464" s="628">
        <v>496042</v>
      </c>
    </row>
    <row r="465" spans="1:21" x14ac:dyDescent="0.25">
      <c r="A465" s="623">
        <v>95002</v>
      </c>
      <c r="B465" s="624" t="s">
        <v>1603</v>
      </c>
      <c r="C465" s="625">
        <v>1.919E-4</v>
      </c>
      <c r="D465" s="625">
        <v>1.9890000000000001E-4</v>
      </c>
      <c r="E465" s="626">
        <v>89153</v>
      </c>
      <c r="F465" s="626">
        <v>-109776</v>
      </c>
      <c r="G465" s="626">
        <v>86124</v>
      </c>
      <c r="H465" s="626"/>
      <c r="I465" s="627">
        <v>0</v>
      </c>
      <c r="J465" s="627">
        <v>173078</v>
      </c>
      <c r="K465" s="627">
        <v>0</v>
      </c>
      <c r="L465" s="626">
        <v>7462</v>
      </c>
      <c r="M465" s="626"/>
      <c r="N465" s="627">
        <v>20244</v>
      </c>
      <c r="O465" s="627">
        <v>197597</v>
      </c>
      <c r="P465" s="627">
        <v>0</v>
      </c>
      <c r="Q465" s="626">
        <v>0</v>
      </c>
      <c r="R465" s="626"/>
      <c r="S465" s="627">
        <v>39321</v>
      </c>
      <c r="T465" s="628">
        <v>2230</v>
      </c>
      <c r="U465" s="628">
        <v>41551</v>
      </c>
    </row>
    <row r="466" spans="1:21" x14ac:dyDescent="0.25">
      <c r="A466" s="623">
        <v>95005</v>
      </c>
      <c r="B466" s="624" t="s">
        <v>1604</v>
      </c>
      <c r="C466" s="625">
        <v>2.4499999999999999E-4</v>
      </c>
      <c r="D466" s="625">
        <v>2.206E-4</v>
      </c>
      <c r="E466" s="626">
        <v>103644</v>
      </c>
      <c r="F466" s="626">
        <v>-121753</v>
      </c>
      <c r="G466" s="626">
        <v>109954.53</v>
      </c>
      <c r="H466" s="626"/>
      <c r="I466" s="627">
        <v>0</v>
      </c>
      <c r="J466" s="627">
        <v>220969</v>
      </c>
      <c r="K466" s="627">
        <v>0</v>
      </c>
      <c r="L466" s="626">
        <v>32686</v>
      </c>
      <c r="M466" s="626"/>
      <c r="N466" s="627">
        <v>25846</v>
      </c>
      <c r="O466" s="627">
        <v>252273</v>
      </c>
      <c r="P466" s="627">
        <v>0</v>
      </c>
      <c r="Q466" s="626">
        <v>0</v>
      </c>
      <c r="R466" s="626"/>
      <c r="S466" s="627">
        <v>50200.99</v>
      </c>
      <c r="T466" s="628">
        <v>9479</v>
      </c>
      <c r="U466" s="628">
        <v>59680</v>
      </c>
    </row>
    <row r="467" spans="1:21" x14ac:dyDescent="0.25">
      <c r="A467" s="623">
        <v>95008</v>
      </c>
      <c r="B467" s="624" t="s">
        <v>1605</v>
      </c>
      <c r="C467" s="625">
        <v>1.3669999999999999E-4</v>
      </c>
      <c r="D467" s="625">
        <v>1.2889999999999999E-4</v>
      </c>
      <c r="E467" s="626">
        <v>65700</v>
      </c>
      <c r="F467" s="626">
        <v>-71142</v>
      </c>
      <c r="G467" s="626">
        <v>61350</v>
      </c>
      <c r="H467" s="626"/>
      <c r="I467" s="627">
        <v>0</v>
      </c>
      <c r="J467" s="627">
        <v>123292</v>
      </c>
      <c r="K467" s="627">
        <v>0</v>
      </c>
      <c r="L467" s="626">
        <v>31519</v>
      </c>
      <c r="M467" s="626"/>
      <c r="N467" s="627">
        <v>14421</v>
      </c>
      <c r="O467" s="627">
        <v>140758</v>
      </c>
      <c r="P467" s="627">
        <v>0</v>
      </c>
      <c r="Q467" s="626">
        <v>0</v>
      </c>
      <c r="R467" s="626"/>
      <c r="S467" s="627">
        <v>28010</v>
      </c>
      <c r="T467" s="628">
        <v>9574</v>
      </c>
      <c r="U467" s="628">
        <v>37584</v>
      </c>
    </row>
    <row r="468" spans="1:21" x14ac:dyDescent="0.25">
      <c r="A468" s="623">
        <v>95009</v>
      </c>
      <c r="B468" s="624" t="s">
        <v>1606</v>
      </c>
      <c r="C468" s="625">
        <v>3.614E-3</v>
      </c>
      <c r="D468" s="625">
        <v>2.9634000000000001E-3</v>
      </c>
      <c r="E468" s="626">
        <v>1560606</v>
      </c>
      <c r="F468" s="626">
        <v>-1635554</v>
      </c>
      <c r="G468" s="626">
        <v>1621942</v>
      </c>
      <c r="H468" s="626"/>
      <c r="I468" s="627">
        <v>0</v>
      </c>
      <c r="J468" s="627">
        <v>3259524</v>
      </c>
      <c r="K468" s="627">
        <v>0</v>
      </c>
      <c r="L468" s="626">
        <v>1586223</v>
      </c>
      <c r="M468" s="626"/>
      <c r="N468" s="627">
        <v>381252</v>
      </c>
      <c r="O468" s="627">
        <v>3721289</v>
      </c>
      <c r="P468" s="627">
        <v>0</v>
      </c>
      <c r="Q468" s="626">
        <v>0</v>
      </c>
      <c r="R468" s="626"/>
      <c r="S468" s="627">
        <v>740516</v>
      </c>
      <c r="T468" s="628">
        <v>492433</v>
      </c>
      <c r="U468" s="628">
        <v>1232949</v>
      </c>
    </row>
    <row r="469" spans="1:21" x14ac:dyDescent="0.25">
      <c r="A469" s="623">
        <v>95011</v>
      </c>
      <c r="B469" s="624" t="s">
        <v>1607</v>
      </c>
      <c r="C469" s="625">
        <v>1.8760000000000001E-4</v>
      </c>
      <c r="D469" s="625">
        <v>1.8679999999999999E-4</v>
      </c>
      <c r="E469" s="626">
        <v>72782</v>
      </c>
      <c r="F469" s="626">
        <v>-103098</v>
      </c>
      <c r="G469" s="626">
        <v>84194</v>
      </c>
      <c r="H469" s="626"/>
      <c r="I469" s="627">
        <v>0</v>
      </c>
      <c r="J469" s="627">
        <v>169199</v>
      </c>
      <c r="K469" s="627">
        <v>0</v>
      </c>
      <c r="L469" s="626">
        <v>0</v>
      </c>
      <c r="M469" s="626"/>
      <c r="N469" s="627">
        <v>19790</v>
      </c>
      <c r="O469" s="627">
        <v>193169</v>
      </c>
      <c r="P469" s="627">
        <v>0</v>
      </c>
      <c r="Q469" s="626">
        <v>8448</v>
      </c>
      <c r="R469" s="626"/>
      <c r="S469" s="627">
        <v>38440</v>
      </c>
      <c r="T469" s="628">
        <v>-2647</v>
      </c>
      <c r="U469" s="628">
        <v>35793</v>
      </c>
    </row>
    <row r="470" spans="1:21" x14ac:dyDescent="0.25">
      <c r="A470" s="623">
        <v>95017</v>
      </c>
      <c r="B470" s="624" t="s">
        <v>1608</v>
      </c>
      <c r="C470" s="625">
        <v>3.9900000000000001E-5</v>
      </c>
      <c r="D470" s="625">
        <v>2.2900000000000001E-5</v>
      </c>
      <c r="E470" s="626">
        <v>25253</v>
      </c>
      <c r="F470" s="626">
        <v>-12639</v>
      </c>
      <c r="G470" s="626">
        <v>17907</v>
      </c>
      <c r="H470" s="626"/>
      <c r="I470" s="627">
        <v>0</v>
      </c>
      <c r="J470" s="627">
        <v>35986</v>
      </c>
      <c r="K470" s="627">
        <v>0</v>
      </c>
      <c r="L470" s="626">
        <v>24346</v>
      </c>
      <c r="M470" s="626"/>
      <c r="N470" s="627">
        <v>4209</v>
      </c>
      <c r="O470" s="627">
        <v>41085</v>
      </c>
      <c r="P470" s="627">
        <v>0</v>
      </c>
      <c r="Q470" s="626">
        <v>0</v>
      </c>
      <c r="R470" s="626"/>
      <c r="S470" s="627">
        <v>8176</v>
      </c>
      <c r="T470" s="628">
        <v>6759</v>
      </c>
      <c r="U470" s="628">
        <v>14935</v>
      </c>
    </row>
    <row r="471" spans="1:21" x14ac:dyDescent="0.25">
      <c r="A471" s="623">
        <v>95101</v>
      </c>
      <c r="B471" s="624" t="s">
        <v>1609</v>
      </c>
      <c r="C471" s="625">
        <v>7.8796000000000005E-3</v>
      </c>
      <c r="D471" s="625">
        <v>7.7166999999999999E-3</v>
      </c>
      <c r="E471" s="626">
        <v>3087284</v>
      </c>
      <c r="F471" s="626">
        <v>-4258986</v>
      </c>
      <c r="G471" s="626">
        <v>3536317</v>
      </c>
      <c r="H471" s="626"/>
      <c r="I471" s="627">
        <v>0</v>
      </c>
      <c r="J471" s="627">
        <v>7106737</v>
      </c>
      <c r="K471" s="627">
        <v>0</v>
      </c>
      <c r="L471" s="626">
        <v>114469</v>
      </c>
      <c r="M471" s="626"/>
      <c r="N471" s="627">
        <v>831243</v>
      </c>
      <c r="O471" s="627">
        <v>8113522</v>
      </c>
      <c r="P471" s="627">
        <v>0</v>
      </c>
      <c r="Q471" s="626">
        <v>0</v>
      </c>
      <c r="R471" s="626"/>
      <c r="S471" s="627">
        <v>1614546</v>
      </c>
      <c r="T471" s="628">
        <v>37453</v>
      </c>
      <c r="U471" s="628">
        <v>1651999</v>
      </c>
    </row>
    <row r="472" spans="1:21" x14ac:dyDescent="0.25">
      <c r="A472" s="623">
        <v>95103</v>
      </c>
      <c r="B472" s="624" t="s">
        <v>1610</v>
      </c>
      <c r="C472" s="625">
        <v>5.91E-5</v>
      </c>
      <c r="D472" s="625">
        <v>5.8499999999999999E-5</v>
      </c>
      <c r="E472" s="626">
        <v>33673</v>
      </c>
      <c r="F472" s="626">
        <v>-32287</v>
      </c>
      <c r="G472" s="626">
        <v>26524</v>
      </c>
      <c r="H472" s="626"/>
      <c r="I472" s="627">
        <v>0</v>
      </c>
      <c r="J472" s="627">
        <v>53303</v>
      </c>
      <c r="K472" s="627">
        <v>0</v>
      </c>
      <c r="L472" s="626">
        <v>48801</v>
      </c>
      <c r="M472" s="626"/>
      <c r="N472" s="627">
        <v>6235</v>
      </c>
      <c r="O472" s="627">
        <v>60855</v>
      </c>
      <c r="P472" s="627">
        <v>0</v>
      </c>
      <c r="Q472" s="626">
        <v>0</v>
      </c>
      <c r="R472" s="626"/>
      <c r="S472" s="627">
        <v>12110</v>
      </c>
      <c r="T472" s="628">
        <v>15741</v>
      </c>
      <c r="U472" s="628">
        <v>27851</v>
      </c>
    </row>
    <row r="473" spans="1:21" x14ac:dyDescent="0.25">
      <c r="A473" s="623">
        <v>95104</v>
      </c>
      <c r="B473" s="624" t="s">
        <v>1611</v>
      </c>
      <c r="C473" s="625">
        <v>1.022E-4</v>
      </c>
      <c r="D473" s="625">
        <v>9.2499999999999999E-5</v>
      </c>
      <c r="E473" s="626">
        <v>51434</v>
      </c>
      <c r="F473" s="626">
        <v>-51052</v>
      </c>
      <c r="G473" s="626">
        <v>45867</v>
      </c>
      <c r="H473" s="626"/>
      <c r="I473" s="627">
        <v>0</v>
      </c>
      <c r="J473" s="627">
        <v>92176</v>
      </c>
      <c r="K473" s="627">
        <v>0</v>
      </c>
      <c r="L473" s="626">
        <v>18618</v>
      </c>
      <c r="M473" s="626"/>
      <c r="N473" s="627">
        <v>10781</v>
      </c>
      <c r="O473" s="627">
        <v>105234</v>
      </c>
      <c r="P473" s="627">
        <v>0</v>
      </c>
      <c r="Q473" s="626">
        <v>0</v>
      </c>
      <c r="R473" s="626"/>
      <c r="S473" s="627">
        <v>20941</v>
      </c>
      <c r="T473" s="628">
        <v>5173</v>
      </c>
      <c r="U473" s="628">
        <v>26114</v>
      </c>
    </row>
    <row r="474" spans="1:21" x14ac:dyDescent="0.25">
      <c r="A474" s="623">
        <v>95105</v>
      </c>
      <c r="B474" s="624" t="s">
        <v>1612</v>
      </c>
      <c r="C474" s="625">
        <v>6.2199999999999994E-5</v>
      </c>
      <c r="D474" s="625">
        <v>6.1699999999999995E-5</v>
      </c>
      <c r="E474" s="626">
        <v>30143</v>
      </c>
      <c r="F474" s="626">
        <v>-34053</v>
      </c>
      <c r="G474" s="626">
        <v>27915</v>
      </c>
      <c r="H474" s="626"/>
      <c r="I474" s="627">
        <v>0</v>
      </c>
      <c r="J474" s="627">
        <v>56099</v>
      </c>
      <c r="K474" s="627">
        <v>0</v>
      </c>
      <c r="L474" s="626">
        <v>8844</v>
      </c>
      <c r="M474" s="626"/>
      <c r="N474" s="627">
        <v>6562</v>
      </c>
      <c r="O474" s="627">
        <v>64047</v>
      </c>
      <c r="P474" s="627">
        <v>0</v>
      </c>
      <c r="Q474" s="626">
        <v>0</v>
      </c>
      <c r="R474" s="626"/>
      <c r="S474" s="627">
        <v>12745</v>
      </c>
      <c r="T474" s="628">
        <v>2659</v>
      </c>
      <c r="U474" s="628">
        <v>15404</v>
      </c>
    </row>
    <row r="475" spans="1:21" x14ac:dyDescent="0.25">
      <c r="A475" s="623">
        <v>95106</v>
      </c>
      <c r="B475" s="624" t="s">
        <v>1613</v>
      </c>
      <c r="C475" s="625">
        <v>5.9000000000000003E-6</v>
      </c>
      <c r="D475" s="625">
        <v>1.7E-6</v>
      </c>
      <c r="E475" s="626">
        <v>3515</v>
      </c>
      <c r="F475" s="626">
        <v>-938</v>
      </c>
      <c r="G475" s="626">
        <v>2648</v>
      </c>
      <c r="H475" s="626"/>
      <c r="I475" s="627">
        <v>0</v>
      </c>
      <c r="J475" s="627">
        <v>5321</v>
      </c>
      <c r="K475" s="627">
        <v>0</v>
      </c>
      <c r="L475" s="626">
        <v>6153</v>
      </c>
      <c r="M475" s="626"/>
      <c r="N475" s="627">
        <v>622</v>
      </c>
      <c r="O475" s="627">
        <v>6075</v>
      </c>
      <c r="P475" s="627">
        <v>0</v>
      </c>
      <c r="Q475" s="626">
        <v>0</v>
      </c>
      <c r="R475" s="626"/>
      <c r="S475" s="627">
        <v>1209</v>
      </c>
      <c r="T475" s="628">
        <v>1780</v>
      </c>
      <c r="U475" s="628">
        <v>2989</v>
      </c>
    </row>
    <row r="476" spans="1:21" x14ac:dyDescent="0.25">
      <c r="A476" s="623">
        <v>95110</v>
      </c>
      <c r="B476" s="624" t="s">
        <v>1614</v>
      </c>
      <c r="C476" s="625">
        <v>5.5170000000000002E-3</v>
      </c>
      <c r="D476" s="625">
        <v>6.2360999999999996E-3</v>
      </c>
      <c r="E476" s="626">
        <v>2223239</v>
      </c>
      <c r="F476" s="626">
        <v>-3441816</v>
      </c>
      <c r="G476" s="626">
        <v>2475996</v>
      </c>
      <c r="H476" s="626"/>
      <c r="I476" s="627">
        <v>0</v>
      </c>
      <c r="J476" s="627">
        <v>4975871</v>
      </c>
      <c r="K476" s="627">
        <v>0</v>
      </c>
      <c r="L476" s="626">
        <v>0</v>
      </c>
      <c r="M476" s="626"/>
      <c r="N476" s="627">
        <v>582005</v>
      </c>
      <c r="O476" s="627">
        <v>5680783</v>
      </c>
      <c r="P476" s="627">
        <v>0</v>
      </c>
      <c r="Q476" s="626">
        <v>1506750</v>
      </c>
      <c r="R476" s="626"/>
      <c r="S476" s="627">
        <v>1130444</v>
      </c>
      <c r="T476" s="628">
        <v>-465575</v>
      </c>
      <c r="U476" s="628">
        <v>664869</v>
      </c>
    </row>
    <row r="477" spans="1:21" x14ac:dyDescent="0.25">
      <c r="A477" s="623">
        <v>95111</v>
      </c>
      <c r="B477" s="624" t="s">
        <v>1615</v>
      </c>
      <c r="C477" s="625">
        <v>1.1418999999999999E-3</v>
      </c>
      <c r="D477" s="625">
        <v>1.1846000000000001E-3</v>
      </c>
      <c r="E477" s="626">
        <v>428548</v>
      </c>
      <c r="F477" s="626">
        <v>-653802</v>
      </c>
      <c r="G477" s="626">
        <v>512478</v>
      </c>
      <c r="H477" s="626"/>
      <c r="I477" s="627">
        <v>0</v>
      </c>
      <c r="J477" s="627">
        <v>1029898</v>
      </c>
      <c r="K477" s="627">
        <v>0</v>
      </c>
      <c r="L477" s="626">
        <v>0</v>
      </c>
      <c r="M477" s="626"/>
      <c r="N477" s="627">
        <v>120462</v>
      </c>
      <c r="O477" s="627">
        <v>1175800</v>
      </c>
      <c r="P477" s="627">
        <v>0</v>
      </c>
      <c r="Q477" s="626">
        <v>120258</v>
      </c>
      <c r="R477" s="626"/>
      <c r="S477" s="627">
        <v>233978</v>
      </c>
      <c r="T477" s="628">
        <v>-35873</v>
      </c>
      <c r="U477" s="628">
        <v>198104</v>
      </c>
    </row>
    <row r="478" spans="1:21" x14ac:dyDescent="0.25">
      <c r="A478" s="623">
        <v>95113</v>
      </c>
      <c r="B478" s="624" t="s">
        <v>1616</v>
      </c>
      <c r="C478" s="625">
        <v>4.4299999999999999E-5</v>
      </c>
      <c r="D478" s="625">
        <v>4.2799999999999997E-5</v>
      </c>
      <c r="E478" s="626">
        <v>61308</v>
      </c>
      <c r="F478" s="626">
        <v>-23622</v>
      </c>
      <c r="G478" s="626">
        <v>19882</v>
      </c>
      <c r="H478" s="626"/>
      <c r="I478" s="627">
        <v>0</v>
      </c>
      <c r="J478" s="627">
        <v>39955</v>
      </c>
      <c r="K478" s="627">
        <v>0</v>
      </c>
      <c r="L478" s="626">
        <v>47395</v>
      </c>
      <c r="M478" s="626"/>
      <c r="N478" s="627">
        <v>4673</v>
      </c>
      <c r="O478" s="627">
        <v>45615</v>
      </c>
      <c r="P478" s="627">
        <v>0</v>
      </c>
      <c r="Q478" s="626">
        <v>0</v>
      </c>
      <c r="R478" s="626"/>
      <c r="S478" s="627">
        <v>9077</v>
      </c>
      <c r="T478" s="628">
        <v>13286</v>
      </c>
      <c r="U478" s="628">
        <v>22363</v>
      </c>
    </row>
    <row r="479" spans="1:21" x14ac:dyDescent="0.25">
      <c r="A479" s="623">
        <v>95121</v>
      </c>
      <c r="B479" s="624" t="s">
        <v>1617</v>
      </c>
      <c r="C479" s="625">
        <v>4.7540000000000001E-4</v>
      </c>
      <c r="D479" s="625">
        <v>4.64E-4</v>
      </c>
      <c r="E479" s="626">
        <v>199480</v>
      </c>
      <c r="F479" s="626">
        <v>-256090</v>
      </c>
      <c r="G479" s="626">
        <v>213357</v>
      </c>
      <c r="H479" s="626"/>
      <c r="I479" s="627">
        <v>0</v>
      </c>
      <c r="J479" s="627">
        <v>428771</v>
      </c>
      <c r="K479" s="627">
        <v>0</v>
      </c>
      <c r="L479" s="626">
        <v>12266</v>
      </c>
      <c r="M479" s="626"/>
      <c r="N479" s="627">
        <v>50151</v>
      </c>
      <c r="O479" s="627">
        <v>489513</v>
      </c>
      <c r="P479" s="627">
        <v>0</v>
      </c>
      <c r="Q479" s="626">
        <v>38233</v>
      </c>
      <c r="R479" s="626"/>
      <c r="S479" s="627">
        <v>97410</v>
      </c>
      <c r="T479" s="628">
        <v>-9576</v>
      </c>
      <c r="U479" s="628">
        <v>87834</v>
      </c>
    </row>
    <row r="480" spans="1:21" x14ac:dyDescent="0.25">
      <c r="A480" s="623">
        <v>95122</v>
      </c>
      <c r="B480" s="624" t="s">
        <v>1618</v>
      </c>
      <c r="C480" s="625">
        <v>3.3000000000000002E-6</v>
      </c>
      <c r="D480" s="625">
        <v>3.5999999999999998E-6</v>
      </c>
      <c r="E480" s="626">
        <v>2565</v>
      </c>
      <c r="F480" s="626">
        <v>-1987</v>
      </c>
      <c r="G480" s="626">
        <v>1481</v>
      </c>
      <c r="H480" s="626"/>
      <c r="I480" s="627">
        <v>0</v>
      </c>
      <c r="J480" s="627">
        <v>2976</v>
      </c>
      <c r="K480" s="627">
        <v>0</v>
      </c>
      <c r="L480" s="626">
        <v>770</v>
      </c>
      <c r="M480" s="626"/>
      <c r="N480" s="627">
        <v>348</v>
      </c>
      <c r="O480" s="627">
        <v>3398</v>
      </c>
      <c r="P480" s="627">
        <v>0</v>
      </c>
      <c r="Q480" s="626">
        <v>0</v>
      </c>
      <c r="R480" s="626"/>
      <c r="S480" s="627">
        <v>676</v>
      </c>
      <c r="T480" s="628">
        <v>203</v>
      </c>
      <c r="U480" s="628">
        <v>879</v>
      </c>
    </row>
    <row r="481" spans="1:21" x14ac:dyDescent="0.25">
      <c r="A481" s="623">
        <v>95123</v>
      </c>
      <c r="B481" s="624" t="s">
        <v>1619</v>
      </c>
      <c r="C481" s="625">
        <v>5.1199999999999998E-5</v>
      </c>
      <c r="D481" s="625">
        <v>5.1100000000000002E-5</v>
      </c>
      <c r="E481" s="626">
        <v>27386</v>
      </c>
      <c r="F481" s="626">
        <v>-28203</v>
      </c>
      <c r="G481" s="626">
        <v>22978</v>
      </c>
      <c r="H481" s="626"/>
      <c r="I481" s="627">
        <v>0</v>
      </c>
      <c r="J481" s="627">
        <v>46178</v>
      </c>
      <c r="K481" s="627">
        <v>0</v>
      </c>
      <c r="L481" s="626">
        <v>5208</v>
      </c>
      <c r="M481" s="626"/>
      <c r="N481" s="627">
        <v>5401</v>
      </c>
      <c r="O481" s="627">
        <v>52720</v>
      </c>
      <c r="P481" s="627">
        <v>0</v>
      </c>
      <c r="Q481" s="626">
        <v>4407.26</v>
      </c>
      <c r="R481" s="626"/>
      <c r="S481" s="627">
        <v>10491</v>
      </c>
      <c r="T481" s="628">
        <v>-111</v>
      </c>
      <c r="U481" s="628">
        <v>10380</v>
      </c>
    </row>
    <row r="482" spans="1:21" x14ac:dyDescent="0.25">
      <c r="A482" s="623">
        <v>95131</v>
      </c>
      <c r="B482" s="624" t="s">
        <v>1620</v>
      </c>
      <c r="C482" s="625">
        <v>1.4713E-3</v>
      </c>
      <c r="D482" s="625">
        <v>1.3908E-3</v>
      </c>
      <c r="E482" s="626">
        <v>590334</v>
      </c>
      <c r="F482" s="626">
        <v>-767608</v>
      </c>
      <c r="G482" s="626">
        <v>660311</v>
      </c>
      <c r="H482" s="626"/>
      <c r="I482" s="627">
        <v>0</v>
      </c>
      <c r="J482" s="627">
        <v>1326989</v>
      </c>
      <c r="K482" s="627">
        <v>0</v>
      </c>
      <c r="L482" s="626">
        <v>48270</v>
      </c>
      <c r="M482" s="626"/>
      <c r="N482" s="627">
        <v>155212</v>
      </c>
      <c r="O482" s="627">
        <v>1514978</v>
      </c>
      <c r="P482" s="627">
        <v>0</v>
      </c>
      <c r="Q482" s="626">
        <v>2556</v>
      </c>
      <c r="R482" s="626"/>
      <c r="S482" s="627">
        <v>301472</v>
      </c>
      <c r="T482" s="628">
        <v>11781</v>
      </c>
      <c r="U482" s="628">
        <v>313254</v>
      </c>
    </row>
    <row r="483" spans="1:21" x14ac:dyDescent="0.25">
      <c r="A483" s="623">
        <v>95141</v>
      </c>
      <c r="B483" s="624" t="s">
        <v>1621</v>
      </c>
      <c r="C483" s="625">
        <v>2.99E-4</v>
      </c>
      <c r="D483" s="625">
        <v>3.4660000000000002E-4</v>
      </c>
      <c r="E483" s="626">
        <v>119302</v>
      </c>
      <c r="F483" s="626">
        <v>-191295</v>
      </c>
      <c r="G483" s="626">
        <v>134189</v>
      </c>
      <c r="H483" s="626"/>
      <c r="I483" s="627">
        <v>0</v>
      </c>
      <c r="J483" s="627">
        <v>269673</v>
      </c>
      <c r="K483" s="627">
        <v>0</v>
      </c>
      <c r="L483" s="626">
        <v>3779.36</v>
      </c>
      <c r="M483" s="626"/>
      <c r="N483" s="627">
        <v>31542</v>
      </c>
      <c r="O483" s="627">
        <v>307876</v>
      </c>
      <c r="P483" s="627">
        <v>0</v>
      </c>
      <c r="Q483" s="626">
        <v>35601</v>
      </c>
      <c r="R483" s="626"/>
      <c r="S483" s="627">
        <v>61266</v>
      </c>
      <c r="T483" s="628">
        <v>-8056</v>
      </c>
      <c r="U483" s="628">
        <v>53210</v>
      </c>
    </row>
    <row r="484" spans="1:21" x14ac:dyDescent="0.25">
      <c r="A484" s="623">
        <v>95151</v>
      </c>
      <c r="B484" s="624" t="s">
        <v>1622</v>
      </c>
      <c r="C484" s="625">
        <v>1.05E-4</v>
      </c>
      <c r="D484" s="625">
        <v>1.132E-4</v>
      </c>
      <c r="E484" s="626">
        <v>41639</v>
      </c>
      <c r="F484" s="626">
        <v>-62477</v>
      </c>
      <c r="G484" s="626">
        <v>47123.37</v>
      </c>
      <c r="H484" s="626"/>
      <c r="I484" s="627">
        <v>0</v>
      </c>
      <c r="J484" s="627">
        <v>94701</v>
      </c>
      <c r="K484" s="627">
        <v>0</v>
      </c>
      <c r="L484" s="626">
        <v>1100</v>
      </c>
      <c r="M484" s="626"/>
      <c r="N484" s="627">
        <v>11077</v>
      </c>
      <c r="O484" s="627">
        <v>108117</v>
      </c>
      <c r="P484" s="627">
        <v>0</v>
      </c>
      <c r="Q484" s="626">
        <v>6729</v>
      </c>
      <c r="R484" s="626"/>
      <c r="S484" s="627">
        <v>21514.71</v>
      </c>
      <c r="T484" s="628">
        <v>-1394</v>
      </c>
      <c r="U484" s="628">
        <v>20121</v>
      </c>
    </row>
    <row r="485" spans="1:21" x14ac:dyDescent="0.25">
      <c r="A485" s="623">
        <v>95161</v>
      </c>
      <c r="B485" s="624" t="s">
        <v>1623</v>
      </c>
      <c r="C485" s="625">
        <v>7.0599999999999995E-5</v>
      </c>
      <c r="D485" s="625">
        <v>8.1500000000000002E-5</v>
      </c>
      <c r="E485" s="626">
        <v>34894</v>
      </c>
      <c r="F485" s="626">
        <v>-44981</v>
      </c>
      <c r="G485" s="626">
        <v>31685</v>
      </c>
      <c r="H485" s="626"/>
      <c r="I485" s="627">
        <v>0</v>
      </c>
      <c r="J485" s="627">
        <v>63675</v>
      </c>
      <c r="K485" s="627">
        <v>0</v>
      </c>
      <c r="L485" s="626">
        <v>983.71</v>
      </c>
      <c r="M485" s="626"/>
      <c r="N485" s="627">
        <v>7448</v>
      </c>
      <c r="O485" s="627">
        <v>72696</v>
      </c>
      <c r="P485" s="627">
        <v>0</v>
      </c>
      <c r="Q485" s="626">
        <v>2839</v>
      </c>
      <c r="R485" s="626"/>
      <c r="S485" s="627">
        <v>14466</v>
      </c>
      <c r="T485" s="628">
        <v>-414</v>
      </c>
      <c r="U485" s="628">
        <v>14052</v>
      </c>
    </row>
    <row r="486" spans="1:21" x14ac:dyDescent="0.25">
      <c r="A486" s="623">
        <v>95171</v>
      </c>
      <c r="B486" s="624" t="s">
        <v>1624</v>
      </c>
      <c r="C486" s="625">
        <v>1.2740000000000001E-4</v>
      </c>
      <c r="D486" s="625">
        <v>1.016E-4</v>
      </c>
      <c r="E486" s="626">
        <v>46928</v>
      </c>
      <c r="F486" s="626">
        <v>-56075</v>
      </c>
      <c r="G486" s="626">
        <v>57176</v>
      </c>
      <c r="H486" s="626"/>
      <c r="I486" s="627">
        <v>0</v>
      </c>
      <c r="J486" s="627">
        <v>114904</v>
      </c>
      <c r="K486" s="627">
        <v>0</v>
      </c>
      <c r="L486" s="626">
        <v>14073</v>
      </c>
      <c r="M486" s="626"/>
      <c r="N486" s="627">
        <v>13440</v>
      </c>
      <c r="O486" s="627">
        <v>131182</v>
      </c>
      <c r="P486" s="627">
        <v>0</v>
      </c>
      <c r="Q486" s="626">
        <v>13027.43</v>
      </c>
      <c r="R486" s="626"/>
      <c r="S486" s="627">
        <v>26105</v>
      </c>
      <c r="T486" s="628">
        <v>-673</v>
      </c>
      <c r="U486" s="628">
        <v>25432</v>
      </c>
    </row>
    <row r="487" spans="1:21" x14ac:dyDescent="0.25">
      <c r="A487" s="623">
        <v>95181</v>
      </c>
      <c r="B487" s="624" t="s">
        <v>1625</v>
      </c>
      <c r="C487" s="625">
        <v>8.0400000000000003E-5</v>
      </c>
      <c r="D487" s="625">
        <v>7.1600000000000006E-5</v>
      </c>
      <c r="E487" s="626">
        <v>27865</v>
      </c>
      <c r="F487" s="626">
        <v>-39517</v>
      </c>
      <c r="G487" s="626">
        <v>36083</v>
      </c>
      <c r="H487" s="626"/>
      <c r="I487" s="627">
        <v>0</v>
      </c>
      <c r="J487" s="627">
        <v>72514</v>
      </c>
      <c r="K487" s="627">
        <v>0</v>
      </c>
      <c r="L487" s="626">
        <v>2244</v>
      </c>
      <c r="M487" s="626"/>
      <c r="N487" s="627">
        <v>8482</v>
      </c>
      <c r="O487" s="627">
        <v>82787</v>
      </c>
      <c r="P487" s="627">
        <v>0</v>
      </c>
      <c r="Q487" s="626">
        <v>891</v>
      </c>
      <c r="R487" s="626"/>
      <c r="S487" s="627">
        <v>16474</v>
      </c>
      <c r="T487" s="628">
        <v>289</v>
      </c>
      <c r="U487" s="628">
        <v>16764</v>
      </c>
    </row>
    <row r="488" spans="1:21" x14ac:dyDescent="0.25">
      <c r="A488" s="623">
        <v>95191</v>
      </c>
      <c r="B488" s="624" t="s">
        <v>1626</v>
      </c>
      <c r="C488" s="625">
        <v>7.9099999999999998E-5</v>
      </c>
      <c r="D488" s="625">
        <v>6.3600000000000001E-5</v>
      </c>
      <c r="E488" s="626">
        <v>32337</v>
      </c>
      <c r="F488" s="626">
        <v>-35102</v>
      </c>
      <c r="G488" s="626">
        <v>35500</v>
      </c>
      <c r="H488" s="626"/>
      <c r="I488" s="627">
        <v>0</v>
      </c>
      <c r="J488" s="627">
        <v>71342</v>
      </c>
      <c r="K488" s="627">
        <v>0</v>
      </c>
      <c r="L488" s="626">
        <v>17276</v>
      </c>
      <c r="M488" s="626"/>
      <c r="N488" s="627">
        <v>8344</v>
      </c>
      <c r="O488" s="627">
        <v>81448</v>
      </c>
      <c r="P488" s="627">
        <v>0</v>
      </c>
      <c r="Q488" s="626">
        <v>0</v>
      </c>
      <c r="R488" s="626"/>
      <c r="S488" s="627">
        <v>16208</v>
      </c>
      <c r="T488" s="628">
        <v>4985</v>
      </c>
      <c r="U488" s="628">
        <v>21193</v>
      </c>
    </row>
    <row r="489" spans="1:21" x14ac:dyDescent="0.25">
      <c r="A489" s="623">
        <v>95201</v>
      </c>
      <c r="B489" s="624" t="s">
        <v>1627</v>
      </c>
      <c r="C489" s="625">
        <v>6.3000000000000003E-4</v>
      </c>
      <c r="D489" s="625">
        <v>6.7960000000000004E-4</v>
      </c>
      <c r="E489" s="626">
        <v>246717</v>
      </c>
      <c r="F489" s="626">
        <v>-375083</v>
      </c>
      <c r="G489" s="626">
        <v>282740</v>
      </c>
      <c r="H489" s="626"/>
      <c r="I489" s="627">
        <v>0</v>
      </c>
      <c r="J489" s="627">
        <v>568207</v>
      </c>
      <c r="K489" s="627">
        <v>0</v>
      </c>
      <c r="L489" s="626">
        <v>0</v>
      </c>
      <c r="M489" s="626"/>
      <c r="N489" s="627">
        <v>66460.59</v>
      </c>
      <c r="O489" s="627">
        <v>648703</v>
      </c>
      <c r="P489" s="627">
        <v>0</v>
      </c>
      <c r="Q489" s="626">
        <v>44970</v>
      </c>
      <c r="R489" s="626"/>
      <c r="S489" s="627">
        <v>129088</v>
      </c>
      <c r="T489" s="628">
        <v>-11906</v>
      </c>
      <c r="U489" s="628">
        <v>117182</v>
      </c>
    </row>
    <row r="490" spans="1:21" x14ac:dyDescent="0.25">
      <c r="A490" s="623">
        <v>95204</v>
      </c>
      <c r="B490" s="624" t="s">
        <v>1628</v>
      </c>
      <c r="C490" s="625">
        <v>1.49E-5</v>
      </c>
      <c r="D490" s="625">
        <v>1.6200000000000001E-5</v>
      </c>
      <c r="E490" s="626">
        <v>6571</v>
      </c>
      <c r="F490" s="626">
        <v>-8941</v>
      </c>
      <c r="G490" s="626">
        <v>6687</v>
      </c>
      <c r="H490" s="626"/>
      <c r="I490" s="627">
        <v>0</v>
      </c>
      <c r="J490" s="627">
        <v>13439</v>
      </c>
      <c r="K490" s="627">
        <v>0</v>
      </c>
      <c r="L490" s="626">
        <v>0</v>
      </c>
      <c r="M490" s="626"/>
      <c r="N490" s="627">
        <v>1572</v>
      </c>
      <c r="O490" s="627">
        <v>15342</v>
      </c>
      <c r="P490" s="627">
        <v>0</v>
      </c>
      <c r="Q490" s="626">
        <v>1443</v>
      </c>
      <c r="R490" s="626"/>
      <c r="S490" s="627">
        <v>3053</v>
      </c>
      <c r="T490" s="628">
        <v>-445</v>
      </c>
      <c r="U490" s="628">
        <v>2608</v>
      </c>
    </row>
    <row r="491" spans="1:21" x14ac:dyDescent="0.25">
      <c r="A491" s="623">
        <v>95205</v>
      </c>
      <c r="B491" s="624" t="s">
        <v>1629</v>
      </c>
      <c r="C491" s="625">
        <v>5.0000000000000004E-6</v>
      </c>
      <c r="D491" s="625">
        <v>5.0000000000000004E-6</v>
      </c>
      <c r="E491" s="626">
        <v>2546</v>
      </c>
      <c r="F491" s="626">
        <v>-2759.59</v>
      </c>
      <c r="G491" s="626">
        <v>2244</v>
      </c>
      <c r="H491" s="626"/>
      <c r="I491" s="627">
        <v>0</v>
      </c>
      <c r="J491" s="627">
        <v>4509.58</v>
      </c>
      <c r="K491" s="627">
        <v>0</v>
      </c>
      <c r="L491" s="626">
        <v>732</v>
      </c>
      <c r="M491" s="626"/>
      <c r="N491" s="627">
        <v>527.46500000000003</v>
      </c>
      <c r="O491" s="627">
        <v>5148</v>
      </c>
      <c r="P491" s="627">
        <v>0</v>
      </c>
      <c r="Q491" s="626">
        <v>0</v>
      </c>
      <c r="R491" s="626"/>
      <c r="S491" s="627">
        <v>1024.51</v>
      </c>
      <c r="T491" s="628">
        <v>216</v>
      </c>
      <c r="U491" s="628">
        <v>1240</v>
      </c>
    </row>
    <row r="492" spans="1:21" x14ac:dyDescent="0.25">
      <c r="A492" s="623">
        <v>95211</v>
      </c>
      <c r="B492" s="624" t="s">
        <v>1630</v>
      </c>
      <c r="C492" s="625">
        <v>5.9000000000000003E-6</v>
      </c>
      <c r="D492" s="625">
        <v>9.2E-6</v>
      </c>
      <c r="E492" s="626">
        <v>5179</v>
      </c>
      <c r="F492" s="626">
        <v>-5078</v>
      </c>
      <c r="G492" s="626">
        <v>2648</v>
      </c>
      <c r="H492" s="626"/>
      <c r="I492" s="627">
        <v>0</v>
      </c>
      <c r="J492" s="627">
        <v>5321</v>
      </c>
      <c r="K492" s="627">
        <v>0</v>
      </c>
      <c r="L492" s="626">
        <v>0</v>
      </c>
      <c r="M492" s="626"/>
      <c r="N492" s="627">
        <v>622</v>
      </c>
      <c r="O492" s="627">
        <v>6075</v>
      </c>
      <c r="P492" s="627">
        <v>0</v>
      </c>
      <c r="Q492" s="626">
        <v>2928</v>
      </c>
      <c r="R492" s="626"/>
      <c r="S492" s="627">
        <v>1209</v>
      </c>
      <c r="T492" s="628">
        <v>-971</v>
      </c>
      <c r="U492" s="628">
        <v>238</v>
      </c>
    </row>
    <row r="493" spans="1:21" x14ac:dyDescent="0.25">
      <c r="A493" s="623">
        <v>95221</v>
      </c>
      <c r="B493" s="624" t="s">
        <v>1631</v>
      </c>
      <c r="C493" s="625">
        <v>4.5099999999999998E-5</v>
      </c>
      <c r="D493" s="625">
        <v>6.0000000000000002E-5</v>
      </c>
      <c r="E493" s="626">
        <v>20581</v>
      </c>
      <c r="F493" s="626">
        <v>-33115.08</v>
      </c>
      <c r="G493" s="626">
        <v>20241</v>
      </c>
      <c r="H493" s="626"/>
      <c r="I493" s="627">
        <v>0</v>
      </c>
      <c r="J493" s="627">
        <v>40676</v>
      </c>
      <c r="K493" s="627">
        <v>0</v>
      </c>
      <c r="L493" s="626">
        <v>8178</v>
      </c>
      <c r="M493" s="626"/>
      <c r="N493" s="627">
        <v>4758</v>
      </c>
      <c r="O493" s="627">
        <v>46439</v>
      </c>
      <c r="P493" s="627">
        <v>0</v>
      </c>
      <c r="Q493" s="626">
        <v>8738</v>
      </c>
      <c r="R493" s="626"/>
      <c r="S493" s="627">
        <v>9241</v>
      </c>
      <c r="T493" s="628">
        <v>448</v>
      </c>
      <c r="U493" s="628">
        <v>9689</v>
      </c>
    </row>
    <row r="494" spans="1:21" x14ac:dyDescent="0.25">
      <c r="A494" s="623">
        <v>95301</v>
      </c>
      <c r="B494" s="624" t="s">
        <v>1632</v>
      </c>
      <c r="C494" s="625">
        <v>2.3544E-3</v>
      </c>
      <c r="D494" s="625">
        <v>2.2685000000000001E-3</v>
      </c>
      <c r="E494" s="626">
        <v>984785</v>
      </c>
      <c r="F494" s="626">
        <v>-1252026</v>
      </c>
      <c r="G494" s="626">
        <v>1056641</v>
      </c>
      <c r="H494" s="626"/>
      <c r="I494" s="627">
        <v>0</v>
      </c>
      <c r="J494" s="627">
        <v>2123471</v>
      </c>
      <c r="K494" s="627">
        <v>0</v>
      </c>
      <c r="L494" s="626">
        <v>78924</v>
      </c>
      <c r="M494" s="626"/>
      <c r="N494" s="627">
        <v>248373</v>
      </c>
      <c r="O494" s="627">
        <v>2424295</v>
      </c>
      <c r="P494" s="627">
        <v>0</v>
      </c>
      <c r="Q494" s="626">
        <v>33910</v>
      </c>
      <c r="R494" s="626"/>
      <c r="S494" s="627">
        <v>482421</v>
      </c>
      <c r="T494" s="628">
        <v>9320</v>
      </c>
      <c r="U494" s="628">
        <v>491741</v>
      </c>
    </row>
    <row r="495" spans="1:21" x14ac:dyDescent="0.25">
      <c r="A495" s="623">
        <v>95311</v>
      </c>
      <c r="B495" s="624" t="s">
        <v>1633</v>
      </c>
      <c r="C495" s="625">
        <v>2.9946E-3</v>
      </c>
      <c r="D495" s="625">
        <v>2.8942E-3</v>
      </c>
      <c r="E495" s="626">
        <v>1148108</v>
      </c>
      <c r="F495" s="626">
        <v>-1597361</v>
      </c>
      <c r="G495" s="626">
        <v>1343959</v>
      </c>
      <c r="H495" s="626"/>
      <c r="I495" s="627">
        <v>0</v>
      </c>
      <c r="J495" s="627">
        <v>2700878</v>
      </c>
      <c r="K495" s="627">
        <v>0</v>
      </c>
      <c r="L495" s="626">
        <v>11385</v>
      </c>
      <c r="M495" s="626"/>
      <c r="N495" s="627">
        <v>315909</v>
      </c>
      <c r="O495" s="627">
        <v>3083501</v>
      </c>
      <c r="P495" s="627">
        <v>0</v>
      </c>
      <c r="Q495" s="626">
        <v>80619</v>
      </c>
      <c r="R495" s="626"/>
      <c r="S495" s="627">
        <v>613600</v>
      </c>
      <c r="T495" s="628">
        <v>-23983</v>
      </c>
      <c r="U495" s="628">
        <v>589617</v>
      </c>
    </row>
    <row r="496" spans="1:21" x14ac:dyDescent="0.25">
      <c r="A496" s="623">
        <v>95317</v>
      </c>
      <c r="B496" s="624" t="s">
        <v>1634</v>
      </c>
      <c r="C496" s="625">
        <v>5.3900000000000002E-5</v>
      </c>
      <c r="D496" s="625">
        <v>5.0000000000000002E-5</v>
      </c>
      <c r="E496" s="626">
        <v>25659</v>
      </c>
      <c r="F496" s="626">
        <v>-27595.9</v>
      </c>
      <c r="G496" s="626">
        <v>24190</v>
      </c>
      <c r="H496" s="626"/>
      <c r="I496" s="627">
        <v>0</v>
      </c>
      <c r="J496" s="627">
        <v>48613</v>
      </c>
      <c r="K496" s="627">
        <v>0</v>
      </c>
      <c r="L496" s="626">
        <v>5631</v>
      </c>
      <c r="M496" s="626"/>
      <c r="N496" s="627">
        <v>5686</v>
      </c>
      <c r="O496" s="627">
        <v>55500</v>
      </c>
      <c r="P496" s="627">
        <v>0</v>
      </c>
      <c r="Q496" s="626">
        <v>113.62</v>
      </c>
      <c r="R496" s="626"/>
      <c r="S496" s="627">
        <v>11044</v>
      </c>
      <c r="T496" s="628">
        <v>1436</v>
      </c>
      <c r="U496" s="628">
        <v>12480</v>
      </c>
    </row>
    <row r="497" spans="1:21" x14ac:dyDescent="0.25">
      <c r="A497" s="623">
        <v>95321</v>
      </c>
      <c r="B497" s="624" t="s">
        <v>1635</v>
      </c>
      <c r="C497" s="625">
        <v>5.6499999999999998E-5</v>
      </c>
      <c r="D497" s="625">
        <v>5.1900000000000001E-5</v>
      </c>
      <c r="E497" s="626">
        <v>24910</v>
      </c>
      <c r="F497" s="626">
        <v>-28645</v>
      </c>
      <c r="G497" s="626">
        <v>25357</v>
      </c>
      <c r="H497" s="626"/>
      <c r="I497" s="627">
        <v>0</v>
      </c>
      <c r="J497" s="627">
        <v>50958</v>
      </c>
      <c r="K497" s="627">
        <v>0</v>
      </c>
      <c r="L497" s="626">
        <v>5157</v>
      </c>
      <c r="M497" s="626"/>
      <c r="N497" s="627">
        <v>5960</v>
      </c>
      <c r="O497" s="627">
        <v>58177</v>
      </c>
      <c r="P497" s="627">
        <v>0</v>
      </c>
      <c r="Q497" s="626">
        <v>0</v>
      </c>
      <c r="R497" s="626"/>
      <c r="S497" s="627">
        <v>11577</v>
      </c>
      <c r="T497" s="628">
        <v>1384</v>
      </c>
      <c r="U497" s="628">
        <v>12961</v>
      </c>
    </row>
    <row r="498" spans="1:21" x14ac:dyDescent="0.25">
      <c r="A498" s="623">
        <v>95401</v>
      </c>
      <c r="B498" s="624" t="s">
        <v>1636</v>
      </c>
      <c r="C498" s="625">
        <v>2.8663999999999999E-3</v>
      </c>
      <c r="D498" s="625">
        <v>2.8936999999999999E-3</v>
      </c>
      <c r="E498" s="626">
        <v>1208280</v>
      </c>
      <c r="F498" s="626">
        <v>-1597085</v>
      </c>
      <c r="G498" s="626">
        <v>1286423</v>
      </c>
      <c r="H498" s="626"/>
      <c r="I498" s="627">
        <v>0</v>
      </c>
      <c r="J498" s="627">
        <v>2585252</v>
      </c>
      <c r="K498" s="627">
        <v>0</v>
      </c>
      <c r="L498" s="626">
        <v>30785</v>
      </c>
      <c r="M498" s="626"/>
      <c r="N498" s="627">
        <v>302385</v>
      </c>
      <c r="O498" s="627">
        <v>2951495</v>
      </c>
      <c r="P498" s="627">
        <v>0</v>
      </c>
      <c r="Q498" s="626">
        <v>0</v>
      </c>
      <c r="R498" s="626"/>
      <c r="S498" s="627">
        <v>587331</v>
      </c>
      <c r="T498" s="628">
        <v>9501</v>
      </c>
      <c r="U498" s="628">
        <v>596832</v>
      </c>
    </row>
    <row r="499" spans="1:21" x14ac:dyDescent="0.25">
      <c r="A499" s="623">
        <v>95404</v>
      </c>
      <c r="B499" s="624" t="s">
        <v>1637</v>
      </c>
      <c r="C499" s="625">
        <v>3.4999999999999997E-5</v>
      </c>
      <c r="D499" s="625">
        <v>3.4199999999999998E-5</v>
      </c>
      <c r="E499" s="626">
        <v>14464</v>
      </c>
      <c r="F499" s="626">
        <v>-18876</v>
      </c>
      <c r="G499" s="626">
        <v>15708</v>
      </c>
      <c r="H499" s="626"/>
      <c r="I499" s="627">
        <v>0</v>
      </c>
      <c r="J499" s="627">
        <v>31567</v>
      </c>
      <c r="K499" s="627">
        <v>0</v>
      </c>
      <c r="L499" s="626">
        <v>1247</v>
      </c>
      <c r="M499" s="626"/>
      <c r="N499" s="627">
        <v>3692</v>
      </c>
      <c r="O499" s="627">
        <v>36039</v>
      </c>
      <c r="P499" s="627">
        <v>0</v>
      </c>
      <c r="Q499" s="626">
        <v>0</v>
      </c>
      <c r="R499" s="626"/>
      <c r="S499" s="627">
        <v>7171.57</v>
      </c>
      <c r="T499" s="628">
        <v>366</v>
      </c>
      <c r="U499" s="628">
        <v>7538</v>
      </c>
    </row>
    <row r="500" spans="1:21" x14ac:dyDescent="0.25">
      <c r="A500" s="623">
        <v>95405</v>
      </c>
      <c r="B500" s="624" t="s">
        <v>1638</v>
      </c>
      <c r="C500" s="625">
        <v>1.7E-5</v>
      </c>
      <c r="D500" s="625">
        <v>1.56E-5</v>
      </c>
      <c r="E500" s="626">
        <v>15062</v>
      </c>
      <c r="F500" s="626">
        <v>-8610</v>
      </c>
      <c r="G500" s="626">
        <v>7629</v>
      </c>
      <c r="H500" s="626"/>
      <c r="I500" s="627">
        <v>0</v>
      </c>
      <c r="J500" s="627">
        <v>15333</v>
      </c>
      <c r="K500" s="627">
        <v>0</v>
      </c>
      <c r="L500" s="626">
        <v>7508</v>
      </c>
      <c r="M500" s="626"/>
      <c r="N500" s="627">
        <v>1793</v>
      </c>
      <c r="O500" s="627">
        <v>17505</v>
      </c>
      <c r="P500" s="627">
        <v>0</v>
      </c>
      <c r="Q500" s="626">
        <v>0</v>
      </c>
      <c r="R500" s="626"/>
      <c r="S500" s="627">
        <v>3483</v>
      </c>
      <c r="T500" s="628">
        <v>1972</v>
      </c>
      <c r="U500" s="628">
        <v>5455</v>
      </c>
    </row>
    <row r="501" spans="1:21" x14ac:dyDescent="0.25">
      <c r="A501" s="623">
        <v>95411</v>
      </c>
      <c r="B501" s="624" t="s">
        <v>1639</v>
      </c>
      <c r="C501" s="625">
        <v>2.3019E-3</v>
      </c>
      <c r="D501" s="625">
        <v>2.3509999999999998E-3</v>
      </c>
      <c r="E501" s="626">
        <v>988710</v>
      </c>
      <c r="F501" s="626">
        <v>-1297559</v>
      </c>
      <c r="G501" s="626">
        <v>1033079</v>
      </c>
      <c r="H501" s="626"/>
      <c r="I501" s="627">
        <v>0</v>
      </c>
      <c r="J501" s="627">
        <v>2076120</v>
      </c>
      <c r="K501" s="627">
        <v>0</v>
      </c>
      <c r="L501" s="626">
        <v>4288</v>
      </c>
      <c r="M501" s="626"/>
      <c r="N501" s="627">
        <v>242834</v>
      </c>
      <c r="O501" s="627">
        <v>2370237</v>
      </c>
      <c r="P501" s="627">
        <v>0</v>
      </c>
      <c r="Q501" s="626">
        <v>56250.87</v>
      </c>
      <c r="R501" s="626"/>
      <c r="S501" s="627">
        <v>471664</v>
      </c>
      <c r="T501" s="628">
        <v>-17690</v>
      </c>
      <c r="U501" s="628">
        <v>453973</v>
      </c>
    </row>
    <row r="502" spans="1:21" x14ac:dyDescent="0.25">
      <c r="A502" s="623">
        <v>95412</v>
      </c>
      <c r="B502" s="624" t="s">
        <v>1640</v>
      </c>
      <c r="C502" s="625">
        <v>0</v>
      </c>
      <c r="D502" s="625">
        <v>6.2299999999999996E-5</v>
      </c>
      <c r="E502" s="626"/>
      <c r="F502" s="626">
        <v>-34384</v>
      </c>
      <c r="G502" s="626">
        <v>0</v>
      </c>
      <c r="H502" s="626"/>
      <c r="I502" s="627">
        <v>0</v>
      </c>
      <c r="J502" s="627">
        <v>0</v>
      </c>
      <c r="K502" s="627">
        <v>0</v>
      </c>
      <c r="L502" s="626">
        <v>0</v>
      </c>
      <c r="M502" s="626"/>
      <c r="N502" s="627">
        <v>0</v>
      </c>
      <c r="O502" s="627">
        <v>0</v>
      </c>
      <c r="P502" s="627">
        <v>0</v>
      </c>
      <c r="Q502" s="626">
        <v>64866</v>
      </c>
      <c r="R502" s="626"/>
      <c r="S502" s="627">
        <v>0</v>
      </c>
      <c r="T502" s="628">
        <v>-18518</v>
      </c>
      <c r="U502" s="628">
        <v>-18518</v>
      </c>
    </row>
    <row r="503" spans="1:21" x14ac:dyDescent="0.25">
      <c r="A503" s="623">
        <v>95413</v>
      </c>
      <c r="B503" s="624" t="s">
        <v>1641</v>
      </c>
      <c r="C503" s="625">
        <v>2.9579999999999998E-4</v>
      </c>
      <c r="D503" s="625">
        <v>2.9779999999999997E-4</v>
      </c>
      <c r="E503" s="626">
        <v>269788</v>
      </c>
      <c r="F503" s="626">
        <v>-164361</v>
      </c>
      <c r="G503" s="626">
        <v>132753</v>
      </c>
      <c r="H503" s="626"/>
      <c r="I503" s="627">
        <v>0</v>
      </c>
      <c r="J503" s="627">
        <v>266787</v>
      </c>
      <c r="K503" s="627">
        <v>0</v>
      </c>
      <c r="L503" s="626">
        <v>116698</v>
      </c>
      <c r="M503" s="626"/>
      <c r="N503" s="627">
        <v>31205</v>
      </c>
      <c r="O503" s="627">
        <v>304581</v>
      </c>
      <c r="P503" s="627">
        <v>0</v>
      </c>
      <c r="Q503" s="626">
        <v>28393.040000000001</v>
      </c>
      <c r="R503" s="626"/>
      <c r="S503" s="627">
        <v>60610</v>
      </c>
      <c r="T503" s="628">
        <v>21053</v>
      </c>
      <c r="U503" s="628">
        <v>81663</v>
      </c>
    </row>
    <row r="504" spans="1:21" x14ac:dyDescent="0.25">
      <c r="A504" s="623">
        <v>95415</v>
      </c>
      <c r="B504" s="624" t="s">
        <v>1642</v>
      </c>
      <c r="C504" s="625">
        <v>7.6600000000000005E-5</v>
      </c>
      <c r="D504" s="625">
        <v>8.4300000000000003E-5</v>
      </c>
      <c r="E504" s="626">
        <v>27674</v>
      </c>
      <c r="F504" s="626">
        <v>-46527</v>
      </c>
      <c r="G504" s="626">
        <v>34378</v>
      </c>
      <c r="H504" s="626"/>
      <c r="I504" s="627">
        <v>0</v>
      </c>
      <c r="J504" s="627">
        <v>69087</v>
      </c>
      <c r="K504" s="627">
        <v>0</v>
      </c>
      <c r="L504" s="626">
        <v>16011.45</v>
      </c>
      <c r="M504" s="626"/>
      <c r="N504" s="627">
        <v>8081</v>
      </c>
      <c r="O504" s="627">
        <v>78874</v>
      </c>
      <c r="P504" s="627">
        <v>0</v>
      </c>
      <c r="Q504" s="626">
        <v>8257</v>
      </c>
      <c r="R504" s="626"/>
      <c r="S504" s="627">
        <v>15695</v>
      </c>
      <c r="T504" s="628">
        <v>3193</v>
      </c>
      <c r="U504" s="628">
        <v>18889</v>
      </c>
    </row>
    <row r="505" spans="1:21" x14ac:dyDescent="0.25">
      <c r="A505" s="623">
        <v>95421</v>
      </c>
      <c r="B505" s="624" t="s">
        <v>1643</v>
      </c>
      <c r="C505" s="625">
        <v>5.1E-5</v>
      </c>
      <c r="D505" s="625">
        <v>5.13E-5</v>
      </c>
      <c r="E505" s="626">
        <v>14449</v>
      </c>
      <c r="F505" s="626">
        <v>-28313</v>
      </c>
      <c r="G505" s="626">
        <v>22888</v>
      </c>
      <c r="H505" s="626"/>
      <c r="I505" s="627">
        <v>0</v>
      </c>
      <c r="J505" s="627">
        <v>45998</v>
      </c>
      <c r="K505" s="627">
        <v>0</v>
      </c>
      <c r="L505" s="626">
        <v>0</v>
      </c>
      <c r="M505" s="626"/>
      <c r="N505" s="627">
        <v>5380</v>
      </c>
      <c r="O505" s="627">
        <v>52514</v>
      </c>
      <c r="P505" s="627">
        <v>0</v>
      </c>
      <c r="Q505" s="626">
        <v>10740</v>
      </c>
      <c r="R505" s="626"/>
      <c r="S505" s="627">
        <v>10450</v>
      </c>
      <c r="T505" s="628">
        <v>-3209</v>
      </c>
      <c r="U505" s="628">
        <v>7241</v>
      </c>
    </row>
    <row r="506" spans="1:21" x14ac:dyDescent="0.25">
      <c r="A506" s="623">
        <v>95431</v>
      </c>
      <c r="B506" s="624" t="s">
        <v>1644</v>
      </c>
      <c r="C506" s="625">
        <v>1.7249999999999999E-4</v>
      </c>
      <c r="D506" s="625">
        <v>1.738E-4</v>
      </c>
      <c r="E506" s="626">
        <v>61862</v>
      </c>
      <c r="F506" s="626">
        <v>-95923</v>
      </c>
      <c r="G506" s="626">
        <v>77417</v>
      </c>
      <c r="H506" s="626"/>
      <c r="I506" s="627">
        <v>0</v>
      </c>
      <c r="J506" s="627">
        <v>155581</v>
      </c>
      <c r="K506" s="627">
        <v>0</v>
      </c>
      <c r="L506" s="626">
        <v>675.74</v>
      </c>
      <c r="M506" s="626"/>
      <c r="N506" s="627">
        <v>18198</v>
      </c>
      <c r="O506" s="627">
        <v>177621</v>
      </c>
      <c r="P506" s="627">
        <v>0</v>
      </c>
      <c r="Q506" s="626">
        <v>7701</v>
      </c>
      <c r="R506" s="626"/>
      <c r="S506" s="627">
        <v>35346</v>
      </c>
      <c r="T506" s="628">
        <v>-1790</v>
      </c>
      <c r="U506" s="628">
        <v>33556</v>
      </c>
    </row>
    <row r="507" spans="1:21" x14ac:dyDescent="0.25">
      <c r="A507" s="623">
        <v>95501</v>
      </c>
      <c r="B507" s="624" t="s">
        <v>1645</v>
      </c>
      <c r="C507" s="625">
        <v>4.8338000000000001E-3</v>
      </c>
      <c r="D507" s="625">
        <v>4.7701000000000002E-3</v>
      </c>
      <c r="E507" s="626">
        <v>1889220</v>
      </c>
      <c r="F507" s="626">
        <v>-2632704</v>
      </c>
      <c r="G507" s="626">
        <v>2169380</v>
      </c>
      <c r="H507" s="626"/>
      <c r="I507" s="627">
        <v>0</v>
      </c>
      <c r="J507" s="627">
        <v>4359682</v>
      </c>
      <c r="K507" s="627">
        <v>0</v>
      </c>
      <c r="L507" s="626">
        <v>95724.85</v>
      </c>
      <c r="M507" s="626"/>
      <c r="N507" s="627">
        <v>509932</v>
      </c>
      <c r="O507" s="627">
        <v>4977301</v>
      </c>
      <c r="P507" s="627">
        <v>0</v>
      </c>
      <c r="Q507" s="626">
        <v>22136</v>
      </c>
      <c r="R507" s="626"/>
      <c r="S507" s="627">
        <v>990455</v>
      </c>
      <c r="T507" s="628">
        <v>26220</v>
      </c>
      <c r="U507" s="628">
        <v>1016675</v>
      </c>
    </row>
    <row r="508" spans="1:21" x14ac:dyDescent="0.25">
      <c r="A508" s="623">
        <v>95504</v>
      </c>
      <c r="B508" s="624" t="s">
        <v>1646</v>
      </c>
      <c r="C508" s="625">
        <v>1.2099999999999999E-5</v>
      </c>
      <c r="D508" s="625">
        <v>7.0999999999999998E-6</v>
      </c>
      <c r="E508" s="626">
        <v>7639</v>
      </c>
      <c r="F508" s="626">
        <v>-3919</v>
      </c>
      <c r="G508" s="626">
        <v>5430</v>
      </c>
      <c r="H508" s="626"/>
      <c r="I508" s="627">
        <v>0</v>
      </c>
      <c r="J508" s="627">
        <v>10913</v>
      </c>
      <c r="K508" s="627">
        <v>0</v>
      </c>
      <c r="L508" s="626">
        <v>6006</v>
      </c>
      <c r="M508" s="626"/>
      <c r="N508" s="627">
        <v>1276</v>
      </c>
      <c r="O508" s="627">
        <v>12459</v>
      </c>
      <c r="P508" s="627">
        <v>0</v>
      </c>
      <c r="Q508" s="626">
        <v>0</v>
      </c>
      <c r="R508" s="626"/>
      <c r="S508" s="627">
        <v>2479</v>
      </c>
      <c r="T508" s="628">
        <v>1598</v>
      </c>
      <c r="U508" s="628">
        <v>4078</v>
      </c>
    </row>
    <row r="509" spans="1:21" x14ac:dyDescent="0.25">
      <c r="A509" s="623">
        <v>95511</v>
      </c>
      <c r="B509" s="624" t="s">
        <v>1647</v>
      </c>
      <c r="C509" s="625">
        <v>1.0989000000000001E-3</v>
      </c>
      <c r="D509" s="625">
        <v>1.1119000000000001E-3</v>
      </c>
      <c r="E509" s="626">
        <v>440045</v>
      </c>
      <c r="F509" s="626">
        <v>-613678</v>
      </c>
      <c r="G509" s="626">
        <v>493180</v>
      </c>
      <c r="H509" s="626"/>
      <c r="I509" s="627">
        <v>0</v>
      </c>
      <c r="J509" s="627">
        <v>991115</v>
      </c>
      <c r="K509" s="627">
        <v>0</v>
      </c>
      <c r="L509" s="626">
        <v>16238.69</v>
      </c>
      <c r="M509" s="626"/>
      <c r="N509" s="627">
        <v>115926</v>
      </c>
      <c r="O509" s="627">
        <v>1131523</v>
      </c>
      <c r="P509" s="627">
        <v>0</v>
      </c>
      <c r="Q509" s="626">
        <v>15951</v>
      </c>
      <c r="R509" s="626"/>
      <c r="S509" s="627">
        <v>225167</v>
      </c>
      <c r="T509" s="628">
        <v>1255</v>
      </c>
      <c r="U509" s="628">
        <v>226422</v>
      </c>
    </row>
    <row r="510" spans="1:21" x14ac:dyDescent="0.25">
      <c r="A510" s="623">
        <v>95513</v>
      </c>
      <c r="B510" s="624" t="s">
        <v>1648</v>
      </c>
      <c r="C510" s="625">
        <v>4.4499999999999997E-5</v>
      </c>
      <c r="D510" s="625">
        <v>4.5300000000000003E-5</v>
      </c>
      <c r="E510" s="626">
        <v>30386</v>
      </c>
      <c r="F510" s="626">
        <v>-25002</v>
      </c>
      <c r="G510" s="626">
        <v>19971</v>
      </c>
      <c r="H510" s="626"/>
      <c r="I510" s="627">
        <v>0</v>
      </c>
      <c r="J510" s="627">
        <v>40135</v>
      </c>
      <c r="K510" s="627">
        <v>0</v>
      </c>
      <c r="L510" s="626">
        <v>16106</v>
      </c>
      <c r="M510" s="626"/>
      <c r="N510" s="627">
        <v>4694</v>
      </c>
      <c r="O510" s="627">
        <v>45821</v>
      </c>
      <c r="P510" s="627">
        <v>0</v>
      </c>
      <c r="Q510" s="626">
        <v>0</v>
      </c>
      <c r="R510" s="626"/>
      <c r="S510" s="627">
        <v>9118</v>
      </c>
      <c r="T510" s="628">
        <v>4724</v>
      </c>
      <c r="U510" s="628">
        <v>13842</v>
      </c>
    </row>
    <row r="511" spans="1:21" x14ac:dyDescent="0.25">
      <c r="A511" s="623">
        <v>95517</v>
      </c>
      <c r="B511" s="624" t="s">
        <v>1649</v>
      </c>
      <c r="C511" s="625">
        <v>1.1399999999999999E-5</v>
      </c>
      <c r="D511" s="625">
        <v>1.2300000000000001E-5</v>
      </c>
      <c r="E511" s="626">
        <v>11504</v>
      </c>
      <c r="F511" s="626">
        <v>-6789</v>
      </c>
      <c r="G511" s="626">
        <v>5116</v>
      </c>
      <c r="H511" s="626"/>
      <c r="I511" s="627">
        <v>0</v>
      </c>
      <c r="J511" s="627">
        <v>10282</v>
      </c>
      <c r="K511" s="627">
        <v>0</v>
      </c>
      <c r="L511" s="626">
        <v>7907</v>
      </c>
      <c r="M511" s="626"/>
      <c r="N511" s="627">
        <v>1203</v>
      </c>
      <c r="O511" s="627">
        <v>11738</v>
      </c>
      <c r="P511" s="627">
        <v>0</v>
      </c>
      <c r="Q511" s="626">
        <v>0</v>
      </c>
      <c r="R511" s="626"/>
      <c r="S511" s="627">
        <v>2336</v>
      </c>
      <c r="T511" s="628">
        <v>2296</v>
      </c>
      <c r="U511" s="628">
        <v>4632</v>
      </c>
    </row>
    <row r="512" spans="1:21" x14ac:dyDescent="0.25">
      <c r="A512" s="623">
        <v>95601</v>
      </c>
      <c r="B512" s="624" t="s">
        <v>1650</v>
      </c>
      <c r="C512" s="625">
        <v>2.4567999999999999E-3</v>
      </c>
      <c r="D512" s="625">
        <v>2.4214000000000002E-3</v>
      </c>
      <c r="E512" s="626">
        <v>1038784</v>
      </c>
      <c r="F512" s="626">
        <v>-1336414</v>
      </c>
      <c r="G512" s="626">
        <v>1102597</v>
      </c>
      <c r="H512" s="626"/>
      <c r="I512" s="627">
        <v>0</v>
      </c>
      <c r="J512" s="627">
        <v>2215827</v>
      </c>
      <c r="K512" s="627">
        <v>0</v>
      </c>
      <c r="L512" s="626">
        <v>133089</v>
      </c>
      <c r="M512" s="626"/>
      <c r="N512" s="627">
        <v>259175</v>
      </c>
      <c r="O512" s="627">
        <v>2529735</v>
      </c>
      <c r="P512" s="627">
        <v>0</v>
      </c>
      <c r="Q512" s="626">
        <v>0</v>
      </c>
      <c r="R512" s="626"/>
      <c r="S512" s="627">
        <v>503403</v>
      </c>
      <c r="T512" s="628">
        <v>40649</v>
      </c>
      <c r="U512" s="628">
        <v>544052</v>
      </c>
    </row>
    <row r="513" spans="1:21" x14ac:dyDescent="0.25">
      <c r="A513" s="623">
        <v>95611</v>
      </c>
      <c r="B513" s="624" t="s">
        <v>1651</v>
      </c>
      <c r="C513" s="625">
        <v>3.9500000000000001E-4</v>
      </c>
      <c r="D513" s="625">
        <v>4.0559999999999999E-4</v>
      </c>
      <c r="E513" s="626">
        <v>161168</v>
      </c>
      <c r="F513" s="626">
        <v>-223858</v>
      </c>
      <c r="G513" s="626">
        <v>177273.63</v>
      </c>
      <c r="H513" s="626"/>
      <c r="I513" s="627">
        <v>0</v>
      </c>
      <c r="J513" s="627">
        <v>356256.82</v>
      </c>
      <c r="K513" s="627">
        <v>0</v>
      </c>
      <c r="L513" s="626">
        <v>4132.18</v>
      </c>
      <c r="M513" s="626"/>
      <c r="N513" s="627">
        <v>41670</v>
      </c>
      <c r="O513" s="627">
        <v>406726</v>
      </c>
      <c r="P513" s="627">
        <v>0</v>
      </c>
      <c r="Q513" s="626">
        <v>7521</v>
      </c>
      <c r="R513" s="626"/>
      <c r="S513" s="627">
        <v>80936</v>
      </c>
      <c r="T513" s="628">
        <v>-587</v>
      </c>
      <c r="U513" s="628">
        <v>80350</v>
      </c>
    </row>
    <row r="514" spans="1:21" x14ac:dyDescent="0.25">
      <c r="A514" s="623">
        <v>95617</v>
      </c>
      <c r="B514" s="624" t="s">
        <v>1652</v>
      </c>
      <c r="C514" s="625">
        <v>1.63E-5</v>
      </c>
      <c r="D514" s="625">
        <v>2.0299999999999999E-5</v>
      </c>
      <c r="E514" s="626">
        <v>7751</v>
      </c>
      <c r="F514" s="626">
        <v>-11204</v>
      </c>
      <c r="G514" s="626">
        <v>7315</v>
      </c>
      <c r="H514" s="626"/>
      <c r="I514" s="627">
        <v>0</v>
      </c>
      <c r="J514" s="627">
        <v>14701</v>
      </c>
      <c r="K514" s="627">
        <v>0</v>
      </c>
      <c r="L514" s="626">
        <v>0</v>
      </c>
      <c r="M514" s="626"/>
      <c r="N514" s="627">
        <v>1720</v>
      </c>
      <c r="O514" s="627">
        <v>16784</v>
      </c>
      <c r="P514" s="627">
        <v>0</v>
      </c>
      <c r="Q514" s="626">
        <v>3006</v>
      </c>
      <c r="R514" s="626"/>
      <c r="S514" s="627">
        <v>3340</v>
      </c>
      <c r="T514" s="628">
        <v>-864</v>
      </c>
      <c r="U514" s="628">
        <v>2476</v>
      </c>
    </row>
    <row r="515" spans="1:21" x14ac:dyDescent="0.25">
      <c r="A515" s="623">
        <v>95621</v>
      </c>
      <c r="B515" s="624" t="s">
        <v>1653</v>
      </c>
      <c r="C515" s="625">
        <v>5.0210000000000001E-4</v>
      </c>
      <c r="D515" s="625">
        <v>5.1590000000000002E-4</v>
      </c>
      <c r="E515" s="626">
        <v>212115</v>
      </c>
      <c r="F515" s="626">
        <v>-284734</v>
      </c>
      <c r="G515" s="626">
        <v>225339</v>
      </c>
      <c r="H515" s="626"/>
      <c r="I515" s="627">
        <v>0</v>
      </c>
      <c r="J515" s="627">
        <v>452852</v>
      </c>
      <c r="K515" s="627">
        <v>0</v>
      </c>
      <c r="L515" s="626">
        <v>9562.02</v>
      </c>
      <c r="M515" s="626"/>
      <c r="N515" s="627">
        <v>52968</v>
      </c>
      <c r="O515" s="627">
        <v>517006</v>
      </c>
      <c r="P515" s="627">
        <v>0</v>
      </c>
      <c r="Q515" s="626">
        <v>4044</v>
      </c>
      <c r="R515" s="626"/>
      <c r="S515" s="627">
        <v>102881</v>
      </c>
      <c r="T515" s="628">
        <v>2139</v>
      </c>
      <c r="U515" s="628">
        <v>105021</v>
      </c>
    </row>
    <row r="516" spans="1:21" x14ac:dyDescent="0.25">
      <c r="A516" s="623">
        <v>95701</v>
      </c>
      <c r="B516" s="624" t="s">
        <v>1654</v>
      </c>
      <c r="C516" s="625">
        <v>1.2436999999999999E-3</v>
      </c>
      <c r="D516" s="625">
        <v>1.2654000000000001E-3</v>
      </c>
      <c r="E516" s="626">
        <v>546793</v>
      </c>
      <c r="F516" s="626">
        <v>-698397</v>
      </c>
      <c r="G516" s="626">
        <v>558165</v>
      </c>
      <c r="H516" s="626"/>
      <c r="I516" s="627">
        <v>0</v>
      </c>
      <c r="J516" s="627">
        <v>1121713</v>
      </c>
      <c r="K516" s="627">
        <v>0</v>
      </c>
      <c r="L516" s="626">
        <v>53748</v>
      </c>
      <c r="M516" s="626"/>
      <c r="N516" s="627">
        <v>131202</v>
      </c>
      <c r="O516" s="627">
        <v>1280622</v>
      </c>
      <c r="P516" s="627">
        <v>0</v>
      </c>
      <c r="Q516" s="626">
        <v>0</v>
      </c>
      <c r="R516" s="626"/>
      <c r="S516" s="627">
        <v>254837</v>
      </c>
      <c r="T516" s="628">
        <v>16836</v>
      </c>
      <c r="U516" s="628">
        <v>271672</v>
      </c>
    </row>
    <row r="517" spans="1:21" x14ac:dyDescent="0.25">
      <c r="A517" s="623">
        <v>95711</v>
      </c>
      <c r="B517" s="624" t="s">
        <v>1655</v>
      </c>
      <c r="C517" s="625">
        <v>1.284E-4</v>
      </c>
      <c r="D517" s="625">
        <v>1.11E-4</v>
      </c>
      <c r="E517" s="626">
        <v>51045</v>
      </c>
      <c r="F517" s="626">
        <v>-61263</v>
      </c>
      <c r="G517" s="626">
        <v>57625</v>
      </c>
      <c r="H517" s="626"/>
      <c r="I517" s="627">
        <v>0</v>
      </c>
      <c r="J517" s="627">
        <v>115806</v>
      </c>
      <c r="K517" s="627">
        <v>0</v>
      </c>
      <c r="L517" s="626">
        <v>11118</v>
      </c>
      <c r="M517" s="626"/>
      <c r="N517" s="627">
        <v>13545</v>
      </c>
      <c r="O517" s="627">
        <v>132212</v>
      </c>
      <c r="P517" s="627">
        <v>0</v>
      </c>
      <c r="Q517" s="626">
        <v>215</v>
      </c>
      <c r="R517" s="626"/>
      <c r="S517" s="627">
        <v>26309</v>
      </c>
      <c r="T517" s="628">
        <v>2838</v>
      </c>
      <c r="U517" s="628">
        <v>29148</v>
      </c>
    </row>
    <row r="518" spans="1:21" x14ac:dyDescent="0.25">
      <c r="A518" s="623">
        <v>95721</v>
      </c>
      <c r="B518" s="624" t="s">
        <v>1656</v>
      </c>
      <c r="C518" s="625">
        <v>6.7199999999999994E-5</v>
      </c>
      <c r="D518" s="625">
        <v>6.2600000000000004E-5</v>
      </c>
      <c r="E518" s="626">
        <v>22801</v>
      </c>
      <c r="F518" s="626">
        <v>-34550</v>
      </c>
      <c r="G518" s="626">
        <v>30159</v>
      </c>
      <c r="H518" s="626"/>
      <c r="I518" s="627">
        <v>0</v>
      </c>
      <c r="J518" s="627">
        <v>60609</v>
      </c>
      <c r="K518" s="627">
        <v>0</v>
      </c>
      <c r="L518" s="626">
        <v>0</v>
      </c>
      <c r="M518" s="626"/>
      <c r="N518" s="627">
        <v>7089</v>
      </c>
      <c r="O518" s="627">
        <v>69195</v>
      </c>
      <c r="P518" s="627">
        <v>0</v>
      </c>
      <c r="Q518" s="626">
        <v>7726</v>
      </c>
      <c r="R518" s="626"/>
      <c r="S518" s="627">
        <v>13769</v>
      </c>
      <c r="T518" s="628">
        <v>-2552</v>
      </c>
      <c r="U518" s="628">
        <v>11218</v>
      </c>
    </row>
    <row r="519" spans="1:21" x14ac:dyDescent="0.25">
      <c r="A519" s="623">
        <v>95733</v>
      </c>
      <c r="B519" s="624" t="s">
        <v>1657</v>
      </c>
      <c r="C519" s="625">
        <v>1.63E-5</v>
      </c>
      <c r="D519" s="625">
        <v>1.45E-5</v>
      </c>
      <c r="E519" s="626">
        <v>6456</v>
      </c>
      <c r="F519" s="626">
        <v>-8003</v>
      </c>
      <c r="G519" s="626">
        <v>7315</v>
      </c>
      <c r="H519" s="626"/>
      <c r="I519" s="627">
        <v>0</v>
      </c>
      <c r="J519" s="627">
        <v>14701</v>
      </c>
      <c r="K519" s="627">
        <v>0</v>
      </c>
      <c r="L519" s="626">
        <v>1270</v>
      </c>
      <c r="M519" s="626"/>
      <c r="N519" s="627">
        <v>1720</v>
      </c>
      <c r="O519" s="627">
        <v>16784</v>
      </c>
      <c r="P519" s="627">
        <v>0</v>
      </c>
      <c r="Q519" s="626">
        <v>0</v>
      </c>
      <c r="R519" s="626"/>
      <c r="S519" s="627">
        <v>3340</v>
      </c>
      <c r="T519" s="628">
        <v>344</v>
      </c>
      <c r="U519" s="628">
        <v>3684</v>
      </c>
    </row>
    <row r="520" spans="1:21" x14ac:dyDescent="0.25">
      <c r="A520" s="623">
        <v>95801</v>
      </c>
      <c r="B520" s="624" t="s">
        <v>1658</v>
      </c>
      <c r="C520" s="625">
        <v>9.1810000000000004E-4</v>
      </c>
      <c r="D520" s="625">
        <v>9.167E-4</v>
      </c>
      <c r="E520" s="626">
        <v>398584</v>
      </c>
      <c r="F520" s="626">
        <v>-505943</v>
      </c>
      <c r="G520" s="626">
        <v>412038</v>
      </c>
      <c r="H520" s="626"/>
      <c r="I520" s="627">
        <v>0</v>
      </c>
      <c r="J520" s="627">
        <v>828049</v>
      </c>
      <c r="K520" s="627">
        <v>0</v>
      </c>
      <c r="L520" s="626">
        <v>19797</v>
      </c>
      <c r="M520" s="626"/>
      <c r="N520" s="627">
        <v>96853</v>
      </c>
      <c r="O520" s="627">
        <v>945356</v>
      </c>
      <c r="P520" s="627">
        <v>0</v>
      </c>
      <c r="Q520" s="626">
        <v>11625.12</v>
      </c>
      <c r="R520" s="626"/>
      <c r="S520" s="627">
        <v>188121</v>
      </c>
      <c r="T520" s="628">
        <v>1295</v>
      </c>
      <c r="U520" s="628">
        <v>189415</v>
      </c>
    </row>
    <row r="521" spans="1:21" x14ac:dyDescent="0.25">
      <c r="A521" s="623">
        <v>95802</v>
      </c>
      <c r="B521" s="624" t="s">
        <v>1659</v>
      </c>
      <c r="C521" s="625">
        <v>6.8000000000000001E-6</v>
      </c>
      <c r="D521" s="625">
        <v>6.2999999999999998E-6</v>
      </c>
      <c r="E521" s="626">
        <v>4533</v>
      </c>
      <c r="F521" s="626">
        <v>-3477</v>
      </c>
      <c r="G521" s="626">
        <v>3052</v>
      </c>
      <c r="H521" s="626"/>
      <c r="I521" s="627">
        <v>0</v>
      </c>
      <c r="J521" s="627">
        <v>6133</v>
      </c>
      <c r="K521" s="627">
        <v>0</v>
      </c>
      <c r="L521" s="626">
        <v>1743</v>
      </c>
      <c r="M521" s="626"/>
      <c r="N521" s="627">
        <v>717</v>
      </c>
      <c r="O521" s="627">
        <v>7002</v>
      </c>
      <c r="P521" s="627">
        <v>0</v>
      </c>
      <c r="Q521" s="626">
        <v>3770</v>
      </c>
      <c r="R521" s="626"/>
      <c r="S521" s="627">
        <v>1393</v>
      </c>
      <c r="T521" s="628">
        <v>-805</v>
      </c>
      <c r="U521" s="628">
        <v>589</v>
      </c>
    </row>
    <row r="522" spans="1:21" x14ac:dyDescent="0.25">
      <c r="A522" s="623">
        <v>95804</v>
      </c>
      <c r="B522" s="624" t="s">
        <v>1660</v>
      </c>
      <c r="C522" s="625">
        <v>1.4399999999999999E-5</v>
      </c>
      <c r="D522" s="625">
        <v>1.2099999999999999E-5</v>
      </c>
      <c r="E522" s="626">
        <v>6493</v>
      </c>
      <c r="F522" s="626">
        <v>-6678</v>
      </c>
      <c r="G522" s="626">
        <v>6463</v>
      </c>
      <c r="H522" s="626"/>
      <c r="I522" s="627">
        <v>0</v>
      </c>
      <c r="J522" s="627">
        <v>12988</v>
      </c>
      <c r="K522" s="627">
        <v>0</v>
      </c>
      <c r="L522" s="626">
        <v>3631</v>
      </c>
      <c r="M522" s="626"/>
      <c r="N522" s="627">
        <v>1519</v>
      </c>
      <c r="O522" s="627">
        <v>14827</v>
      </c>
      <c r="P522" s="627">
        <v>0</v>
      </c>
      <c r="Q522" s="626">
        <v>0</v>
      </c>
      <c r="R522" s="626"/>
      <c r="S522" s="627">
        <v>2951</v>
      </c>
      <c r="T522" s="628">
        <v>1062</v>
      </c>
      <c r="U522" s="628">
        <v>4012</v>
      </c>
    </row>
    <row r="523" spans="1:21" x14ac:dyDescent="0.25">
      <c r="A523" s="623">
        <v>95811</v>
      </c>
      <c r="B523" s="624" t="s">
        <v>1661</v>
      </c>
      <c r="C523" s="625">
        <v>5.2459999999999996E-4</v>
      </c>
      <c r="D523" s="625">
        <v>5.4000000000000001E-4</v>
      </c>
      <c r="E523" s="626">
        <v>218684</v>
      </c>
      <c r="F523" s="626">
        <v>-298036</v>
      </c>
      <c r="G523" s="626">
        <v>235437</v>
      </c>
      <c r="H523" s="626"/>
      <c r="I523" s="627">
        <v>0</v>
      </c>
      <c r="J523" s="627">
        <v>473145</v>
      </c>
      <c r="K523" s="627">
        <v>0</v>
      </c>
      <c r="L523" s="626">
        <v>1267.76</v>
      </c>
      <c r="M523" s="626"/>
      <c r="N523" s="627">
        <v>55342</v>
      </c>
      <c r="O523" s="627">
        <v>540174</v>
      </c>
      <c r="P523" s="627">
        <v>0</v>
      </c>
      <c r="Q523" s="626">
        <v>7241</v>
      </c>
      <c r="R523" s="626"/>
      <c r="S523" s="627">
        <v>107492</v>
      </c>
      <c r="T523" s="628">
        <v>-1472</v>
      </c>
      <c r="U523" s="628">
        <v>106020</v>
      </c>
    </row>
    <row r="524" spans="1:21" x14ac:dyDescent="0.25">
      <c r="A524" s="623">
        <v>95813</v>
      </c>
      <c r="B524" s="624" t="s">
        <v>1662</v>
      </c>
      <c r="C524" s="625">
        <v>5.02E-5</v>
      </c>
      <c r="D524" s="625">
        <v>5.5300000000000002E-5</v>
      </c>
      <c r="E524" s="626">
        <v>59536</v>
      </c>
      <c r="F524" s="626">
        <v>-30521</v>
      </c>
      <c r="G524" s="626">
        <v>22529</v>
      </c>
      <c r="H524" s="626"/>
      <c r="I524" s="627">
        <v>0</v>
      </c>
      <c r="J524" s="627">
        <v>45276</v>
      </c>
      <c r="K524" s="627">
        <v>0</v>
      </c>
      <c r="L524" s="626">
        <v>28420</v>
      </c>
      <c r="M524" s="626"/>
      <c r="N524" s="627">
        <v>5296</v>
      </c>
      <c r="O524" s="627">
        <v>51690</v>
      </c>
      <c r="P524" s="627">
        <v>0</v>
      </c>
      <c r="Q524" s="626">
        <v>0</v>
      </c>
      <c r="R524" s="626"/>
      <c r="S524" s="627">
        <v>10286</v>
      </c>
      <c r="T524" s="628">
        <v>7517</v>
      </c>
      <c r="U524" s="628">
        <v>17803</v>
      </c>
    </row>
    <row r="525" spans="1:21" x14ac:dyDescent="0.25">
      <c r="A525" s="623">
        <v>95821</v>
      </c>
      <c r="B525" s="624" t="s">
        <v>1663</v>
      </c>
      <c r="C525" s="625">
        <v>1.5999999999999999E-6</v>
      </c>
      <c r="D525" s="625">
        <v>1.7999999999999999E-6</v>
      </c>
      <c r="E525" s="626">
        <v>1872</v>
      </c>
      <c r="F525" s="626">
        <v>-993</v>
      </c>
      <c r="G525" s="626">
        <v>718</v>
      </c>
      <c r="H525" s="626"/>
      <c r="I525" s="627">
        <v>0</v>
      </c>
      <c r="J525" s="627">
        <v>1443</v>
      </c>
      <c r="K525" s="627">
        <v>0</v>
      </c>
      <c r="L525" s="626">
        <v>1247</v>
      </c>
      <c r="M525" s="626"/>
      <c r="N525" s="627">
        <v>169</v>
      </c>
      <c r="O525" s="627">
        <v>1647</v>
      </c>
      <c r="P525" s="627">
        <v>0</v>
      </c>
      <c r="Q525" s="626">
        <v>0</v>
      </c>
      <c r="R525" s="626"/>
      <c r="S525" s="627">
        <v>328</v>
      </c>
      <c r="T525" s="628">
        <v>357</v>
      </c>
      <c r="U525" s="628">
        <v>685</v>
      </c>
    </row>
    <row r="526" spans="1:21" x14ac:dyDescent="0.25">
      <c r="A526" s="623">
        <v>95831</v>
      </c>
      <c r="B526" s="624" t="s">
        <v>1664</v>
      </c>
      <c r="C526" s="625">
        <v>1.9199999999999999E-5</v>
      </c>
      <c r="D526" s="625">
        <v>1.9599999999999999E-5</v>
      </c>
      <c r="E526" s="626">
        <v>20276</v>
      </c>
      <c r="F526" s="626">
        <v>-10818</v>
      </c>
      <c r="G526" s="626">
        <v>8617</v>
      </c>
      <c r="H526" s="626"/>
      <c r="I526" s="627">
        <v>0</v>
      </c>
      <c r="J526" s="627">
        <v>17317</v>
      </c>
      <c r="K526" s="627">
        <v>0</v>
      </c>
      <c r="L526" s="626">
        <v>10186</v>
      </c>
      <c r="M526" s="626"/>
      <c r="N526" s="627">
        <v>2025</v>
      </c>
      <c r="O526" s="627">
        <v>19770</v>
      </c>
      <c r="P526" s="627">
        <v>0</v>
      </c>
      <c r="Q526" s="626">
        <v>0</v>
      </c>
      <c r="R526" s="626"/>
      <c r="S526" s="627">
        <v>3934</v>
      </c>
      <c r="T526" s="628">
        <v>2711</v>
      </c>
      <c r="U526" s="628">
        <v>6645</v>
      </c>
    </row>
    <row r="527" spans="1:21" x14ac:dyDescent="0.25">
      <c r="A527" s="623">
        <v>95841</v>
      </c>
      <c r="B527" s="624" t="s">
        <v>1665</v>
      </c>
      <c r="C527" s="625">
        <v>2.0699999999999998E-5</v>
      </c>
      <c r="D527" s="625">
        <v>2.0699999999999998E-5</v>
      </c>
      <c r="E527" s="626">
        <v>9477</v>
      </c>
      <c r="F527" s="626">
        <v>-11425</v>
      </c>
      <c r="G527" s="626">
        <v>9290</v>
      </c>
      <c r="H527" s="626"/>
      <c r="I527" s="627">
        <v>0</v>
      </c>
      <c r="J527" s="627">
        <v>18670</v>
      </c>
      <c r="K527" s="627">
        <v>0</v>
      </c>
      <c r="L527" s="626">
        <v>1226</v>
      </c>
      <c r="M527" s="626"/>
      <c r="N527" s="627">
        <v>2184</v>
      </c>
      <c r="O527" s="627">
        <v>21315</v>
      </c>
      <c r="P527" s="627">
        <v>0</v>
      </c>
      <c r="Q527" s="626">
        <v>0</v>
      </c>
      <c r="R527" s="626"/>
      <c r="S527" s="627">
        <v>4241</v>
      </c>
      <c r="T527" s="628">
        <v>351</v>
      </c>
      <c r="U527" s="628">
        <v>4592</v>
      </c>
    </row>
    <row r="528" spans="1:21" x14ac:dyDescent="0.25">
      <c r="A528" s="623">
        <v>95851</v>
      </c>
      <c r="B528" s="624" t="s">
        <v>1666</v>
      </c>
      <c r="C528" s="625">
        <v>1.44E-4</v>
      </c>
      <c r="D528" s="625">
        <v>1.5190000000000001E-4</v>
      </c>
      <c r="E528" s="626">
        <v>132720</v>
      </c>
      <c r="F528" s="626">
        <v>-83836</v>
      </c>
      <c r="G528" s="626">
        <v>64626</v>
      </c>
      <c r="H528" s="626"/>
      <c r="I528" s="627">
        <v>0</v>
      </c>
      <c r="J528" s="627">
        <v>129876</v>
      </c>
      <c r="K528" s="627">
        <v>0</v>
      </c>
      <c r="L528" s="626">
        <v>53046</v>
      </c>
      <c r="M528" s="626"/>
      <c r="N528" s="627">
        <v>15191</v>
      </c>
      <c r="O528" s="627">
        <v>148275</v>
      </c>
      <c r="P528" s="627">
        <v>0</v>
      </c>
      <c r="Q528" s="626">
        <v>12623.78</v>
      </c>
      <c r="R528" s="626"/>
      <c r="S528" s="627">
        <v>29506</v>
      </c>
      <c r="T528" s="628">
        <v>9664</v>
      </c>
      <c r="U528" s="628">
        <v>39170</v>
      </c>
    </row>
    <row r="529" spans="1:21" x14ac:dyDescent="0.25">
      <c r="A529" s="623">
        <v>95853</v>
      </c>
      <c r="B529" s="624" t="s">
        <v>1667</v>
      </c>
      <c r="C529" s="625">
        <v>2.44E-5</v>
      </c>
      <c r="D529" s="625">
        <v>2.5599999999999999E-5</v>
      </c>
      <c r="E529" s="626">
        <v>14790</v>
      </c>
      <c r="F529" s="626">
        <v>-14129</v>
      </c>
      <c r="G529" s="626">
        <v>10951</v>
      </c>
      <c r="H529" s="626"/>
      <c r="I529" s="627">
        <v>0</v>
      </c>
      <c r="J529" s="627">
        <v>22007</v>
      </c>
      <c r="K529" s="627">
        <v>0</v>
      </c>
      <c r="L529" s="626">
        <v>6046</v>
      </c>
      <c r="M529" s="626"/>
      <c r="N529" s="627">
        <v>2574</v>
      </c>
      <c r="O529" s="627">
        <v>25124</v>
      </c>
      <c r="P529" s="627">
        <v>0</v>
      </c>
      <c r="Q529" s="626">
        <v>0</v>
      </c>
      <c r="R529" s="626"/>
      <c r="S529" s="627">
        <v>5000</v>
      </c>
      <c r="T529" s="628">
        <v>1805</v>
      </c>
      <c r="U529" s="628">
        <v>6805</v>
      </c>
    </row>
    <row r="530" spans="1:21" x14ac:dyDescent="0.25">
      <c r="A530" s="623">
        <v>95901</v>
      </c>
      <c r="B530" s="624" t="s">
        <v>1668</v>
      </c>
      <c r="C530" s="625">
        <v>1.8056000000000001E-3</v>
      </c>
      <c r="D530" s="625">
        <v>1.7918000000000001E-3</v>
      </c>
      <c r="E530" s="626">
        <v>750366</v>
      </c>
      <c r="F530" s="626">
        <v>-988927</v>
      </c>
      <c r="G530" s="626">
        <v>810342</v>
      </c>
      <c r="H530" s="626"/>
      <c r="I530" s="627">
        <v>0</v>
      </c>
      <c r="J530" s="627">
        <v>1628500</v>
      </c>
      <c r="K530" s="627">
        <v>0</v>
      </c>
      <c r="L530" s="626">
        <v>101864</v>
      </c>
      <c r="M530" s="626"/>
      <c r="N530" s="627">
        <v>190478</v>
      </c>
      <c r="O530" s="627">
        <v>1859203</v>
      </c>
      <c r="P530" s="627">
        <v>0</v>
      </c>
      <c r="Q530" s="626">
        <v>0</v>
      </c>
      <c r="R530" s="626"/>
      <c r="S530" s="627">
        <v>369971</v>
      </c>
      <c r="T530" s="628">
        <v>32606</v>
      </c>
      <c r="U530" s="628">
        <v>402577</v>
      </c>
    </row>
    <row r="531" spans="1:21" x14ac:dyDescent="0.25">
      <c r="A531" s="623">
        <v>95908</v>
      </c>
      <c r="B531" s="624" t="s">
        <v>1669</v>
      </c>
      <c r="C531" s="625">
        <v>6.6699999999999995E-5</v>
      </c>
      <c r="D531" s="625">
        <v>8.81E-5</v>
      </c>
      <c r="E531" s="626">
        <v>19280</v>
      </c>
      <c r="F531" s="626">
        <v>-48624</v>
      </c>
      <c r="G531" s="626">
        <v>29935</v>
      </c>
      <c r="H531" s="626"/>
      <c r="I531" s="627">
        <v>0</v>
      </c>
      <c r="J531" s="627">
        <v>60158</v>
      </c>
      <c r="K531" s="627">
        <v>0</v>
      </c>
      <c r="L531" s="626">
        <v>0</v>
      </c>
      <c r="M531" s="626"/>
      <c r="N531" s="627">
        <v>7036</v>
      </c>
      <c r="O531" s="627">
        <v>68680</v>
      </c>
      <c r="P531" s="627">
        <v>0</v>
      </c>
      <c r="Q531" s="626">
        <v>28750</v>
      </c>
      <c r="R531" s="626"/>
      <c r="S531" s="627">
        <v>13667</v>
      </c>
      <c r="T531" s="628">
        <v>-8066</v>
      </c>
      <c r="U531" s="628">
        <v>5601</v>
      </c>
    </row>
    <row r="532" spans="1:21" x14ac:dyDescent="0.25">
      <c r="A532" s="623">
        <v>95911</v>
      </c>
      <c r="B532" s="624" t="s">
        <v>1670</v>
      </c>
      <c r="C532" s="625">
        <v>6.2100000000000002E-4</v>
      </c>
      <c r="D532" s="625">
        <v>5.8920000000000001E-4</v>
      </c>
      <c r="E532" s="626">
        <v>233060</v>
      </c>
      <c r="F532" s="626">
        <v>-325190</v>
      </c>
      <c r="G532" s="626">
        <v>278701</v>
      </c>
      <c r="H532" s="626"/>
      <c r="I532" s="627">
        <v>0</v>
      </c>
      <c r="J532" s="627">
        <v>560090</v>
      </c>
      <c r="K532" s="627">
        <v>0</v>
      </c>
      <c r="L532" s="626">
        <v>6082</v>
      </c>
      <c r="M532" s="626"/>
      <c r="N532" s="627">
        <v>65511</v>
      </c>
      <c r="O532" s="627">
        <v>639436</v>
      </c>
      <c r="P532" s="627">
        <v>0</v>
      </c>
      <c r="Q532" s="626">
        <v>11622</v>
      </c>
      <c r="R532" s="626"/>
      <c r="S532" s="627">
        <v>127244</v>
      </c>
      <c r="T532" s="628">
        <v>-2295</v>
      </c>
      <c r="U532" s="628">
        <v>124949</v>
      </c>
    </row>
    <row r="533" spans="1:21" x14ac:dyDescent="0.25">
      <c r="A533" s="623">
        <v>95917</v>
      </c>
      <c r="B533" s="624" t="s">
        <v>1671</v>
      </c>
      <c r="C533" s="625">
        <v>2.4499999999999999E-5</v>
      </c>
      <c r="D533" s="625">
        <v>2.0800000000000001E-5</v>
      </c>
      <c r="E533" s="626">
        <v>10201</v>
      </c>
      <c r="F533" s="626">
        <v>-11480</v>
      </c>
      <c r="G533" s="626">
        <v>10995</v>
      </c>
      <c r="H533" s="626"/>
      <c r="I533" s="627">
        <v>0</v>
      </c>
      <c r="J533" s="627">
        <v>22097</v>
      </c>
      <c r="K533" s="627">
        <v>0</v>
      </c>
      <c r="L533" s="626">
        <v>6344</v>
      </c>
      <c r="M533" s="626"/>
      <c r="N533" s="627">
        <v>2585</v>
      </c>
      <c r="O533" s="627">
        <v>25227</v>
      </c>
      <c r="P533" s="627">
        <v>0</v>
      </c>
      <c r="Q533" s="626">
        <v>0</v>
      </c>
      <c r="R533" s="626"/>
      <c r="S533" s="627">
        <v>5020</v>
      </c>
      <c r="T533" s="628">
        <v>1922</v>
      </c>
      <c r="U533" s="628">
        <v>6942</v>
      </c>
    </row>
    <row r="534" spans="1:21" x14ac:dyDescent="0.25">
      <c r="A534" s="623">
        <v>95921</v>
      </c>
      <c r="B534" s="624" t="s">
        <v>1672</v>
      </c>
      <c r="C534" s="625">
        <v>3.4600000000000001E-5</v>
      </c>
      <c r="D534" s="625">
        <v>3.3399999999999999E-5</v>
      </c>
      <c r="E534" s="626">
        <v>14870</v>
      </c>
      <c r="F534" s="626">
        <v>-18434</v>
      </c>
      <c r="G534" s="626">
        <v>15528</v>
      </c>
      <c r="H534" s="626"/>
      <c r="I534" s="627">
        <v>0</v>
      </c>
      <c r="J534" s="627">
        <v>31206</v>
      </c>
      <c r="K534" s="627">
        <v>0</v>
      </c>
      <c r="L534" s="626">
        <v>1431</v>
      </c>
      <c r="M534" s="626"/>
      <c r="N534" s="627">
        <v>3650</v>
      </c>
      <c r="O534" s="627">
        <v>35627</v>
      </c>
      <c r="P534" s="627">
        <v>0</v>
      </c>
      <c r="Q534" s="626">
        <v>2864.42</v>
      </c>
      <c r="R534" s="626"/>
      <c r="S534" s="627">
        <v>7090</v>
      </c>
      <c r="T534" s="628">
        <v>-583</v>
      </c>
      <c r="U534" s="628">
        <v>6506</v>
      </c>
    </row>
    <row r="535" spans="1:21" x14ac:dyDescent="0.25">
      <c r="A535" s="623">
        <v>96001</v>
      </c>
      <c r="B535" s="624" t="s">
        <v>1673</v>
      </c>
      <c r="C535" s="625">
        <v>4.41456E-2</v>
      </c>
      <c r="D535" s="625">
        <v>4.3575700000000002E-2</v>
      </c>
      <c r="E535" s="626">
        <v>18226128</v>
      </c>
      <c r="F535" s="626">
        <v>-24050213</v>
      </c>
      <c r="G535" s="626">
        <v>19812280</v>
      </c>
      <c r="H535" s="626"/>
      <c r="I535" s="627">
        <v>0</v>
      </c>
      <c r="J535" s="627">
        <v>39815623</v>
      </c>
      <c r="K535" s="627">
        <v>0</v>
      </c>
      <c r="L535" s="626">
        <v>4155557</v>
      </c>
      <c r="M535" s="626"/>
      <c r="N535" s="627">
        <v>4657052</v>
      </c>
      <c r="O535" s="627">
        <v>45456150</v>
      </c>
      <c r="P535" s="627">
        <v>0</v>
      </c>
      <c r="Q535" s="626">
        <v>0</v>
      </c>
      <c r="R535" s="626"/>
      <c r="S535" s="627">
        <v>9045522</v>
      </c>
      <c r="T535" s="628">
        <v>1349108</v>
      </c>
      <c r="U535" s="628">
        <v>10394629</v>
      </c>
    </row>
    <row r="536" spans="1:21" x14ac:dyDescent="0.25">
      <c r="A536" s="623">
        <v>96003</v>
      </c>
      <c r="B536" s="624" t="s">
        <v>1674</v>
      </c>
      <c r="C536" s="625">
        <v>1.7633E-3</v>
      </c>
      <c r="D536" s="625">
        <v>1.6972999999999999E-3</v>
      </c>
      <c r="E536" s="626">
        <v>669665</v>
      </c>
      <c r="F536" s="626">
        <v>-936770</v>
      </c>
      <c r="G536" s="626">
        <v>791358</v>
      </c>
      <c r="H536" s="626"/>
      <c r="I536" s="627">
        <v>0</v>
      </c>
      <c r="J536" s="627">
        <v>1590348</v>
      </c>
      <c r="K536" s="627">
        <v>0</v>
      </c>
      <c r="L536" s="626">
        <v>6483</v>
      </c>
      <c r="M536" s="626"/>
      <c r="N536" s="627">
        <v>186016</v>
      </c>
      <c r="O536" s="627">
        <v>1815647</v>
      </c>
      <c r="P536" s="627">
        <v>0</v>
      </c>
      <c r="Q536" s="626">
        <v>76107</v>
      </c>
      <c r="R536" s="626"/>
      <c r="S536" s="627">
        <v>361304</v>
      </c>
      <c r="T536" s="628">
        <v>-23757</v>
      </c>
      <c r="U536" s="628">
        <v>337547</v>
      </c>
    </row>
    <row r="537" spans="1:21" x14ac:dyDescent="0.25">
      <c r="A537" s="623">
        <v>96004</v>
      </c>
      <c r="B537" s="624" t="s">
        <v>1675</v>
      </c>
      <c r="C537" s="625">
        <v>8.208E-4</v>
      </c>
      <c r="D537" s="625">
        <v>8.0990000000000001E-4</v>
      </c>
      <c r="E537" s="626">
        <v>410932</v>
      </c>
      <c r="F537" s="626">
        <v>-446998</v>
      </c>
      <c r="G537" s="626">
        <v>368370</v>
      </c>
      <c r="H537" s="626"/>
      <c r="I537" s="627">
        <v>0</v>
      </c>
      <c r="J537" s="627">
        <v>740293</v>
      </c>
      <c r="K537" s="627">
        <v>0</v>
      </c>
      <c r="L537" s="626">
        <v>122867</v>
      </c>
      <c r="M537" s="626"/>
      <c r="N537" s="627">
        <v>86589</v>
      </c>
      <c r="O537" s="627">
        <v>845167</v>
      </c>
      <c r="P537" s="627">
        <v>0</v>
      </c>
      <c r="Q537" s="626">
        <v>0</v>
      </c>
      <c r="R537" s="626"/>
      <c r="S537" s="627">
        <v>168184</v>
      </c>
      <c r="T537" s="628">
        <v>36170</v>
      </c>
      <c r="U537" s="628">
        <v>204354</v>
      </c>
    </row>
    <row r="538" spans="1:21" x14ac:dyDescent="0.25">
      <c r="A538" s="623">
        <v>96005</v>
      </c>
      <c r="B538" s="624" t="s">
        <v>1676</v>
      </c>
      <c r="C538" s="625">
        <v>2.6692E-3</v>
      </c>
      <c r="D538" s="625">
        <v>2.4970000000000001E-3</v>
      </c>
      <c r="E538" s="626">
        <v>1150224</v>
      </c>
      <c r="F538" s="626">
        <v>-1378139</v>
      </c>
      <c r="G538" s="626">
        <v>1197921</v>
      </c>
      <c r="H538" s="626"/>
      <c r="I538" s="627">
        <v>0</v>
      </c>
      <c r="J538" s="627">
        <v>2407394</v>
      </c>
      <c r="K538" s="627">
        <v>0</v>
      </c>
      <c r="L538" s="626">
        <v>480553</v>
      </c>
      <c r="M538" s="626"/>
      <c r="N538" s="627">
        <v>281582</v>
      </c>
      <c r="O538" s="627">
        <v>2748441</v>
      </c>
      <c r="P538" s="627">
        <v>0</v>
      </c>
      <c r="Q538" s="626">
        <v>0</v>
      </c>
      <c r="R538" s="626"/>
      <c r="S538" s="627">
        <v>546924</v>
      </c>
      <c r="T538" s="628">
        <v>148458</v>
      </c>
      <c r="U538" s="628">
        <v>695383</v>
      </c>
    </row>
    <row r="539" spans="1:21" x14ac:dyDescent="0.25">
      <c r="A539" s="623">
        <v>96008</v>
      </c>
      <c r="B539" s="624" t="s">
        <v>1677</v>
      </c>
      <c r="C539" s="625">
        <v>5.4187000000000003E-3</v>
      </c>
      <c r="D539" s="625">
        <v>5.1526000000000002E-3</v>
      </c>
      <c r="E539" s="626">
        <v>1908108</v>
      </c>
      <c r="F539" s="626">
        <v>-2843813</v>
      </c>
      <c r="G539" s="626">
        <v>2431880</v>
      </c>
      <c r="H539" s="626"/>
      <c r="I539" s="627">
        <v>0</v>
      </c>
      <c r="J539" s="627">
        <v>4887212</v>
      </c>
      <c r="K539" s="627">
        <v>0</v>
      </c>
      <c r="L539" s="626">
        <v>0</v>
      </c>
      <c r="M539" s="626"/>
      <c r="N539" s="627">
        <v>571635</v>
      </c>
      <c r="O539" s="627">
        <v>5579565</v>
      </c>
      <c r="P539" s="627">
        <v>0</v>
      </c>
      <c r="Q539" s="626">
        <v>289783</v>
      </c>
      <c r="R539" s="626"/>
      <c r="S539" s="627">
        <v>1110302</v>
      </c>
      <c r="T539" s="628">
        <v>-92965</v>
      </c>
      <c r="U539" s="628">
        <v>1017338</v>
      </c>
    </row>
    <row r="540" spans="1:21" x14ac:dyDescent="0.25">
      <c r="A540" s="623">
        <v>96009</v>
      </c>
      <c r="B540" s="624" t="s">
        <v>1678</v>
      </c>
      <c r="C540" s="625">
        <v>3.9110000000000002E-4</v>
      </c>
      <c r="D540" s="625">
        <v>4.0850000000000001E-4</v>
      </c>
      <c r="E540" s="626">
        <v>180815</v>
      </c>
      <c r="F540" s="626">
        <v>-225459</v>
      </c>
      <c r="G540" s="626">
        <v>175523</v>
      </c>
      <c r="H540" s="626"/>
      <c r="I540" s="627">
        <v>0</v>
      </c>
      <c r="J540" s="627">
        <v>352739</v>
      </c>
      <c r="K540" s="627">
        <v>0</v>
      </c>
      <c r="L540" s="626">
        <v>18336</v>
      </c>
      <c r="M540" s="626"/>
      <c r="N540" s="627">
        <v>41258</v>
      </c>
      <c r="O540" s="627">
        <v>402711</v>
      </c>
      <c r="P540" s="627">
        <v>0</v>
      </c>
      <c r="Q540" s="626">
        <v>0</v>
      </c>
      <c r="R540" s="626"/>
      <c r="S540" s="627">
        <v>80137</v>
      </c>
      <c r="T540" s="628">
        <v>5803</v>
      </c>
      <c r="U540" s="628">
        <v>85940</v>
      </c>
    </row>
    <row r="541" spans="1:21" x14ac:dyDescent="0.25">
      <c r="A541" s="623">
        <v>96011</v>
      </c>
      <c r="B541" s="624" t="s">
        <v>1679</v>
      </c>
      <c r="C541" s="625">
        <v>5.8946100000000001E-2</v>
      </c>
      <c r="D541" s="625">
        <v>5.8814900000000003E-2</v>
      </c>
      <c r="E541" s="626">
        <v>24236328</v>
      </c>
      <c r="F541" s="626">
        <v>-32461002</v>
      </c>
      <c r="G541" s="626">
        <v>26454656</v>
      </c>
      <c r="H541" s="626"/>
      <c r="I541" s="627">
        <v>0</v>
      </c>
      <c r="J541" s="627">
        <v>53164431</v>
      </c>
      <c r="K541" s="627">
        <v>0</v>
      </c>
      <c r="L541" s="626">
        <v>226557</v>
      </c>
      <c r="M541" s="626"/>
      <c r="N541" s="627">
        <v>6218401</v>
      </c>
      <c r="O541" s="627">
        <v>60696033</v>
      </c>
      <c r="P541" s="627">
        <v>0</v>
      </c>
      <c r="Q541" s="626">
        <v>4009.59</v>
      </c>
      <c r="R541" s="626"/>
      <c r="S541" s="627">
        <v>12078174</v>
      </c>
      <c r="T541" s="628">
        <v>57967</v>
      </c>
      <c r="U541" s="628">
        <v>12136141</v>
      </c>
    </row>
    <row r="542" spans="1:21" x14ac:dyDescent="0.25">
      <c r="A542" s="623">
        <v>96012</v>
      </c>
      <c r="B542" s="624" t="s">
        <v>1680</v>
      </c>
      <c r="C542" s="625">
        <v>2.1905000000000002E-3</v>
      </c>
      <c r="D542" s="625">
        <v>2.1489E-3</v>
      </c>
      <c r="E542" s="626">
        <v>901166</v>
      </c>
      <c r="F542" s="626">
        <v>-1186017</v>
      </c>
      <c r="G542" s="626">
        <v>983083</v>
      </c>
      <c r="H542" s="626"/>
      <c r="I542" s="627">
        <v>0</v>
      </c>
      <c r="J542" s="627">
        <v>1975647</v>
      </c>
      <c r="K542" s="627">
        <v>0</v>
      </c>
      <c r="L542" s="626">
        <v>60138</v>
      </c>
      <c r="M542" s="626"/>
      <c r="N542" s="627">
        <v>231082</v>
      </c>
      <c r="O542" s="627">
        <v>2255529</v>
      </c>
      <c r="P542" s="627">
        <v>0</v>
      </c>
      <c r="Q542" s="626">
        <v>0</v>
      </c>
      <c r="R542" s="626"/>
      <c r="S542" s="627">
        <v>448838</v>
      </c>
      <c r="T542" s="628">
        <v>17599</v>
      </c>
      <c r="U542" s="628">
        <v>466437</v>
      </c>
    </row>
    <row r="543" spans="1:21" x14ac:dyDescent="0.25">
      <c r="A543" s="623">
        <v>96018</v>
      </c>
      <c r="B543" s="624" t="s">
        <v>1681</v>
      </c>
      <c r="C543" s="625">
        <v>3.3599999999999997E-5</v>
      </c>
      <c r="D543" s="625">
        <v>2.62E-5</v>
      </c>
      <c r="E543" s="626">
        <v>13911</v>
      </c>
      <c r="F543" s="626">
        <v>-14460</v>
      </c>
      <c r="G543" s="626">
        <v>15079</v>
      </c>
      <c r="H543" s="626"/>
      <c r="I543" s="627">
        <v>0</v>
      </c>
      <c r="J543" s="627">
        <v>30304</v>
      </c>
      <c r="K543" s="627">
        <v>0</v>
      </c>
      <c r="L543" s="626">
        <v>16080</v>
      </c>
      <c r="M543" s="626"/>
      <c r="N543" s="627">
        <v>3545</v>
      </c>
      <c r="O543" s="627">
        <v>34597</v>
      </c>
      <c r="P543" s="627">
        <v>0</v>
      </c>
      <c r="Q543" s="626">
        <v>0</v>
      </c>
      <c r="R543" s="626"/>
      <c r="S543" s="627">
        <v>6885</v>
      </c>
      <c r="T543" s="628">
        <v>4989</v>
      </c>
      <c r="U543" s="628">
        <v>11874</v>
      </c>
    </row>
    <row r="544" spans="1:21" x14ac:dyDescent="0.25">
      <c r="A544" s="623">
        <v>96021</v>
      </c>
      <c r="B544" s="624" t="s">
        <v>1682</v>
      </c>
      <c r="C544" s="625">
        <v>8.8719999999999999E-4</v>
      </c>
      <c r="D544" s="625">
        <v>7.6659999999999999E-4</v>
      </c>
      <c r="E544" s="626">
        <v>335207</v>
      </c>
      <c r="F544" s="626">
        <v>-423100</v>
      </c>
      <c r="G544" s="626">
        <v>398170</v>
      </c>
      <c r="H544" s="626"/>
      <c r="I544" s="627">
        <v>0</v>
      </c>
      <c r="J544" s="627">
        <v>800180</v>
      </c>
      <c r="K544" s="627">
        <v>0</v>
      </c>
      <c r="L544" s="626">
        <v>68773</v>
      </c>
      <c r="M544" s="626"/>
      <c r="N544" s="627">
        <v>93593</v>
      </c>
      <c r="O544" s="627">
        <v>913538</v>
      </c>
      <c r="P544" s="627">
        <v>0</v>
      </c>
      <c r="Q544" s="626">
        <v>0</v>
      </c>
      <c r="R544" s="626"/>
      <c r="S544" s="627">
        <v>181789</v>
      </c>
      <c r="T544" s="628">
        <v>18407</v>
      </c>
      <c r="U544" s="628">
        <v>200196</v>
      </c>
    </row>
    <row r="545" spans="1:21" x14ac:dyDescent="0.25">
      <c r="A545" s="623">
        <v>96031</v>
      </c>
      <c r="B545" s="624" t="s">
        <v>1683</v>
      </c>
      <c r="C545" s="625">
        <v>8.116E-4</v>
      </c>
      <c r="D545" s="625">
        <v>8.7100000000000003E-4</v>
      </c>
      <c r="E545" s="626">
        <v>271686</v>
      </c>
      <c r="F545" s="626">
        <v>-480721</v>
      </c>
      <c r="G545" s="626">
        <v>364241</v>
      </c>
      <c r="H545" s="626"/>
      <c r="I545" s="627">
        <v>0</v>
      </c>
      <c r="J545" s="627">
        <v>731995</v>
      </c>
      <c r="K545" s="627">
        <v>0</v>
      </c>
      <c r="L545" s="626">
        <v>0</v>
      </c>
      <c r="M545" s="626"/>
      <c r="N545" s="627">
        <v>85618</v>
      </c>
      <c r="O545" s="627">
        <v>835694</v>
      </c>
      <c r="P545" s="627">
        <v>0</v>
      </c>
      <c r="Q545" s="626">
        <v>146924</v>
      </c>
      <c r="R545" s="626"/>
      <c r="S545" s="627">
        <v>166298</v>
      </c>
      <c r="T545" s="628">
        <v>-42673</v>
      </c>
      <c r="U545" s="628">
        <v>123626</v>
      </c>
    </row>
    <row r="546" spans="1:21" x14ac:dyDescent="0.25">
      <c r="A546" s="623">
        <v>96041</v>
      </c>
      <c r="B546" s="624" t="s">
        <v>1684</v>
      </c>
      <c r="C546" s="625">
        <v>1.6793999999999999E-3</v>
      </c>
      <c r="D546" s="625">
        <v>1.6793000000000001E-3</v>
      </c>
      <c r="E546" s="626">
        <v>606806</v>
      </c>
      <c r="F546" s="626">
        <v>-926836</v>
      </c>
      <c r="G546" s="626">
        <v>753705</v>
      </c>
      <c r="H546" s="626"/>
      <c r="I546" s="627">
        <v>0</v>
      </c>
      <c r="J546" s="627">
        <v>1514678</v>
      </c>
      <c r="K546" s="627">
        <v>0</v>
      </c>
      <c r="L546" s="626">
        <v>0</v>
      </c>
      <c r="M546" s="626"/>
      <c r="N546" s="627">
        <v>177165</v>
      </c>
      <c r="O546" s="627">
        <v>1729256</v>
      </c>
      <c r="P546" s="627">
        <v>0</v>
      </c>
      <c r="Q546" s="626">
        <v>113428</v>
      </c>
      <c r="R546" s="626"/>
      <c r="S546" s="627">
        <v>344112</v>
      </c>
      <c r="T546" s="628">
        <v>-33399</v>
      </c>
      <c r="U546" s="628">
        <v>310713</v>
      </c>
    </row>
    <row r="547" spans="1:21" x14ac:dyDescent="0.25">
      <c r="A547" s="623">
        <v>96051</v>
      </c>
      <c r="B547" s="624" t="s">
        <v>1685</v>
      </c>
      <c r="C547" s="625">
        <v>1.0265999999999999E-3</v>
      </c>
      <c r="D547" s="625">
        <v>1.029E-3</v>
      </c>
      <c r="E547" s="626">
        <v>369455</v>
      </c>
      <c r="F547" s="626">
        <v>-567924</v>
      </c>
      <c r="G547" s="626">
        <v>460732</v>
      </c>
      <c r="H547" s="626"/>
      <c r="I547" s="627">
        <v>0</v>
      </c>
      <c r="J547" s="627">
        <v>925907</v>
      </c>
      <c r="K547" s="627">
        <v>0</v>
      </c>
      <c r="L547" s="626">
        <v>0</v>
      </c>
      <c r="M547" s="626"/>
      <c r="N547" s="627">
        <v>108299</v>
      </c>
      <c r="O547" s="627">
        <v>1057077</v>
      </c>
      <c r="P547" s="627">
        <v>0</v>
      </c>
      <c r="Q547" s="626">
        <v>74458</v>
      </c>
      <c r="R547" s="626"/>
      <c r="S547" s="627">
        <v>210352</v>
      </c>
      <c r="T547" s="628">
        <v>-21918</v>
      </c>
      <c r="U547" s="628">
        <v>188434</v>
      </c>
    </row>
    <row r="548" spans="1:21" x14ac:dyDescent="0.25">
      <c r="A548" s="623">
        <v>96061</v>
      </c>
      <c r="B548" s="624" t="s">
        <v>1686</v>
      </c>
      <c r="C548" s="625">
        <v>3.1809999999999998E-4</v>
      </c>
      <c r="D548" s="625">
        <v>3.057E-4</v>
      </c>
      <c r="E548" s="626">
        <v>122722</v>
      </c>
      <c r="F548" s="626">
        <v>-168721</v>
      </c>
      <c r="G548" s="626">
        <v>142761</v>
      </c>
      <c r="H548" s="626"/>
      <c r="I548" s="627">
        <v>0</v>
      </c>
      <c r="J548" s="627">
        <v>286899</v>
      </c>
      <c r="K548" s="627">
        <v>0</v>
      </c>
      <c r="L548" s="626">
        <v>3033</v>
      </c>
      <c r="M548" s="626"/>
      <c r="N548" s="627">
        <v>33557</v>
      </c>
      <c r="O548" s="627">
        <v>327543</v>
      </c>
      <c r="P548" s="627">
        <v>0</v>
      </c>
      <c r="Q548" s="626">
        <v>4822.87</v>
      </c>
      <c r="R548" s="626"/>
      <c r="S548" s="627">
        <v>65179</v>
      </c>
      <c r="T548" s="628">
        <v>-819</v>
      </c>
      <c r="U548" s="628">
        <v>64360</v>
      </c>
    </row>
    <row r="549" spans="1:21" x14ac:dyDescent="0.25">
      <c r="A549" s="623">
        <v>96071</v>
      </c>
      <c r="B549" s="624" t="s">
        <v>1687</v>
      </c>
      <c r="C549" s="625">
        <v>1.2979000000000001E-3</v>
      </c>
      <c r="D549" s="625">
        <v>1.1546E-3</v>
      </c>
      <c r="E549" s="626">
        <v>512928</v>
      </c>
      <c r="F549" s="626">
        <v>-637245</v>
      </c>
      <c r="G549" s="626">
        <v>582490</v>
      </c>
      <c r="H549" s="626"/>
      <c r="I549" s="627">
        <v>0</v>
      </c>
      <c r="J549" s="627">
        <v>1170597</v>
      </c>
      <c r="K549" s="627">
        <v>0</v>
      </c>
      <c r="L549" s="626">
        <v>87101</v>
      </c>
      <c r="M549" s="626"/>
      <c r="N549" s="627">
        <v>136919</v>
      </c>
      <c r="O549" s="627">
        <v>1336431</v>
      </c>
      <c r="P549" s="627">
        <v>0</v>
      </c>
      <c r="Q549" s="626">
        <v>31476</v>
      </c>
      <c r="R549" s="626"/>
      <c r="S549" s="627">
        <v>265942</v>
      </c>
      <c r="T549" s="628">
        <v>12274</v>
      </c>
      <c r="U549" s="628">
        <v>278217</v>
      </c>
    </row>
    <row r="550" spans="1:21" x14ac:dyDescent="0.25">
      <c r="A550" s="623">
        <v>96081</v>
      </c>
      <c r="B550" s="624" t="s">
        <v>1688</v>
      </c>
      <c r="C550" s="625">
        <v>4.3820000000000003E-4</v>
      </c>
      <c r="D550" s="625">
        <v>4.3780000000000002E-4</v>
      </c>
      <c r="E550" s="626">
        <v>167658</v>
      </c>
      <c r="F550" s="626">
        <v>-241630</v>
      </c>
      <c r="G550" s="626">
        <v>196662</v>
      </c>
      <c r="H550" s="626"/>
      <c r="I550" s="627">
        <v>0</v>
      </c>
      <c r="J550" s="627">
        <v>395220</v>
      </c>
      <c r="K550" s="627">
        <v>0</v>
      </c>
      <c r="L550" s="626">
        <v>18152.29</v>
      </c>
      <c r="M550" s="626"/>
      <c r="N550" s="627">
        <v>46227</v>
      </c>
      <c r="O550" s="627">
        <v>451209</v>
      </c>
      <c r="P550" s="627">
        <v>0</v>
      </c>
      <c r="Q550" s="626">
        <v>8636</v>
      </c>
      <c r="R550" s="626"/>
      <c r="S550" s="627">
        <v>89788</v>
      </c>
      <c r="T550" s="628">
        <v>3810</v>
      </c>
      <c r="U550" s="628">
        <v>93598</v>
      </c>
    </row>
    <row r="551" spans="1:21" x14ac:dyDescent="0.25">
      <c r="A551" s="623">
        <v>96101</v>
      </c>
      <c r="B551" s="624" t="s">
        <v>1689</v>
      </c>
      <c r="C551" s="625">
        <v>7.6990000000000001E-4</v>
      </c>
      <c r="D551" s="625">
        <v>7.4390000000000003E-4</v>
      </c>
      <c r="E551" s="626">
        <v>319810</v>
      </c>
      <c r="F551" s="626">
        <v>-410572</v>
      </c>
      <c r="G551" s="626">
        <v>345527</v>
      </c>
      <c r="H551" s="626"/>
      <c r="I551" s="627">
        <v>0</v>
      </c>
      <c r="J551" s="627">
        <v>694385</v>
      </c>
      <c r="K551" s="627">
        <v>0</v>
      </c>
      <c r="L551" s="626">
        <v>44144</v>
      </c>
      <c r="M551" s="626"/>
      <c r="N551" s="627">
        <v>81219</v>
      </c>
      <c r="O551" s="627">
        <v>792756</v>
      </c>
      <c r="P551" s="627">
        <v>0</v>
      </c>
      <c r="Q551" s="626">
        <v>0</v>
      </c>
      <c r="R551" s="626"/>
      <c r="S551" s="627">
        <v>157754</v>
      </c>
      <c r="T551" s="628">
        <v>13123</v>
      </c>
      <c r="U551" s="628">
        <v>170877</v>
      </c>
    </row>
    <row r="552" spans="1:21" x14ac:dyDescent="0.25">
      <c r="A552" s="623">
        <v>96102</v>
      </c>
      <c r="B552" s="624" t="s">
        <v>1690</v>
      </c>
      <c r="C552" s="625">
        <v>1.3699999999999999E-5</v>
      </c>
      <c r="D552" s="625">
        <v>1.5500000000000001E-5</v>
      </c>
      <c r="E552" s="626">
        <v>4681</v>
      </c>
      <c r="F552" s="626">
        <v>-8555</v>
      </c>
      <c r="G552" s="626">
        <v>6148</v>
      </c>
      <c r="H552" s="626"/>
      <c r="I552" s="627">
        <v>0</v>
      </c>
      <c r="J552" s="627">
        <v>12356</v>
      </c>
      <c r="K552" s="627">
        <v>0</v>
      </c>
      <c r="L552" s="626">
        <v>0</v>
      </c>
      <c r="M552" s="626"/>
      <c r="N552" s="627">
        <v>1445</v>
      </c>
      <c r="O552" s="627">
        <v>14107</v>
      </c>
      <c r="P552" s="627">
        <v>0</v>
      </c>
      <c r="Q552" s="626">
        <v>3275</v>
      </c>
      <c r="R552" s="626"/>
      <c r="S552" s="627">
        <v>2807</v>
      </c>
      <c r="T552" s="628">
        <v>-951</v>
      </c>
      <c r="U552" s="628">
        <v>1856</v>
      </c>
    </row>
    <row r="553" spans="1:21" x14ac:dyDescent="0.25">
      <c r="A553" s="623">
        <v>96111</v>
      </c>
      <c r="B553" s="624" t="s">
        <v>1691</v>
      </c>
      <c r="C553" s="625">
        <v>1.616E-4</v>
      </c>
      <c r="D553" s="625">
        <v>1.6699999999999999E-4</v>
      </c>
      <c r="E553" s="626">
        <v>74225</v>
      </c>
      <c r="F553" s="626">
        <v>-92170</v>
      </c>
      <c r="G553" s="626">
        <v>72525</v>
      </c>
      <c r="H553" s="626"/>
      <c r="I553" s="627">
        <v>0</v>
      </c>
      <c r="J553" s="627">
        <v>145750</v>
      </c>
      <c r="K553" s="627">
        <v>0</v>
      </c>
      <c r="L553" s="626">
        <v>19326</v>
      </c>
      <c r="M553" s="626"/>
      <c r="N553" s="627">
        <v>17048</v>
      </c>
      <c r="O553" s="627">
        <v>166397</v>
      </c>
      <c r="P553" s="627">
        <v>0</v>
      </c>
      <c r="Q553" s="626">
        <v>0</v>
      </c>
      <c r="R553" s="626"/>
      <c r="S553" s="627">
        <v>33112</v>
      </c>
      <c r="T553" s="628">
        <v>6264</v>
      </c>
      <c r="U553" s="628">
        <v>39376</v>
      </c>
    </row>
    <row r="554" spans="1:21" x14ac:dyDescent="0.25">
      <c r="A554" s="623">
        <v>96121</v>
      </c>
      <c r="B554" s="624" t="s">
        <v>1692</v>
      </c>
      <c r="C554" s="625">
        <v>1.9199999999999999E-5</v>
      </c>
      <c r="D554" s="625">
        <v>2.02E-5</v>
      </c>
      <c r="E554" s="626">
        <v>8009</v>
      </c>
      <c r="F554" s="626">
        <v>-11149</v>
      </c>
      <c r="G554" s="626">
        <v>8617</v>
      </c>
      <c r="H554" s="626"/>
      <c r="I554" s="627">
        <v>0</v>
      </c>
      <c r="J554" s="627">
        <v>17317</v>
      </c>
      <c r="K554" s="627">
        <v>0</v>
      </c>
      <c r="L554" s="626">
        <v>0</v>
      </c>
      <c r="M554" s="626"/>
      <c r="N554" s="627">
        <v>2025</v>
      </c>
      <c r="O554" s="627">
        <v>19770</v>
      </c>
      <c r="P554" s="627">
        <v>0</v>
      </c>
      <c r="Q554" s="626">
        <v>2804</v>
      </c>
      <c r="R554" s="626"/>
      <c r="S554" s="627">
        <v>3934</v>
      </c>
      <c r="T554" s="628">
        <v>-896</v>
      </c>
      <c r="U554" s="628">
        <v>3038</v>
      </c>
    </row>
    <row r="555" spans="1:21" x14ac:dyDescent="0.25">
      <c r="A555" s="623">
        <v>96201</v>
      </c>
      <c r="B555" s="624" t="s">
        <v>1693</v>
      </c>
      <c r="C555" s="625">
        <v>1.2474000000000001E-3</v>
      </c>
      <c r="D555" s="625">
        <v>1.2522E-3</v>
      </c>
      <c r="E555" s="626">
        <v>502072</v>
      </c>
      <c r="F555" s="626">
        <v>-691112</v>
      </c>
      <c r="G555" s="626">
        <v>559826</v>
      </c>
      <c r="H555" s="626"/>
      <c r="I555" s="627">
        <v>0</v>
      </c>
      <c r="J555" s="627">
        <v>1125050</v>
      </c>
      <c r="K555" s="627">
        <v>0</v>
      </c>
      <c r="L555" s="626">
        <v>0</v>
      </c>
      <c r="M555" s="626"/>
      <c r="N555" s="627">
        <v>131592</v>
      </c>
      <c r="O555" s="627">
        <v>1284432</v>
      </c>
      <c r="P555" s="627">
        <v>0</v>
      </c>
      <c r="Q555" s="626">
        <v>15240</v>
      </c>
      <c r="R555" s="626"/>
      <c r="S555" s="627">
        <v>255595</v>
      </c>
      <c r="T555" s="628">
        <v>-4436</v>
      </c>
      <c r="U555" s="628">
        <v>251158</v>
      </c>
    </row>
    <row r="556" spans="1:21" x14ac:dyDescent="0.25">
      <c r="A556" s="623">
        <v>96204</v>
      </c>
      <c r="B556" s="624" t="s">
        <v>1694</v>
      </c>
      <c r="C556" s="625">
        <v>1.49E-5</v>
      </c>
      <c r="D556" s="625">
        <v>1.4100000000000001E-5</v>
      </c>
      <c r="E556" s="626">
        <v>7950</v>
      </c>
      <c r="F556" s="626">
        <v>-7782</v>
      </c>
      <c r="G556" s="626">
        <v>6687</v>
      </c>
      <c r="H556" s="626"/>
      <c r="I556" s="627">
        <v>0</v>
      </c>
      <c r="J556" s="627">
        <v>13439</v>
      </c>
      <c r="K556" s="627">
        <v>0</v>
      </c>
      <c r="L556" s="626">
        <v>3580</v>
      </c>
      <c r="M556" s="626"/>
      <c r="N556" s="627">
        <v>1572</v>
      </c>
      <c r="O556" s="627">
        <v>15342</v>
      </c>
      <c r="P556" s="627">
        <v>0</v>
      </c>
      <c r="Q556" s="626">
        <v>0</v>
      </c>
      <c r="R556" s="626"/>
      <c r="S556" s="627">
        <v>3053</v>
      </c>
      <c r="T556" s="628">
        <v>1049</v>
      </c>
      <c r="U556" s="628">
        <v>4102</v>
      </c>
    </row>
    <row r="557" spans="1:21" x14ac:dyDescent="0.25">
      <c r="A557" s="623">
        <v>96211</v>
      </c>
      <c r="B557" s="624" t="s">
        <v>1695</v>
      </c>
      <c r="C557" s="625">
        <v>2.7399999999999999E-5</v>
      </c>
      <c r="D557" s="625">
        <v>2.4700000000000001E-5</v>
      </c>
      <c r="E557" s="626">
        <v>13099</v>
      </c>
      <c r="F557" s="626">
        <v>-13632</v>
      </c>
      <c r="G557" s="626">
        <v>12297</v>
      </c>
      <c r="H557" s="626"/>
      <c r="I557" s="627">
        <v>0</v>
      </c>
      <c r="J557" s="627">
        <v>24712</v>
      </c>
      <c r="K557" s="627">
        <v>0</v>
      </c>
      <c r="L557" s="626">
        <v>3410</v>
      </c>
      <c r="M557" s="626"/>
      <c r="N557" s="627">
        <v>2891</v>
      </c>
      <c r="O557" s="627">
        <v>28213</v>
      </c>
      <c r="P557" s="627">
        <v>0</v>
      </c>
      <c r="Q557" s="626">
        <v>13475.93</v>
      </c>
      <c r="R557" s="626"/>
      <c r="S557" s="627">
        <v>5614</v>
      </c>
      <c r="T557" s="628">
        <v>-3614</v>
      </c>
      <c r="U557" s="628">
        <v>2000</v>
      </c>
    </row>
    <row r="558" spans="1:21" x14ac:dyDescent="0.25">
      <c r="A558" s="623">
        <v>96221</v>
      </c>
      <c r="B558" s="624" t="s">
        <v>1696</v>
      </c>
      <c r="C558" s="625">
        <v>2.3719999999999999E-4</v>
      </c>
      <c r="D558" s="625">
        <v>2.474E-4</v>
      </c>
      <c r="E558" s="626">
        <v>93411</v>
      </c>
      <c r="F558" s="626">
        <v>-136545</v>
      </c>
      <c r="G558" s="626">
        <v>106454</v>
      </c>
      <c r="H558" s="626"/>
      <c r="I558" s="627">
        <v>0</v>
      </c>
      <c r="J558" s="627">
        <v>213934</v>
      </c>
      <c r="K558" s="627">
        <v>0</v>
      </c>
      <c r="L558" s="626">
        <v>7367</v>
      </c>
      <c r="M558" s="626"/>
      <c r="N558" s="627">
        <v>25023</v>
      </c>
      <c r="O558" s="627">
        <v>244242</v>
      </c>
      <c r="P558" s="627">
        <v>0</v>
      </c>
      <c r="Q558" s="626">
        <v>9879</v>
      </c>
      <c r="R558" s="626"/>
      <c r="S558" s="627">
        <v>48603</v>
      </c>
      <c r="T558" s="628">
        <v>-122</v>
      </c>
      <c r="U558" s="628">
        <v>48481</v>
      </c>
    </row>
    <row r="559" spans="1:21" x14ac:dyDescent="0.25">
      <c r="A559" s="623">
        <v>96231</v>
      </c>
      <c r="B559" s="624" t="s">
        <v>1697</v>
      </c>
      <c r="C559" s="625">
        <v>1.2420000000000001E-4</v>
      </c>
      <c r="D559" s="625">
        <v>1.3109999999999999E-4</v>
      </c>
      <c r="E559" s="626">
        <v>43891</v>
      </c>
      <c r="F559" s="626">
        <v>-72356</v>
      </c>
      <c r="G559" s="626">
        <v>55740</v>
      </c>
      <c r="H559" s="626"/>
      <c r="I559" s="627">
        <v>0</v>
      </c>
      <c r="J559" s="627">
        <v>112018</v>
      </c>
      <c r="K559" s="627">
        <v>0</v>
      </c>
      <c r="L559" s="626">
        <v>0</v>
      </c>
      <c r="M559" s="626"/>
      <c r="N559" s="627">
        <v>13102</v>
      </c>
      <c r="O559" s="627">
        <v>127887</v>
      </c>
      <c r="P559" s="627">
        <v>0</v>
      </c>
      <c r="Q559" s="626">
        <v>17230</v>
      </c>
      <c r="R559" s="626"/>
      <c r="S559" s="627">
        <v>25449</v>
      </c>
      <c r="T559" s="628">
        <v>-5018</v>
      </c>
      <c r="U559" s="628">
        <v>20431</v>
      </c>
    </row>
    <row r="560" spans="1:21" x14ac:dyDescent="0.25">
      <c r="A560" s="623">
        <v>96241</v>
      </c>
      <c r="B560" s="624" t="s">
        <v>1698</v>
      </c>
      <c r="C560" s="625">
        <v>5.7000000000000003E-5</v>
      </c>
      <c r="D560" s="625">
        <v>5.5000000000000002E-5</v>
      </c>
      <c r="E560" s="626">
        <v>24238</v>
      </c>
      <c r="F560" s="626">
        <v>-30355.49</v>
      </c>
      <c r="G560" s="626">
        <v>25581</v>
      </c>
      <c r="H560" s="626"/>
      <c r="I560" s="627">
        <v>0</v>
      </c>
      <c r="J560" s="627">
        <v>51409</v>
      </c>
      <c r="K560" s="627">
        <v>0</v>
      </c>
      <c r="L560" s="626">
        <v>11582</v>
      </c>
      <c r="M560" s="626"/>
      <c r="N560" s="627">
        <v>6013</v>
      </c>
      <c r="O560" s="627">
        <v>58692</v>
      </c>
      <c r="P560" s="627">
        <v>0</v>
      </c>
      <c r="Q560" s="626">
        <v>0</v>
      </c>
      <c r="R560" s="626"/>
      <c r="S560" s="627">
        <v>11679</v>
      </c>
      <c r="T560" s="628">
        <v>3716</v>
      </c>
      <c r="U560" s="628">
        <v>15395</v>
      </c>
    </row>
    <row r="561" spans="1:21" x14ac:dyDescent="0.25">
      <c r="A561" s="623">
        <v>96251</v>
      </c>
      <c r="B561" s="624" t="s">
        <v>1699</v>
      </c>
      <c r="C561" s="625">
        <v>9.0699999999999996E-5</v>
      </c>
      <c r="D561" s="625">
        <v>1.127E-4</v>
      </c>
      <c r="E561" s="626">
        <v>34062</v>
      </c>
      <c r="F561" s="626">
        <v>-62201</v>
      </c>
      <c r="G561" s="626">
        <v>40706</v>
      </c>
      <c r="H561" s="626"/>
      <c r="I561" s="627">
        <v>0</v>
      </c>
      <c r="J561" s="627">
        <v>81804</v>
      </c>
      <c r="K561" s="627">
        <v>0</v>
      </c>
      <c r="L561" s="626">
        <v>0</v>
      </c>
      <c r="M561" s="626"/>
      <c r="N561" s="627">
        <v>9568</v>
      </c>
      <c r="O561" s="627">
        <v>93393</v>
      </c>
      <c r="P561" s="627">
        <v>0</v>
      </c>
      <c r="Q561" s="626">
        <v>22611</v>
      </c>
      <c r="R561" s="626"/>
      <c r="S561" s="627">
        <v>18585</v>
      </c>
      <c r="T561" s="628">
        <v>-6269</v>
      </c>
      <c r="U561" s="628">
        <v>12315</v>
      </c>
    </row>
    <row r="562" spans="1:21" x14ac:dyDescent="0.25">
      <c r="A562" s="623">
        <v>96301</v>
      </c>
      <c r="B562" s="624" t="s">
        <v>1700</v>
      </c>
      <c r="C562" s="625">
        <v>4.5367999999999997E-3</v>
      </c>
      <c r="D562" s="625">
        <v>4.3090000000000003E-3</v>
      </c>
      <c r="E562" s="626">
        <v>1811574</v>
      </c>
      <c r="F562" s="626">
        <v>-2378215</v>
      </c>
      <c r="G562" s="626">
        <v>2036089</v>
      </c>
      <c r="H562" s="626"/>
      <c r="I562" s="627">
        <v>0</v>
      </c>
      <c r="J562" s="627">
        <v>4091813</v>
      </c>
      <c r="K562" s="627">
        <v>0</v>
      </c>
      <c r="L562" s="626">
        <v>127584</v>
      </c>
      <c r="M562" s="626"/>
      <c r="N562" s="627">
        <v>478601</v>
      </c>
      <c r="O562" s="627">
        <v>4671484</v>
      </c>
      <c r="P562" s="627">
        <v>0</v>
      </c>
      <c r="Q562" s="626">
        <v>50322</v>
      </c>
      <c r="R562" s="626"/>
      <c r="S562" s="627">
        <v>929599</v>
      </c>
      <c r="T562" s="628">
        <v>16569</v>
      </c>
      <c r="U562" s="628">
        <v>946168</v>
      </c>
    </row>
    <row r="563" spans="1:21" x14ac:dyDescent="0.25">
      <c r="A563" s="623">
        <v>96302</v>
      </c>
      <c r="B563" s="624" t="s">
        <v>1701</v>
      </c>
      <c r="C563" s="625">
        <v>1.42E-5</v>
      </c>
      <c r="D563" s="625">
        <v>1.2799999999999999E-5</v>
      </c>
      <c r="E563" s="626">
        <v>8086</v>
      </c>
      <c r="F563" s="626">
        <v>-7065</v>
      </c>
      <c r="G563" s="626">
        <v>6373</v>
      </c>
      <c r="H563" s="626"/>
      <c r="I563" s="627">
        <v>0</v>
      </c>
      <c r="J563" s="627">
        <v>12807</v>
      </c>
      <c r="K563" s="627">
        <v>0</v>
      </c>
      <c r="L563" s="626">
        <v>3813</v>
      </c>
      <c r="M563" s="626"/>
      <c r="N563" s="627">
        <v>1498</v>
      </c>
      <c r="O563" s="627">
        <v>14622</v>
      </c>
      <c r="P563" s="627">
        <v>0</v>
      </c>
      <c r="Q563" s="626">
        <v>0</v>
      </c>
      <c r="R563" s="626"/>
      <c r="S563" s="627">
        <v>2910</v>
      </c>
      <c r="T563" s="628">
        <v>1072</v>
      </c>
      <c r="U563" s="628">
        <v>3982</v>
      </c>
    </row>
    <row r="564" spans="1:21" x14ac:dyDescent="0.25">
      <c r="A564" s="623">
        <v>96304</v>
      </c>
      <c r="B564" s="624" t="s">
        <v>1702</v>
      </c>
      <c r="C564" s="625">
        <v>5.24E-5</v>
      </c>
      <c r="D564" s="625">
        <v>4.8999999999999998E-5</v>
      </c>
      <c r="E564" s="626">
        <v>25444</v>
      </c>
      <c r="F564" s="626">
        <v>-27044</v>
      </c>
      <c r="G564" s="626">
        <v>23517</v>
      </c>
      <c r="H564" s="626"/>
      <c r="I564" s="627">
        <v>0</v>
      </c>
      <c r="J564" s="627">
        <v>47260</v>
      </c>
      <c r="K564" s="627">
        <v>0</v>
      </c>
      <c r="L564" s="626">
        <v>5596</v>
      </c>
      <c r="M564" s="626"/>
      <c r="N564" s="627">
        <v>5528</v>
      </c>
      <c r="O564" s="627">
        <v>53956</v>
      </c>
      <c r="P564" s="627">
        <v>0</v>
      </c>
      <c r="Q564" s="626">
        <v>347</v>
      </c>
      <c r="R564" s="626"/>
      <c r="S564" s="627">
        <v>10737</v>
      </c>
      <c r="T564" s="628">
        <v>1349</v>
      </c>
      <c r="U564" s="628">
        <v>12086</v>
      </c>
    </row>
    <row r="565" spans="1:21" x14ac:dyDescent="0.25">
      <c r="A565" s="623">
        <v>96305</v>
      </c>
      <c r="B565" s="624" t="s">
        <v>1703</v>
      </c>
      <c r="C565" s="625">
        <v>5.0399999999999999E-5</v>
      </c>
      <c r="D565" s="625">
        <v>4.8699999999999998E-5</v>
      </c>
      <c r="E565" s="626">
        <v>27665</v>
      </c>
      <c r="F565" s="626">
        <v>-26878</v>
      </c>
      <c r="G565" s="626">
        <v>22619</v>
      </c>
      <c r="H565" s="626"/>
      <c r="I565" s="627">
        <v>0</v>
      </c>
      <c r="J565" s="627">
        <v>45457</v>
      </c>
      <c r="K565" s="627">
        <v>0</v>
      </c>
      <c r="L565" s="626">
        <v>6951</v>
      </c>
      <c r="M565" s="626"/>
      <c r="N565" s="627">
        <v>5317</v>
      </c>
      <c r="O565" s="627">
        <v>51896</v>
      </c>
      <c r="P565" s="627">
        <v>0</v>
      </c>
      <c r="Q565" s="626">
        <v>0</v>
      </c>
      <c r="R565" s="626"/>
      <c r="S565" s="627">
        <v>10327</v>
      </c>
      <c r="T565" s="628">
        <v>1830</v>
      </c>
      <c r="U565" s="628">
        <v>12157</v>
      </c>
    </row>
    <row r="566" spans="1:21" x14ac:dyDescent="0.25">
      <c r="A566" s="623">
        <v>96310</v>
      </c>
      <c r="B566" s="624" t="s">
        <v>1704</v>
      </c>
      <c r="C566" s="625">
        <v>6.1299999999999999E-5</v>
      </c>
      <c r="D566" s="625">
        <v>6.0099999999999997E-5</v>
      </c>
      <c r="E566" s="626">
        <v>27132</v>
      </c>
      <c r="F566" s="626">
        <v>-33170</v>
      </c>
      <c r="G566" s="626">
        <v>27511</v>
      </c>
      <c r="H566" s="626"/>
      <c r="I566" s="627">
        <v>0</v>
      </c>
      <c r="J566" s="627">
        <v>55287</v>
      </c>
      <c r="K566" s="627">
        <v>0</v>
      </c>
      <c r="L566" s="626">
        <v>8825</v>
      </c>
      <c r="M566" s="626"/>
      <c r="N566" s="627">
        <v>6467</v>
      </c>
      <c r="O566" s="627">
        <v>63120</v>
      </c>
      <c r="P566" s="627">
        <v>0</v>
      </c>
      <c r="Q566" s="626">
        <v>0</v>
      </c>
      <c r="R566" s="626"/>
      <c r="S566" s="627">
        <v>12560</v>
      </c>
      <c r="T566" s="628">
        <v>2769</v>
      </c>
      <c r="U566" s="628">
        <v>15330</v>
      </c>
    </row>
    <row r="567" spans="1:21" x14ac:dyDescent="0.25">
      <c r="A567" s="623">
        <v>96311</v>
      </c>
      <c r="B567" s="624" t="s">
        <v>1705</v>
      </c>
      <c r="C567" s="625">
        <v>1.4383E-3</v>
      </c>
      <c r="D567" s="625">
        <v>1.42E-3</v>
      </c>
      <c r="E567" s="626">
        <v>524962</v>
      </c>
      <c r="F567" s="626">
        <v>-783723.56</v>
      </c>
      <c r="G567" s="626">
        <v>645500</v>
      </c>
      <c r="H567" s="626"/>
      <c r="I567" s="627">
        <v>0</v>
      </c>
      <c r="J567" s="627">
        <v>1297226</v>
      </c>
      <c r="K567" s="627">
        <v>0</v>
      </c>
      <c r="L567" s="626">
        <v>33347.47</v>
      </c>
      <c r="M567" s="626"/>
      <c r="N567" s="627">
        <v>151731</v>
      </c>
      <c r="O567" s="627">
        <v>1480999</v>
      </c>
      <c r="P567" s="627">
        <v>0</v>
      </c>
      <c r="Q567" s="626">
        <v>36509</v>
      </c>
      <c r="R567" s="626"/>
      <c r="S567" s="627">
        <v>294711</v>
      </c>
      <c r="T567" s="628">
        <v>1596</v>
      </c>
      <c r="U567" s="628">
        <v>296306</v>
      </c>
    </row>
    <row r="568" spans="1:21" x14ac:dyDescent="0.25">
      <c r="A568" s="623">
        <v>96312</v>
      </c>
      <c r="B568" s="624" t="s">
        <v>1706</v>
      </c>
      <c r="C568" s="625">
        <v>4.7999999999999998E-6</v>
      </c>
      <c r="D568" s="625">
        <v>6.7000000000000002E-6</v>
      </c>
      <c r="E568" s="626">
        <v>3730</v>
      </c>
      <c r="F568" s="626">
        <v>-3698</v>
      </c>
      <c r="G568" s="626">
        <v>2154</v>
      </c>
      <c r="H568" s="626"/>
      <c r="I568" s="627">
        <v>0</v>
      </c>
      <c r="J568" s="627">
        <v>4329</v>
      </c>
      <c r="K568" s="627">
        <v>0</v>
      </c>
      <c r="L568" s="626">
        <v>70</v>
      </c>
      <c r="M568" s="626"/>
      <c r="N568" s="627">
        <v>506</v>
      </c>
      <c r="O568" s="627">
        <v>4942</v>
      </c>
      <c r="P568" s="627">
        <v>0</v>
      </c>
      <c r="Q568" s="626">
        <v>4120.22</v>
      </c>
      <c r="R568" s="626"/>
      <c r="S568" s="627">
        <v>984</v>
      </c>
      <c r="T568" s="628">
        <v>-1360</v>
      </c>
      <c r="U568" s="628">
        <v>-376</v>
      </c>
    </row>
    <row r="569" spans="1:21" x14ac:dyDescent="0.25">
      <c r="A569" s="623">
        <v>96321</v>
      </c>
      <c r="B569" s="624" t="s">
        <v>1707</v>
      </c>
      <c r="C569" s="625">
        <v>3.9700000000000003E-5</v>
      </c>
      <c r="D569" s="625">
        <v>3.4999999999999997E-5</v>
      </c>
      <c r="E569" s="626">
        <v>13477</v>
      </c>
      <c r="F569" s="626">
        <v>-19317</v>
      </c>
      <c r="G569" s="626">
        <v>17817</v>
      </c>
      <c r="H569" s="626"/>
      <c r="I569" s="627">
        <v>0</v>
      </c>
      <c r="J569" s="627">
        <v>35806</v>
      </c>
      <c r="K569" s="627">
        <v>0</v>
      </c>
      <c r="L569" s="626">
        <v>1133</v>
      </c>
      <c r="M569" s="626"/>
      <c r="N569" s="627">
        <v>4188</v>
      </c>
      <c r="O569" s="627">
        <v>40879</v>
      </c>
      <c r="P569" s="627">
        <v>0</v>
      </c>
      <c r="Q569" s="626">
        <v>936</v>
      </c>
      <c r="R569" s="626"/>
      <c r="S569" s="627">
        <v>8135</v>
      </c>
      <c r="T569" s="628">
        <v>-16</v>
      </c>
      <c r="U569" s="628">
        <v>8118</v>
      </c>
    </row>
    <row r="570" spans="1:21" x14ac:dyDescent="0.25">
      <c r="A570" s="623">
        <v>96331</v>
      </c>
      <c r="B570" s="624" t="s">
        <v>1708</v>
      </c>
      <c r="C570" s="625">
        <v>7.6110000000000001E-4</v>
      </c>
      <c r="D570" s="625">
        <v>7.138E-4</v>
      </c>
      <c r="E570" s="626">
        <v>277090</v>
      </c>
      <c r="F570" s="626">
        <v>-393959</v>
      </c>
      <c r="G570" s="626">
        <v>341577</v>
      </c>
      <c r="H570" s="626"/>
      <c r="I570" s="627">
        <v>0</v>
      </c>
      <c r="J570" s="627">
        <v>686448</v>
      </c>
      <c r="K570" s="627">
        <v>0</v>
      </c>
      <c r="L570" s="626">
        <v>6521</v>
      </c>
      <c r="M570" s="626"/>
      <c r="N570" s="627">
        <v>80291</v>
      </c>
      <c r="O570" s="627">
        <v>783695</v>
      </c>
      <c r="P570" s="627">
        <v>0</v>
      </c>
      <c r="Q570" s="626">
        <v>28384</v>
      </c>
      <c r="R570" s="626"/>
      <c r="S570" s="627">
        <v>155951</v>
      </c>
      <c r="T570" s="628">
        <v>-7786</v>
      </c>
      <c r="U570" s="628">
        <v>148165</v>
      </c>
    </row>
    <row r="571" spans="1:21" x14ac:dyDescent="0.25">
      <c r="A571" s="623">
        <v>96341</v>
      </c>
      <c r="B571" s="624" t="s">
        <v>1709</v>
      </c>
      <c r="C571" s="625">
        <v>8.0799999999999999E-5</v>
      </c>
      <c r="D571" s="625">
        <v>6.2199999999999994E-5</v>
      </c>
      <c r="E571" s="626">
        <v>36228</v>
      </c>
      <c r="F571" s="626">
        <v>-34329</v>
      </c>
      <c r="G571" s="626">
        <v>36263</v>
      </c>
      <c r="H571" s="626"/>
      <c r="I571" s="627">
        <v>0</v>
      </c>
      <c r="J571" s="627">
        <v>72875</v>
      </c>
      <c r="K571" s="627">
        <v>0</v>
      </c>
      <c r="L571" s="626">
        <v>15619</v>
      </c>
      <c r="M571" s="626"/>
      <c r="N571" s="627">
        <v>8524</v>
      </c>
      <c r="O571" s="627">
        <v>83199</v>
      </c>
      <c r="P571" s="627">
        <v>0</v>
      </c>
      <c r="Q571" s="626">
        <v>16810</v>
      </c>
      <c r="R571" s="626"/>
      <c r="S571" s="627">
        <v>16556</v>
      </c>
      <c r="T571" s="628">
        <v>-1533</v>
      </c>
      <c r="U571" s="628">
        <v>15023</v>
      </c>
    </row>
    <row r="572" spans="1:21" x14ac:dyDescent="0.25">
      <c r="A572" s="623">
        <v>96351</v>
      </c>
      <c r="B572" s="624" t="s">
        <v>1710</v>
      </c>
      <c r="C572" s="625">
        <v>1.0939999999999999E-3</v>
      </c>
      <c r="D572" s="625">
        <v>1.0826E-3</v>
      </c>
      <c r="E572" s="626">
        <v>444788</v>
      </c>
      <c r="F572" s="626">
        <v>-597506</v>
      </c>
      <c r="G572" s="626">
        <v>490981</v>
      </c>
      <c r="H572" s="626"/>
      <c r="I572" s="627">
        <v>0</v>
      </c>
      <c r="J572" s="627">
        <v>986696</v>
      </c>
      <c r="K572" s="627">
        <v>0</v>
      </c>
      <c r="L572" s="626">
        <v>13512</v>
      </c>
      <c r="M572" s="626"/>
      <c r="N572" s="627">
        <v>115409</v>
      </c>
      <c r="O572" s="627">
        <v>1126478</v>
      </c>
      <c r="P572" s="627">
        <v>0</v>
      </c>
      <c r="Q572" s="626">
        <v>0</v>
      </c>
      <c r="R572" s="626"/>
      <c r="S572" s="627">
        <v>224163</v>
      </c>
      <c r="T572" s="628">
        <v>4046</v>
      </c>
      <c r="U572" s="628">
        <v>228208</v>
      </c>
    </row>
    <row r="573" spans="1:21" x14ac:dyDescent="0.25">
      <c r="A573" s="623">
        <v>96361</v>
      </c>
      <c r="B573" s="624" t="s">
        <v>1711</v>
      </c>
      <c r="C573" s="625">
        <v>4.8999999999999998E-5</v>
      </c>
      <c r="D573" s="625">
        <v>4.9499999999999997E-5</v>
      </c>
      <c r="E573" s="626">
        <v>19782</v>
      </c>
      <c r="F573" s="626">
        <v>-27320</v>
      </c>
      <c r="G573" s="626">
        <v>21991</v>
      </c>
      <c r="H573" s="626"/>
      <c r="I573" s="627">
        <v>0</v>
      </c>
      <c r="J573" s="627">
        <v>44194</v>
      </c>
      <c r="K573" s="627">
        <v>0</v>
      </c>
      <c r="L573" s="626">
        <v>3094.65</v>
      </c>
      <c r="M573" s="626"/>
      <c r="N573" s="627">
        <v>5169</v>
      </c>
      <c r="O573" s="627">
        <v>50455</v>
      </c>
      <c r="P573" s="627">
        <v>0</v>
      </c>
      <c r="Q573" s="626">
        <v>528</v>
      </c>
      <c r="R573" s="626"/>
      <c r="S573" s="627">
        <v>10040</v>
      </c>
      <c r="T573" s="628">
        <v>897</v>
      </c>
      <c r="U573" s="628">
        <v>10937</v>
      </c>
    </row>
    <row r="574" spans="1:21" x14ac:dyDescent="0.25">
      <c r="A574" s="623">
        <v>96371</v>
      </c>
      <c r="B574" s="624" t="s">
        <v>1712</v>
      </c>
      <c r="C574" s="625">
        <v>1.6760000000000001E-4</v>
      </c>
      <c r="D574" s="625">
        <v>1.652E-4</v>
      </c>
      <c r="E574" s="626">
        <v>63222</v>
      </c>
      <c r="F574" s="626">
        <v>-91177</v>
      </c>
      <c r="G574" s="626">
        <v>75218</v>
      </c>
      <c r="H574" s="626"/>
      <c r="I574" s="627">
        <v>0</v>
      </c>
      <c r="J574" s="627">
        <v>151161</v>
      </c>
      <c r="K574" s="627">
        <v>0</v>
      </c>
      <c r="L574" s="626">
        <v>4031</v>
      </c>
      <c r="M574" s="626"/>
      <c r="N574" s="627">
        <v>17681</v>
      </c>
      <c r="O574" s="627">
        <v>172576</v>
      </c>
      <c r="P574" s="627">
        <v>0</v>
      </c>
      <c r="Q574" s="626">
        <v>2442</v>
      </c>
      <c r="R574" s="626"/>
      <c r="S574" s="627">
        <v>34342</v>
      </c>
      <c r="T574" s="628">
        <v>709</v>
      </c>
      <c r="U574" s="628">
        <v>35050</v>
      </c>
    </row>
    <row r="575" spans="1:21" x14ac:dyDescent="0.25">
      <c r="A575" s="623">
        <v>96381</v>
      </c>
      <c r="B575" s="624" t="s">
        <v>1713</v>
      </c>
      <c r="C575" s="625">
        <v>2.9600000000000001E-5</v>
      </c>
      <c r="D575" s="625">
        <v>3.4700000000000003E-5</v>
      </c>
      <c r="E575" s="626">
        <v>12883</v>
      </c>
      <c r="F575" s="626">
        <v>-19152</v>
      </c>
      <c r="G575" s="626">
        <v>13284</v>
      </c>
      <c r="H575" s="626"/>
      <c r="I575" s="627">
        <v>0</v>
      </c>
      <c r="J575" s="627">
        <v>26697</v>
      </c>
      <c r="K575" s="627">
        <v>0</v>
      </c>
      <c r="L575" s="626">
        <v>0</v>
      </c>
      <c r="M575" s="626"/>
      <c r="N575" s="627">
        <v>3123</v>
      </c>
      <c r="O575" s="627">
        <v>30479</v>
      </c>
      <c r="P575" s="627">
        <v>0</v>
      </c>
      <c r="Q575" s="626">
        <v>4319</v>
      </c>
      <c r="R575" s="626"/>
      <c r="S575" s="627">
        <v>6065</v>
      </c>
      <c r="T575" s="628">
        <v>-1230</v>
      </c>
      <c r="U575" s="628">
        <v>4835</v>
      </c>
    </row>
    <row r="576" spans="1:21" x14ac:dyDescent="0.25">
      <c r="A576" s="623">
        <v>96391</v>
      </c>
      <c r="B576" s="624" t="s">
        <v>1714</v>
      </c>
      <c r="C576" s="625">
        <v>1.9450000000000001E-4</v>
      </c>
      <c r="D576" s="625">
        <v>1.9680000000000001E-4</v>
      </c>
      <c r="E576" s="626">
        <v>60801</v>
      </c>
      <c r="F576" s="626">
        <v>-108617</v>
      </c>
      <c r="G576" s="626">
        <v>87290</v>
      </c>
      <c r="H576" s="626"/>
      <c r="I576" s="627">
        <v>0</v>
      </c>
      <c r="J576" s="627">
        <v>175423</v>
      </c>
      <c r="K576" s="627">
        <v>0</v>
      </c>
      <c r="L576" s="626">
        <v>29690.7</v>
      </c>
      <c r="M576" s="626"/>
      <c r="N576" s="627">
        <v>20518</v>
      </c>
      <c r="O576" s="627">
        <v>200274</v>
      </c>
      <c r="P576" s="627">
        <v>0</v>
      </c>
      <c r="Q576" s="626">
        <v>16363</v>
      </c>
      <c r="R576" s="626"/>
      <c r="S576" s="627">
        <v>39853</v>
      </c>
      <c r="T576" s="628">
        <v>5646</v>
      </c>
      <c r="U576" s="628">
        <v>45500</v>
      </c>
    </row>
    <row r="577" spans="1:21" x14ac:dyDescent="0.25">
      <c r="A577" s="623">
        <v>96401</v>
      </c>
      <c r="B577" s="624" t="s">
        <v>1715</v>
      </c>
      <c r="C577" s="625">
        <v>4.5434999999999998E-3</v>
      </c>
      <c r="D577" s="625">
        <v>4.6289E-3</v>
      </c>
      <c r="E577" s="626">
        <v>1894272</v>
      </c>
      <c r="F577" s="626">
        <v>-2554773</v>
      </c>
      <c r="G577" s="626">
        <v>2039096</v>
      </c>
      <c r="H577" s="626"/>
      <c r="I577" s="627">
        <v>0</v>
      </c>
      <c r="J577" s="627">
        <v>4097855</v>
      </c>
      <c r="K577" s="627">
        <v>0</v>
      </c>
      <c r="L577" s="626">
        <v>47927</v>
      </c>
      <c r="M577" s="626"/>
      <c r="N577" s="627">
        <v>479307</v>
      </c>
      <c r="O577" s="627">
        <v>4678383</v>
      </c>
      <c r="P577" s="627">
        <v>0</v>
      </c>
      <c r="Q577" s="626">
        <v>28827</v>
      </c>
      <c r="R577" s="626"/>
      <c r="S577" s="627">
        <v>930972</v>
      </c>
      <c r="T577" s="628">
        <v>8483</v>
      </c>
      <c r="U577" s="628">
        <v>939455</v>
      </c>
    </row>
    <row r="578" spans="1:21" x14ac:dyDescent="0.25">
      <c r="A578" s="623">
        <v>96404</v>
      </c>
      <c r="B578" s="624" t="s">
        <v>1716</v>
      </c>
      <c r="C578" s="625">
        <v>8.92E-5</v>
      </c>
      <c r="D578" s="625">
        <v>9.0199999999999997E-5</v>
      </c>
      <c r="E578" s="626">
        <v>50597</v>
      </c>
      <c r="F578" s="626">
        <v>-49783</v>
      </c>
      <c r="G578" s="626">
        <v>40032</v>
      </c>
      <c r="H578" s="626"/>
      <c r="I578" s="627">
        <v>0</v>
      </c>
      <c r="J578" s="627">
        <v>80451</v>
      </c>
      <c r="K578" s="627">
        <v>0</v>
      </c>
      <c r="L578" s="626">
        <v>16085</v>
      </c>
      <c r="M578" s="626"/>
      <c r="N578" s="627">
        <v>9410</v>
      </c>
      <c r="O578" s="627">
        <v>91848</v>
      </c>
      <c r="P578" s="627">
        <v>0</v>
      </c>
      <c r="Q578" s="626">
        <v>0</v>
      </c>
      <c r="R578" s="626"/>
      <c r="S578" s="627">
        <v>18277</v>
      </c>
      <c r="T578" s="628">
        <v>4614</v>
      </c>
      <c r="U578" s="628">
        <v>22891</v>
      </c>
    </row>
    <row r="579" spans="1:21" x14ac:dyDescent="0.25">
      <c r="A579" s="623">
        <v>96405</v>
      </c>
      <c r="B579" s="624" t="s">
        <v>1717</v>
      </c>
      <c r="C579" s="625">
        <v>1.942E-4</v>
      </c>
      <c r="D579" s="625">
        <v>1.775E-4</v>
      </c>
      <c r="E579" s="626">
        <v>91571</v>
      </c>
      <c r="F579" s="626">
        <v>-97965</v>
      </c>
      <c r="G579" s="626">
        <v>87156</v>
      </c>
      <c r="H579" s="626"/>
      <c r="I579" s="627">
        <v>0</v>
      </c>
      <c r="J579" s="627">
        <v>175152</v>
      </c>
      <c r="K579" s="627">
        <v>0</v>
      </c>
      <c r="L579" s="626">
        <v>21454</v>
      </c>
      <c r="M579" s="626"/>
      <c r="N579" s="627">
        <v>20487</v>
      </c>
      <c r="O579" s="627">
        <v>199965</v>
      </c>
      <c r="P579" s="627">
        <v>0</v>
      </c>
      <c r="Q579" s="626">
        <v>2631</v>
      </c>
      <c r="R579" s="626"/>
      <c r="S579" s="627">
        <v>39792</v>
      </c>
      <c r="T579" s="628">
        <v>4736</v>
      </c>
      <c r="U579" s="628">
        <v>44528</v>
      </c>
    </row>
    <row r="580" spans="1:21" x14ac:dyDescent="0.25">
      <c r="A580" s="623">
        <v>96411</v>
      </c>
      <c r="B580" s="624" t="s">
        <v>1718</v>
      </c>
      <c r="C580" s="625">
        <v>6.6699999999999995E-5</v>
      </c>
      <c r="D580" s="625">
        <v>4.7899999999999999E-5</v>
      </c>
      <c r="E580" s="626">
        <v>24569</v>
      </c>
      <c r="F580" s="626">
        <v>-26437</v>
      </c>
      <c r="G580" s="626">
        <v>29935</v>
      </c>
      <c r="H580" s="626"/>
      <c r="I580" s="627">
        <v>0</v>
      </c>
      <c r="J580" s="627">
        <v>60158</v>
      </c>
      <c r="K580" s="627">
        <v>0</v>
      </c>
      <c r="L580" s="626">
        <v>11082</v>
      </c>
      <c r="M580" s="626"/>
      <c r="N580" s="627">
        <v>7036</v>
      </c>
      <c r="O580" s="627">
        <v>68680</v>
      </c>
      <c r="P580" s="627">
        <v>0</v>
      </c>
      <c r="Q580" s="626">
        <v>3306.94</v>
      </c>
      <c r="R580" s="626"/>
      <c r="S580" s="627">
        <v>13667</v>
      </c>
      <c r="T580" s="628">
        <v>1795</v>
      </c>
      <c r="U580" s="628">
        <v>15462</v>
      </c>
    </row>
    <row r="581" spans="1:21" x14ac:dyDescent="0.25">
      <c r="A581" s="623">
        <v>96421</v>
      </c>
      <c r="B581" s="624" t="s">
        <v>1719</v>
      </c>
      <c r="C581" s="625">
        <v>4.6069999999999998E-4</v>
      </c>
      <c r="D581" s="625">
        <v>4.8440000000000001E-4</v>
      </c>
      <c r="E581" s="626">
        <v>158107</v>
      </c>
      <c r="F581" s="626">
        <v>-267349</v>
      </c>
      <c r="G581" s="626">
        <v>206759</v>
      </c>
      <c r="H581" s="626"/>
      <c r="I581" s="627">
        <v>0</v>
      </c>
      <c r="J581" s="627">
        <v>415513</v>
      </c>
      <c r="K581" s="627">
        <v>0</v>
      </c>
      <c r="L581" s="626">
        <v>0</v>
      </c>
      <c r="M581" s="626"/>
      <c r="N581" s="627">
        <v>48601</v>
      </c>
      <c r="O581" s="627">
        <v>474377</v>
      </c>
      <c r="P581" s="627">
        <v>0</v>
      </c>
      <c r="Q581" s="626">
        <v>67679</v>
      </c>
      <c r="R581" s="626"/>
      <c r="S581" s="627">
        <v>94398</v>
      </c>
      <c r="T581" s="628">
        <v>-19699</v>
      </c>
      <c r="U581" s="628">
        <v>74699</v>
      </c>
    </row>
    <row r="582" spans="1:21" x14ac:dyDescent="0.25">
      <c r="A582" s="623">
        <v>96431</v>
      </c>
      <c r="B582" s="624" t="s">
        <v>1720</v>
      </c>
      <c r="C582" s="625">
        <v>3.9400000000000002E-5</v>
      </c>
      <c r="D582" s="625">
        <v>5.1900000000000001E-5</v>
      </c>
      <c r="E582" s="626">
        <v>23323</v>
      </c>
      <c r="F582" s="626">
        <v>-28645</v>
      </c>
      <c r="G582" s="626">
        <v>17682</v>
      </c>
      <c r="H582" s="626"/>
      <c r="I582" s="627">
        <v>0</v>
      </c>
      <c r="J582" s="627">
        <v>35535</v>
      </c>
      <c r="K582" s="627">
        <v>0</v>
      </c>
      <c r="L582" s="626">
        <v>0</v>
      </c>
      <c r="M582" s="626"/>
      <c r="N582" s="627">
        <v>4156</v>
      </c>
      <c r="O582" s="627">
        <v>40570</v>
      </c>
      <c r="P582" s="627">
        <v>0</v>
      </c>
      <c r="Q582" s="626">
        <v>6311</v>
      </c>
      <c r="R582" s="626"/>
      <c r="S582" s="627">
        <v>8073</v>
      </c>
      <c r="T582" s="628">
        <v>-1890</v>
      </c>
      <c r="U582" s="628">
        <v>6183</v>
      </c>
    </row>
    <row r="583" spans="1:21" x14ac:dyDescent="0.25">
      <c r="A583" s="623">
        <v>96441</v>
      </c>
      <c r="B583" s="624" t="s">
        <v>1721</v>
      </c>
      <c r="C583" s="625">
        <v>3.9100000000000002E-5</v>
      </c>
      <c r="D583" s="625">
        <v>2.9200000000000002E-5</v>
      </c>
      <c r="E583" s="626">
        <v>18949</v>
      </c>
      <c r="F583" s="626">
        <v>-16116</v>
      </c>
      <c r="G583" s="626">
        <v>17548</v>
      </c>
      <c r="H583" s="626"/>
      <c r="I583" s="627">
        <v>0</v>
      </c>
      <c r="J583" s="627">
        <v>35265</v>
      </c>
      <c r="K583" s="627">
        <v>0</v>
      </c>
      <c r="L583" s="626">
        <v>9313</v>
      </c>
      <c r="M583" s="626"/>
      <c r="N583" s="627">
        <v>4125</v>
      </c>
      <c r="O583" s="627">
        <v>40261</v>
      </c>
      <c r="P583" s="627">
        <v>0</v>
      </c>
      <c r="Q583" s="626">
        <v>1061.45</v>
      </c>
      <c r="R583" s="626"/>
      <c r="S583" s="627">
        <v>8012</v>
      </c>
      <c r="T583" s="628">
        <v>2083</v>
      </c>
      <c r="U583" s="628">
        <v>10095</v>
      </c>
    </row>
    <row r="584" spans="1:21" x14ac:dyDescent="0.25">
      <c r="A584" s="623">
        <v>96451</v>
      </c>
      <c r="B584" s="624" t="s">
        <v>1722</v>
      </c>
      <c r="C584" s="625">
        <v>8.8999999999999995E-6</v>
      </c>
      <c r="D584" s="625">
        <v>1.5800000000000001E-5</v>
      </c>
      <c r="E584" s="626">
        <v>7144</v>
      </c>
      <c r="F584" s="626">
        <v>-8720</v>
      </c>
      <c r="G584" s="626">
        <v>3994</v>
      </c>
      <c r="H584" s="626"/>
      <c r="I584" s="627">
        <v>0</v>
      </c>
      <c r="J584" s="627">
        <v>8027</v>
      </c>
      <c r="K584" s="627">
        <v>0</v>
      </c>
      <c r="L584" s="626">
        <v>0</v>
      </c>
      <c r="M584" s="626"/>
      <c r="N584" s="627">
        <v>939</v>
      </c>
      <c r="O584" s="627">
        <v>9164</v>
      </c>
      <c r="P584" s="627">
        <v>0</v>
      </c>
      <c r="Q584" s="626">
        <v>3080</v>
      </c>
      <c r="R584" s="626"/>
      <c r="S584" s="627">
        <v>1824</v>
      </c>
      <c r="T584" s="628">
        <v>-880</v>
      </c>
      <c r="U584" s="628">
        <v>943</v>
      </c>
    </row>
    <row r="585" spans="1:21" x14ac:dyDescent="0.25">
      <c r="A585" s="623">
        <v>96461</v>
      </c>
      <c r="B585" s="624" t="s">
        <v>1723</v>
      </c>
      <c r="C585" s="625">
        <v>1.6129999999999999E-4</v>
      </c>
      <c r="D585" s="625">
        <v>1.9210000000000001E-4</v>
      </c>
      <c r="E585" s="626">
        <v>64771</v>
      </c>
      <c r="F585" s="626">
        <v>-106023</v>
      </c>
      <c r="G585" s="626">
        <v>72390</v>
      </c>
      <c r="H585" s="626"/>
      <c r="I585" s="627">
        <v>0</v>
      </c>
      <c r="J585" s="627">
        <v>145479</v>
      </c>
      <c r="K585" s="627">
        <v>0</v>
      </c>
      <c r="L585" s="626">
        <v>12089</v>
      </c>
      <c r="M585" s="626"/>
      <c r="N585" s="627">
        <v>17016</v>
      </c>
      <c r="O585" s="627">
        <v>166089</v>
      </c>
      <c r="P585" s="627">
        <v>0</v>
      </c>
      <c r="Q585" s="626">
        <v>22473</v>
      </c>
      <c r="R585" s="626"/>
      <c r="S585" s="627">
        <v>33051</v>
      </c>
      <c r="T585" s="628">
        <v>-1840</v>
      </c>
      <c r="U585" s="628">
        <v>31211</v>
      </c>
    </row>
    <row r="586" spans="1:21" x14ac:dyDescent="0.25">
      <c r="A586" s="623">
        <v>96501</v>
      </c>
      <c r="B586" s="624" t="s">
        <v>1724</v>
      </c>
      <c r="C586" s="625">
        <v>1.4844599999999999E-2</v>
      </c>
      <c r="D586" s="625">
        <v>1.36948E-2</v>
      </c>
      <c r="E586" s="626">
        <v>5637296</v>
      </c>
      <c r="F586" s="626">
        <v>-7558407</v>
      </c>
      <c r="G586" s="626">
        <v>6662167</v>
      </c>
      <c r="H586" s="626"/>
      <c r="I586" s="627">
        <v>0</v>
      </c>
      <c r="J586" s="627">
        <v>13388582</v>
      </c>
      <c r="K586" s="627">
        <v>0</v>
      </c>
      <c r="L586" s="626">
        <v>846416</v>
      </c>
      <c r="M586" s="626"/>
      <c r="N586" s="627">
        <v>1566001</v>
      </c>
      <c r="O586" s="627">
        <v>15285292</v>
      </c>
      <c r="P586" s="627">
        <v>0</v>
      </c>
      <c r="Q586" s="626">
        <v>0</v>
      </c>
      <c r="R586" s="626"/>
      <c r="S586" s="627">
        <v>3041688</v>
      </c>
      <c r="T586" s="628">
        <v>248839</v>
      </c>
      <c r="U586" s="628">
        <v>3290527</v>
      </c>
    </row>
    <row r="587" spans="1:21" x14ac:dyDescent="0.25">
      <c r="A587" s="623">
        <v>96502</v>
      </c>
      <c r="B587" s="624" t="s">
        <v>1725</v>
      </c>
      <c r="C587" s="625">
        <v>3.9639999999999999E-4</v>
      </c>
      <c r="D587" s="625">
        <v>3.8949999999999998E-4</v>
      </c>
      <c r="E587" s="626">
        <v>179348</v>
      </c>
      <c r="F587" s="626">
        <v>-214972</v>
      </c>
      <c r="G587" s="626">
        <v>177902</v>
      </c>
      <c r="H587" s="626"/>
      <c r="I587" s="627">
        <v>0</v>
      </c>
      <c r="J587" s="627">
        <v>357520</v>
      </c>
      <c r="K587" s="627">
        <v>0</v>
      </c>
      <c r="L587" s="626">
        <v>55319</v>
      </c>
      <c r="M587" s="626"/>
      <c r="N587" s="627">
        <v>41817</v>
      </c>
      <c r="O587" s="627">
        <v>408168</v>
      </c>
      <c r="P587" s="627">
        <v>0</v>
      </c>
      <c r="Q587" s="626">
        <v>0</v>
      </c>
      <c r="R587" s="626"/>
      <c r="S587" s="627">
        <v>81223</v>
      </c>
      <c r="T587" s="628">
        <v>17141</v>
      </c>
      <c r="U587" s="628">
        <v>98364</v>
      </c>
    </row>
    <row r="588" spans="1:21" x14ac:dyDescent="0.25">
      <c r="A588" s="623">
        <v>96503</v>
      </c>
      <c r="B588" s="624" t="s">
        <v>1726</v>
      </c>
      <c r="C588" s="625">
        <v>3.746E-4</v>
      </c>
      <c r="D588" s="625">
        <v>3.8739999999999998E-4</v>
      </c>
      <c r="E588" s="626">
        <v>326748</v>
      </c>
      <c r="F588" s="626">
        <v>-213813</v>
      </c>
      <c r="G588" s="626">
        <v>168118</v>
      </c>
      <c r="H588" s="626"/>
      <c r="I588" s="627">
        <v>0</v>
      </c>
      <c r="J588" s="627">
        <v>337858</v>
      </c>
      <c r="K588" s="627">
        <v>0</v>
      </c>
      <c r="L588" s="626">
        <v>128764</v>
      </c>
      <c r="M588" s="626"/>
      <c r="N588" s="627">
        <v>39518</v>
      </c>
      <c r="O588" s="627">
        <v>385721</v>
      </c>
      <c r="P588" s="627">
        <v>0</v>
      </c>
      <c r="Q588" s="626">
        <v>44921.760000000002</v>
      </c>
      <c r="R588" s="626"/>
      <c r="S588" s="627">
        <v>76756</v>
      </c>
      <c r="T588" s="628">
        <v>18684</v>
      </c>
      <c r="U588" s="628">
        <v>95440</v>
      </c>
    </row>
    <row r="589" spans="1:21" x14ac:dyDescent="0.25">
      <c r="A589" s="623">
        <v>96504</v>
      </c>
      <c r="B589" s="624" t="s">
        <v>1727</v>
      </c>
      <c r="C589" s="625">
        <v>3.7149999999999998E-4</v>
      </c>
      <c r="D589" s="625">
        <v>3.5540000000000002E-4</v>
      </c>
      <c r="E589" s="626">
        <v>156682</v>
      </c>
      <c r="F589" s="626">
        <v>-196152</v>
      </c>
      <c r="G589" s="626">
        <v>166727</v>
      </c>
      <c r="H589" s="626"/>
      <c r="I589" s="627">
        <v>0</v>
      </c>
      <c r="J589" s="627">
        <v>335062</v>
      </c>
      <c r="K589" s="627">
        <v>0</v>
      </c>
      <c r="L589" s="626">
        <v>15265</v>
      </c>
      <c r="M589" s="626"/>
      <c r="N589" s="627">
        <v>39191</v>
      </c>
      <c r="O589" s="627">
        <v>382529</v>
      </c>
      <c r="P589" s="627">
        <v>0</v>
      </c>
      <c r="Q589" s="626">
        <v>678.73</v>
      </c>
      <c r="R589" s="626"/>
      <c r="S589" s="627">
        <v>76121</v>
      </c>
      <c r="T589" s="628">
        <v>3769</v>
      </c>
      <c r="U589" s="628">
        <v>79890</v>
      </c>
    </row>
    <row r="590" spans="1:21" x14ac:dyDescent="0.25">
      <c r="A590" s="623">
        <v>96507</v>
      </c>
      <c r="B590" s="624" t="s">
        <v>1728</v>
      </c>
      <c r="C590" s="625">
        <v>2.1895999999999999E-3</v>
      </c>
      <c r="D590" s="625">
        <v>2.1332999999999999E-3</v>
      </c>
      <c r="E590" s="626">
        <v>944228</v>
      </c>
      <c r="F590" s="626">
        <v>-1177407</v>
      </c>
      <c r="G590" s="626">
        <v>982679</v>
      </c>
      <c r="H590" s="626"/>
      <c r="I590" s="627">
        <v>0</v>
      </c>
      <c r="J590" s="627">
        <v>1974835</v>
      </c>
      <c r="K590" s="627">
        <v>0</v>
      </c>
      <c r="L590" s="626">
        <v>154964</v>
      </c>
      <c r="M590" s="626"/>
      <c r="N590" s="627">
        <v>230987</v>
      </c>
      <c r="O590" s="627">
        <v>2254603</v>
      </c>
      <c r="P590" s="627">
        <v>0</v>
      </c>
      <c r="Q590" s="626">
        <v>0</v>
      </c>
      <c r="R590" s="626"/>
      <c r="S590" s="627">
        <v>448653</v>
      </c>
      <c r="T590" s="628">
        <v>46062</v>
      </c>
      <c r="U590" s="628">
        <v>494716</v>
      </c>
    </row>
    <row r="591" spans="1:21" x14ac:dyDescent="0.25">
      <c r="A591" s="623">
        <v>96508</v>
      </c>
      <c r="B591" s="624" t="s">
        <v>1729</v>
      </c>
      <c r="C591" s="625">
        <v>1.03E-5</v>
      </c>
      <c r="D591" s="625">
        <v>1.11E-5</v>
      </c>
      <c r="E591" s="626">
        <v>10239</v>
      </c>
      <c r="F591" s="626">
        <v>-6126</v>
      </c>
      <c r="G591" s="626">
        <v>4623</v>
      </c>
      <c r="H591" s="626"/>
      <c r="I591" s="627">
        <v>0</v>
      </c>
      <c r="J591" s="627">
        <v>9290</v>
      </c>
      <c r="K591" s="627">
        <v>0</v>
      </c>
      <c r="L591" s="626">
        <v>6981</v>
      </c>
      <c r="M591" s="626"/>
      <c r="N591" s="627">
        <v>1087</v>
      </c>
      <c r="O591" s="627">
        <v>10606</v>
      </c>
      <c r="P591" s="627">
        <v>0</v>
      </c>
      <c r="Q591" s="626">
        <v>0</v>
      </c>
      <c r="R591" s="626"/>
      <c r="S591" s="627">
        <v>2110</v>
      </c>
      <c r="T591" s="628">
        <v>2028</v>
      </c>
      <c r="U591" s="628">
        <v>4138</v>
      </c>
    </row>
    <row r="592" spans="1:21" x14ac:dyDescent="0.25">
      <c r="A592" s="623">
        <v>96511</v>
      </c>
      <c r="B592" s="624" t="s">
        <v>1730</v>
      </c>
      <c r="C592" s="625">
        <v>7.5080000000000004E-4</v>
      </c>
      <c r="D592" s="625">
        <v>7.3999999999999999E-4</v>
      </c>
      <c r="E592" s="626">
        <v>280697</v>
      </c>
      <c r="F592" s="626">
        <v>-408419.32</v>
      </c>
      <c r="G592" s="626">
        <v>336955</v>
      </c>
      <c r="H592" s="626"/>
      <c r="I592" s="627">
        <v>0</v>
      </c>
      <c r="J592" s="627">
        <v>677159</v>
      </c>
      <c r="K592" s="627">
        <v>0</v>
      </c>
      <c r="L592" s="626">
        <v>0</v>
      </c>
      <c r="M592" s="626"/>
      <c r="N592" s="627">
        <v>79204</v>
      </c>
      <c r="O592" s="627">
        <v>773089</v>
      </c>
      <c r="P592" s="627">
        <v>0</v>
      </c>
      <c r="Q592" s="626">
        <v>83594</v>
      </c>
      <c r="R592" s="626"/>
      <c r="S592" s="627">
        <v>153840</v>
      </c>
      <c r="T592" s="628">
        <v>-27020</v>
      </c>
      <c r="U592" s="628">
        <v>126820</v>
      </c>
    </row>
    <row r="593" spans="1:21" x14ac:dyDescent="0.25">
      <c r="A593" s="623">
        <v>96512</v>
      </c>
      <c r="B593" s="624" t="s">
        <v>1731</v>
      </c>
      <c r="C593" s="625">
        <v>1.5550000000000001E-4</v>
      </c>
      <c r="D593" s="625">
        <v>1.46E-4</v>
      </c>
      <c r="E593" s="626">
        <v>63345</v>
      </c>
      <c r="F593" s="626">
        <v>-80580</v>
      </c>
      <c r="G593" s="626">
        <v>69787</v>
      </c>
      <c r="H593" s="626"/>
      <c r="I593" s="627">
        <v>0</v>
      </c>
      <c r="J593" s="627">
        <v>140248</v>
      </c>
      <c r="K593" s="627">
        <v>0</v>
      </c>
      <c r="L593" s="626">
        <v>7077</v>
      </c>
      <c r="M593" s="626"/>
      <c r="N593" s="627">
        <v>16404</v>
      </c>
      <c r="O593" s="627">
        <v>160116</v>
      </c>
      <c r="P593" s="627">
        <v>0</v>
      </c>
      <c r="Q593" s="626">
        <v>0</v>
      </c>
      <c r="R593" s="626"/>
      <c r="S593" s="627">
        <v>31862</v>
      </c>
      <c r="T593" s="628">
        <v>1891</v>
      </c>
      <c r="U593" s="628">
        <v>33753</v>
      </c>
    </row>
    <row r="594" spans="1:21" x14ac:dyDescent="0.25">
      <c r="A594" s="623">
        <v>96519</v>
      </c>
      <c r="B594" s="624" t="s">
        <v>1732</v>
      </c>
      <c r="C594" s="625">
        <v>1.7197E-3</v>
      </c>
      <c r="D594" s="625">
        <v>1.5574E-3</v>
      </c>
      <c r="E594" s="626">
        <v>706651</v>
      </c>
      <c r="F594" s="626">
        <v>-859557</v>
      </c>
      <c r="G594" s="626">
        <v>771791</v>
      </c>
      <c r="H594" s="626"/>
      <c r="I594" s="627">
        <v>0</v>
      </c>
      <c r="J594" s="627">
        <v>1551025</v>
      </c>
      <c r="K594" s="627">
        <v>0</v>
      </c>
      <c r="L594" s="626">
        <v>439316</v>
      </c>
      <c r="M594" s="626"/>
      <c r="N594" s="627">
        <v>181416</v>
      </c>
      <c r="O594" s="627">
        <v>1770753</v>
      </c>
      <c r="P594" s="627">
        <v>0</v>
      </c>
      <c r="Q594" s="626">
        <v>0</v>
      </c>
      <c r="R594" s="626"/>
      <c r="S594" s="627">
        <v>352370</v>
      </c>
      <c r="T594" s="628">
        <v>138391</v>
      </c>
      <c r="U594" s="628">
        <v>490761</v>
      </c>
    </row>
    <row r="595" spans="1:21" x14ac:dyDescent="0.25">
      <c r="A595" s="623">
        <v>96521</v>
      </c>
      <c r="B595" s="624" t="s">
        <v>1733</v>
      </c>
      <c r="C595" s="625">
        <v>9.0479999999999998E-4</v>
      </c>
      <c r="D595" s="625">
        <v>7.7110000000000004E-4</v>
      </c>
      <c r="E595" s="626">
        <v>330545</v>
      </c>
      <c r="F595" s="626">
        <v>-425584</v>
      </c>
      <c r="G595" s="626">
        <v>406069</v>
      </c>
      <c r="H595" s="626"/>
      <c r="I595" s="627">
        <v>0</v>
      </c>
      <c r="J595" s="627">
        <v>816054</v>
      </c>
      <c r="K595" s="627">
        <v>0</v>
      </c>
      <c r="L595" s="626">
        <v>63018</v>
      </c>
      <c r="M595" s="626"/>
      <c r="N595" s="627">
        <v>95450</v>
      </c>
      <c r="O595" s="627">
        <v>931661</v>
      </c>
      <c r="P595" s="627">
        <v>0</v>
      </c>
      <c r="Q595" s="626">
        <v>6999.59</v>
      </c>
      <c r="R595" s="626"/>
      <c r="S595" s="627">
        <v>185395</v>
      </c>
      <c r="T595" s="628">
        <v>14156</v>
      </c>
      <c r="U595" s="628">
        <v>199551</v>
      </c>
    </row>
    <row r="596" spans="1:21" x14ac:dyDescent="0.25">
      <c r="A596" s="623">
        <v>96531</v>
      </c>
      <c r="B596" s="624" t="s">
        <v>1734</v>
      </c>
      <c r="C596" s="625">
        <v>9.1912000000000001E-3</v>
      </c>
      <c r="D596" s="625">
        <v>8.6663999999999995E-3</v>
      </c>
      <c r="E596" s="626">
        <v>3417071</v>
      </c>
      <c r="F596" s="626">
        <v>-4783142</v>
      </c>
      <c r="G596" s="626">
        <v>4124955</v>
      </c>
      <c r="H596" s="626"/>
      <c r="I596" s="627">
        <v>0</v>
      </c>
      <c r="J596" s="627">
        <v>8289690</v>
      </c>
      <c r="K596" s="627">
        <v>0</v>
      </c>
      <c r="L596" s="626">
        <v>102353</v>
      </c>
      <c r="M596" s="626"/>
      <c r="N596" s="627">
        <v>969607</v>
      </c>
      <c r="O596" s="627">
        <v>9464059</v>
      </c>
      <c r="P596" s="627">
        <v>0</v>
      </c>
      <c r="Q596" s="626">
        <v>56777.11</v>
      </c>
      <c r="R596" s="626"/>
      <c r="S596" s="627">
        <v>1883295</v>
      </c>
      <c r="T596" s="628">
        <v>7805</v>
      </c>
      <c r="U596" s="628">
        <v>1891100</v>
      </c>
    </row>
    <row r="597" spans="1:21" x14ac:dyDescent="0.25">
      <c r="A597" s="623">
        <v>96541</v>
      </c>
      <c r="B597" s="624" t="s">
        <v>1735</v>
      </c>
      <c r="C597" s="625">
        <v>3.2759999999999999E-4</v>
      </c>
      <c r="D597" s="625">
        <v>3.123E-4</v>
      </c>
      <c r="E597" s="626">
        <v>130407</v>
      </c>
      <c r="F597" s="626">
        <v>-172364</v>
      </c>
      <c r="G597" s="626">
        <v>147025</v>
      </c>
      <c r="H597" s="626"/>
      <c r="I597" s="627">
        <v>0</v>
      </c>
      <c r="J597" s="627">
        <v>295468</v>
      </c>
      <c r="K597" s="627">
        <v>0</v>
      </c>
      <c r="L597" s="626">
        <v>29974</v>
      </c>
      <c r="M597" s="626"/>
      <c r="N597" s="627">
        <v>34560</v>
      </c>
      <c r="O597" s="627">
        <v>337325</v>
      </c>
      <c r="P597" s="627">
        <v>0</v>
      </c>
      <c r="Q597" s="626">
        <v>0</v>
      </c>
      <c r="R597" s="626"/>
      <c r="S597" s="627">
        <v>67126</v>
      </c>
      <c r="T597" s="628">
        <v>9437</v>
      </c>
      <c r="U597" s="628">
        <v>76563</v>
      </c>
    </row>
    <row r="598" spans="1:21" x14ac:dyDescent="0.25">
      <c r="A598" s="623">
        <v>96601</v>
      </c>
      <c r="B598" s="624" t="s">
        <v>1736</v>
      </c>
      <c r="C598" s="625">
        <v>1.8462999999999999E-3</v>
      </c>
      <c r="D598" s="625">
        <v>1.921E-3</v>
      </c>
      <c r="E598" s="626">
        <v>808992</v>
      </c>
      <c r="F598" s="626">
        <v>-1060234</v>
      </c>
      <c r="G598" s="626">
        <v>828608</v>
      </c>
      <c r="H598" s="626"/>
      <c r="I598" s="627">
        <v>0</v>
      </c>
      <c r="J598" s="627">
        <v>1665208</v>
      </c>
      <c r="K598" s="627">
        <v>0</v>
      </c>
      <c r="L598" s="626">
        <v>76768.25</v>
      </c>
      <c r="M598" s="626"/>
      <c r="N598" s="627">
        <v>194772</v>
      </c>
      <c r="O598" s="627">
        <v>1901111</v>
      </c>
      <c r="P598" s="627">
        <v>0</v>
      </c>
      <c r="Q598" s="626">
        <v>8687</v>
      </c>
      <c r="R598" s="626"/>
      <c r="S598" s="627">
        <v>378311</v>
      </c>
      <c r="T598" s="628">
        <v>23401</v>
      </c>
      <c r="U598" s="628">
        <v>401712</v>
      </c>
    </row>
    <row r="599" spans="1:21" x14ac:dyDescent="0.25">
      <c r="A599" s="623">
        <v>96604</v>
      </c>
      <c r="B599" s="624" t="s">
        <v>1737</v>
      </c>
      <c r="C599" s="625">
        <v>7.9000000000000006E-6</v>
      </c>
      <c r="D599" s="625">
        <v>9.3999999999999998E-6</v>
      </c>
      <c r="E599" s="626">
        <v>4369</v>
      </c>
      <c r="F599" s="626">
        <v>-5188</v>
      </c>
      <c r="G599" s="626">
        <v>3545</v>
      </c>
      <c r="H599" s="626"/>
      <c r="I599" s="627">
        <v>0</v>
      </c>
      <c r="J599" s="627">
        <v>7125</v>
      </c>
      <c r="K599" s="627">
        <v>0</v>
      </c>
      <c r="L599" s="626">
        <v>1052.48</v>
      </c>
      <c r="M599" s="626"/>
      <c r="N599" s="627">
        <v>833</v>
      </c>
      <c r="O599" s="627">
        <v>8135</v>
      </c>
      <c r="P599" s="627">
        <v>0</v>
      </c>
      <c r="Q599" s="626">
        <v>146</v>
      </c>
      <c r="R599" s="626"/>
      <c r="S599" s="627">
        <v>1619</v>
      </c>
      <c r="T599" s="628">
        <v>314</v>
      </c>
      <c r="U599" s="628">
        <v>1932</v>
      </c>
    </row>
    <row r="600" spans="1:21" x14ac:dyDescent="0.25">
      <c r="A600" s="623">
        <v>96611</v>
      </c>
      <c r="B600" s="624" t="s">
        <v>1738</v>
      </c>
      <c r="C600" s="625">
        <v>2.9499999999999999E-5</v>
      </c>
      <c r="D600" s="625">
        <v>2.9899999999999998E-5</v>
      </c>
      <c r="E600" s="626">
        <v>11290</v>
      </c>
      <c r="F600" s="626">
        <v>-16502</v>
      </c>
      <c r="G600" s="626">
        <v>13239</v>
      </c>
      <c r="H600" s="626"/>
      <c r="I600" s="627">
        <v>0</v>
      </c>
      <c r="J600" s="627">
        <v>26607</v>
      </c>
      <c r="K600" s="627">
        <v>0</v>
      </c>
      <c r="L600" s="626">
        <v>3489</v>
      </c>
      <c r="M600" s="626"/>
      <c r="N600" s="627">
        <v>3112</v>
      </c>
      <c r="O600" s="627">
        <v>30376</v>
      </c>
      <c r="P600" s="627">
        <v>0</v>
      </c>
      <c r="Q600" s="626">
        <v>879</v>
      </c>
      <c r="R600" s="626"/>
      <c r="S600" s="627">
        <v>6045</v>
      </c>
      <c r="T600" s="628">
        <v>937</v>
      </c>
      <c r="U600" s="628">
        <v>6982</v>
      </c>
    </row>
    <row r="601" spans="1:21" x14ac:dyDescent="0.25">
      <c r="A601" s="623">
        <v>96612</v>
      </c>
      <c r="B601" s="624" t="s">
        <v>1739</v>
      </c>
      <c r="C601" s="625">
        <v>6.4399999999999993E-5</v>
      </c>
      <c r="D601" s="625">
        <v>6.5099999999999997E-5</v>
      </c>
      <c r="E601" s="626">
        <v>33587</v>
      </c>
      <c r="F601" s="626">
        <v>-35930</v>
      </c>
      <c r="G601" s="626">
        <v>28902</v>
      </c>
      <c r="H601" s="626"/>
      <c r="I601" s="627">
        <v>0</v>
      </c>
      <c r="J601" s="627">
        <v>58083</v>
      </c>
      <c r="K601" s="627">
        <v>0</v>
      </c>
      <c r="L601" s="626">
        <v>5289</v>
      </c>
      <c r="M601" s="626"/>
      <c r="N601" s="627">
        <v>6794</v>
      </c>
      <c r="O601" s="627">
        <v>66312</v>
      </c>
      <c r="P601" s="627">
        <v>0</v>
      </c>
      <c r="Q601" s="626">
        <v>1988</v>
      </c>
      <c r="R601" s="626"/>
      <c r="S601" s="627">
        <v>13196</v>
      </c>
      <c r="T601" s="628">
        <v>720</v>
      </c>
      <c r="U601" s="628">
        <v>13915</v>
      </c>
    </row>
    <row r="602" spans="1:21" x14ac:dyDescent="0.25">
      <c r="A602" s="623">
        <v>96621</v>
      </c>
      <c r="B602" s="624" t="s">
        <v>1740</v>
      </c>
      <c r="C602" s="625">
        <v>3.6600000000000002E-5</v>
      </c>
      <c r="D602" s="625">
        <v>3.3399999999999999E-5</v>
      </c>
      <c r="E602" s="626">
        <v>14046</v>
      </c>
      <c r="F602" s="626">
        <v>-18434</v>
      </c>
      <c r="G602" s="626">
        <v>16426</v>
      </c>
      <c r="H602" s="626"/>
      <c r="I602" s="627">
        <v>0</v>
      </c>
      <c r="J602" s="627">
        <v>33010</v>
      </c>
      <c r="K602" s="627">
        <v>0</v>
      </c>
      <c r="L602" s="626">
        <v>1535</v>
      </c>
      <c r="M602" s="626"/>
      <c r="N602" s="627">
        <v>3861</v>
      </c>
      <c r="O602" s="627">
        <v>37687</v>
      </c>
      <c r="P602" s="627">
        <v>0</v>
      </c>
      <c r="Q602" s="626">
        <v>5352.1</v>
      </c>
      <c r="R602" s="626"/>
      <c r="S602" s="627">
        <v>7499</v>
      </c>
      <c r="T602" s="628">
        <v>-1388</v>
      </c>
      <c r="U602" s="628">
        <v>6111</v>
      </c>
    </row>
    <row r="603" spans="1:21" x14ac:dyDescent="0.25">
      <c r="A603" s="623">
        <v>96631</v>
      </c>
      <c r="B603" s="624" t="s">
        <v>1741</v>
      </c>
      <c r="C603" s="625">
        <v>2.5599999999999999E-5</v>
      </c>
      <c r="D603" s="625">
        <v>1.8199999999999999E-5</v>
      </c>
      <c r="E603" s="626">
        <v>10337</v>
      </c>
      <c r="F603" s="626">
        <v>-10045</v>
      </c>
      <c r="G603" s="626">
        <v>11489</v>
      </c>
      <c r="H603" s="626"/>
      <c r="I603" s="627">
        <v>0</v>
      </c>
      <c r="J603" s="627">
        <v>23089</v>
      </c>
      <c r="K603" s="627">
        <v>0</v>
      </c>
      <c r="L603" s="626">
        <v>7954</v>
      </c>
      <c r="M603" s="626"/>
      <c r="N603" s="627">
        <v>2701</v>
      </c>
      <c r="O603" s="627">
        <v>26360</v>
      </c>
      <c r="P603" s="627">
        <v>0</v>
      </c>
      <c r="Q603" s="626">
        <v>0</v>
      </c>
      <c r="R603" s="626"/>
      <c r="S603" s="627">
        <v>5245</v>
      </c>
      <c r="T603" s="628">
        <v>2289</v>
      </c>
      <c r="U603" s="628">
        <v>7535</v>
      </c>
    </row>
    <row r="604" spans="1:21" x14ac:dyDescent="0.25">
      <c r="A604" s="623">
        <v>96641</v>
      </c>
      <c r="B604" s="624" t="s">
        <v>1742</v>
      </c>
      <c r="C604" s="625">
        <v>2.7100000000000001E-5</v>
      </c>
      <c r="D604" s="625">
        <v>2.7699999999999999E-5</v>
      </c>
      <c r="E604" s="626">
        <v>16821</v>
      </c>
      <c r="F604" s="626">
        <v>-15288</v>
      </c>
      <c r="G604" s="626">
        <v>12162</v>
      </c>
      <c r="H604" s="626"/>
      <c r="I604" s="627">
        <v>0</v>
      </c>
      <c r="J604" s="627">
        <v>24442</v>
      </c>
      <c r="K604" s="627">
        <v>0</v>
      </c>
      <c r="L604" s="626">
        <v>8689</v>
      </c>
      <c r="M604" s="626"/>
      <c r="N604" s="627">
        <v>2859</v>
      </c>
      <c r="O604" s="627">
        <v>27905</v>
      </c>
      <c r="P604" s="627">
        <v>0</v>
      </c>
      <c r="Q604" s="626">
        <v>0</v>
      </c>
      <c r="R604" s="626"/>
      <c r="S604" s="627">
        <v>5553</v>
      </c>
      <c r="T604" s="628">
        <v>2605</v>
      </c>
      <c r="U604" s="628">
        <v>8158</v>
      </c>
    </row>
    <row r="605" spans="1:21" x14ac:dyDescent="0.25">
      <c r="A605" s="623">
        <v>96651</v>
      </c>
      <c r="B605" s="624" t="s">
        <v>1743</v>
      </c>
      <c r="C605" s="625">
        <v>1.9300000000000002E-5</v>
      </c>
      <c r="D605" s="625">
        <v>2.2799999999999999E-5</v>
      </c>
      <c r="E605" s="626">
        <v>8675</v>
      </c>
      <c r="F605" s="626">
        <v>-12584</v>
      </c>
      <c r="G605" s="626">
        <v>8662</v>
      </c>
      <c r="H605" s="626"/>
      <c r="I605" s="627">
        <v>0</v>
      </c>
      <c r="J605" s="627">
        <v>17407</v>
      </c>
      <c r="K605" s="627">
        <v>0</v>
      </c>
      <c r="L605" s="626">
        <v>0</v>
      </c>
      <c r="M605" s="626"/>
      <c r="N605" s="627">
        <v>2036</v>
      </c>
      <c r="O605" s="627">
        <v>19873</v>
      </c>
      <c r="P605" s="627">
        <v>0</v>
      </c>
      <c r="Q605" s="626">
        <v>3139</v>
      </c>
      <c r="R605" s="626"/>
      <c r="S605" s="627">
        <v>3955</v>
      </c>
      <c r="T605" s="628">
        <v>-917</v>
      </c>
      <c r="U605" s="628">
        <v>3038</v>
      </c>
    </row>
    <row r="606" spans="1:21" x14ac:dyDescent="0.25">
      <c r="A606" s="623">
        <v>96661</v>
      </c>
      <c r="B606" s="624" t="s">
        <v>1744</v>
      </c>
      <c r="C606" s="625">
        <v>1.7200000000000001E-5</v>
      </c>
      <c r="D606" s="625">
        <v>1.5699999999999999E-5</v>
      </c>
      <c r="E606" s="626">
        <v>9989</v>
      </c>
      <c r="F606" s="626">
        <v>-8665</v>
      </c>
      <c r="G606" s="626">
        <v>7719</v>
      </c>
      <c r="H606" s="626"/>
      <c r="I606" s="627">
        <v>0</v>
      </c>
      <c r="J606" s="627">
        <v>15513</v>
      </c>
      <c r="K606" s="627">
        <v>0</v>
      </c>
      <c r="L606" s="626">
        <v>5464</v>
      </c>
      <c r="M606" s="626"/>
      <c r="N606" s="627">
        <v>1814</v>
      </c>
      <c r="O606" s="627">
        <v>17711</v>
      </c>
      <c r="P606" s="627">
        <v>0</v>
      </c>
      <c r="Q606" s="626">
        <v>0</v>
      </c>
      <c r="R606" s="626"/>
      <c r="S606" s="627">
        <v>3524</v>
      </c>
      <c r="T606" s="628">
        <v>1580</v>
      </c>
      <c r="U606" s="628">
        <v>5104</v>
      </c>
    </row>
    <row r="607" spans="1:21" x14ac:dyDescent="0.25">
      <c r="A607" s="623">
        <v>96671</v>
      </c>
      <c r="B607" s="624" t="s">
        <v>1745</v>
      </c>
      <c r="C607" s="625">
        <v>1.56E-5</v>
      </c>
      <c r="D607" s="625">
        <v>8.1000000000000004E-6</v>
      </c>
      <c r="E607" s="626">
        <v>11701</v>
      </c>
      <c r="F607" s="626">
        <v>-4471</v>
      </c>
      <c r="G607" s="626">
        <v>7001</v>
      </c>
      <c r="H607" s="626"/>
      <c r="I607" s="627">
        <v>0</v>
      </c>
      <c r="J607" s="627">
        <v>14070</v>
      </c>
      <c r="K607" s="627">
        <v>0</v>
      </c>
      <c r="L607" s="626">
        <v>9488</v>
      </c>
      <c r="M607" s="626"/>
      <c r="N607" s="627">
        <v>1646</v>
      </c>
      <c r="O607" s="627">
        <v>16063</v>
      </c>
      <c r="P607" s="627">
        <v>0</v>
      </c>
      <c r="Q607" s="626">
        <v>628</v>
      </c>
      <c r="R607" s="626"/>
      <c r="S607" s="627">
        <v>3196</v>
      </c>
      <c r="T607" s="628">
        <v>2274</v>
      </c>
      <c r="U607" s="628">
        <v>5470</v>
      </c>
    </row>
    <row r="608" spans="1:21" x14ac:dyDescent="0.25">
      <c r="A608" s="623">
        <v>96681</v>
      </c>
      <c r="B608" s="624" t="s">
        <v>1746</v>
      </c>
      <c r="C608" s="625">
        <v>3.4700000000000003E-5</v>
      </c>
      <c r="D608" s="625">
        <v>2.2200000000000001E-5</v>
      </c>
      <c r="E608" s="626">
        <v>23201</v>
      </c>
      <c r="F608" s="626">
        <v>-12253</v>
      </c>
      <c r="G608" s="626">
        <v>15573</v>
      </c>
      <c r="H608" s="626"/>
      <c r="I608" s="627">
        <v>0</v>
      </c>
      <c r="J608" s="627">
        <v>31296</v>
      </c>
      <c r="K608" s="627">
        <v>0</v>
      </c>
      <c r="L608" s="626">
        <v>15931</v>
      </c>
      <c r="M608" s="626"/>
      <c r="N608" s="627">
        <v>3661</v>
      </c>
      <c r="O608" s="627">
        <v>35730</v>
      </c>
      <c r="P608" s="627">
        <v>0</v>
      </c>
      <c r="Q608" s="626">
        <v>2245</v>
      </c>
      <c r="R608" s="626"/>
      <c r="S608" s="627">
        <v>7110</v>
      </c>
      <c r="T608" s="628">
        <v>3419</v>
      </c>
      <c r="U608" s="628">
        <v>10530</v>
      </c>
    </row>
    <row r="609" spans="1:21" x14ac:dyDescent="0.25">
      <c r="A609" s="623">
        <v>96701</v>
      </c>
      <c r="B609" s="624" t="s">
        <v>1747</v>
      </c>
      <c r="C609" s="625">
        <v>7.7803999999999998E-3</v>
      </c>
      <c r="D609" s="625">
        <v>7.2164000000000004E-3</v>
      </c>
      <c r="E609" s="626">
        <v>3171519</v>
      </c>
      <c r="F609" s="626">
        <v>-3982861</v>
      </c>
      <c r="G609" s="626">
        <v>3491797</v>
      </c>
      <c r="H609" s="626"/>
      <c r="I609" s="627">
        <v>0</v>
      </c>
      <c r="J609" s="627">
        <v>7017267</v>
      </c>
      <c r="K609" s="627">
        <v>0</v>
      </c>
      <c r="L609" s="626">
        <v>391755</v>
      </c>
      <c r="M609" s="626"/>
      <c r="N609" s="627">
        <v>820778</v>
      </c>
      <c r="O609" s="627">
        <v>8011377</v>
      </c>
      <c r="P609" s="627">
        <v>0</v>
      </c>
      <c r="Q609" s="626">
        <v>44907</v>
      </c>
      <c r="R609" s="626"/>
      <c r="S609" s="627">
        <v>1594220</v>
      </c>
      <c r="T609" s="628">
        <v>87535</v>
      </c>
      <c r="U609" s="628">
        <v>1681754</v>
      </c>
    </row>
    <row r="610" spans="1:21" x14ac:dyDescent="0.25">
      <c r="A610" s="623">
        <v>96704</v>
      </c>
      <c r="B610" s="624" t="s">
        <v>1748</v>
      </c>
      <c r="C610" s="625">
        <v>1.5919999999999999E-4</v>
      </c>
      <c r="D610" s="625">
        <v>1.6990000000000001E-4</v>
      </c>
      <c r="E610" s="626">
        <v>74550</v>
      </c>
      <c r="F610" s="626">
        <v>-93771</v>
      </c>
      <c r="G610" s="626">
        <v>71448</v>
      </c>
      <c r="H610" s="626"/>
      <c r="I610" s="627">
        <v>0</v>
      </c>
      <c r="J610" s="627">
        <v>143585</v>
      </c>
      <c r="K610" s="627">
        <v>0</v>
      </c>
      <c r="L610" s="626">
        <v>8646</v>
      </c>
      <c r="M610" s="626"/>
      <c r="N610" s="627">
        <v>16794</v>
      </c>
      <c r="O610" s="627">
        <v>163926</v>
      </c>
      <c r="P610" s="627">
        <v>0</v>
      </c>
      <c r="Q610" s="626">
        <v>0</v>
      </c>
      <c r="R610" s="626"/>
      <c r="S610" s="627">
        <v>32620</v>
      </c>
      <c r="T610" s="628">
        <v>2887</v>
      </c>
      <c r="U610" s="628">
        <v>35507</v>
      </c>
    </row>
    <row r="611" spans="1:21" x14ac:dyDescent="0.25">
      <c r="A611" s="623">
        <v>96708</v>
      </c>
      <c r="B611" s="624" t="s">
        <v>1749</v>
      </c>
      <c r="C611" s="625">
        <v>9.8109999999999994E-4</v>
      </c>
      <c r="D611" s="625">
        <v>9.6270000000000004E-4</v>
      </c>
      <c r="E611" s="626">
        <v>459930</v>
      </c>
      <c r="F611" s="626">
        <v>-531331</v>
      </c>
      <c r="G611" s="626">
        <v>440312</v>
      </c>
      <c r="H611" s="626"/>
      <c r="I611" s="627">
        <v>0</v>
      </c>
      <c r="J611" s="627">
        <v>884870</v>
      </c>
      <c r="K611" s="627">
        <v>0</v>
      </c>
      <c r="L611" s="626">
        <v>75998</v>
      </c>
      <c r="M611" s="626"/>
      <c r="N611" s="627">
        <v>103499</v>
      </c>
      <c r="O611" s="627">
        <v>1010226</v>
      </c>
      <c r="P611" s="627">
        <v>0</v>
      </c>
      <c r="Q611" s="626">
        <v>0</v>
      </c>
      <c r="R611" s="626"/>
      <c r="S611" s="627">
        <v>201029</v>
      </c>
      <c r="T611" s="628">
        <v>21060</v>
      </c>
      <c r="U611" s="628">
        <v>222090</v>
      </c>
    </row>
    <row r="612" spans="1:21" x14ac:dyDescent="0.25">
      <c r="A612" s="623">
        <v>96711</v>
      </c>
      <c r="B612" s="624" t="s">
        <v>1750</v>
      </c>
      <c r="C612" s="625">
        <v>4.2459999999999998E-3</v>
      </c>
      <c r="D612" s="625">
        <v>4.7368000000000002E-3</v>
      </c>
      <c r="E612" s="626">
        <v>1700667</v>
      </c>
      <c r="F612" s="626">
        <v>-2614325</v>
      </c>
      <c r="G612" s="626">
        <v>1905579</v>
      </c>
      <c r="H612" s="626"/>
      <c r="I612" s="627">
        <v>0</v>
      </c>
      <c r="J612" s="627">
        <v>3829535</v>
      </c>
      <c r="K612" s="627">
        <v>0</v>
      </c>
      <c r="L612" s="626">
        <v>31177</v>
      </c>
      <c r="M612" s="626"/>
      <c r="N612" s="627">
        <v>447923</v>
      </c>
      <c r="O612" s="627">
        <v>4372051</v>
      </c>
      <c r="P612" s="627">
        <v>0</v>
      </c>
      <c r="Q612" s="626">
        <v>370486</v>
      </c>
      <c r="R612" s="626"/>
      <c r="S612" s="627">
        <v>870014</v>
      </c>
      <c r="T612" s="628">
        <v>-86559</v>
      </c>
      <c r="U612" s="628">
        <v>783455</v>
      </c>
    </row>
    <row r="613" spans="1:21" x14ac:dyDescent="0.25">
      <c r="A613" s="623">
        <v>96721</v>
      </c>
      <c r="B613" s="624" t="s">
        <v>1751</v>
      </c>
      <c r="C613" s="625">
        <v>2.5119999999999998E-4</v>
      </c>
      <c r="D613" s="625">
        <v>2.3049999999999999E-4</v>
      </c>
      <c r="E613" s="626">
        <v>85133</v>
      </c>
      <c r="F613" s="626">
        <v>-127217</v>
      </c>
      <c r="G613" s="626">
        <v>112737</v>
      </c>
      <c r="H613" s="626"/>
      <c r="I613" s="627">
        <v>0</v>
      </c>
      <c r="J613" s="627">
        <v>226561</v>
      </c>
      <c r="K613" s="627">
        <v>0</v>
      </c>
      <c r="L613" s="626">
        <v>16232</v>
      </c>
      <c r="M613" s="626"/>
      <c r="N613" s="627">
        <v>26500</v>
      </c>
      <c r="O613" s="627">
        <v>258657</v>
      </c>
      <c r="P613" s="627">
        <v>0</v>
      </c>
      <c r="Q613" s="626">
        <v>0</v>
      </c>
      <c r="R613" s="626"/>
      <c r="S613" s="627">
        <v>51471</v>
      </c>
      <c r="T613" s="628">
        <v>5377</v>
      </c>
      <c r="U613" s="628">
        <v>56848</v>
      </c>
    </row>
    <row r="614" spans="1:21" x14ac:dyDescent="0.25">
      <c r="A614" s="623">
        <v>96731</v>
      </c>
      <c r="B614" s="624" t="s">
        <v>1752</v>
      </c>
      <c r="C614" s="625">
        <v>1.3420000000000001E-4</v>
      </c>
      <c r="D614" s="625">
        <v>1.2870000000000001E-4</v>
      </c>
      <c r="E614" s="626">
        <v>60439</v>
      </c>
      <c r="F614" s="626">
        <v>-71032</v>
      </c>
      <c r="G614" s="626">
        <v>60228</v>
      </c>
      <c r="H614" s="626"/>
      <c r="I614" s="627">
        <v>0</v>
      </c>
      <c r="J614" s="627">
        <v>121037</v>
      </c>
      <c r="K614" s="627">
        <v>0</v>
      </c>
      <c r="L614" s="626">
        <v>8335</v>
      </c>
      <c r="M614" s="626"/>
      <c r="N614" s="627">
        <v>14157</v>
      </c>
      <c r="O614" s="627">
        <v>138184</v>
      </c>
      <c r="P614" s="627">
        <v>0</v>
      </c>
      <c r="Q614" s="626">
        <v>18</v>
      </c>
      <c r="R614" s="626"/>
      <c r="S614" s="627">
        <v>27498</v>
      </c>
      <c r="T614" s="628">
        <v>2176</v>
      </c>
      <c r="U614" s="628">
        <v>29674</v>
      </c>
    </row>
    <row r="615" spans="1:21" x14ac:dyDescent="0.25">
      <c r="A615" s="623">
        <v>96733</v>
      </c>
      <c r="B615" s="624" t="s">
        <v>1753</v>
      </c>
      <c r="C615" s="625">
        <v>4.1999999999999996E-6</v>
      </c>
      <c r="D615" s="625">
        <v>8.6999999999999997E-6</v>
      </c>
      <c r="E615" s="626">
        <v>3908</v>
      </c>
      <c r="F615" s="626">
        <v>-4802</v>
      </c>
      <c r="G615" s="626">
        <v>1885</v>
      </c>
      <c r="H615" s="626"/>
      <c r="I615" s="627">
        <v>0</v>
      </c>
      <c r="J615" s="627">
        <v>3788</v>
      </c>
      <c r="K615" s="627">
        <v>0</v>
      </c>
      <c r="L615" s="626">
        <v>3128</v>
      </c>
      <c r="M615" s="626"/>
      <c r="N615" s="627">
        <v>443</v>
      </c>
      <c r="O615" s="627">
        <v>4325</v>
      </c>
      <c r="P615" s="627">
        <v>0</v>
      </c>
      <c r="Q615" s="626">
        <v>1420</v>
      </c>
      <c r="R615" s="626"/>
      <c r="S615" s="627">
        <v>861</v>
      </c>
      <c r="T615" s="628">
        <v>674</v>
      </c>
      <c r="U615" s="628">
        <v>1535</v>
      </c>
    </row>
    <row r="616" spans="1:21" x14ac:dyDescent="0.25">
      <c r="A616" s="623">
        <v>96741</v>
      </c>
      <c r="B616" s="624" t="s">
        <v>1754</v>
      </c>
      <c r="C616" s="625">
        <v>9.2899999999999995E-5</v>
      </c>
      <c r="D616" s="625">
        <v>8.2000000000000001E-5</v>
      </c>
      <c r="E616" s="626">
        <v>35834</v>
      </c>
      <c r="F616" s="626">
        <v>-45257</v>
      </c>
      <c r="G616" s="626">
        <v>41693</v>
      </c>
      <c r="H616" s="626"/>
      <c r="I616" s="627">
        <v>0</v>
      </c>
      <c r="J616" s="627">
        <v>83788</v>
      </c>
      <c r="K616" s="627">
        <v>0</v>
      </c>
      <c r="L616" s="626">
        <v>10067</v>
      </c>
      <c r="M616" s="626"/>
      <c r="N616" s="627">
        <v>9800</v>
      </c>
      <c r="O616" s="627">
        <v>95658</v>
      </c>
      <c r="P616" s="627">
        <v>0</v>
      </c>
      <c r="Q616" s="626">
        <v>0</v>
      </c>
      <c r="R616" s="626"/>
      <c r="S616" s="627">
        <v>19035</v>
      </c>
      <c r="T616" s="628">
        <v>2932</v>
      </c>
      <c r="U616" s="628">
        <v>21967</v>
      </c>
    </row>
    <row r="617" spans="1:21" x14ac:dyDescent="0.25">
      <c r="A617" s="623">
        <v>96751</v>
      </c>
      <c r="B617" s="624" t="s">
        <v>1755</v>
      </c>
      <c r="C617" s="625">
        <v>3.0909999999999998E-4</v>
      </c>
      <c r="D617" s="625">
        <v>3.1E-4</v>
      </c>
      <c r="E617" s="626">
        <v>112195</v>
      </c>
      <c r="F617" s="626">
        <v>-171094.58</v>
      </c>
      <c r="G617" s="626">
        <v>138722</v>
      </c>
      <c r="H617" s="626"/>
      <c r="I617" s="627">
        <v>0</v>
      </c>
      <c r="J617" s="627">
        <v>278782</v>
      </c>
      <c r="K617" s="627">
        <v>0</v>
      </c>
      <c r="L617" s="626">
        <v>32647.81</v>
      </c>
      <c r="M617" s="626"/>
      <c r="N617" s="627">
        <v>32608</v>
      </c>
      <c r="O617" s="627">
        <v>318276</v>
      </c>
      <c r="P617" s="627">
        <v>0</v>
      </c>
      <c r="Q617" s="626">
        <v>11731</v>
      </c>
      <c r="R617" s="626"/>
      <c r="S617" s="627">
        <v>63335</v>
      </c>
      <c r="T617" s="628">
        <v>7848</v>
      </c>
      <c r="U617" s="628">
        <v>71183</v>
      </c>
    </row>
    <row r="618" spans="1:21" x14ac:dyDescent="0.25">
      <c r="A618" s="623">
        <v>96801</v>
      </c>
      <c r="B618" s="624" t="s">
        <v>1756</v>
      </c>
      <c r="C618" s="625">
        <v>7.0825000000000003E-3</v>
      </c>
      <c r="D618" s="625">
        <v>6.9423999999999996E-3</v>
      </c>
      <c r="E618" s="626">
        <v>3037177</v>
      </c>
      <c r="F618" s="626">
        <v>-3831636</v>
      </c>
      <c r="G618" s="626">
        <v>3178584</v>
      </c>
      <c r="H618" s="626"/>
      <c r="I618" s="627">
        <v>0</v>
      </c>
      <c r="J618" s="627">
        <v>6387820</v>
      </c>
      <c r="K618" s="627">
        <v>0</v>
      </c>
      <c r="L618" s="626">
        <v>548289</v>
      </c>
      <c r="M618" s="626"/>
      <c r="N618" s="627">
        <v>747154</v>
      </c>
      <c r="O618" s="627">
        <v>7292758</v>
      </c>
      <c r="P618" s="627">
        <v>0</v>
      </c>
      <c r="Q618" s="626">
        <v>0</v>
      </c>
      <c r="R618" s="626"/>
      <c r="S618" s="627">
        <v>1451218</v>
      </c>
      <c r="T618" s="628">
        <v>167849</v>
      </c>
      <c r="U618" s="628">
        <v>1619068</v>
      </c>
    </row>
    <row r="619" spans="1:21" x14ac:dyDescent="0.25">
      <c r="A619" s="623">
        <v>96804</v>
      </c>
      <c r="B619" s="624" t="s">
        <v>1757</v>
      </c>
      <c r="C619" s="625">
        <v>2.275E-4</v>
      </c>
      <c r="D619" s="625">
        <v>2.2910000000000001E-4</v>
      </c>
      <c r="E619" s="626">
        <v>88887</v>
      </c>
      <c r="F619" s="626">
        <v>-126444</v>
      </c>
      <c r="G619" s="626">
        <v>102101</v>
      </c>
      <c r="H619" s="626"/>
      <c r="I619" s="627">
        <v>0</v>
      </c>
      <c r="J619" s="627">
        <v>205185.89</v>
      </c>
      <c r="K619" s="627">
        <v>0</v>
      </c>
      <c r="L619" s="626">
        <v>6509</v>
      </c>
      <c r="M619" s="626"/>
      <c r="N619" s="627">
        <v>24000</v>
      </c>
      <c r="O619" s="627">
        <v>234254</v>
      </c>
      <c r="P619" s="627">
        <v>0</v>
      </c>
      <c r="Q619" s="626">
        <v>4291</v>
      </c>
      <c r="R619" s="626"/>
      <c r="S619" s="627">
        <v>46615</v>
      </c>
      <c r="T619" s="628">
        <v>1054</v>
      </c>
      <c r="U619" s="628">
        <v>47669</v>
      </c>
    </row>
    <row r="620" spans="1:21" x14ac:dyDescent="0.25">
      <c r="A620" s="623">
        <v>96808</v>
      </c>
      <c r="B620" s="624" t="s">
        <v>1758</v>
      </c>
      <c r="C620" s="625">
        <v>1.1995E-3</v>
      </c>
      <c r="D620" s="625">
        <v>1.2036E-3</v>
      </c>
      <c r="E620" s="626">
        <v>519145</v>
      </c>
      <c r="F620" s="626">
        <v>-664289</v>
      </c>
      <c r="G620" s="626">
        <v>538328</v>
      </c>
      <c r="H620" s="626"/>
      <c r="I620" s="627">
        <v>0</v>
      </c>
      <c r="J620" s="627">
        <v>1081848</v>
      </c>
      <c r="K620" s="627">
        <v>0</v>
      </c>
      <c r="L620" s="626">
        <v>55837</v>
      </c>
      <c r="M620" s="626"/>
      <c r="N620" s="627">
        <v>126539</v>
      </c>
      <c r="O620" s="627">
        <v>1235110</v>
      </c>
      <c r="P620" s="627">
        <v>0</v>
      </c>
      <c r="Q620" s="626">
        <v>0</v>
      </c>
      <c r="R620" s="626"/>
      <c r="S620" s="627">
        <v>245780</v>
      </c>
      <c r="T620" s="628">
        <v>17190</v>
      </c>
      <c r="U620" s="628">
        <v>262970</v>
      </c>
    </row>
    <row r="621" spans="1:21" x14ac:dyDescent="0.25">
      <c r="A621" s="623">
        <v>96811</v>
      </c>
      <c r="B621" s="624" t="s">
        <v>1759</v>
      </c>
      <c r="C621" s="625">
        <v>6.0393000000000001E-3</v>
      </c>
      <c r="D621" s="625">
        <v>6.0203000000000001E-3</v>
      </c>
      <c r="E621" s="626">
        <v>2447971</v>
      </c>
      <c r="F621" s="626">
        <v>-3322712</v>
      </c>
      <c r="G621" s="626">
        <v>2710402</v>
      </c>
      <c r="H621" s="626"/>
      <c r="I621" s="627">
        <v>0</v>
      </c>
      <c r="J621" s="627">
        <v>5446941</v>
      </c>
      <c r="K621" s="627">
        <v>0</v>
      </c>
      <c r="L621" s="626">
        <v>0</v>
      </c>
      <c r="M621" s="626"/>
      <c r="N621" s="627">
        <v>637104</v>
      </c>
      <c r="O621" s="627">
        <v>6218589</v>
      </c>
      <c r="P621" s="627">
        <v>0</v>
      </c>
      <c r="Q621" s="626">
        <v>64512</v>
      </c>
      <c r="R621" s="626"/>
      <c r="S621" s="627">
        <v>1237465</v>
      </c>
      <c r="T621" s="628">
        <v>-21522</v>
      </c>
      <c r="U621" s="628">
        <v>1215943</v>
      </c>
    </row>
    <row r="622" spans="1:21" x14ac:dyDescent="0.25">
      <c r="A622" s="623">
        <v>96821</v>
      </c>
      <c r="B622" s="624" t="s">
        <v>1760</v>
      </c>
      <c r="C622" s="625">
        <v>1.4808E-3</v>
      </c>
      <c r="D622" s="625">
        <v>1.4963000000000001E-3</v>
      </c>
      <c r="E622" s="626">
        <v>552995</v>
      </c>
      <c r="F622" s="626">
        <v>-825835</v>
      </c>
      <c r="G622" s="626">
        <v>664574</v>
      </c>
      <c r="H622" s="626"/>
      <c r="I622" s="627">
        <v>0</v>
      </c>
      <c r="J622" s="627">
        <v>1335557</v>
      </c>
      <c r="K622" s="627">
        <v>0</v>
      </c>
      <c r="L622" s="626">
        <v>0</v>
      </c>
      <c r="M622" s="626"/>
      <c r="N622" s="627">
        <v>156214</v>
      </c>
      <c r="O622" s="627">
        <v>1524761</v>
      </c>
      <c r="P622" s="627">
        <v>0</v>
      </c>
      <c r="Q622" s="626">
        <v>78182</v>
      </c>
      <c r="R622" s="626"/>
      <c r="S622" s="627">
        <v>303419</v>
      </c>
      <c r="T622" s="628">
        <v>-22386</v>
      </c>
      <c r="U622" s="628">
        <v>281032</v>
      </c>
    </row>
    <row r="623" spans="1:21" x14ac:dyDescent="0.25">
      <c r="A623" s="623">
        <v>96831</v>
      </c>
      <c r="B623" s="624" t="s">
        <v>1761</v>
      </c>
      <c r="C623" s="625">
        <v>8.3830000000000005E-4</v>
      </c>
      <c r="D623" s="625">
        <v>8.0909999999999999E-4</v>
      </c>
      <c r="E623" s="626">
        <v>349540</v>
      </c>
      <c r="F623" s="626">
        <v>-446557</v>
      </c>
      <c r="G623" s="626">
        <v>376224</v>
      </c>
      <c r="H623" s="626"/>
      <c r="I623" s="627">
        <v>0</v>
      </c>
      <c r="J623" s="627">
        <v>756076</v>
      </c>
      <c r="K623" s="627">
        <v>0</v>
      </c>
      <c r="L623" s="626">
        <v>43358</v>
      </c>
      <c r="M623" s="626"/>
      <c r="N623" s="627">
        <v>88435</v>
      </c>
      <c r="O623" s="627">
        <v>863187</v>
      </c>
      <c r="P623" s="627">
        <v>0</v>
      </c>
      <c r="Q623" s="626">
        <v>0</v>
      </c>
      <c r="R623" s="626"/>
      <c r="S623" s="627">
        <v>171769</v>
      </c>
      <c r="T623" s="628">
        <v>12593</v>
      </c>
      <c r="U623" s="628">
        <v>184362</v>
      </c>
    </row>
    <row r="624" spans="1:21" x14ac:dyDescent="0.25">
      <c r="A624" s="623">
        <v>96901</v>
      </c>
      <c r="B624" s="624" t="s">
        <v>1762</v>
      </c>
      <c r="C624" s="625">
        <v>7.6599999999999997E-4</v>
      </c>
      <c r="D624" s="625">
        <v>7.4260000000000005E-4</v>
      </c>
      <c r="E624" s="626">
        <v>328970</v>
      </c>
      <c r="F624" s="626">
        <v>-409854</v>
      </c>
      <c r="G624" s="626">
        <v>343776</v>
      </c>
      <c r="H624" s="626"/>
      <c r="I624" s="627">
        <v>0</v>
      </c>
      <c r="J624" s="627">
        <v>690868</v>
      </c>
      <c r="K624" s="627">
        <v>0</v>
      </c>
      <c r="L624" s="626">
        <v>36588</v>
      </c>
      <c r="M624" s="626"/>
      <c r="N624" s="627">
        <v>80808</v>
      </c>
      <c r="O624" s="627">
        <v>788740</v>
      </c>
      <c r="P624" s="627">
        <v>0</v>
      </c>
      <c r="Q624" s="626">
        <v>0</v>
      </c>
      <c r="R624" s="626"/>
      <c r="S624" s="627">
        <v>156955</v>
      </c>
      <c r="T624" s="628">
        <v>10109</v>
      </c>
      <c r="U624" s="628">
        <v>167064</v>
      </c>
    </row>
    <row r="625" spans="1:21" x14ac:dyDescent="0.25">
      <c r="A625" s="623">
        <v>96911</v>
      </c>
      <c r="B625" s="624" t="s">
        <v>1763</v>
      </c>
      <c r="C625" s="625">
        <v>1.15E-5</v>
      </c>
      <c r="D625" s="625">
        <v>5.2000000000000002E-6</v>
      </c>
      <c r="E625" s="626">
        <v>4609</v>
      </c>
      <c r="F625" s="626">
        <v>-2870</v>
      </c>
      <c r="G625" s="626">
        <v>5161</v>
      </c>
      <c r="H625" s="626"/>
      <c r="I625" s="627">
        <v>0</v>
      </c>
      <c r="J625" s="627">
        <v>10372</v>
      </c>
      <c r="K625" s="627">
        <v>0</v>
      </c>
      <c r="L625" s="626">
        <v>5530</v>
      </c>
      <c r="M625" s="626"/>
      <c r="N625" s="627">
        <v>1213</v>
      </c>
      <c r="O625" s="627">
        <v>11841</v>
      </c>
      <c r="P625" s="627">
        <v>0</v>
      </c>
      <c r="Q625" s="626">
        <v>0</v>
      </c>
      <c r="R625" s="626"/>
      <c r="S625" s="627">
        <v>2356</v>
      </c>
      <c r="T625" s="628">
        <v>1533</v>
      </c>
      <c r="U625" s="628">
        <v>3890</v>
      </c>
    </row>
    <row r="626" spans="1:21" x14ac:dyDescent="0.25">
      <c r="A626" s="623">
        <v>96912</v>
      </c>
      <c r="B626" s="624" t="s">
        <v>1764</v>
      </c>
      <c r="C626" s="625">
        <v>5.5899999999999997E-5</v>
      </c>
      <c r="D626" s="625">
        <v>4.6799999999999999E-5</v>
      </c>
      <c r="E626" s="626">
        <v>20812</v>
      </c>
      <c r="F626" s="626">
        <v>-25830</v>
      </c>
      <c r="G626" s="626">
        <v>25088</v>
      </c>
      <c r="H626" s="626"/>
      <c r="I626" s="627">
        <v>0</v>
      </c>
      <c r="J626" s="627">
        <v>50417</v>
      </c>
      <c r="K626" s="627">
        <v>0</v>
      </c>
      <c r="L626" s="626">
        <v>10958</v>
      </c>
      <c r="M626" s="626"/>
      <c r="N626" s="627">
        <v>5897</v>
      </c>
      <c r="O626" s="627">
        <v>57560</v>
      </c>
      <c r="P626" s="627">
        <v>0</v>
      </c>
      <c r="Q626" s="626">
        <v>0</v>
      </c>
      <c r="R626" s="626"/>
      <c r="S626" s="627">
        <v>11454</v>
      </c>
      <c r="T626" s="628">
        <v>3316</v>
      </c>
      <c r="U626" s="628">
        <v>14771</v>
      </c>
    </row>
    <row r="627" spans="1:21" x14ac:dyDescent="0.25">
      <c r="A627" s="623">
        <v>96918</v>
      </c>
      <c r="B627" s="624" t="s">
        <v>1765</v>
      </c>
      <c r="C627" s="625">
        <v>4.5099999999999998E-5</v>
      </c>
      <c r="D627" s="625">
        <v>3.8800000000000001E-5</v>
      </c>
      <c r="E627" s="626">
        <v>20761</v>
      </c>
      <c r="F627" s="626">
        <v>-21414</v>
      </c>
      <c r="G627" s="626">
        <v>20241</v>
      </c>
      <c r="H627" s="626"/>
      <c r="I627" s="627">
        <v>0</v>
      </c>
      <c r="J627" s="627">
        <v>40676</v>
      </c>
      <c r="K627" s="627">
        <v>0</v>
      </c>
      <c r="L627" s="626">
        <v>18728</v>
      </c>
      <c r="M627" s="626"/>
      <c r="N627" s="627">
        <v>4758</v>
      </c>
      <c r="O627" s="627">
        <v>46439</v>
      </c>
      <c r="P627" s="627">
        <v>0</v>
      </c>
      <c r="Q627" s="626">
        <v>0</v>
      </c>
      <c r="R627" s="626"/>
      <c r="S627" s="627">
        <v>9241</v>
      </c>
      <c r="T627" s="628">
        <v>5807</v>
      </c>
      <c r="U627" s="628">
        <v>15048</v>
      </c>
    </row>
    <row r="628" spans="1:21" x14ac:dyDescent="0.25">
      <c r="A628" s="623">
        <v>97001</v>
      </c>
      <c r="B628" s="624" t="s">
        <v>1766</v>
      </c>
      <c r="C628" s="625">
        <v>1.3221999999999999E-3</v>
      </c>
      <c r="D628" s="625">
        <v>1.3572E-3</v>
      </c>
      <c r="E628" s="626">
        <v>612403</v>
      </c>
      <c r="F628" s="626">
        <v>-749063</v>
      </c>
      <c r="G628" s="626">
        <v>593395</v>
      </c>
      <c r="H628" s="626"/>
      <c r="I628" s="627">
        <v>0</v>
      </c>
      <c r="J628" s="627">
        <v>1192513</v>
      </c>
      <c r="K628" s="627">
        <v>0</v>
      </c>
      <c r="L628" s="626">
        <v>32955</v>
      </c>
      <c r="M628" s="626"/>
      <c r="N628" s="627">
        <v>139483</v>
      </c>
      <c r="O628" s="627">
        <v>1361452</v>
      </c>
      <c r="P628" s="627">
        <v>0</v>
      </c>
      <c r="Q628" s="626">
        <v>34800.61</v>
      </c>
      <c r="R628" s="626"/>
      <c r="S628" s="627">
        <v>270921</v>
      </c>
      <c r="T628" s="628">
        <v>-3012</v>
      </c>
      <c r="U628" s="628">
        <v>267909</v>
      </c>
    </row>
    <row r="629" spans="1:21" x14ac:dyDescent="0.25">
      <c r="A629" s="623">
        <v>97002</v>
      </c>
      <c r="B629" s="624" t="s">
        <v>1767</v>
      </c>
      <c r="C629" s="625">
        <v>3.9229999999999999E-4</v>
      </c>
      <c r="D629" s="625">
        <v>3.5819999999999998E-4</v>
      </c>
      <c r="E629" s="626">
        <v>137393</v>
      </c>
      <c r="F629" s="626">
        <v>-197697</v>
      </c>
      <c r="G629" s="626">
        <v>176062</v>
      </c>
      <c r="H629" s="626"/>
      <c r="I629" s="627">
        <v>0</v>
      </c>
      <c r="J629" s="627">
        <v>353822</v>
      </c>
      <c r="K629" s="627">
        <v>0</v>
      </c>
      <c r="L629" s="626">
        <v>30256</v>
      </c>
      <c r="M629" s="626"/>
      <c r="N629" s="627">
        <v>41385</v>
      </c>
      <c r="O629" s="627">
        <v>403946</v>
      </c>
      <c r="P629" s="627">
        <v>0</v>
      </c>
      <c r="Q629" s="626">
        <v>0</v>
      </c>
      <c r="R629" s="626"/>
      <c r="S629" s="627">
        <v>80383</v>
      </c>
      <c r="T629" s="628">
        <v>9692</v>
      </c>
      <c r="U629" s="628">
        <v>90075</v>
      </c>
    </row>
    <row r="630" spans="1:21" x14ac:dyDescent="0.25">
      <c r="A630" s="623">
        <v>97004</v>
      </c>
      <c r="B630" s="624" t="s">
        <v>1768</v>
      </c>
      <c r="C630" s="625">
        <v>1.47E-5</v>
      </c>
      <c r="D630" s="625">
        <v>1.5699999999999999E-5</v>
      </c>
      <c r="E630" s="626">
        <v>10166</v>
      </c>
      <c r="F630" s="626">
        <v>-8665</v>
      </c>
      <c r="G630" s="626">
        <v>6597</v>
      </c>
      <c r="H630" s="626"/>
      <c r="I630" s="627">
        <v>0</v>
      </c>
      <c r="J630" s="627">
        <v>13258</v>
      </c>
      <c r="K630" s="627">
        <v>0</v>
      </c>
      <c r="L630" s="626">
        <v>4261</v>
      </c>
      <c r="M630" s="626"/>
      <c r="N630" s="627">
        <v>1551</v>
      </c>
      <c r="O630" s="627">
        <v>15136</v>
      </c>
      <c r="P630" s="627">
        <v>0</v>
      </c>
      <c r="Q630" s="626">
        <v>0</v>
      </c>
      <c r="R630" s="626"/>
      <c r="S630" s="627">
        <v>3012</v>
      </c>
      <c r="T630" s="628">
        <v>1236</v>
      </c>
      <c r="U630" s="628">
        <v>4248</v>
      </c>
    </row>
    <row r="631" spans="1:21" x14ac:dyDescent="0.25">
      <c r="A631" s="623">
        <v>97005</v>
      </c>
      <c r="B631" s="624" t="s">
        <v>1769</v>
      </c>
      <c r="C631" s="625">
        <v>2.3799999999999999E-5</v>
      </c>
      <c r="D631" s="625">
        <v>2.1999999999999999E-5</v>
      </c>
      <c r="E631" s="626">
        <v>13407</v>
      </c>
      <c r="F631" s="626">
        <v>-12142</v>
      </c>
      <c r="G631" s="626">
        <v>10681</v>
      </c>
      <c r="H631" s="626"/>
      <c r="I631" s="627">
        <v>0</v>
      </c>
      <c r="J631" s="627">
        <v>21466</v>
      </c>
      <c r="K631" s="627">
        <v>0</v>
      </c>
      <c r="L631" s="626">
        <v>4188</v>
      </c>
      <c r="M631" s="626"/>
      <c r="N631" s="627">
        <v>2511</v>
      </c>
      <c r="O631" s="627">
        <v>24507</v>
      </c>
      <c r="P631" s="627">
        <v>0</v>
      </c>
      <c r="Q631" s="626">
        <v>870.09</v>
      </c>
      <c r="R631" s="626"/>
      <c r="S631" s="627">
        <v>4877</v>
      </c>
      <c r="T631" s="628">
        <v>805</v>
      </c>
      <c r="U631" s="628">
        <v>5682</v>
      </c>
    </row>
    <row r="632" spans="1:21" x14ac:dyDescent="0.25">
      <c r="A632" s="623">
        <v>97008</v>
      </c>
      <c r="B632" s="624" t="s">
        <v>1770</v>
      </c>
      <c r="C632" s="625">
        <v>2.6959999999999999E-4</v>
      </c>
      <c r="D632" s="625">
        <v>2.6919999999999998E-4</v>
      </c>
      <c r="E632" s="626">
        <v>104642</v>
      </c>
      <c r="F632" s="626">
        <v>-148576</v>
      </c>
      <c r="G632" s="626">
        <v>120995</v>
      </c>
      <c r="H632" s="626"/>
      <c r="I632" s="627">
        <v>0</v>
      </c>
      <c r="J632" s="627">
        <v>243157</v>
      </c>
      <c r="K632" s="627">
        <v>0</v>
      </c>
      <c r="L632" s="626">
        <v>22069</v>
      </c>
      <c r="M632" s="626"/>
      <c r="N632" s="627">
        <v>28441</v>
      </c>
      <c r="O632" s="627">
        <v>277604</v>
      </c>
      <c r="P632" s="627">
        <v>0</v>
      </c>
      <c r="Q632" s="626">
        <v>4023</v>
      </c>
      <c r="R632" s="626"/>
      <c r="S632" s="627">
        <v>55242</v>
      </c>
      <c r="T632" s="628">
        <v>6328</v>
      </c>
      <c r="U632" s="628">
        <v>61569</v>
      </c>
    </row>
    <row r="633" spans="1:21" x14ac:dyDescent="0.25">
      <c r="A633" s="623">
        <v>97010</v>
      </c>
      <c r="B633" s="624" t="s">
        <v>1771</v>
      </c>
      <c r="C633" s="625">
        <v>0</v>
      </c>
      <c r="D633" s="625">
        <v>5.1634000000000003E-3</v>
      </c>
      <c r="E633" s="626">
        <v>0</v>
      </c>
      <c r="F633" s="626">
        <v>-2849773</v>
      </c>
      <c r="G633" s="626">
        <v>0</v>
      </c>
      <c r="H633" s="626"/>
      <c r="I633" s="627">
        <v>0</v>
      </c>
      <c r="J633" s="627">
        <v>0</v>
      </c>
      <c r="K633" s="627">
        <v>0</v>
      </c>
      <c r="L633" s="626">
        <v>0</v>
      </c>
      <c r="M633" s="626"/>
      <c r="N633" s="627">
        <v>0</v>
      </c>
      <c r="O633" s="627">
        <v>0</v>
      </c>
      <c r="P633" s="627">
        <v>0</v>
      </c>
      <c r="Q633" s="626">
        <v>4621809</v>
      </c>
      <c r="R633" s="626"/>
      <c r="S633" s="627">
        <v>0</v>
      </c>
      <c r="T633" s="628">
        <v>-1282454</v>
      </c>
      <c r="U633" s="628">
        <v>-1282454</v>
      </c>
    </row>
    <row r="634" spans="1:21" x14ac:dyDescent="0.25">
      <c r="A634" s="623">
        <v>97011</v>
      </c>
      <c r="B634" s="624" t="s">
        <v>1772</v>
      </c>
      <c r="C634" s="625">
        <v>2.0471E-3</v>
      </c>
      <c r="D634" s="625">
        <v>2.0693999999999999E-3</v>
      </c>
      <c r="E634" s="626">
        <v>820739</v>
      </c>
      <c r="F634" s="626">
        <v>-1142139</v>
      </c>
      <c r="G634" s="626">
        <v>918726</v>
      </c>
      <c r="H634" s="626"/>
      <c r="I634" s="627">
        <v>0</v>
      </c>
      <c r="J634" s="627">
        <v>1846312</v>
      </c>
      <c r="K634" s="627">
        <v>0</v>
      </c>
      <c r="L634" s="626">
        <v>0</v>
      </c>
      <c r="M634" s="626"/>
      <c r="N634" s="627">
        <v>215955</v>
      </c>
      <c r="O634" s="627">
        <v>2107872</v>
      </c>
      <c r="P634" s="627">
        <v>0</v>
      </c>
      <c r="Q634" s="626">
        <v>45455</v>
      </c>
      <c r="R634" s="626"/>
      <c r="S634" s="627">
        <v>419455</v>
      </c>
      <c r="T634" s="628">
        <v>-13198</v>
      </c>
      <c r="U634" s="628">
        <v>406257</v>
      </c>
    </row>
    <row r="635" spans="1:21" x14ac:dyDescent="0.25">
      <c r="A635" s="623">
        <v>97012</v>
      </c>
      <c r="B635" s="624" t="s">
        <v>1773</v>
      </c>
      <c r="C635" s="625">
        <v>2.4199999999999999E-5</v>
      </c>
      <c r="D635" s="625">
        <v>3.3099999999999998E-5</v>
      </c>
      <c r="E635" s="626">
        <v>15328</v>
      </c>
      <c r="F635" s="626">
        <v>-18268</v>
      </c>
      <c r="G635" s="626">
        <v>10861</v>
      </c>
      <c r="H635" s="626"/>
      <c r="I635" s="627">
        <v>0</v>
      </c>
      <c r="J635" s="627">
        <v>21826</v>
      </c>
      <c r="K635" s="627">
        <v>0</v>
      </c>
      <c r="L635" s="626">
        <v>0</v>
      </c>
      <c r="M635" s="626"/>
      <c r="N635" s="627">
        <v>2553</v>
      </c>
      <c r="O635" s="627">
        <v>24918</v>
      </c>
      <c r="P635" s="627">
        <v>0</v>
      </c>
      <c r="Q635" s="626">
        <v>2625</v>
      </c>
      <c r="R635" s="626"/>
      <c r="S635" s="627">
        <v>4959</v>
      </c>
      <c r="T635" s="628">
        <v>-738</v>
      </c>
      <c r="U635" s="628">
        <v>4221</v>
      </c>
    </row>
    <row r="636" spans="1:21" x14ac:dyDescent="0.25">
      <c r="A636" s="623">
        <v>97013</v>
      </c>
      <c r="B636" s="624" t="s">
        <v>1774</v>
      </c>
      <c r="C636" s="625">
        <v>1.1399999999999999E-5</v>
      </c>
      <c r="D636" s="625">
        <v>1.03E-5</v>
      </c>
      <c r="E636" s="626">
        <v>8715</v>
      </c>
      <c r="F636" s="626">
        <v>-5685</v>
      </c>
      <c r="G636" s="626">
        <v>5116</v>
      </c>
      <c r="H636" s="626"/>
      <c r="I636" s="627">
        <v>0</v>
      </c>
      <c r="J636" s="627">
        <v>10282</v>
      </c>
      <c r="K636" s="627">
        <v>0</v>
      </c>
      <c r="L636" s="626">
        <v>3990</v>
      </c>
      <c r="M636" s="626"/>
      <c r="N636" s="627">
        <v>1203</v>
      </c>
      <c r="O636" s="627">
        <v>11738</v>
      </c>
      <c r="P636" s="627">
        <v>0</v>
      </c>
      <c r="Q636" s="626">
        <v>1301</v>
      </c>
      <c r="R636" s="626"/>
      <c r="S636" s="627">
        <v>2336</v>
      </c>
      <c r="T636" s="628">
        <v>610</v>
      </c>
      <c r="U636" s="628">
        <v>2945</v>
      </c>
    </row>
    <row r="637" spans="1:21" x14ac:dyDescent="0.25">
      <c r="A637" s="623">
        <v>97015</v>
      </c>
      <c r="B637" s="624" t="s">
        <v>1775</v>
      </c>
      <c r="C637" s="625">
        <v>4.7700000000000001E-5</v>
      </c>
      <c r="D637" s="625">
        <v>4.1199999999999999E-5</v>
      </c>
      <c r="E637" s="626">
        <v>19832</v>
      </c>
      <c r="F637" s="626">
        <v>-22739</v>
      </c>
      <c r="G637" s="626">
        <v>21407</v>
      </c>
      <c r="H637" s="626"/>
      <c r="I637" s="627">
        <v>0</v>
      </c>
      <c r="J637" s="627">
        <v>43021</v>
      </c>
      <c r="K637" s="627">
        <v>0</v>
      </c>
      <c r="L637" s="626">
        <v>4844</v>
      </c>
      <c r="M637" s="626"/>
      <c r="N637" s="627">
        <v>5032</v>
      </c>
      <c r="O637" s="627">
        <v>49116</v>
      </c>
      <c r="P637" s="627">
        <v>0</v>
      </c>
      <c r="Q637" s="626">
        <v>2386.02</v>
      </c>
      <c r="R637" s="626"/>
      <c r="S637" s="627">
        <v>9774</v>
      </c>
      <c r="T637" s="628">
        <v>470</v>
      </c>
      <c r="U637" s="628">
        <v>10244</v>
      </c>
    </row>
    <row r="638" spans="1:21" x14ac:dyDescent="0.25">
      <c r="A638" s="623">
        <v>97018</v>
      </c>
      <c r="B638" s="624" t="s">
        <v>1776</v>
      </c>
      <c r="C638" s="625">
        <v>9.5000000000000005E-6</v>
      </c>
      <c r="D638" s="625">
        <v>9.5999999999999996E-6</v>
      </c>
      <c r="E638" s="626">
        <v>7624</v>
      </c>
      <c r="F638" s="626">
        <v>-5298</v>
      </c>
      <c r="G638" s="626">
        <v>4264</v>
      </c>
      <c r="H638" s="626"/>
      <c r="I638" s="627">
        <v>0</v>
      </c>
      <c r="J638" s="627">
        <v>8568</v>
      </c>
      <c r="K638" s="627">
        <v>0</v>
      </c>
      <c r="L638" s="626">
        <v>4824</v>
      </c>
      <c r="M638" s="626"/>
      <c r="N638" s="627">
        <v>1002</v>
      </c>
      <c r="O638" s="627">
        <v>9782</v>
      </c>
      <c r="P638" s="627">
        <v>0</v>
      </c>
      <c r="Q638" s="626">
        <v>0</v>
      </c>
      <c r="R638" s="626"/>
      <c r="S638" s="627">
        <v>1947</v>
      </c>
      <c r="T638" s="628">
        <v>1403</v>
      </c>
      <c r="U638" s="628">
        <v>3349</v>
      </c>
    </row>
    <row r="639" spans="1:21" x14ac:dyDescent="0.25">
      <c r="A639" s="623">
        <v>97101</v>
      </c>
      <c r="B639" s="624" t="s">
        <v>1777</v>
      </c>
      <c r="C639" s="625">
        <v>2.5864999999999998E-3</v>
      </c>
      <c r="D639" s="625">
        <v>2.5546000000000002E-3</v>
      </c>
      <c r="E639" s="626">
        <v>1067838</v>
      </c>
      <c r="F639" s="626">
        <v>-1409930</v>
      </c>
      <c r="G639" s="626">
        <v>1160806</v>
      </c>
      <c r="H639" s="626"/>
      <c r="I639" s="627">
        <v>0</v>
      </c>
      <c r="J639" s="627">
        <v>2332806</v>
      </c>
      <c r="K639" s="627">
        <v>0</v>
      </c>
      <c r="L639" s="626">
        <v>31750</v>
      </c>
      <c r="M639" s="626"/>
      <c r="N639" s="627">
        <v>272858</v>
      </c>
      <c r="O639" s="627">
        <v>2663285</v>
      </c>
      <c r="P639" s="627">
        <v>0</v>
      </c>
      <c r="Q639" s="626">
        <v>20950.93</v>
      </c>
      <c r="R639" s="626"/>
      <c r="S639" s="627">
        <v>529979</v>
      </c>
      <c r="T639" s="628">
        <v>1305</v>
      </c>
      <c r="U639" s="628">
        <v>531284</v>
      </c>
    </row>
    <row r="640" spans="1:21" x14ac:dyDescent="0.25">
      <c r="A640" s="623">
        <v>97104</v>
      </c>
      <c r="B640" s="624" t="s">
        <v>1778</v>
      </c>
      <c r="C640" s="625">
        <v>5.2099999999999999E-5</v>
      </c>
      <c r="D640" s="625">
        <v>4.6300000000000001E-5</v>
      </c>
      <c r="E640" s="626">
        <v>27879</v>
      </c>
      <c r="F640" s="626">
        <v>-25554</v>
      </c>
      <c r="G640" s="626">
        <v>23382</v>
      </c>
      <c r="H640" s="626"/>
      <c r="I640" s="627">
        <v>0</v>
      </c>
      <c r="J640" s="627">
        <v>46990</v>
      </c>
      <c r="K640" s="627">
        <v>0</v>
      </c>
      <c r="L640" s="626">
        <v>15368</v>
      </c>
      <c r="M640" s="626"/>
      <c r="N640" s="627">
        <v>5496</v>
      </c>
      <c r="O640" s="627">
        <v>53647</v>
      </c>
      <c r="P640" s="627">
        <v>0</v>
      </c>
      <c r="Q640" s="626">
        <v>0</v>
      </c>
      <c r="R640" s="626"/>
      <c r="S640" s="627">
        <v>10675</v>
      </c>
      <c r="T640" s="628">
        <v>4463</v>
      </c>
      <c r="U640" s="628">
        <v>15139</v>
      </c>
    </row>
    <row r="641" spans="1:21" x14ac:dyDescent="0.25">
      <c r="A641" s="623">
        <v>97111</v>
      </c>
      <c r="B641" s="624" t="s">
        <v>1779</v>
      </c>
      <c r="C641" s="625">
        <v>2.5099999999999998E-4</v>
      </c>
      <c r="D641" s="625">
        <v>2.8420000000000002E-4</v>
      </c>
      <c r="E641" s="626">
        <v>102116</v>
      </c>
      <c r="F641" s="626">
        <v>-156855</v>
      </c>
      <c r="G641" s="626">
        <v>112647</v>
      </c>
      <c r="H641" s="626"/>
      <c r="I641" s="627">
        <v>0</v>
      </c>
      <c r="J641" s="627">
        <v>226381</v>
      </c>
      <c r="K641" s="627">
        <v>0</v>
      </c>
      <c r="L641" s="626">
        <v>19973.2</v>
      </c>
      <c r="M641" s="626"/>
      <c r="N641" s="627">
        <v>26479</v>
      </c>
      <c r="O641" s="627">
        <v>258451</v>
      </c>
      <c r="P641" s="627">
        <v>0</v>
      </c>
      <c r="Q641" s="626">
        <v>23585</v>
      </c>
      <c r="R641" s="626"/>
      <c r="S641" s="627">
        <v>51430</v>
      </c>
      <c r="T641" s="628">
        <v>506</v>
      </c>
      <c r="U641" s="628">
        <v>51936</v>
      </c>
    </row>
    <row r="642" spans="1:21" x14ac:dyDescent="0.25">
      <c r="A642" s="623">
        <v>97121</v>
      </c>
      <c r="B642" s="624" t="s">
        <v>1780</v>
      </c>
      <c r="C642" s="625">
        <v>1.495E-4</v>
      </c>
      <c r="D642" s="625">
        <v>1.473E-4</v>
      </c>
      <c r="E642" s="626">
        <v>58553</v>
      </c>
      <c r="F642" s="626">
        <v>-81298</v>
      </c>
      <c r="G642" s="626">
        <v>67095</v>
      </c>
      <c r="H642" s="626"/>
      <c r="I642" s="627">
        <v>0</v>
      </c>
      <c r="J642" s="627">
        <v>134836</v>
      </c>
      <c r="K642" s="627">
        <v>0</v>
      </c>
      <c r="L642" s="626">
        <v>0</v>
      </c>
      <c r="M642" s="626"/>
      <c r="N642" s="627">
        <v>15771</v>
      </c>
      <c r="O642" s="627">
        <v>153938</v>
      </c>
      <c r="P642" s="627">
        <v>0</v>
      </c>
      <c r="Q642" s="626">
        <v>4857</v>
      </c>
      <c r="R642" s="626"/>
      <c r="S642" s="627">
        <v>30633</v>
      </c>
      <c r="T642" s="628">
        <v>-1594</v>
      </c>
      <c r="U642" s="628">
        <v>29039</v>
      </c>
    </row>
    <row r="643" spans="1:21" x14ac:dyDescent="0.25">
      <c r="A643" s="623">
        <v>97131</v>
      </c>
      <c r="B643" s="624" t="s">
        <v>1781</v>
      </c>
      <c r="C643" s="625">
        <v>5.9650000000000002E-4</v>
      </c>
      <c r="D643" s="625">
        <v>5.5769999999999995E-4</v>
      </c>
      <c r="E643" s="626">
        <v>220878</v>
      </c>
      <c r="F643" s="626">
        <v>-307805</v>
      </c>
      <c r="G643" s="626">
        <v>267706</v>
      </c>
      <c r="H643" s="626"/>
      <c r="I643" s="627">
        <v>0</v>
      </c>
      <c r="J643" s="627">
        <v>537993</v>
      </c>
      <c r="K643" s="627">
        <v>0</v>
      </c>
      <c r="L643" s="626">
        <v>9267</v>
      </c>
      <c r="M643" s="626"/>
      <c r="N643" s="627">
        <v>62927</v>
      </c>
      <c r="O643" s="627">
        <v>614208</v>
      </c>
      <c r="P643" s="627">
        <v>0</v>
      </c>
      <c r="Q643" s="626">
        <v>263.12</v>
      </c>
      <c r="R643" s="626"/>
      <c r="S643" s="627">
        <v>122224</v>
      </c>
      <c r="T643" s="628">
        <v>2338</v>
      </c>
      <c r="U643" s="628">
        <v>124562</v>
      </c>
    </row>
    <row r="644" spans="1:21" x14ac:dyDescent="0.25">
      <c r="A644" s="623">
        <v>97201</v>
      </c>
      <c r="B644" s="624" t="s">
        <v>1782</v>
      </c>
      <c r="C644" s="625">
        <v>4.7249999999999999E-4</v>
      </c>
      <c r="D644" s="625">
        <v>4.9109999999999996E-4</v>
      </c>
      <c r="E644" s="626">
        <v>213405</v>
      </c>
      <c r="F644" s="626">
        <v>-271047</v>
      </c>
      <c r="G644" s="626">
        <v>212055</v>
      </c>
      <c r="H644" s="626"/>
      <c r="I644" s="627">
        <v>0</v>
      </c>
      <c r="J644" s="627">
        <v>426155.31</v>
      </c>
      <c r="K644" s="627">
        <v>0</v>
      </c>
      <c r="L644" s="626">
        <v>3188</v>
      </c>
      <c r="M644" s="626"/>
      <c r="N644" s="627">
        <v>49845</v>
      </c>
      <c r="O644" s="627">
        <v>486527</v>
      </c>
      <c r="P644" s="627">
        <v>0</v>
      </c>
      <c r="Q644" s="626">
        <v>5669.04</v>
      </c>
      <c r="R644" s="626"/>
      <c r="S644" s="627">
        <v>96816</v>
      </c>
      <c r="T644" s="628">
        <v>-1061</v>
      </c>
      <c r="U644" s="628">
        <v>95755</v>
      </c>
    </row>
    <row r="645" spans="1:21" x14ac:dyDescent="0.25">
      <c r="A645" s="623">
        <v>97211</v>
      </c>
      <c r="B645" s="624" t="s">
        <v>1783</v>
      </c>
      <c r="C645" s="625">
        <v>1.7689999999999999E-4</v>
      </c>
      <c r="D645" s="625">
        <v>1.6349999999999999E-4</v>
      </c>
      <c r="E645" s="626">
        <v>66468</v>
      </c>
      <c r="F645" s="626">
        <v>-90239</v>
      </c>
      <c r="G645" s="626">
        <v>79392</v>
      </c>
      <c r="H645" s="626"/>
      <c r="I645" s="627">
        <v>0</v>
      </c>
      <c r="J645" s="627">
        <v>159549</v>
      </c>
      <c r="K645" s="627">
        <v>0</v>
      </c>
      <c r="L645" s="626">
        <v>4840</v>
      </c>
      <c r="M645" s="626"/>
      <c r="N645" s="627">
        <v>18662</v>
      </c>
      <c r="O645" s="627">
        <v>182152</v>
      </c>
      <c r="P645" s="627">
        <v>0</v>
      </c>
      <c r="Q645" s="626">
        <v>493.35</v>
      </c>
      <c r="R645" s="626"/>
      <c r="S645" s="627">
        <v>36247</v>
      </c>
      <c r="T645" s="628">
        <v>1102</v>
      </c>
      <c r="U645" s="628">
        <v>37349</v>
      </c>
    </row>
    <row r="646" spans="1:21" x14ac:dyDescent="0.25">
      <c r="A646" s="623">
        <v>97213</v>
      </c>
      <c r="B646" s="624" t="s">
        <v>1784</v>
      </c>
      <c r="C646" s="625">
        <v>4.0800000000000002E-5</v>
      </c>
      <c r="D646" s="625">
        <v>4.0899999999999998E-5</v>
      </c>
      <c r="E646" s="626">
        <v>17054</v>
      </c>
      <c r="F646" s="626">
        <v>-22573</v>
      </c>
      <c r="G646" s="626">
        <v>18311</v>
      </c>
      <c r="H646" s="626"/>
      <c r="I646" s="627">
        <v>0</v>
      </c>
      <c r="J646" s="627">
        <v>36798</v>
      </c>
      <c r="K646" s="627">
        <v>0</v>
      </c>
      <c r="L646" s="626">
        <v>2295</v>
      </c>
      <c r="M646" s="626"/>
      <c r="N646" s="627">
        <v>4304</v>
      </c>
      <c r="O646" s="627">
        <v>42011</v>
      </c>
      <c r="P646" s="627">
        <v>0</v>
      </c>
      <c r="Q646" s="626">
        <v>0</v>
      </c>
      <c r="R646" s="626"/>
      <c r="S646" s="627">
        <v>8360</v>
      </c>
      <c r="T646" s="628">
        <v>750</v>
      </c>
      <c r="U646" s="628">
        <v>9110</v>
      </c>
    </row>
    <row r="647" spans="1:21" x14ac:dyDescent="0.25">
      <c r="A647" s="623">
        <v>97217</v>
      </c>
      <c r="B647" s="624" t="s">
        <v>1785</v>
      </c>
      <c r="C647" s="625">
        <v>5.0000000000000004E-6</v>
      </c>
      <c r="D647" s="625">
        <v>5.5999999999999997E-6</v>
      </c>
      <c r="E647" s="626">
        <v>6399</v>
      </c>
      <c r="F647" s="626">
        <v>-3091</v>
      </c>
      <c r="G647" s="626">
        <v>2244</v>
      </c>
      <c r="H647" s="626"/>
      <c r="I647" s="627">
        <v>0</v>
      </c>
      <c r="J647" s="627">
        <v>4509.58</v>
      </c>
      <c r="K647" s="627">
        <v>0</v>
      </c>
      <c r="L647" s="626">
        <v>5254</v>
      </c>
      <c r="M647" s="626"/>
      <c r="N647" s="627">
        <v>527.46500000000003</v>
      </c>
      <c r="O647" s="627">
        <v>5148</v>
      </c>
      <c r="P647" s="627">
        <v>0</v>
      </c>
      <c r="Q647" s="626">
        <v>0</v>
      </c>
      <c r="R647" s="626"/>
      <c r="S647" s="627">
        <v>1024.51</v>
      </c>
      <c r="T647" s="628">
        <v>1537</v>
      </c>
      <c r="U647" s="628">
        <v>2561</v>
      </c>
    </row>
    <row r="648" spans="1:21" x14ac:dyDescent="0.25">
      <c r="A648" s="623">
        <v>97221</v>
      </c>
      <c r="B648" s="624" t="s">
        <v>1786</v>
      </c>
      <c r="C648" s="625">
        <v>6.2999999999999998E-6</v>
      </c>
      <c r="D648" s="625">
        <v>7.9000000000000006E-6</v>
      </c>
      <c r="E648" s="626">
        <v>5542</v>
      </c>
      <c r="F648" s="626">
        <v>-4360</v>
      </c>
      <c r="G648" s="626">
        <v>2827</v>
      </c>
      <c r="H648" s="626"/>
      <c r="I648" s="627">
        <v>0</v>
      </c>
      <c r="J648" s="627">
        <v>5682</v>
      </c>
      <c r="K648" s="627">
        <v>0</v>
      </c>
      <c r="L648" s="626">
        <v>3966</v>
      </c>
      <c r="M648" s="626"/>
      <c r="N648" s="627">
        <v>665</v>
      </c>
      <c r="O648" s="627">
        <v>6487</v>
      </c>
      <c r="P648" s="627">
        <v>0</v>
      </c>
      <c r="Q648" s="626">
        <v>0</v>
      </c>
      <c r="R648" s="626"/>
      <c r="S648" s="627">
        <v>1291</v>
      </c>
      <c r="T648" s="628">
        <v>1237</v>
      </c>
      <c r="U648" s="628">
        <v>2528</v>
      </c>
    </row>
    <row r="649" spans="1:21" x14ac:dyDescent="0.25">
      <c r="A649" s="623">
        <v>97301</v>
      </c>
      <c r="B649" s="624" t="s">
        <v>1787</v>
      </c>
      <c r="C649" s="625">
        <v>2.6905000000000002E-3</v>
      </c>
      <c r="D649" s="625">
        <v>2.6635999999999999E-3</v>
      </c>
      <c r="E649" s="626">
        <v>1137457</v>
      </c>
      <c r="F649" s="626">
        <v>-1470089</v>
      </c>
      <c r="G649" s="626">
        <v>1207480</v>
      </c>
      <c r="H649" s="626"/>
      <c r="I649" s="627">
        <v>0</v>
      </c>
      <c r="J649" s="627">
        <v>2426605</v>
      </c>
      <c r="K649" s="627">
        <v>0</v>
      </c>
      <c r="L649" s="626">
        <v>49765</v>
      </c>
      <c r="M649" s="626"/>
      <c r="N649" s="627">
        <v>283829</v>
      </c>
      <c r="O649" s="627">
        <v>2770373</v>
      </c>
      <c r="P649" s="627">
        <v>0</v>
      </c>
      <c r="Q649" s="626">
        <v>24565.84</v>
      </c>
      <c r="R649" s="626"/>
      <c r="S649" s="627">
        <v>551289</v>
      </c>
      <c r="T649" s="628">
        <v>4812</v>
      </c>
      <c r="U649" s="628">
        <v>556100</v>
      </c>
    </row>
    <row r="650" spans="1:21" x14ac:dyDescent="0.25">
      <c r="A650" s="623">
        <v>97304</v>
      </c>
      <c r="B650" s="624" t="s">
        <v>1788</v>
      </c>
      <c r="C650" s="625">
        <v>1.8499999999999999E-5</v>
      </c>
      <c r="D650" s="625">
        <v>1.8600000000000001E-5</v>
      </c>
      <c r="E650" s="626">
        <v>11667</v>
      </c>
      <c r="F650" s="626">
        <v>-10266</v>
      </c>
      <c r="G650" s="626">
        <v>8303</v>
      </c>
      <c r="H650" s="626"/>
      <c r="I650" s="627">
        <v>0</v>
      </c>
      <c r="J650" s="627">
        <v>16685</v>
      </c>
      <c r="K650" s="627">
        <v>0</v>
      </c>
      <c r="L650" s="626">
        <v>5672</v>
      </c>
      <c r="M650" s="626"/>
      <c r="N650" s="627">
        <v>1952</v>
      </c>
      <c r="O650" s="627">
        <v>19049</v>
      </c>
      <c r="P650" s="627">
        <v>0</v>
      </c>
      <c r="Q650" s="626">
        <v>0</v>
      </c>
      <c r="R650" s="626"/>
      <c r="S650" s="627">
        <v>3791</v>
      </c>
      <c r="T650" s="628">
        <v>1665</v>
      </c>
      <c r="U650" s="628">
        <v>5456</v>
      </c>
    </row>
    <row r="651" spans="1:21" x14ac:dyDescent="0.25">
      <c r="A651" s="623">
        <v>97311</v>
      </c>
      <c r="B651" s="624" t="s">
        <v>1789</v>
      </c>
      <c r="C651" s="625">
        <v>1.0311000000000001E-3</v>
      </c>
      <c r="D651" s="625">
        <v>9.9400000000000009E-4</v>
      </c>
      <c r="E651" s="626">
        <v>387074</v>
      </c>
      <c r="F651" s="626">
        <v>-548606</v>
      </c>
      <c r="G651" s="626">
        <v>462751</v>
      </c>
      <c r="H651" s="626"/>
      <c r="I651" s="627">
        <v>0</v>
      </c>
      <c r="J651" s="627">
        <v>929966</v>
      </c>
      <c r="K651" s="627">
        <v>0</v>
      </c>
      <c r="L651" s="626">
        <v>0</v>
      </c>
      <c r="M651" s="626"/>
      <c r="N651" s="627">
        <v>108774</v>
      </c>
      <c r="O651" s="627">
        <v>1061710</v>
      </c>
      <c r="P651" s="627">
        <v>0</v>
      </c>
      <c r="Q651" s="626">
        <v>52902</v>
      </c>
      <c r="R651" s="626"/>
      <c r="S651" s="627">
        <v>211274</v>
      </c>
      <c r="T651" s="628">
        <v>-17632</v>
      </c>
      <c r="U651" s="628">
        <v>193642</v>
      </c>
    </row>
    <row r="652" spans="1:21" x14ac:dyDescent="0.25">
      <c r="A652" s="623">
        <v>97401</v>
      </c>
      <c r="B652" s="624" t="s">
        <v>1790</v>
      </c>
      <c r="C652" s="625">
        <v>6.9844E-3</v>
      </c>
      <c r="D652" s="625">
        <v>7.1510000000000002E-3</v>
      </c>
      <c r="E652" s="626">
        <v>2922854</v>
      </c>
      <c r="F652" s="626">
        <v>-3946766</v>
      </c>
      <c r="G652" s="626">
        <v>3134557</v>
      </c>
      <c r="H652" s="626"/>
      <c r="I652" s="627">
        <v>0</v>
      </c>
      <c r="J652" s="627">
        <v>6299342</v>
      </c>
      <c r="K652" s="627">
        <v>0</v>
      </c>
      <c r="L652" s="626">
        <v>0</v>
      </c>
      <c r="M652" s="626"/>
      <c r="N652" s="627">
        <v>736805</v>
      </c>
      <c r="O652" s="627">
        <v>7191746</v>
      </c>
      <c r="P652" s="627">
        <v>0</v>
      </c>
      <c r="Q652" s="626">
        <v>173025</v>
      </c>
      <c r="R652" s="626"/>
      <c r="S652" s="627">
        <v>1431118</v>
      </c>
      <c r="T652" s="628">
        <v>-53476</v>
      </c>
      <c r="U652" s="628">
        <v>1377642</v>
      </c>
    </row>
    <row r="653" spans="1:21" x14ac:dyDescent="0.25">
      <c r="A653" s="623">
        <v>97402</v>
      </c>
      <c r="B653" s="624" t="s">
        <v>1791</v>
      </c>
      <c r="C653" s="625">
        <v>2.3799999999999999E-5</v>
      </c>
      <c r="D653" s="625">
        <v>2.83E-5</v>
      </c>
      <c r="E653" s="626">
        <v>15900</v>
      </c>
      <c r="F653" s="626">
        <v>-15619</v>
      </c>
      <c r="G653" s="626">
        <v>10681</v>
      </c>
      <c r="H653" s="626"/>
      <c r="I653" s="627">
        <v>0</v>
      </c>
      <c r="J653" s="627">
        <v>21466</v>
      </c>
      <c r="K653" s="627">
        <v>0</v>
      </c>
      <c r="L653" s="626">
        <v>2197</v>
      </c>
      <c r="M653" s="626"/>
      <c r="N653" s="627">
        <v>2511</v>
      </c>
      <c r="O653" s="627">
        <v>24507</v>
      </c>
      <c r="P653" s="627">
        <v>0</v>
      </c>
      <c r="Q653" s="626">
        <v>0</v>
      </c>
      <c r="R653" s="626"/>
      <c r="S653" s="627">
        <v>4877</v>
      </c>
      <c r="T653" s="628">
        <v>608</v>
      </c>
      <c r="U653" s="628">
        <v>5485</v>
      </c>
    </row>
    <row r="654" spans="1:21" x14ac:dyDescent="0.25">
      <c r="A654" s="623">
        <v>97404</v>
      </c>
      <c r="B654" s="624" t="s">
        <v>1792</v>
      </c>
      <c r="C654" s="625">
        <v>2.1249999999999999E-4</v>
      </c>
      <c r="D654" s="625">
        <v>2.106E-4</v>
      </c>
      <c r="E654" s="626">
        <v>76568</v>
      </c>
      <c r="F654" s="626">
        <v>-116234</v>
      </c>
      <c r="G654" s="626">
        <v>95369</v>
      </c>
      <c r="H654" s="626"/>
      <c r="I654" s="627">
        <v>0</v>
      </c>
      <c r="J654" s="627">
        <v>191657.15</v>
      </c>
      <c r="K654" s="627">
        <v>0</v>
      </c>
      <c r="L654" s="626">
        <v>2969.07</v>
      </c>
      <c r="M654" s="626"/>
      <c r="N654" s="627">
        <v>22417</v>
      </c>
      <c r="O654" s="627">
        <v>218808</v>
      </c>
      <c r="P654" s="627">
        <v>0</v>
      </c>
      <c r="Q654" s="626">
        <v>6744</v>
      </c>
      <c r="R654" s="626"/>
      <c r="S654" s="627">
        <v>43542</v>
      </c>
      <c r="T654" s="628">
        <v>-772</v>
      </c>
      <c r="U654" s="628">
        <v>42769</v>
      </c>
    </row>
    <row r="655" spans="1:21" x14ac:dyDescent="0.25">
      <c r="A655" s="623">
        <v>97405</v>
      </c>
      <c r="B655" s="624" t="s">
        <v>1793</v>
      </c>
      <c r="C655" s="625">
        <v>1.081E-4</v>
      </c>
      <c r="D655" s="625">
        <v>1.004E-4</v>
      </c>
      <c r="E655" s="626">
        <v>57551</v>
      </c>
      <c r="F655" s="626">
        <v>-55413</v>
      </c>
      <c r="G655" s="626">
        <v>48515</v>
      </c>
      <c r="H655" s="626"/>
      <c r="I655" s="627">
        <v>0</v>
      </c>
      <c r="J655" s="627">
        <v>97497</v>
      </c>
      <c r="K655" s="627">
        <v>0</v>
      </c>
      <c r="L655" s="626">
        <v>16036</v>
      </c>
      <c r="M655" s="626"/>
      <c r="N655" s="627">
        <v>11404</v>
      </c>
      <c r="O655" s="627">
        <v>111309</v>
      </c>
      <c r="P655" s="627">
        <v>0</v>
      </c>
      <c r="Q655" s="626">
        <v>14767.61</v>
      </c>
      <c r="R655" s="626"/>
      <c r="S655" s="627">
        <v>22150</v>
      </c>
      <c r="T655" s="628">
        <v>-741</v>
      </c>
      <c r="U655" s="628">
        <v>21409</v>
      </c>
    </row>
    <row r="656" spans="1:21" x14ac:dyDescent="0.25">
      <c r="A656" s="623">
        <v>97408</v>
      </c>
      <c r="B656" s="624" t="s">
        <v>1794</v>
      </c>
      <c r="C656" s="625">
        <v>5.1199999999999998E-5</v>
      </c>
      <c r="D656" s="625">
        <v>5.6400000000000002E-5</v>
      </c>
      <c r="E656" s="626">
        <v>27682</v>
      </c>
      <c r="F656" s="626">
        <v>-31128</v>
      </c>
      <c r="G656" s="626">
        <v>22978</v>
      </c>
      <c r="H656" s="626"/>
      <c r="I656" s="627">
        <v>0</v>
      </c>
      <c r="J656" s="627">
        <v>46178</v>
      </c>
      <c r="K656" s="627">
        <v>0</v>
      </c>
      <c r="L656" s="626">
        <v>3502</v>
      </c>
      <c r="M656" s="626"/>
      <c r="N656" s="627">
        <v>5401</v>
      </c>
      <c r="O656" s="627">
        <v>52720</v>
      </c>
      <c r="P656" s="627">
        <v>0</v>
      </c>
      <c r="Q656" s="626">
        <v>0</v>
      </c>
      <c r="R656" s="626"/>
      <c r="S656" s="627">
        <v>10491</v>
      </c>
      <c r="T656" s="628">
        <v>1046</v>
      </c>
      <c r="U656" s="628">
        <v>11537</v>
      </c>
    </row>
    <row r="657" spans="1:21" x14ac:dyDescent="0.25">
      <c r="A657" s="623">
        <v>97411</v>
      </c>
      <c r="B657" s="624" t="s">
        <v>1795</v>
      </c>
      <c r="C657" s="625">
        <v>7.0987000000000003E-3</v>
      </c>
      <c r="D657" s="625">
        <v>7.3848999999999998E-3</v>
      </c>
      <c r="E657" s="626">
        <v>2623764</v>
      </c>
      <c r="F657" s="626">
        <v>-4075859</v>
      </c>
      <c r="G657" s="626">
        <v>3185854</v>
      </c>
      <c r="H657" s="626"/>
      <c r="I657" s="627">
        <v>0</v>
      </c>
      <c r="J657" s="627">
        <v>6402431</v>
      </c>
      <c r="K657" s="627">
        <v>0</v>
      </c>
      <c r="L657" s="626">
        <v>0</v>
      </c>
      <c r="M657" s="626"/>
      <c r="N657" s="627">
        <v>748863</v>
      </c>
      <c r="O657" s="627">
        <v>7309439</v>
      </c>
      <c r="P657" s="627">
        <v>0</v>
      </c>
      <c r="Q657" s="626">
        <v>655467</v>
      </c>
      <c r="R657" s="626"/>
      <c r="S657" s="627">
        <v>1454538</v>
      </c>
      <c r="T657" s="628">
        <v>-188816</v>
      </c>
      <c r="U657" s="628">
        <v>1265722</v>
      </c>
    </row>
    <row r="658" spans="1:21" x14ac:dyDescent="0.25">
      <c r="A658" s="623">
        <v>97412</v>
      </c>
      <c r="B658" s="624" t="s">
        <v>1796</v>
      </c>
      <c r="C658" s="625">
        <v>4.1891999999999997E-3</v>
      </c>
      <c r="D658" s="625">
        <v>4.2068000000000001E-3</v>
      </c>
      <c r="E658" s="626">
        <v>1787262</v>
      </c>
      <c r="F658" s="626">
        <v>-2321809</v>
      </c>
      <c r="G658" s="626">
        <v>1880088</v>
      </c>
      <c r="H658" s="626"/>
      <c r="I658" s="627">
        <v>0</v>
      </c>
      <c r="J658" s="627">
        <v>3778307</v>
      </c>
      <c r="K658" s="627">
        <v>0</v>
      </c>
      <c r="L658" s="626">
        <v>108364</v>
      </c>
      <c r="M658" s="626"/>
      <c r="N658" s="627">
        <v>441931</v>
      </c>
      <c r="O658" s="627">
        <v>4313565</v>
      </c>
      <c r="P658" s="627">
        <v>0</v>
      </c>
      <c r="Q658" s="626">
        <v>0</v>
      </c>
      <c r="R658" s="626"/>
      <c r="S658" s="627">
        <v>858375</v>
      </c>
      <c r="T658" s="628">
        <v>32711</v>
      </c>
      <c r="U658" s="628">
        <v>891087</v>
      </c>
    </row>
    <row r="659" spans="1:21" x14ac:dyDescent="0.25">
      <c r="A659" s="623">
        <v>97413</v>
      </c>
      <c r="B659" s="624" t="s">
        <v>1797</v>
      </c>
      <c r="C659" s="625">
        <v>2.9320000000000003E-4</v>
      </c>
      <c r="D659" s="625">
        <v>3.0610000000000001E-4</v>
      </c>
      <c r="E659" s="626">
        <v>128543</v>
      </c>
      <c r="F659" s="626">
        <v>-168942</v>
      </c>
      <c r="G659" s="626">
        <v>131586</v>
      </c>
      <c r="H659" s="626"/>
      <c r="I659" s="627">
        <v>0</v>
      </c>
      <c r="J659" s="627">
        <v>264442</v>
      </c>
      <c r="K659" s="627">
        <v>0</v>
      </c>
      <c r="L659" s="626">
        <v>0</v>
      </c>
      <c r="M659" s="626"/>
      <c r="N659" s="627">
        <v>30931</v>
      </c>
      <c r="O659" s="627">
        <v>301904</v>
      </c>
      <c r="P659" s="627">
        <v>0</v>
      </c>
      <c r="Q659" s="626">
        <v>15120</v>
      </c>
      <c r="R659" s="626"/>
      <c r="S659" s="627">
        <v>60077</v>
      </c>
      <c r="T659" s="628">
        <v>-4908</v>
      </c>
      <c r="U659" s="628">
        <v>55169</v>
      </c>
    </row>
    <row r="660" spans="1:21" x14ac:dyDescent="0.25">
      <c r="A660" s="623">
        <v>97421</v>
      </c>
      <c r="B660" s="624" t="s">
        <v>1798</v>
      </c>
      <c r="C660" s="625">
        <v>4.1140000000000003E-4</v>
      </c>
      <c r="D660" s="625">
        <v>4.595E-4</v>
      </c>
      <c r="E660" s="626">
        <v>178618</v>
      </c>
      <c r="F660" s="626">
        <v>-253606</v>
      </c>
      <c r="G660" s="626">
        <v>184634</v>
      </c>
      <c r="H660" s="626"/>
      <c r="I660" s="627">
        <v>0</v>
      </c>
      <c r="J660" s="627">
        <v>371048</v>
      </c>
      <c r="K660" s="627">
        <v>0</v>
      </c>
      <c r="L660" s="626">
        <v>0</v>
      </c>
      <c r="M660" s="626"/>
      <c r="N660" s="627">
        <v>43400</v>
      </c>
      <c r="O660" s="627">
        <v>423613</v>
      </c>
      <c r="P660" s="627">
        <v>0</v>
      </c>
      <c r="Q660" s="626">
        <v>49361</v>
      </c>
      <c r="R660" s="626"/>
      <c r="S660" s="627">
        <v>84297</v>
      </c>
      <c r="T660" s="628">
        <v>-14669</v>
      </c>
      <c r="U660" s="628">
        <v>69627</v>
      </c>
    </row>
    <row r="661" spans="1:21" x14ac:dyDescent="0.25">
      <c r="A661" s="623">
        <v>97423</v>
      </c>
      <c r="B661" s="624" t="s">
        <v>1799</v>
      </c>
      <c r="C661" s="625">
        <v>4.5300000000000003E-5</v>
      </c>
      <c r="D661" s="625">
        <v>4.4499999999999997E-5</v>
      </c>
      <c r="E661" s="626">
        <v>36814</v>
      </c>
      <c r="F661" s="626">
        <v>-24560</v>
      </c>
      <c r="G661" s="626">
        <v>20330</v>
      </c>
      <c r="H661" s="626"/>
      <c r="I661" s="627">
        <v>0</v>
      </c>
      <c r="J661" s="627">
        <v>40857</v>
      </c>
      <c r="K661" s="627">
        <v>0</v>
      </c>
      <c r="L661" s="626">
        <v>15480</v>
      </c>
      <c r="M661" s="626"/>
      <c r="N661" s="627">
        <v>4779</v>
      </c>
      <c r="O661" s="627">
        <v>46645</v>
      </c>
      <c r="P661" s="627">
        <v>0</v>
      </c>
      <c r="Q661" s="626">
        <v>0</v>
      </c>
      <c r="R661" s="626"/>
      <c r="S661" s="627">
        <v>9282</v>
      </c>
      <c r="T661" s="628">
        <v>4082</v>
      </c>
      <c r="U661" s="628">
        <v>13364</v>
      </c>
    </row>
    <row r="662" spans="1:21" x14ac:dyDescent="0.25">
      <c r="A662" s="623">
        <v>97431</v>
      </c>
      <c r="B662" s="624" t="s">
        <v>1800</v>
      </c>
      <c r="C662" s="625">
        <v>8.7700000000000004E-5</v>
      </c>
      <c r="D662" s="625">
        <v>8.8800000000000004E-5</v>
      </c>
      <c r="E662" s="626">
        <v>39203</v>
      </c>
      <c r="F662" s="626">
        <v>-49010</v>
      </c>
      <c r="G662" s="626">
        <v>39359</v>
      </c>
      <c r="H662" s="626"/>
      <c r="I662" s="627">
        <v>0</v>
      </c>
      <c r="J662" s="627">
        <v>79098</v>
      </c>
      <c r="K662" s="627">
        <v>0</v>
      </c>
      <c r="L662" s="626">
        <v>2088</v>
      </c>
      <c r="M662" s="626"/>
      <c r="N662" s="627">
        <v>9252</v>
      </c>
      <c r="O662" s="627">
        <v>90304</v>
      </c>
      <c r="P662" s="627">
        <v>0</v>
      </c>
      <c r="Q662" s="626">
        <v>0</v>
      </c>
      <c r="R662" s="626"/>
      <c r="S662" s="627">
        <v>17970</v>
      </c>
      <c r="T662" s="628">
        <v>559</v>
      </c>
      <c r="U662" s="628">
        <v>18529</v>
      </c>
    </row>
    <row r="663" spans="1:21" x14ac:dyDescent="0.25">
      <c r="A663" s="623">
        <v>97441</v>
      </c>
      <c r="B663" s="624" t="s">
        <v>1801</v>
      </c>
      <c r="C663" s="625">
        <v>6.8700000000000003E-5</v>
      </c>
      <c r="D663" s="625">
        <v>6.8100000000000002E-5</v>
      </c>
      <c r="E663" s="626">
        <v>25339</v>
      </c>
      <c r="F663" s="626">
        <v>-37586</v>
      </c>
      <c r="G663" s="626">
        <v>30832</v>
      </c>
      <c r="H663" s="626"/>
      <c r="I663" s="627">
        <v>0</v>
      </c>
      <c r="J663" s="627">
        <v>61962</v>
      </c>
      <c r="K663" s="627">
        <v>0</v>
      </c>
      <c r="L663" s="626">
        <v>609.96</v>
      </c>
      <c r="M663" s="626"/>
      <c r="N663" s="627">
        <v>7247</v>
      </c>
      <c r="O663" s="627">
        <v>70739</v>
      </c>
      <c r="P663" s="627">
        <v>0</v>
      </c>
      <c r="Q663" s="626">
        <v>1727</v>
      </c>
      <c r="R663" s="626"/>
      <c r="S663" s="627">
        <v>14077</v>
      </c>
      <c r="T663" s="628">
        <v>-248</v>
      </c>
      <c r="U663" s="628">
        <v>13829</v>
      </c>
    </row>
    <row r="664" spans="1:21" x14ac:dyDescent="0.25">
      <c r="A664" s="623">
        <v>97451</v>
      </c>
      <c r="B664" s="624" t="s">
        <v>1802</v>
      </c>
      <c r="C664" s="625">
        <v>5.1670000000000004E-4</v>
      </c>
      <c r="D664" s="625">
        <v>5.2559999999999998E-4</v>
      </c>
      <c r="E664" s="626">
        <v>208790</v>
      </c>
      <c r="F664" s="626">
        <v>-290088</v>
      </c>
      <c r="G664" s="626">
        <v>231892</v>
      </c>
      <c r="H664" s="626"/>
      <c r="I664" s="627">
        <v>0</v>
      </c>
      <c r="J664" s="627">
        <v>466020</v>
      </c>
      <c r="K664" s="627">
        <v>0</v>
      </c>
      <c r="L664" s="626">
        <v>15362.62</v>
      </c>
      <c r="M664" s="626"/>
      <c r="N664" s="627">
        <v>54508</v>
      </c>
      <c r="O664" s="627">
        <v>532039</v>
      </c>
      <c r="P664" s="627">
        <v>0</v>
      </c>
      <c r="Q664" s="626">
        <v>7964</v>
      </c>
      <c r="R664" s="626"/>
      <c r="S664" s="627">
        <v>105873</v>
      </c>
      <c r="T664" s="628">
        <v>3053</v>
      </c>
      <c r="U664" s="628">
        <v>108926</v>
      </c>
    </row>
    <row r="665" spans="1:21" x14ac:dyDescent="0.25">
      <c r="A665" s="623">
        <v>97461</v>
      </c>
      <c r="B665" s="624" t="s">
        <v>1803</v>
      </c>
      <c r="C665" s="625">
        <v>5.3859999999999997E-4</v>
      </c>
      <c r="D665" s="625">
        <v>5.7419999999999997E-4</v>
      </c>
      <c r="E665" s="626">
        <v>206134</v>
      </c>
      <c r="F665" s="626">
        <v>-316911</v>
      </c>
      <c r="G665" s="626">
        <v>241720</v>
      </c>
      <c r="H665" s="626"/>
      <c r="I665" s="627">
        <v>0</v>
      </c>
      <c r="J665" s="627">
        <v>485772</v>
      </c>
      <c r="K665" s="627">
        <v>0</v>
      </c>
      <c r="L665" s="626">
        <v>6692</v>
      </c>
      <c r="M665" s="626"/>
      <c r="N665" s="627">
        <v>56819</v>
      </c>
      <c r="O665" s="627">
        <v>554589</v>
      </c>
      <c r="P665" s="627">
        <v>0</v>
      </c>
      <c r="Q665" s="626">
        <v>35892</v>
      </c>
      <c r="R665" s="626"/>
      <c r="S665" s="627">
        <v>110360</v>
      </c>
      <c r="T665" s="628">
        <v>-7158</v>
      </c>
      <c r="U665" s="628">
        <v>103202</v>
      </c>
    </row>
    <row r="666" spans="1:21" x14ac:dyDescent="0.25">
      <c r="A666" s="623">
        <v>97463</v>
      </c>
      <c r="B666" s="624" t="s">
        <v>1804</v>
      </c>
      <c r="C666" s="625">
        <v>5.6400000000000002E-5</v>
      </c>
      <c r="D666" s="625">
        <v>5.3399999999999997E-5</v>
      </c>
      <c r="E666" s="626">
        <v>22186</v>
      </c>
      <c r="F666" s="626">
        <v>-29472</v>
      </c>
      <c r="G666" s="626">
        <v>25312</v>
      </c>
      <c r="H666" s="626"/>
      <c r="I666" s="627">
        <v>0</v>
      </c>
      <c r="J666" s="627">
        <v>50868</v>
      </c>
      <c r="K666" s="627">
        <v>0</v>
      </c>
      <c r="L666" s="626">
        <v>3657</v>
      </c>
      <c r="M666" s="626"/>
      <c r="N666" s="627">
        <v>5950</v>
      </c>
      <c r="O666" s="627">
        <v>58074</v>
      </c>
      <c r="P666" s="627">
        <v>0</v>
      </c>
      <c r="Q666" s="626">
        <v>0</v>
      </c>
      <c r="R666" s="626"/>
      <c r="S666" s="627">
        <v>11556</v>
      </c>
      <c r="T666" s="628">
        <v>1119</v>
      </c>
      <c r="U666" s="628">
        <v>12675</v>
      </c>
    </row>
    <row r="667" spans="1:21" x14ac:dyDescent="0.25">
      <c r="A667" s="623">
        <v>97471</v>
      </c>
      <c r="B667" s="624" t="s">
        <v>1805</v>
      </c>
      <c r="C667" s="625">
        <v>1.31E-5</v>
      </c>
      <c r="D667" s="625">
        <v>1.33E-5</v>
      </c>
      <c r="E667" s="626">
        <v>8318</v>
      </c>
      <c r="F667" s="626">
        <v>-7341</v>
      </c>
      <c r="G667" s="626">
        <v>5879</v>
      </c>
      <c r="H667" s="626"/>
      <c r="I667" s="627">
        <v>0</v>
      </c>
      <c r="J667" s="627">
        <v>11815</v>
      </c>
      <c r="K667" s="627">
        <v>0</v>
      </c>
      <c r="L667" s="626">
        <v>3951</v>
      </c>
      <c r="M667" s="626"/>
      <c r="N667" s="627">
        <v>1382</v>
      </c>
      <c r="O667" s="627">
        <v>13489</v>
      </c>
      <c r="P667" s="627">
        <v>0</v>
      </c>
      <c r="Q667" s="626">
        <v>0</v>
      </c>
      <c r="R667" s="626"/>
      <c r="S667" s="627">
        <v>2684</v>
      </c>
      <c r="T667" s="628">
        <v>1160</v>
      </c>
      <c r="U667" s="628">
        <v>3845</v>
      </c>
    </row>
    <row r="668" spans="1:21" x14ac:dyDescent="0.25">
      <c r="A668" s="623">
        <v>97481</v>
      </c>
      <c r="B668" s="624" t="s">
        <v>1806</v>
      </c>
      <c r="C668" s="625">
        <v>1.13E-5</v>
      </c>
      <c r="D668" s="625">
        <v>1.0900000000000001E-5</v>
      </c>
      <c r="E668" s="626">
        <v>5838</v>
      </c>
      <c r="F668" s="626">
        <v>-6016</v>
      </c>
      <c r="G668" s="626">
        <v>5071</v>
      </c>
      <c r="H668" s="626"/>
      <c r="I668" s="627">
        <v>0</v>
      </c>
      <c r="J668" s="627">
        <v>10192</v>
      </c>
      <c r="K668" s="627">
        <v>0</v>
      </c>
      <c r="L668" s="626">
        <v>5813</v>
      </c>
      <c r="M668" s="626"/>
      <c r="N668" s="627">
        <v>1192</v>
      </c>
      <c r="O668" s="627">
        <v>11635</v>
      </c>
      <c r="P668" s="627">
        <v>0</v>
      </c>
      <c r="Q668" s="626">
        <v>0</v>
      </c>
      <c r="R668" s="626"/>
      <c r="S668" s="627">
        <v>2315</v>
      </c>
      <c r="T668" s="628">
        <v>1853</v>
      </c>
      <c r="U668" s="628">
        <v>4169</v>
      </c>
    </row>
    <row r="669" spans="1:21" x14ac:dyDescent="0.25">
      <c r="A669" s="623">
        <v>97491</v>
      </c>
      <c r="B669" s="624" t="s">
        <v>1807</v>
      </c>
      <c r="C669" s="625">
        <v>0</v>
      </c>
      <c r="D669" s="625">
        <v>1.9400000000000001E-5</v>
      </c>
      <c r="E669" s="626"/>
      <c r="F669" s="626">
        <v>-10707</v>
      </c>
      <c r="G669" s="626">
        <v>0</v>
      </c>
      <c r="H669" s="626"/>
      <c r="I669" s="627">
        <v>0</v>
      </c>
      <c r="J669" s="627">
        <v>0</v>
      </c>
      <c r="K669" s="627">
        <v>0</v>
      </c>
      <c r="L669" s="626">
        <v>0</v>
      </c>
      <c r="M669" s="626"/>
      <c r="N669" s="627">
        <v>0</v>
      </c>
      <c r="O669" s="627">
        <v>0</v>
      </c>
      <c r="P669" s="627">
        <v>0</v>
      </c>
      <c r="Q669" s="626">
        <v>17731</v>
      </c>
      <c r="R669" s="626"/>
      <c r="S669" s="627">
        <v>0</v>
      </c>
      <c r="T669" s="628">
        <v>-4941</v>
      </c>
      <c r="U669" s="628">
        <v>-4941</v>
      </c>
    </row>
    <row r="670" spans="1:21" x14ac:dyDescent="0.25">
      <c r="A670" s="623">
        <v>97501</v>
      </c>
      <c r="B670" s="624" t="s">
        <v>1808</v>
      </c>
      <c r="C670" s="625">
        <v>9.7659999999999999E-4</v>
      </c>
      <c r="D670" s="625">
        <v>9.7519999999999996E-4</v>
      </c>
      <c r="E670" s="626">
        <v>412613</v>
      </c>
      <c r="F670" s="626">
        <v>-538230</v>
      </c>
      <c r="G670" s="626">
        <v>438292</v>
      </c>
      <c r="H670" s="626"/>
      <c r="I670" s="627">
        <v>0</v>
      </c>
      <c r="J670" s="627">
        <v>880811</v>
      </c>
      <c r="K670" s="627">
        <v>0</v>
      </c>
      <c r="L670" s="626">
        <v>56032</v>
      </c>
      <c r="M670" s="626"/>
      <c r="N670" s="627">
        <v>103024</v>
      </c>
      <c r="O670" s="627">
        <v>1005592</v>
      </c>
      <c r="P670" s="627">
        <v>0</v>
      </c>
      <c r="Q670" s="626">
        <v>0</v>
      </c>
      <c r="R670" s="626"/>
      <c r="S670" s="627">
        <v>200107</v>
      </c>
      <c r="T670" s="628">
        <v>17869</v>
      </c>
      <c r="U670" s="628">
        <v>217976</v>
      </c>
    </row>
    <row r="671" spans="1:21" x14ac:dyDescent="0.25">
      <c r="A671" s="623">
        <v>97511</v>
      </c>
      <c r="B671" s="624" t="s">
        <v>1809</v>
      </c>
      <c r="C671" s="625">
        <v>2.1719999999999999E-4</v>
      </c>
      <c r="D671" s="625">
        <v>2.2790000000000001E-4</v>
      </c>
      <c r="E671" s="626">
        <v>95918</v>
      </c>
      <c r="F671" s="626">
        <v>-125782</v>
      </c>
      <c r="G671" s="626">
        <v>97478</v>
      </c>
      <c r="H671" s="626"/>
      <c r="I671" s="627">
        <v>0</v>
      </c>
      <c r="J671" s="627">
        <v>195896</v>
      </c>
      <c r="K671" s="627">
        <v>0</v>
      </c>
      <c r="L671" s="626">
        <v>1256</v>
      </c>
      <c r="M671" s="626"/>
      <c r="N671" s="627">
        <v>22913</v>
      </c>
      <c r="O671" s="627">
        <v>223648</v>
      </c>
      <c r="P671" s="627">
        <v>0</v>
      </c>
      <c r="Q671" s="626">
        <v>1771</v>
      </c>
      <c r="R671" s="626"/>
      <c r="S671" s="627">
        <v>44505</v>
      </c>
      <c r="T671" s="628">
        <v>-44</v>
      </c>
      <c r="U671" s="628">
        <v>44461</v>
      </c>
    </row>
    <row r="672" spans="1:21" x14ac:dyDescent="0.25">
      <c r="A672" s="623">
        <v>97521</v>
      </c>
      <c r="B672" s="624" t="s">
        <v>1810</v>
      </c>
      <c r="C672" s="625">
        <v>1.404E-4</v>
      </c>
      <c r="D672" s="625">
        <v>1.4559999999999999E-4</v>
      </c>
      <c r="E672" s="626">
        <v>49066</v>
      </c>
      <c r="F672" s="626">
        <v>-80359</v>
      </c>
      <c r="G672" s="626">
        <v>63011</v>
      </c>
      <c r="H672" s="626"/>
      <c r="I672" s="627">
        <v>0</v>
      </c>
      <c r="J672" s="627">
        <v>126629</v>
      </c>
      <c r="K672" s="627">
        <v>0</v>
      </c>
      <c r="L672" s="626">
        <v>6613.88</v>
      </c>
      <c r="M672" s="626"/>
      <c r="N672" s="627">
        <v>14811</v>
      </c>
      <c r="O672" s="627">
        <v>144568</v>
      </c>
      <c r="P672" s="627">
        <v>0</v>
      </c>
      <c r="Q672" s="626">
        <v>10193</v>
      </c>
      <c r="R672" s="626"/>
      <c r="S672" s="627">
        <v>28768</v>
      </c>
      <c r="T672" s="628">
        <v>-456</v>
      </c>
      <c r="U672" s="628">
        <v>28312</v>
      </c>
    </row>
    <row r="673" spans="1:21" x14ac:dyDescent="0.25">
      <c r="A673" s="623">
        <v>97531</v>
      </c>
      <c r="B673" s="624" t="s">
        <v>1811</v>
      </c>
      <c r="C673" s="625">
        <v>3.5099999999999999E-5</v>
      </c>
      <c r="D673" s="625">
        <v>6.5500000000000006E-5</v>
      </c>
      <c r="E673" s="626">
        <v>20544</v>
      </c>
      <c r="F673" s="626">
        <v>-36151</v>
      </c>
      <c r="G673" s="626">
        <v>15753</v>
      </c>
      <c r="H673" s="626"/>
      <c r="I673" s="627">
        <v>0</v>
      </c>
      <c r="J673" s="627">
        <v>31657</v>
      </c>
      <c r="K673" s="627">
        <v>0</v>
      </c>
      <c r="L673" s="626">
        <v>0</v>
      </c>
      <c r="M673" s="626"/>
      <c r="N673" s="627">
        <v>3703</v>
      </c>
      <c r="O673" s="627">
        <v>36142</v>
      </c>
      <c r="P673" s="627">
        <v>0</v>
      </c>
      <c r="Q673" s="626">
        <v>20137</v>
      </c>
      <c r="R673" s="626"/>
      <c r="S673" s="627">
        <v>7192</v>
      </c>
      <c r="T673" s="628">
        <v>-5542</v>
      </c>
      <c r="U673" s="628">
        <v>1650</v>
      </c>
    </row>
    <row r="674" spans="1:21" x14ac:dyDescent="0.25">
      <c r="A674" s="623">
        <v>97601</v>
      </c>
      <c r="B674" s="624" t="s">
        <v>1812</v>
      </c>
      <c r="C674" s="625">
        <v>4.8238999999999999E-3</v>
      </c>
      <c r="D674" s="625">
        <v>4.8945999999999998E-3</v>
      </c>
      <c r="E674" s="626">
        <v>1952839</v>
      </c>
      <c r="F674" s="626">
        <v>-2701418</v>
      </c>
      <c r="G674" s="626">
        <v>2164937</v>
      </c>
      <c r="H674" s="626"/>
      <c r="I674" s="627">
        <v>0</v>
      </c>
      <c r="J674" s="627">
        <v>4350753</v>
      </c>
      <c r="K674" s="627">
        <v>0</v>
      </c>
      <c r="L674" s="626">
        <v>0</v>
      </c>
      <c r="M674" s="626"/>
      <c r="N674" s="627">
        <v>508888</v>
      </c>
      <c r="O674" s="627">
        <v>4967107</v>
      </c>
      <c r="P674" s="627">
        <v>0</v>
      </c>
      <c r="Q674" s="626">
        <v>99926</v>
      </c>
      <c r="R674" s="626"/>
      <c r="S674" s="627">
        <v>988427</v>
      </c>
      <c r="T674" s="628">
        <v>-28855</v>
      </c>
      <c r="U674" s="628">
        <v>959572</v>
      </c>
    </row>
    <row r="675" spans="1:21" x14ac:dyDescent="0.25">
      <c r="A675" s="623">
        <v>97607</v>
      </c>
      <c r="B675" s="624" t="s">
        <v>1813</v>
      </c>
      <c r="C675" s="625">
        <v>2.27E-5</v>
      </c>
      <c r="D675" s="625">
        <v>2.1500000000000001E-5</v>
      </c>
      <c r="E675" s="626">
        <v>13153</v>
      </c>
      <c r="F675" s="626">
        <v>-11866</v>
      </c>
      <c r="G675" s="626">
        <v>10188</v>
      </c>
      <c r="H675" s="626"/>
      <c r="I675" s="627">
        <v>0</v>
      </c>
      <c r="J675" s="627">
        <v>20473</v>
      </c>
      <c r="K675" s="627">
        <v>0</v>
      </c>
      <c r="L675" s="626">
        <v>9315</v>
      </c>
      <c r="M675" s="626"/>
      <c r="N675" s="627">
        <v>2395</v>
      </c>
      <c r="O675" s="627">
        <v>23374</v>
      </c>
      <c r="P675" s="627">
        <v>0</v>
      </c>
      <c r="Q675" s="626">
        <v>0</v>
      </c>
      <c r="R675" s="626"/>
      <c r="S675" s="627">
        <v>4651</v>
      </c>
      <c r="T675" s="628">
        <v>2830</v>
      </c>
      <c r="U675" s="628">
        <v>7482</v>
      </c>
    </row>
    <row r="676" spans="1:21" x14ac:dyDescent="0.25">
      <c r="A676" s="623">
        <v>97611</v>
      </c>
      <c r="B676" s="624" t="s">
        <v>1814</v>
      </c>
      <c r="C676" s="625">
        <v>2.7582000000000001E-3</v>
      </c>
      <c r="D676" s="625">
        <v>2.7924E-3</v>
      </c>
      <c r="E676" s="626">
        <v>1054751</v>
      </c>
      <c r="F676" s="626">
        <v>-1541176</v>
      </c>
      <c r="G676" s="626">
        <v>1237864</v>
      </c>
      <c r="H676" s="626"/>
      <c r="I676" s="627">
        <v>0</v>
      </c>
      <c r="J676" s="627">
        <v>2487665</v>
      </c>
      <c r="K676" s="627">
        <v>0</v>
      </c>
      <c r="L676" s="626">
        <v>0</v>
      </c>
      <c r="M676" s="626"/>
      <c r="N676" s="627">
        <v>290971</v>
      </c>
      <c r="O676" s="627">
        <v>2840083</v>
      </c>
      <c r="P676" s="627">
        <v>0</v>
      </c>
      <c r="Q676" s="626">
        <v>175198</v>
      </c>
      <c r="R676" s="626"/>
      <c r="S676" s="627">
        <v>565161</v>
      </c>
      <c r="T676" s="628">
        <v>-52740</v>
      </c>
      <c r="U676" s="628">
        <v>512420</v>
      </c>
    </row>
    <row r="677" spans="1:21" x14ac:dyDescent="0.25">
      <c r="A677" s="623">
        <v>97613</v>
      </c>
      <c r="B677" s="624" t="s">
        <v>1815</v>
      </c>
      <c r="C677" s="625">
        <v>1.21E-4</v>
      </c>
      <c r="D677" s="625">
        <v>1.3889999999999999E-4</v>
      </c>
      <c r="E677" s="626">
        <v>56232</v>
      </c>
      <c r="F677" s="626">
        <v>-76661</v>
      </c>
      <c r="G677" s="626">
        <v>54304</v>
      </c>
      <c r="H677" s="626"/>
      <c r="I677" s="627">
        <v>0</v>
      </c>
      <c r="J677" s="627">
        <v>109132</v>
      </c>
      <c r="K677" s="627">
        <v>0</v>
      </c>
      <c r="L677" s="626">
        <v>0</v>
      </c>
      <c r="M677" s="626"/>
      <c r="N677" s="627">
        <v>12765</v>
      </c>
      <c r="O677" s="627">
        <v>124592</v>
      </c>
      <c r="P677" s="627">
        <v>0</v>
      </c>
      <c r="Q677" s="626">
        <v>7211</v>
      </c>
      <c r="R677" s="626"/>
      <c r="S677" s="627">
        <v>24793</v>
      </c>
      <c r="T677" s="628">
        <v>-1892</v>
      </c>
      <c r="U677" s="628">
        <v>22901</v>
      </c>
    </row>
    <row r="678" spans="1:21" x14ac:dyDescent="0.25">
      <c r="A678" s="623">
        <v>97621</v>
      </c>
      <c r="B678" s="624" t="s">
        <v>1816</v>
      </c>
      <c r="C678" s="625">
        <v>5.1290000000000005E-4</v>
      </c>
      <c r="D678" s="625">
        <v>4.1780000000000002E-4</v>
      </c>
      <c r="E678" s="626">
        <v>167007</v>
      </c>
      <c r="F678" s="626">
        <v>-230591</v>
      </c>
      <c r="G678" s="626">
        <v>230186</v>
      </c>
      <c r="H678" s="626"/>
      <c r="I678" s="627">
        <v>0</v>
      </c>
      <c r="J678" s="627">
        <v>462593</v>
      </c>
      <c r="K678" s="627">
        <v>0</v>
      </c>
      <c r="L678" s="626">
        <v>33286</v>
      </c>
      <c r="M678" s="626"/>
      <c r="N678" s="627">
        <v>54107</v>
      </c>
      <c r="O678" s="627">
        <v>528126</v>
      </c>
      <c r="P678" s="627">
        <v>0</v>
      </c>
      <c r="Q678" s="626">
        <v>0</v>
      </c>
      <c r="R678" s="626"/>
      <c r="S678" s="627">
        <v>105094</v>
      </c>
      <c r="T678" s="628">
        <v>8725</v>
      </c>
      <c r="U678" s="628">
        <v>113819</v>
      </c>
    </row>
    <row r="679" spans="1:21" x14ac:dyDescent="0.25">
      <c r="A679" s="623">
        <v>97623</v>
      </c>
      <c r="B679" s="624" t="s">
        <v>1817</v>
      </c>
      <c r="C679" s="625">
        <v>3.0000000000000001E-5</v>
      </c>
      <c r="D679" s="625">
        <v>2.76E-5</v>
      </c>
      <c r="E679" s="626">
        <v>23381</v>
      </c>
      <c r="F679" s="626">
        <v>-15233</v>
      </c>
      <c r="G679" s="626">
        <v>13463.82</v>
      </c>
      <c r="H679" s="626"/>
      <c r="I679" s="627">
        <v>0</v>
      </c>
      <c r="J679" s="627">
        <v>27057.48</v>
      </c>
      <c r="K679" s="627">
        <v>0</v>
      </c>
      <c r="L679" s="626">
        <v>12396</v>
      </c>
      <c r="M679" s="626"/>
      <c r="N679" s="627">
        <v>3164.79</v>
      </c>
      <c r="O679" s="627">
        <v>30890.61</v>
      </c>
      <c r="P679" s="627">
        <v>0</v>
      </c>
      <c r="Q679" s="626">
        <v>0</v>
      </c>
      <c r="R679" s="626"/>
      <c r="S679" s="627">
        <v>6147.06</v>
      </c>
      <c r="T679" s="628">
        <v>3382</v>
      </c>
      <c r="U679" s="628">
        <v>9530</v>
      </c>
    </row>
    <row r="680" spans="1:21" x14ac:dyDescent="0.25">
      <c r="A680" s="623">
        <v>97627</v>
      </c>
      <c r="B680" s="624" t="s">
        <v>1818</v>
      </c>
      <c r="C680" s="625">
        <v>9.0999999999999993E-6</v>
      </c>
      <c r="D680" s="625">
        <v>1.36E-5</v>
      </c>
      <c r="E680" s="626">
        <v>5031</v>
      </c>
      <c r="F680" s="626">
        <v>-7506</v>
      </c>
      <c r="G680" s="626">
        <v>4084</v>
      </c>
      <c r="H680" s="626"/>
      <c r="I680" s="627">
        <v>0</v>
      </c>
      <c r="J680" s="627">
        <v>8207</v>
      </c>
      <c r="K680" s="627">
        <v>0</v>
      </c>
      <c r="L680" s="626">
        <v>574</v>
      </c>
      <c r="M680" s="626"/>
      <c r="N680" s="627">
        <v>960</v>
      </c>
      <c r="O680" s="627">
        <v>9370</v>
      </c>
      <c r="P680" s="627">
        <v>0</v>
      </c>
      <c r="Q680" s="626">
        <v>2115</v>
      </c>
      <c r="R680" s="626"/>
      <c r="S680" s="627">
        <v>1865</v>
      </c>
      <c r="T680" s="628">
        <v>-362</v>
      </c>
      <c r="U680" s="628">
        <v>1503</v>
      </c>
    </row>
    <row r="681" spans="1:21" x14ac:dyDescent="0.25">
      <c r="A681" s="623">
        <v>97631</v>
      </c>
      <c r="B681" s="624" t="s">
        <v>1819</v>
      </c>
      <c r="C681" s="625">
        <v>1.7239999999999999E-4</v>
      </c>
      <c r="D681" s="625">
        <v>1.628E-4</v>
      </c>
      <c r="E681" s="626">
        <v>69500</v>
      </c>
      <c r="F681" s="626">
        <v>-89852</v>
      </c>
      <c r="G681" s="626">
        <v>77372</v>
      </c>
      <c r="H681" s="626"/>
      <c r="I681" s="627">
        <v>0</v>
      </c>
      <c r="J681" s="627">
        <v>155490</v>
      </c>
      <c r="K681" s="627">
        <v>0</v>
      </c>
      <c r="L681" s="626">
        <v>13630</v>
      </c>
      <c r="M681" s="626"/>
      <c r="N681" s="627">
        <v>18187</v>
      </c>
      <c r="O681" s="627">
        <v>177518</v>
      </c>
      <c r="P681" s="627">
        <v>0</v>
      </c>
      <c r="Q681" s="626">
        <v>0</v>
      </c>
      <c r="R681" s="626"/>
      <c r="S681" s="627">
        <v>35325</v>
      </c>
      <c r="T681" s="628">
        <v>4120</v>
      </c>
      <c r="U681" s="628">
        <v>39445</v>
      </c>
    </row>
    <row r="682" spans="1:21" x14ac:dyDescent="0.25">
      <c r="A682" s="623">
        <v>97637</v>
      </c>
      <c r="B682" s="624" t="s">
        <v>1820</v>
      </c>
      <c r="C682" s="625">
        <v>6.1999999999999999E-6</v>
      </c>
      <c r="D682" s="625">
        <v>6.4999999999999996E-6</v>
      </c>
      <c r="E682" s="626">
        <v>3662</v>
      </c>
      <c r="F682" s="626">
        <v>-3587</v>
      </c>
      <c r="G682" s="626">
        <v>2783</v>
      </c>
      <c r="H682" s="626"/>
      <c r="I682" s="627">
        <v>0</v>
      </c>
      <c r="J682" s="627">
        <v>5592</v>
      </c>
      <c r="K682" s="627">
        <v>0</v>
      </c>
      <c r="L682" s="626">
        <v>910</v>
      </c>
      <c r="M682" s="626"/>
      <c r="N682" s="627">
        <v>654</v>
      </c>
      <c r="O682" s="627">
        <v>6384</v>
      </c>
      <c r="P682" s="627">
        <v>0</v>
      </c>
      <c r="Q682" s="626">
        <v>0</v>
      </c>
      <c r="R682" s="626"/>
      <c r="S682" s="627">
        <v>1270</v>
      </c>
      <c r="T682" s="628">
        <v>254</v>
      </c>
      <c r="U682" s="628">
        <v>1525</v>
      </c>
    </row>
    <row r="683" spans="1:21" x14ac:dyDescent="0.25">
      <c r="A683" s="623">
        <v>97641</v>
      </c>
      <c r="B683" s="624" t="s">
        <v>1821</v>
      </c>
      <c r="C683" s="625">
        <v>5.3900000000000002E-5</v>
      </c>
      <c r="D683" s="625">
        <v>5.8799999999999999E-5</v>
      </c>
      <c r="E683" s="626">
        <v>34147</v>
      </c>
      <c r="F683" s="626">
        <v>-32453</v>
      </c>
      <c r="G683" s="626">
        <v>24190</v>
      </c>
      <c r="H683" s="626"/>
      <c r="I683" s="627">
        <v>0</v>
      </c>
      <c r="J683" s="627">
        <v>48613</v>
      </c>
      <c r="K683" s="627">
        <v>0</v>
      </c>
      <c r="L683" s="626">
        <v>6183</v>
      </c>
      <c r="M683" s="626"/>
      <c r="N683" s="627">
        <v>5686</v>
      </c>
      <c r="O683" s="627">
        <v>55500</v>
      </c>
      <c r="P683" s="627">
        <v>0</v>
      </c>
      <c r="Q683" s="626">
        <v>8725</v>
      </c>
      <c r="R683" s="626"/>
      <c r="S683" s="627">
        <v>11044</v>
      </c>
      <c r="T683" s="628">
        <v>-1299</v>
      </c>
      <c r="U683" s="628">
        <v>9745</v>
      </c>
    </row>
    <row r="684" spans="1:21" x14ac:dyDescent="0.25">
      <c r="A684" s="623">
        <v>97651</v>
      </c>
      <c r="B684" s="624" t="s">
        <v>1822</v>
      </c>
      <c r="C684" s="625">
        <v>5.4140000000000004E-4</v>
      </c>
      <c r="D684" s="625">
        <v>5.0819999999999999E-4</v>
      </c>
      <c r="E684" s="626">
        <v>198590</v>
      </c>
      <c r="F684" s="626">
        <v>-280485</v>
      </c>
      <c r="G684" s="626">
        <v>242977</v>
      </c>
      <c r="H684" s="626"/>
      <c r="I684" s="627">
        <v>0</v>
      </c>
      <c r="J684" s="627">
        <v>488297</v>
      </c>
      <c r="K684" s="627">
        <v>0</v>
      </c>
      <c r="L684" s="626">
        <v>5502</v>
      </c>
      <c r="M684" s="626"/>
      <c r="N684" s="627">
        <v>57114</v>
      </c>
      <c r="O684" s="627">
        <v>557473</v>
      </c>
      <c r="P684" s="627">
        <v>0</v>
      </c>
      <c r="Q684" s="626">
        <v>31347</v>
      </c>
      <c r="R684" s="626"/>
      <c r="S684" s="627">
        <v>110934</v>
      </c>
      <c r="T684" s="628">
        <v>-9044</v>
      </c>
      <c r="U684" s="628">
        <v>101890</v>
      </c>
    </row>
    <row r="685" spans="1:21" x14ac:dyDescent="0.25">
      <c r="A685" s="623">
        <v>97661</v>
      </c>
      <c r="B685" s="624" t="s">
        <v>1823</v>
      </c>
      <c r="C685" s="625">
        <v>3.1999999999999999E-5</v>
      </c>
      <c r="D685" s="625">
        <v>4.1E-5</v>
      </c>
      <c r="E685" s="626">
        <v>15968</v>
      </c>
      <c r="F685" s="626">
        <v>-22629</v>
      </c>
      <c r="G685" s="626">
        <v>14361</v>
      </c>
      <c r="H685" s="626"/>
      <c r="I685" s="627">
        <v>0</v>
      </c>
      <c r="J685" s="627">
        <v>28861</v>
      </c>
      <c r="K685" s="627">
        <v>0</v>
      </c>
      <c r="L685" s="626">
        <v>7917.52</v>
      </c>
      <c r="M685" s="626"/>
      <c r="N685" s="627">
        <v>3376</v>
      </c>
      <c r="O685" s="627">
        <v>32950</v>
      </c>
      <c r="P685" s="627">
        <v>0</v>
      </c>
      <c r="Q685" s="626">
        <v>4015</v>
      </c>
      <c r="R685" s="626"/>
      <c r="S685" s="627">
        <v>6557</v>
      </c>
      <c r="T685" s="628">
        <v>1597</v>
      </c>
      <c r="U685" s="628">
        <v>8154</v>
      </c>
    </row>
    <row r="686" spans="1:21" x14ac:dyDescent="0.25">
      <c r="A686" s="623">
        <v>97701</v>
      </c>
      <c r="B686" s="624" t="s">
        <v>1824</v>
      </c>
      <c r="C686" s="625">
        <v>2.4424999999999998E-3</v>
      </c>
      <c r="D686" s="625">
        <v>2.4356E-3</v>
      </c>
      <c r="E686" s="626">
        <v>1011552</v>
      </c>
      <c r="F686" s="626">
        <v>-1344251</v>
      </c>
      <c r="G686" s="626">
        <v>1096179</v>
      </c>
      <c r="H686" s="626"/>
      <c r="I686" s="627">
        <v>0</v>
      </c>
      <c r="J686" s="627">
        <v>2202930</v>
      </c>
      <c r="K686" s="627">
        <v>0</v>
      </c>
      <c r="L686" s="626">
        <v>16193</v>
      </c>
      <c r="M686" s="626"/>
      <c r="N686" s="627">
        <v>257667</v>
      </c>
      <c r="O686" s="627">
        <v>2515010</v>
      </c>
      <c r="P686" s="627">
        <v>0</v>
      </c>
      <c r="Q686" s="626">
        <v>26195</v>
      </c>
      <c r="R686" s="626"/>
      <c r="S686" s="627">
        <v>500473</v>
      </c>
      <c r="T686" s="628">
        <v>-4522</v>
      </c>
      <c r="U686" s="628">
        <v>495951</v>
      </c>
    </row>
    <row r="687" spans="1:21" x14ac:dyDescent="0.25">
      <c r="A687" s="623">
        <v>97705</v>
      </c>
      <c r="B687" s="624" t="s">
        <v>1825</v>
      </c>
      <c r="C687" s="625">
        <v>5.1700000000000003E-5</v>
      </c>
      <c r="D687" s="625">
        <v>5.8300000000000001E-5</v>
      </c>
      <c r="E687" s="626">
        <v>20926</v>
      </c>
      <c r="F687" s="626">
        <v>-32177</v>
      </c>
      <c r="G687" s="626">
        <v>23203</v>
      </c>
      <c r="H687" s="626"/>
      <c r="I687" s="627">
        <v>0</v>
      </c>
      <c r="J687" s="627">
        <v>46629</v>
      </c>
      <c r="K687" s="627">
        <v>0</v>
      </c>
      <c r="L687" s="626">
        <v>9594.91</v>
      </c>
      <c r="M687" s="626"/>
      <c r="N687" s="627">
        <v>5454</v>
      </c>
      <c r="O687" s="627">
        <v>53235</v>
      </c>
      <c r="P687" s="627">
        <v>0</v>
      </c>
      <c r="Q687" s="626">
        <v>4776</v>
      </c>
      <c r="R687" s="626"/>
      <c r="S687" s="627">
        <v>10593</v>
      </c>
      <c r="T687" s="628">
        <v>1959</v>
      </c>
      <c r="U687" s="628">
        <v>12552</v>
      </c>
    </row>
    <row r="688" spans="1:21" x14ac:dyDescent="0.25">
      <c r="A688" s="623">
        <v>97711</v>
      </c>
      <c r="B688" s="624" t="s">
        <v>1826</v>
      </c>
      <c r="C688" s="625">
        <v>9.6489999999999998E-4</v>
      </c>
      <c r="D688" s="625">
        <v>9.3789999999999998E-4</v>
      </c>
      <c r="E688" s="626">
        <v>378945</v>
      </c>
      <c r="F688" s="626">
        <v>-517644</v>
      </c>
      <c r="G688" s="626">
        <v>433041</v>
      </c>
      <c r="H688" s="626"/>
      <c r="I688" s="627">
        <v>0</v>
      </c>
      <c r="J688" s="627">
        <v>870259</v>
      </c>
      <c r="K688" s="627">
        <v>0</v>
      </c>
      <c r="L688" s="626">
        <v>27003</v>
      </c>
      <c r="M688" s="626"/>
      <c r="N688" s="627">
        <v>101790</v>
      </c>
      <c r="O688" s="627">
        <v>993545</v>
      </c>
      <c r="P688" s="627">
        <v>0</v>
      </c>
      <c r="Q688" s="626">
        <v>0</v>
      </c>
      <c r="R688" s="626"/>
      <c r="S688" s="627">
        <v>197710</v>
      </c>
      <c r="T688" s="628">
        <v>8519</v>
      </c>
      <c r="U688" s="628">
        <v>206229</v>
      </c>
    </row>
    <row r="689" spans="1:21" x14ac:dyDescent="0.25">
      <c r="A689" s="623">
        <v>97713</v>
      </c>
      <c r="B689" s="624" t="s">
        <v>1827</v>
      </c>
      <c r="C689" s="625">
        <v>5.5600000000000003E-5</v>
      </c>
      <c r="D689" s="625">
        <v>6.2600000000000004E-5</v>
      </c>
      <c r="E689" s="626">
        <v>18570</v>
      </c>
      <c r="F689" s="626">
        <v>-34550</v>
      </c>
      <c r="G689" s="626">
        <v>24953</v>
      </c>
      <c r="H689" s="626"/>
      <c r="I689" s="627">
        <v>0</v>
      </c>
      <c r="J689" s="627">
        <v>50147</v>
      </c>
      <c r="K689" s="627">
        <v>0</v>
      </c>
      <c r="L689" s="626">
        <v>2799</v>
      </c>
      <c r="M689" s="626"/>
      <c r="N689" s="627">
        <v>5865</v>
      </c>
      <c r="O689" s="627">
        <v>57251</v>
      </c>
      <c r="P689" s="627">
        <v>0</v>
      </c>
      <c r="Q689" s="626">
        <v>8186</v>
      </c>
      <c r="R689" s="626"/>
      <c r="S689" s="627">
        <v>11393</v>
      </c>
      <c r="T689" s="628">
        <v>-1207</v>
      </c>
      <c r="U689" s="628">
        <v>10186</v>
      </c>
    </row>
    <row r="690" spans="1:21" x14ac:dyDescent="0.25">
      <c r="A690" s="623">
        <v>97717</v>
      </c>
      <c r="B690" s="624" t="s">
        <v>1828</v>
      </c>
      <c r="C690" s="625">
        <v>6.6000000000000003E-6</v>
      </c>
      <c r="D690" s="625">
        <v>1.0200000000000001E-5</v>
      </c>
      <c r="E690" s="626">
        <v>4335</v>
      </c>
      <c r="F690" s="626">
        <v>-5630</v>
      </c>
      <c r="G690" s="626">
        <v>2962</v>
      </c>
      <c r="H690" s="626"/>
      <c r="I690" s="627">
        <v>0</v>
      </c>
      <c r="J690" s="627">
        <v>5953</v>
      </c>
      <c r="K690" s="627">
        <v>0</v>
      </c>
      <c r="L690" s="626">
        <v>0</v>
      </c>
      <c r="M690" s="626"/>
      <c r="N690" s="627">
        <v>696</v>
      </c>
      <c r="O690" s="627">
        <v>6796</v>
      </c>
      <c r="P690" s="627">
        <v>0</v>
      </c>
      <c r="Q690" s="626">
        <v>4817</v>
      </c>
      <c r="R690" s="626"/>
      <c r="S690" s="627">
        <v>1352</v>
      </c>
      <c r="T690" s="628">
        <v>-1522</v>
      </c>
      <c r="U690" s="628">
        <v>-170</v>
      </c>
    </row>
    <row r="691" spans="1:21" x14ac:dyDescent="0.25">
      <c r="A691" s="623">
        <v>97721</v>
      </c>
      <c r="B691" s="624" t="s">
        <v>1829</v>
      </c>
      <c r="C691" s="625">
        <v>5.2689999999999996E-4</v>
      </c>
      <c r="D691" s="625">
        <v>6.1399999999999996E-4</v>
      </c>
      <c r="E691" s="626">
        <v>229481</v>
      </c>
      <c r="F691" s="626">
        <v>-338878</v>
      </c>
      <c r="G691" s="626">
        <v>236470</v>
      </c>
      <c r="H691" s="626"/>
      <c r="I691" s="627">
        <v>0</v>
      </c>
      <c r="J691" s="627">
        <v>475220</v>
      </c>
      <c r="K691" s="627">
        <v>0</v>
      </c>
      <c r="L691" s="626">
        <v>5208.58</v>
      </c>
      <c r="M691" s="626"/>
      <c r="N691" s="627">
        <v>55584</v>
      </c>
      <c r="O691" s="627">
        <v>542542</v>
      </c>
      <c r="P691" s="627">
        <v>0</v>
      </c>
      <c r="Q691" s="626">
        <v>49743</v>
      </c>
      <c r="R691" s="626"/>
      <c r="S691" s="627">
        <v>107963</v>
      </c>
      <c r="T691" s="628">
        <v>-11280</v>
      </c>
      <c r="U691" s="628">
        <v>96683</v>
      </c>
    </row>
    <row r="692" spans="1:21" x14ac:dyDescent="0.25">
      <c r="A692" s="623">
        <v>97727</v>
      </c>
      <c r="B692" s="624" t="s">
        <v>1830</v>
      </c>
      <c r="C692" s="625">
        <v>2.5299999999999998E-5</v>
      </c>
      <c r="D692" s="625">
        <v>2.6400000000000001E-5</v>
      </c>
      <c r="E692" s="626">
        <v>9642</v>
      </c>
      <c r="F692" s="626">
        <v>-14571</v>
      </c>
      <c r="G692" s="626">
        <v>11354</v>
      </c>
      <c r="H692" s="626"/>
      <c r="I692" s="627">
        <v>0</v>
      </c>
      <c r="J692" s="627">
        <v>22818</v>
      </c>
      <c r="K692" s="627">
        <v>0</v>
      </c>
      <c r="L692" s="626">
        <v>0</v>
      </c>
      <c r="M692" s="626"/>
      <c r="N692" s="627">
        <v>2669</v>
      </c>
      <c r="O692" s="627">
        <v>26051</v>
      </c>
      <c r="P692" s="627">
        <v>0</v>
      </c>
      <c r="Q692" s="626">
        <v>2991</v>
      </c>
      <c r="R692" s="626"/>
      <c r="S692" s="627">
        <v>5184</v>
      </c>
      <c r="T692" s="628">
        <v>-905</v>
      </c>
      <c r="U692" s="628">
        <v>4279</v>
      </c>
    </row>
    <row r="693" spans="1:21" x14ac:dyDescent="0.25">
      <c r="A693" s="623">
        <v>97731</v>
      </c>
      <c r="B693" s="624" t="s">
        <v>1831</v>
      </c>
      <c r="C693" s="625">
        <v>3.3599999999999997E-5</v>
      </c>
      <c r="D693" s="625">
        <v>2.8799999999999999E-5</v>
      </c>
      <c r="E693" s="626">
        <v>16775</v>
      </c>
      <c r="F693" s="626">
        <v>-15895</v>
      </c>
      <c r="G693" s="626">
        <v>15079</v>
      </c>
      <c r="H693" s="626"/>
      <c r="I693" s="627">
        <v>0</v>
      </c>
      <c r="J693" s="627">
        <v>30304</v>
      </c>
      <c r="K693" s="627">
        <v>0</v>
      </c>
      <c r="L693" s="626">
        <v>6942</v>
      </c>
      <c r="M693" s="626"/>
      <c r="N693" s="627">
        <v>3545</v>
      </c>
      <c r="O693" s="627">
        <v>34597</v>
      </c>
      <c r="P693" s="627">
        <v>0</v>
      </c>
      <c r="Q693" s="626">
        <v>0</v>
      </c>
      <c r="R693" s="626"/>
      <c r="S693" s="627">
        <v>6885</v>
      </c>
      <c r="T693" s="628">
        <v>1901</v>
      </c>
      <c r="U693" s="628">
        <v>8786</v>
      </c>
    </row>
    <row r="694" spans="1:21" x14ac:dyDescent="0.25">
      <c r="A694" s="623">
        <v>97801</v>
      </c>
      <c r="B694" s="624" t="s">
        <v>1832</v>
      </c>
      <c r="C694" s="625">
        <v>7.4117999999999996E-3</v>
      </c>
      <c r="D694" s="625">
        <v>7.5839999999999996E-3</v>
      </c>
      <c r="E694" s="626">
        <v>3038990</v>
      </c>
      <c r="F694" s="626">
        <v>-4185746</v>
      </c>
      <c r="G694" s="626">
        <v>3326371</v>
      </c>
      <c r="H694" s="626"/>
      <c r="I694" s="627">
        <v>0</v>
      </c>
      <c r="J694" s="627">
        <v>6684821</v>
      </c>
      <c r="K694" s="627">
        <v>0</v>
      </c>
      <c r="L694" s="626">
        <v>83852</v>
      </c>
      <c r="M694" s="626"/>
      <c r="N694" s="627">
        <v>781893</v>
      </c>
      <c r="O694" s="627">
        <v>7631834</v>
      </c>
      <c r="P694" s="627">
        <v>0</v>
      </c>
      <c r="Q694" s="626">
        <v>110627</v>
      </c>
      <c r="R694" s="626"/>
      <c r="S694" s="627">
        <v>1518693</v>
      </c>
      <c r="T694" s="628">
        <v>-916</v>
      </c>
      <c r="U694" s="628">
        <v>1517777</v>
      </c>
    </row>
    <row r="695" spans="1:21" x14ac:dyDescent="0.25">
      <c r="A695" s="623">
        <v>97802</v>
      </c>
      <c r="B695" s="624" t="s">
        <v>1833</v>
      </c>
      <c r="C695" s="625">
        <v>1.8599999999999999E-4</v>
      </c>
      <c r="D695" s="625">
        <v>2.3250000000000001E-4</v>
      </c>
      <c r="E695" s="626">
        <v>84428</v>
      </c>
      <c r="F695" s="626">
        <v>-128321</v>
      </c>
      <c r="G695" s="626">
        <v>83476</v>
      </c>
      <c r="H695" s="626"/>
      <c r="I695" s="627">
        <v>0</v>
      </c>
      <c r="J695" s="627">
        <v>167756</v>
      </c>
      <c r="K695" s="627">
        <v>0</v>
      </c>
      <c r="L695" s="626">
        <v>29284.06</v>
      </c>
      <c r="M695" s="626"/>
      <c r="N695" s="627">
        <v>19622</v>
      </c>
      <c r="O695" s="627">
        <v>191522</v>
      </c>
      <c r="P695" s="627">
        <v>0</v>
      </c>
      <c r="Q695" s="626">
        <v>25905</v>
      </c>
      <c r="R695" s="626"/>
      <c r="S695" s="627">
        <v>38112</v>
      </c>
      <c r="T695" s="628">
        <v>3013</v>
      </c>
      <c r="U695" s="628">
        <v>41124</v>
      </c>
    </row>
    <row r="696" spans="1:21" x14ac:dyDescent="0.25">
      <c r="A696" s="623">
        <v>97803</v>
      </c>
      <c r="B696" s="624" t="s">
        <v>1834</v>
      </c>
      <c r="C696" s="625">
        <v>7.6600000000000005E-5</v>
      </c>
      <c r="D696" s="625">
        <v>8.6600000000000004E-5</v>
      </c>
      <c r="E696" s="626">
        <v>36099</v>
      </c>
      <c r="F696" s="626">
        <v>-47796</v>
      </c>
      <c r="G696" s="626">
        <v>34378</v>
      </c>
      <c r="H696" s="626"/>
      <c r="I696" s="627">
        <v>0</v>
      </c>
      <c r="J696" s="627">
        <v>69087</v>
      </c>
      <c r="K696" s="627">
        <v>0</v>
      </c>
      <c r="L696" s="626">
        <v>10731.11</v>
      </c>
      <c r="M696" s="626"/>
      <c r="N696" s="627">
        <v>8081</v>
      </c>
      <c r="O696" s="627">
        <v>78874</v>
      </c>
      <c r="P696" s="627">
        <v>0</v>
      </c>
      <c r="Q696" s="626">
        <v>3194</v>
      </c>
      <c r="R696" s="626"/>
      <c r="S696" s="627">
        <v>15695</v>
      </c>
      <c r="T696" s="628">
        <v>2753</v>
      </c>
      <c r="U696" s="628">
        <v>18448</v>
      </c>
    </row>
    <row r="697" spans="1:21" x14ac:dyDescent="0.25">
      <c r="A697" s="623">
        <v>97805</v>
      </c>
      <c r="B697" s="624" t="s">
        <v>1835</v>
      </c>
      <c r="C697" s="625">
        <v>6.7700000000000006E-5</v>
      </c>
      <c r="D697" s="625">
        <v>6.1500000000000004E-5</v>
      </c>
      <c r="E697" s="626">
        <v>31214</v>
      </c>
      <c r="F697" s="626">
        <v>-33943</v>
      </c>
      <c r="G697" s="626">
        <v>30383</v>
      </c>
      <c r="H697" s="626"/>
      <c r="I697" s="627">
        <v>0</v>
      </c>
      <c r="J697" s="627">
        <v>61060</v>
      </c>
      <c r="K697" s="627">
        <v>0</v>
      </c>
      <c r="L697" s="626">
        <v>7183</v>
      </c>
      <c r="M697" s="626"/>
      <c r="N697" s="627">
        <v>7142</v>
      </c>
      <c r="O697" s="627">
        <v>69710</v>
      </c>
      <c r="P697" s="627">
        <v>0</v>
      </c>
      <c r="Q697" s="626">
        <v>681.72</v>
      </c>
      <c r="R697" s="626"/>
      <c r="S697" s="627">
        <v>13872</v>
      </c>
      <c r="T697" s="628">
        <v>1652</v>
      </c>
      <c r="U697" s="628">
        <v>15524</v>
      </c>
    </row>
    <row r="698" spans="1:21" x14ac:dyDescent="0.25">
      <c r="A698" s="623">
        <v>97811</v>
      </c>
      <c r="B698" s="624" t="s">
        <v>1836</v>
      </c>
      <c r="C698" s="625">
        <v>2.5788E-3</v>
      </c>
      <c r="D698" s="625">
        <v>2.6984999999999999E-3</v>
      </c>
      <c r="E698" s="626">
        <v>981598</v>
      </c>
      <c r="F698" s="626">
        <v>-1489351</v>
      </c>
      <c r="G698" s="626">
        <v>1157350</v>
      </c>
      <c r="H698" s="626"/>
      <c r="I698" s="627">
        <v>0</v>
      </c>
      <c r="J698" s="627">
        <v>2325861</v>
      </c>
      <c r="K698" s="627">
        <v>0</v>
      </c>
      <c r="L698" s="626">
        <v>0</v>
      </c>
      <c r="M698" s="626"/>
      <c r="N698" s="627">
        <v>272045</v>
      </c>
      <c r="O698" s="627">
        <v>2655357</v>
      </c>
      <c r="P698" s="627">
        <v>0</v>
      </c>
      <c r="Q698" s="626">
        <v>152581</v>
      </c>
      <c r="R698" s="626"/>
      <c r="S698" s="627">
        <v>528401</v>
      </c>
      <c r="T698" s="628">
        <v>-40821</v>
      </c>
      <c r="U698" s="628">
        <v>487580</v>
      </c>
    </row>
    <row r="699" spans="1:21" x14ac:dyDescent="0.25">
      <c r="A699" s="623">
        <v>97817</v>
      </c>
      <c r="B699" s="624" t="s">
        <v>1837</v>
      </c>
      <c r="C699" s="625">
        <v>7.0999999999999998E-6</v>
      </c>
      <c r="D699" s="625">
        <v>1.8899999999999999E-5</v>
      </c>
      <c r="E699" s="626">
        <v>6943</v>
      </c>
      <c r="F699" s="626">
        <v>-10431</v>
      </c>
      <c r="G699" s="626">
        <v>3186</v>
      </c>
      <c r="H699" s="626"/>
      <c r="I699" s="627">
        <v>0</v>
      </c>
      <c r="J699" s="627">
        <v>6404</v>
      </c>
      <c r="K699" s="627">
        <v>0</v>
      </c>
      <c r="L699" s="626">
        <v>2036.19</v>
      </c>
      <c r="M699" s="626"/>
      <c r="N699" s="627">
        <v>749</v>
      </c>
      <c r="O699" s="627">
        <v>7311</v>
      </c>
      <c r="P699" s="627">
        <v>0</v>
      </c>
      <c r="Q699" s="626">
        <v>5075</v>
      </c>
      <c r="R699" s="626"/>
      <c r="S699" s="627">
        <v>1455</v>
      </c>
      <c r="T699" s="628">
        <v>-648</v>
      </c>
      <c r="U699" s="628">
        <v>807</v>
      </c>
    </row>
    <row r="700" spans="1:21" x14ac:dyDescent="0.25">
      <c r="A700" s="623">
        <v>97818</v>
      </c>
      <c r="B700" s="624" t="s">
        <v>1838</v>
      </c>
      <c r="C700" s="625">
        <v>8.3999999999999992E-6</v>
      </c>
      <c r="D700" s="625">
        <v>9.0999999999999993E-6</v>
      </c>
      <c r="E700" s="626">
        <v>6102</v>
      </c>
      <c r="F700" s="626">
        <v>-5022</v>
      </c>
      <c r="G700" s="626">
        <v>3770</v>
      </c>
      <c r="H700" s="626"/>
      <c r="I700" s="627">
        <v>0</v>
      </c>
      <c r="J700" s="627">
        <v>7576</v>
      </c>
      <c r="K700" s="627">
        <v>0</v>
      </c>
      <c r="L700" s="626">
        <v>1627</v>
      </c>
      <c r="M700" s="626"/>
      <c r="N700" s="627">
        <v>886</v>
      </c>
      <c r="O700" s="627">
        <v>8649</v>
      </c>
      <c r="P700" s="627">
        <v>0</v>
      </c>
      <c r="Q700" s="626">
        <v>6452.42</v>
      </c>
      <c r="R700" s="626"/>
      <c r="S700" s="627">
        <v>1721</v>
      </c>
      <c r="T700" s="628">
        <v>-1732</v>
      </c>
      <c r="U700" s="628">
        <v>-11</v>
      </c>
    </row>
    <row r="701" spans="1:21" x14ac:dyDescent="0.25">
      <c r="A701" s="623">
        <v>97821</v>
      </c>
      <c r="B701" s="624" t="s">
        <v>1839</v>
      </c>
      <c r="C701" s="625">
        <v>1.3329999999999999E-4</v>
      </c>
      <c r="D701" s="625">
        <v>1.4779999999999999E-4</v>
      </c>
      <c r="E701" s="626">
        <v>51041</v>
      </c>
      <c r="F701" s="626">
        <v>-81573</v>
      </c>
      <c r="G701" s="626">
        <v>59824</v>
      </c>
      <c r="H701" s="626"/>
      <c r="I701" s="627">
        <v>0</v>
      </c>
      <c r="J701" s="627">
        <v>120225</v>
      </c>
      <c r="K701" s="627">
        <v>0</v>
      </c>
      <c r="L701" s="626">
        <v>0</v>
      </c>
      <c r="M701" s="626"/>
      <c r="N701" s="627">
        <v>14062</v>
      </c>
      <c r="O701" s="627">
        <v>137257</v>
      </c>
      <c r="P701" s="627">
        <v>0</v>
      </c>
      <c r="Q701" s="626">
        <v>30153</v>
      </c>
      <c r="R701" s="626"/>
      <c r="S701" s="627">
        <v>27313</v>
      </c>
      <c r="T701" s="628">
        <v>-9151</v>
      </c>
      <c r="U701" s="628">
        <v>18163</v>
      </c>
    </row>
    <row r="702" spans="1:21" x14ac:dyDescent="0.25">
      <c r="A702" s="623">
        <v>97823</v>
      </c>
      <c r="B702" s="624" t="s">
        <v>1840</v>
      </c>
      <c r="C702" s="625">
        <v>2.58E-5</v>
      </c>
      <c r="D702" s="625">
        <v>2.73E-5</v>
      </c>
      <c r="E702" s="626">
        <v>12198</v>
      </c>
      <c r="F702" s="626">
        <v>-15067</v>
      </c>
      <c r="G702" s="626">
        <v>11579</v>
      </c>
      <c r="H702" s="626"/>
      <c r="I702" s="627">
        <v>0</v>
      </c>
      <c r="J702" s="627">
        <v>23269</v>
      </c>
      <c r="K702" s="627">
        <v>0</v>
      </c>
      <c r="L702" s="626">
        <v>267</v>
      </c>
      <c r="M702" s="626"/>
      <c r="N702" s="627">
        <v>2722</v>
      </c>
      <c r="O702" s="627">
        <v>26566</v>
      </c>
      <c r="P702" s="627">
        <v>0</v>
      </c>
      <c r="Q702" s="626">
        <v>1785</v>
      </c>
      <c r="R702" s="626"/>
      <c r="S702" s="627">
        <v>5286</v>
      </c>
      <c r="T702" s="628">
        <v>-527</v>
      </c>
      <c r="U702" s="628">
        <v>4759</v>
      </c>
    </row>
    <row r="703" spans="1:21" x14ac:dyDescent="0.25">
      <c r="A703" s="623">
        <v>97831</v>
      </c>
      <c r="B703" s="624" t="s">
        <v>1841</v>
      </c>
      <c r="C703" s="625">
        <v>1.5860000000000001E-4</v>
      </c>
      <c r="D703" s="625">
        <v>1.8039999999999999E-4</v>
      </c>
      <c r="E703" s="626">
        <v>72559</v>
      </c>
      <c r="F703" s="626">
        <v>-99566</v>
      </c>
      <c r="G703" s="626">
        <v>71179</v>
      </c>
      <c r="H703" s="626"/>
      <c r="I703" s="627">
        <v>0</v>
      </c>
      <c r="J703" s="627">
        <v>143044</v>
      </c>
      <c r="K703" s="627">
        <v>0</v>
      </c>
      <c r="L703" s="626">
        <v>0</v>
      </c>
      <c r="M703" s="626"/>
      <c r="N703" s="627">
        <v>16731</v>
      </c>
      <c r="O703" s="627">
        <v>163308</v>
      </c>
      <c r="P703" s="627">
        <v>0</v>
      </c>
      <c r="Q703" s="626">
        <v>18623</v>
      </c>
      <c r="R703" s="626"/>
      <c r="S703" s="627">
        <v>32497</v>
      </c>
      <c r="T703" s="628">
        <v>-5566</v>
      </c>
      <c r="U703" s="628">
        <v>26931</v>
      </c>
    </row>
    <row r="704" spans="1:21" x14ac:dyDescent="0.25">
      <c r="A704" s="623">
        <v>97837</v>
      </c>
      <c r="B704" s="624" t="s">
        <v>1842</v>
      </c>
      <c r="C704" s="625">
        <v>1.3699999999999999E-5</v>
      </c>
      <c r="D704" s="625">
        <v>1.27E-5</v>
      </c>
      <c r="E704" s="626">
        <v>7316</v>
      </c>
      <c r="F704" s="626">
        <v>-7009</v>
      </c>
      <c r="G704" s="626">
        <v>6148</v>
      </c>
      <c r="H704" s="626"/>
      <c r="I704" s="627">
        <v>0</v>
      </c>
      <c r="J704" s="627">
        <v>12356</v>
      </c>
      <c r="K704" s="627">
        <v>0</v>
      </c>
      <c r="L704" s="626">
        <v>2919</v>
      </c>
      <c r="M704" s="626"/>
      <c r="N704" s="627">
        <v>1445</v>
      </c>
      <c r="O704" s="627">
        <v>14107</v>
      </c>
      <c r="P704" s="627">
        <v>0</v>
      </c>
      <c r="Q704" s="626">
        <v>0</v>
      </c>
      <c r="R704" s="626"/>
      <c r="S704" s="627">
        <v>2807</v>
      </c>
      <c r="T704" s="628">
        <v>826</v>
      </c>
      <c r="U704" s="628">
        <v>3633</v>
      </c>
    </row>
    <row r="705" spans="1:21" x14ac:dyDescent="0.25">
      <c r="A705" s="623">
        <v>97840</v>
      </c>
      <c r="B705" s="624" t="s">
        <v>1843</v>
      </c>
      <c r="C705" s="625">
        <v>1.4799999999999999E-4</v>
      </c>
      <c r="D705" s="625">
        <v>1.3100000000000001E-4</v>
      </c>
      <c r="E705" s="626">
        <v>106326</v>
      </c>
      <c r="F705" s="626">
        <v>-72301</v>
      </c>
      <c r="G705" s="626">
        <v>66422</v>
      </c>
      <c r="H705" s="626"/>
      <c r="I705" s="627">
        <v>0</v>
      </c>
      <c r="J705" s="627">
        <v>133484</v>
      </c>
      <c r="K705" s="627">
        <v>0</v>
      </c>
      <c r="L705" s="626">
        <v>48307</v>
      </c>
      <c r="M705" s="626"/>
      <c r="N705" s="627">
        <v>15613</v>
      </c>
      <c r="O705" s="627">
        <v>152394</v>
      </c>
      <c r="P705" s="627">
        <v>0</v>
      </c>
      <c r="Q705" s="626">
        <v>2912.26</v>
      </c>
      <c r="R705" s="626"/>
      <c r="S705" s="627">
        <v>30325</v>
      </c>
      <c r="T705" s="628">
        <v>11672</v>
      </c>
      <c r="U705" s="628">
        <v>41997</v>
      </c>
    </row>
    <row r="706" spans="1:21" x14ac:dyDescent="0.25">
      <c r="A706" s="623">
        <v>97841</v>
      </c>
      <c r="B706" s="624" t="s">
        <v>1844</v>
      </c>
      <c r="C706" s="625">
        <v>1.5699999999999999E-5</v>
      </c>
      <c r="D706" s="625">
        <v>1.6900000000000001E-5</v>
      </c>
      <c r="E706" s="626">
        <v>8559</v>
      </c>
      <c r="F706" s="626">
        <v>-9327</v>
      </c>
      <c r="G706" s="626">
        <v>7046</v>
      </c>
      <c r="H706" s="626"/>
      <c r="I706" s="627">
        <v>0</v>
      </c>
      <c r="J706" s="627">
        <v>14160</v>
      </c>
      <c r="K706" s="627">
        <v>0</v>
      </c>
      <c r="L706" s="626">
        <v>861</v>
      </c>
      <c r="M706" s="626"/>
      <c r="N706" s="627">
        <v>1656</v>
      </c>
      <c r="O706" s="627">
        <v>16166</v>
      </c>
      <c r="P706" s="627">
        <v>0</v>
      </c>
      <c r="Q706" s="626">
        <v>11332.1</v>
      </c>
      <c r="R706" s="626"/>
      <c r="S706" s="627">
        <v>3217</v>
      </c>
      <c r="T706" s="628">
        <v>-3565</v>
      </c>
      <c r="U706" s="628">
        <v>-348</v>
      </c>
    </row>
    <row r="707" spans="1:21" x14ac:dyDescent="0.25">
      <c r="A707" s="623">
        <v>97847</v>
      </c>
      <c r="B707" s="624" t="s">
        <v>1845</v>
      </c>
      <c r="C707" s="625">
        <v>2.7E-6</v>
      </c>
      <c r="D707" s="625">
        <v>3.1999999999999999E-6</v>
      </c>
      <c r="E707" s="626">
        <v>1857</v>
      </c>
      <c r="F707" s="626">
        <v>-1766</v>
      </c>
      <c r="G707" s="626">
        <v>1212</v>
      </c>
      <c r="H707" s="626"/>
      <c r="I707" s="627">
        <v>0</v>
      </c>
      <c r="J707" s="627">
        <v>2435</v>
      </c>
      <c r="K707" s="627">
        <v>0</v>
      </c>
      <c r="L707" s="626">
        <v>247</v>
      </c>
      <c r="M707" s="626"/>
      <c r="N707" s="627">
        <v>285</v>
      </c>
      <c r="O707" s="627">
        <v>2780</v>
      </c>
      <c r="P707" s="627">
        <v>0</v>
      </c>
      <c r="Q707" s="626">
        <v>218.27</v>
      </c>
      <c r="R707" s="626"/>
      <c r="S707" s="627">
        <v>553</v>
      </c>
      <c r="T707" s="628">
        <v>-8</v>
      </c>
      <c r="U707" s="628">
        <v>545</v>
      </c>
    </row>
    <row r="708" spans="1:21" x14ac:dyDescent="0.25">
      <c r="A708" s="623">
        <v>97851</v>
      </c>
      <c r="B708" s="624" t="s">
        <v>1846</v>
      </c>
      <c r="C708" s="625">
        <v>2.7E-4</v>
      </c>
      <c r="D708" s="625">
        <v>2.6699999999999998E-4</v>
      </c>
      <c r="E708" s="626">
        <v>104960</v>
      </c>
      <c r="F708" s="626">
        <v>-147362</v>
      </c>
      <c r="G708" s="626">
        <v>121174.38</v>
      </c>
      <c r="H708" s="626"/>
      <c r="I708" s="627">
        <v>0</v>
      </c>
      <c r="J708" s="627">
        <v>243517.32</v>
      </c>
      <c r="K708" s="627">
        <v>0</v>
      </c>
      <c r="L708" s="626">
        <v>4374.37</v>
      </c>
      <c r="M708" s="626"/>
      <c r="N708" s="627">
        <v>28483.11</v>
      </c>
      <c r="O708" s="627">
        <v>278015.49</v>
      </c>
      <c r="P708" s="627">
        <v>0</v>
      </c>
      <c r="Q708" s="626">
        <v>2076</v>
      </c>
      <c r="R708" s="626"/>
      <c r="S708" s="627">
        <v>55323.54</v>
      </c>
      <c r="T708" s="628">
        <v>920</v>
      </c>
      <c r="U708" s="628">
        <v>56243</v>
      </c>
    </row>
    <row r="709" spans="1:21" x14ac:dyDescent="0.25">
      <c r="A709" s="623">
        <v>97853</v>
      </c>
      <c r="B709" s="624" t="s">
        <v>1847</v>
      </c>
      <c r="C709" s="625">
        <v>1.114E-4</v>
      </c>
      <c r="D709" s="625">
        <v>9.5600000000000006E-5</v>
      </c>
      <c r="E709" s="626">
        <v>38359</v>
      </c>
      <c r="F709" s="626">
        <v>-52763</v>
      </c>
      <c r="G709" s="626">
        <v>49996</v>
      </c>
      <c r="H709" s="626"/>
      <c r="I709" s="627">
        <v>0</v>
      </c>
      <c r="J709" s="627">
        <v>100473</v>
      </c>
      <c r="K709" s="627">
        <v>0</v>
      </c>
      <c r="L709" s="626">
        <v>8907</v>
      </c>
      <c r="M709" s="626"/>
      <c r="N709" s="627">
        <v>11752</v>
      </c>
      <c r="O709" s="627">
        <v>114707</v>
      </c>
      <c r="P709" s="627">
        <v>0</v>
      </c>
      <c r="Q709" s="626">
        <v>0</v>
      </c>
      <c r="R709" s="626"/>
      <c r="S709" s="627">
        <v>22826</v>
      </c>
      <c r="T709" s="628">
        <v>2583</v>
      </c>
      <c r="U709" s="628">
        <v>25410</v>
      </c>
    </row>
    <row r="710" spans="1:21" x14ac:dyDescent="0.25">
      <c r="A710" s="623">
        <v>97861</v>
      </c>
      <c r="B710" s="624" t="s">
        <v>1848</v>
      </c>
      <c r="C710" s="625">
        <v>6.6799999999999997E-5</v>
      </c>
      <c r="D710" s="625">
        <v>6.1400000000000002E-5</v>
      </c>
      <c r="E710" s="626">
        <v>27183</v>
      </c>
      <c r="F710" s="626">
        <v>-33888</v>
      </c>
      <c r="G710" s="626">
        <v>29979</v>
      </c>
      <c r="H710" s="626"/>
      <c r="I710" s="627">
        <v>0</v>
      </c>
      <c r="J710" s="627">
        <v>60248</v>
      </c>
      <c r="K710" s="627">
        <v>0</v>
      </c>
      <c r="L710" s="626">
        <v>3718</v>
      </c>
      <c r="M710" s="626"/>
      <c r="N710" s="627">
        <v>7047</v>
      </c>
      <c r="O710" s="627">
        <v>68783</v>
      </c>
      <c r="P710" s="627">
        <v>0</v>
      </c>
      <c r="Q710" s="626">
        <v>10408.19</v>
      </c>
      <c r="R710" s="626"/>
      <c r="S710" s="627">
        <v>13687</v>
      </c>
      <c r="T710" s="628">
        <v>-2508</v>
      </c>
      <c r="U710" s="628">
        <v>11180</v>
      </c>
    </row>
    <row r="711" spans="1:21" x14ac:dyDescent="0.25">
      <c r="A711" s="623">
        <v>97871</v>
      </c>
      <c r="B711" s="624" t="s">
        <v>1849</v>
      </c>
      <c r="C711" s="625">
        <v>3.1530000000000002E-4</v>
      </c>
      <c r="D711" s="625">
        <v>3.212E-4</v>
      </c>
      <c r="E711" s="626">
        <v>244340</v>
      </c>
      <c r="F711" s="626">
        <v>-177276</v>
      </c>
      <c r="G711" s="626">
        <v>141505</v>
      </c>
      <c r="H711" s="626"/>
      <c r="I711" s="627">
        <v>0</v>
      </c>
      <c r="J711" s="627">
        <v>284374</v>
      </c>
      <c r="K711" s="627">
        <v>0</v>
      </c>
      <c r="L711" s="626">
        <v>110246</v>
      </c>
      <c r="M711" s="626"/>
      <c r="N711" s="627">
        <v>33262</v>
      </c>
      <c r="O711" s="627">
        <v>324660</v>
      </c>
      <c r="P711" s="627">
        <v>0</v>
      </c>
      <c r="Q711" s="626">
        <v>0</v>
      </c>
      <c r="R711" s="626"/>
      <c r="S711" s="627">
        <v>64606</v>
      </c>
      <c r="T711" s="628">
        <v>30514</v>
      </c>
      <c r="U711" s="628">
        <v>95120</v>
      </c>
    </row>
    <row r="712" spans="1:21" x14ac:dyDescent="0.25">
      <c r="A712" s="623">
        <v>97877</v>
      </c>
      <c r="B712" s="624" t="s">
        <v>1850</v>
      </c>
      <c r="C712" s="625">
        <v>2.6000000000000001E-6</v>
      </c>
      <c r="D712" s="625">
        <v>2.9000000000000002E-6</v>
      </c>
      <c r="E712" s="626">
        <v>2031</v>
      </c>
      <c r="F712" s="626">
        <v>-1601</v>
      </c>
      <c r="G712" s="626">
        <v>1167</v>
      </c>
      <c r="H712" s="626"/>
      <c r="I712" s="627">
        <v>0</v>
      </c>
      <c r="J712" s="627">
        <v>2345</v>
      </c>
      <c r="K712" s="627">
        <v>0</v>
      </c>
      <c r="L712" s="626">
        <v>1018</v>
      </c>
      <c r="M712" s="626"/>
      <c r="N712" s="627">
        <v>274</v>
      </c>
      <c r="O712" s="627">
        <v>2677</v>
      </c>
      <c r="P712" s="627">
        <v>0</v>
      </c>
      <c r="Q712" s="626">
        <v>0</v>
      </c>
      <c r="R712" s="626"/>
      <c r="S712" s="627">
        <v>533</v>
      </c>
      <c r="T712" s="628">
        <v>300</v>
      </c>
      <c r="U712" s="628">
        <v>833</v>
      </c>
    </row>
    <row r="713" spans="1:21" x14ac:dyDescent="0.25">
      <c r="A713" s="623">
        <v>97901</v>
      </c>
      <c r="B713" s="624" t="s">
        <v>1851</v>
      </c>
      <c r="C713" s="625">
        <v>4.2928000000000003E-3</v>
      </c>
      <c r="D713" s="625">
        <v>4.2611000000000003E-3</v>
      </c>
      <c r="E713" s="626">
        <v>1823176</v>
      </c>
      <c r="F713" s="626">
        <v>-2351778</v>
      </c>
      <c r="G713" s="626">
        <v>1926583</v>
      </c>
      <c r="H713" s="626"/>
      <c r="I713" s="627">
        <v>0</v>
      </c>
      <c r="J713" s="627">
        <v>3871745</v>
      </c>
      <c r="K713" s="627">
        <v>0</v>
      </c>
      <c r="L713" s="626">
        <v>106230</v>
      </c>
      <c r="M713" s="626"/>
      <c r="N713" s="627">
        <v>452860</v>
      </c>
      <c r="O713" s="627">
        <v>4420240</v>
      </c>
      <c r="P713" s="627">
        <v>0</v>
      </c>
      <c r="Q713" s="626">
        <v>0</v>
      </c>
      <c r="R713" s="626"/>
      <c r="S713" s="627">
        <v>879603</v>
      </c>
      <c r="T713" s="628">
        <v>29852</v>
      </c>
      <c r="U713" s="628">
        <v>909455</v>
      </c>
    </row>
    <row r="714" spans="1:21" x14ac:dyDescent="0.25">
      <c r="A714" s="623">
        <v>97911</v>
      </c>
      <c r="B714" s="624" t="s">
        <v>1852</v>
      </c>
      <c r="C714" s="625">
        <v>1.4008E-3</v>
      </c>
      <c r="D714" s="625">
        <v>1.3319E-3</v>
      </c>
      <c r="E714" s="626">
        <v>571580</v>
      </c>
      <c r="F714" s="626">
        <v>-735100</v>
      </c>
      <c r="G714" s="626">
        <v>628671</v>
      </c>
      <c r="H714" s="626"/>
      <c r="I714" s="627">
        <v>0</v>
      </c>
      <c r="J714" s="627">
        <v>1263404</v>
      </c>
      <c r="K714" s="627">
        <v>0</v>
      </c>
      <c r="L714" s="626">
        <v>71282</v>
      </c>
      <c r="M714" s="626"/>
      <c r="N714" s="627">
        <v>147775</v>
      </c>
      <c r="O714" s="627">
        <v>1442386</v>
      </c>
      <c r="P714" s="627">
        <v>0</v>
      </c>
      <c r="Q714" s="626">
        <v>0</v>
      </c>
      <c r="R714" s="626"/>
      <c r="S714" s="627">
        <v>287027</v>
      </c>
      <c r="T714" s="628">
        <v>20346</v>
      </c>
      <c r="U714" s="628">
        <v>307373</v>
      </c>
    </row>
    <row r="715" spans="1:21" x14ac:dyDescent="0.25">
      <c r="A715" s="623">
        <v>97913</v>
      </c>
      <c r="B715" s="624" t="s">
        <v>1853</v>
      </c>
      <c r="C715" s="625">
        <v>3.7700000000000002E-5</v>
      </c>
      <c r="D715" s="625">
        <v>3.8699999999999999E-5</v>
      </c>
      <c r="E715" s="626">
        <v>22973</v>
      </c>
      <c r="F715" s="626">
        <v>-21359</v>
      </c>
      <c r="G715" s="626">
        <v>16920</v>
      </c>
      <c r="H715" s="626"/>
      <c r="I715" s="627">
        <v>0</v>
      </c>
      <c r="J715" s="627">
        <v>34002</v>
      </c>
      <c r="K715" s="627">
        <v>0</v>
      </c>
      <c r="L715" s="626">
        <v>6158</v>
      </c>
      <c r="M715" s="626"/>
      <c r="N715" s="627">
        <v>3977</v>
      </c>
      <c r="O715" s="627">
        <v>38819</v>
      </c>
      <c r="P715" s="627">
        <v>0</v>
      </c>
      <c r="Q715" s="626">
        <v>0</v>
      </c>
      <c r="R715" s="626"/>
      <c r="S715" s="627">
        <v>7725</v>
      </c>
      <c r="T715" s="628">
        <v>1674</v>
      </c>
      <c r="U715" s="628">
        <v>9399</v>
      </c>
    </row>
    <row r="716" spans="1:21" x14ac:dyDescent="0.25">
      <c r="A716" s="623">
        <v>97917</v>
      </c>
      <c r="B716" s="624" t="s">
        <v>1854</v>
      </c>
      <c r="C716" s="625">
        <v>2.0599999999999999E-5</v>
      </c>
      <c r="D716" s="625">
        <v>2.0699999999999998E-5</v>
      </c>
      <c r="E716" s="626">
        <v>11635</v>
      </c>
      <c r="F716" s="626">
        <v>-11425</v>
      </c>
      <c r="G716" s="626">
        <v>9245</v>
      </c>
      <c r="H716" s="626"/>
      <c r="I716" s="627">
        <v>0</v>
      </c>
      <c r="J716" s="627">
        <v>18579</v>
      </c>
      <c r="K716" s="627">
        <v>0</v>
      </c>
      <c r="L716" s="626">
        <v>5143</v>
      </c>
      <c r="M716" s="626"/>
      <c r="N716" s="627">
        <v>2173</v>
      </c>
      <c r="O716" s="627">
        <v>21212</v>
      </c>
      <c r="P716" s="627">
        <v>0</v>
      </c>
      <c r="Q716" s="626">
        <v>0</v>
      </c>
      <c r="R716" s="626"/>
      <c r="S716" s="627">
        <v>4221</v>
      </c>
      <c r="T716" s="628">
        <v>1540</v>
      </c>
      <c r="U716" s="628">
        <v>5761</v>
      </c>
    </row>
    <row r="717" spans="1:21" x14ac:dyDescent="0.25">
      <c r="A717" s="623">
        <v>97921</v>
      </c>
      <c r="B717" s="624" t="s">
        <v>1855</v>
      </c>
      <c r="C717" s="625">
        <v>2.3599999999999999E-4</v>
      </c>
      <c r="D717" s="625">
        <v>2.0489999999999999E-4</v>
      </c>
      <c r="E717" s="626">
        <v>99437</v>
      </c>
      <c r="F717" s="626">
        <v>-113088</v>
      </c>
      <c r="G717" s="626">
        <v>105915</v>
      </c>
      <c r="H717" s="626"/>
      <c r="I717" s="627">
        <v>0</v>
      </c>
      <c r="J717" s="627">
        <v>212852</v>
      </c>
      <c r="K717" s="627">
        <v>0</v>
      </c>
      <c r="L717" s="626">
        <v>24267</v>
      </c>
      <c r="M717" s="626"/>
      <c r="N717" s="627">
        <v>24896</v>
      </c>
      <c r="O717" s="627">
        <v>243006</v>
      </c>
      <c r="P717" s="627">
        <v>0</v>
      </c>
      <c r="Q717" s="626">
        <v>4792.97</v>
      </c>
      <c r="R717" s="626"/>
      <c r="S717" s="627">
        <v>48357</v>
      </c>
      <c r="T717" s="628">
        <v>4750</v>
      </c>
      <c r="U717" s="628">
        <v>53107</v>
      </c>
    </row>
    <row r="718" spans="1:21" x14ac:dyDescent="0.25">
      <c r="A718" s="623">
        <v>97931</v>
      </c>
      <c r="B718" s="624" t="s">
        <v>1856</v>
      </c>
      <c r="C718" s="625">
        <v>6.7999999999999999E-5</v>
      </c>
      <c r="D718" s="625">
        <v>2.83E-5</v>
      </c>
      <c r="E718" s="626">
        <v>26050</v>
      </c>
      <c r="F718" s="626">
        <v>-15619</v>
      </c>
      <c r="G718" s="626">
        <v>30518</v>
      </c>
      <c r="H718" s="626"/>
      <c r="I718" s="627">
        <v>0</v>
      </c>
      <c r="J718" s="627">
        <v>61330</v>
      </c>
      <c r="K718" s="627">
        <v>0</v>
      </c>
      <c r="L718" s="626">
        <v>26501</v>
      </c>
      <c r="M718" s="626"/>
      <c r="N718" s="627">
        <v>7174</v>
      </c>
      <c r="O718" s="627">
        <v>70019</v>
      </c>
      <c r="P718" s="627">
        <v>0</v>
      </c>
      <c r="Q718" s="626">
        <v>16394</v>
      </c>
      <c r="R718" s="626"/>
      <c r="S718" s="627">
        <v>13933</v>
      </c>
      <c r="T718" s="628">
        <v>1455</v>
      </c>
      <c r="U718" s="628">
        <v>15388</v>
      </c>
    </row>
    <row r="719" spans="1:21" x14ac:dyDescent="0.25">
      <c r="A719" s="623">
        <v>97941</v>
      </c>
      <c r="B719" s="624" t="s">
        <v>1857</v>
      </c>
      <c r="C719" s="625">
        <v>2.3120000000000001E-4</v>
      </c>
      <c r="D719" s="625">
        <v>1.9249999999999999E-4</v>
      </c>
      <c r="E719" s="626">
        <v>100486</v>
      </c>
      <c r="F719" s="626">
        <v>-106244</v>
      </c>
      <c r="G719" s="626">
        <v>103761</v>
      </c>
      <c r="H719" s="626"/>
      <c r="I719" s="627">
        <v>0</v>
      </c>
      <c r="J719" s="627">
        <v>208523</v>
      </c>
      <c r="K719" s="627">
        <v>0</v>
      </c>
      <c r="L719" s="626">
        <v>31985</v>
      </c>
      <c r="M719" s="626"/>
      <c r="N719" s="627">
        <v>24390</v>
      </c>
      <c r="O719" s="627">
        <v>238064</v>
      </c>
      <c r="P719" s="627">
        <v>0</v>
      </c>
      <c r="Q719" s="626">
        <v>449</v>
      </c>
      <c r="R719" s="626"/>
      <c r="S719" s="627">
        <v>47373</v>
      </c>
      <c r="T719" s="628">
        <v>8223</v>
      </c>
      <c r="U719" s="628">
        <v>55596</v>
      </c>
    </row>
    <row r="720" spans="1:21" x14ac:dyDescent="0.25">
      <c r="A720" s="623">
        <v>97947</v>
      </c>
      <c r="B720" s="624" t="s">
        <v>1858</v>
      </c>
      <c r="C720" s="625">
        <v>1.1199999999999999E-5</v>
      </c>
      <c r="D720" s="625">
        <v>1.26E-5</v>
      </c>
      <c r="E720" s="626">
        <v>11057</v>
      </c>
      <c r="F720" s="626">
        <v>-6954</v>
      </c>
      <c r="G720" s="626">
        <v>5026</v>
      </c>
      <c r="H720" s="626"/>
      <c r="I720" s="627">
        <v>0</v>
      </c>
      <c r="J720" s="627">
        <v>10101</v>
      </c>
      <c r="K720" s="627">
        <v>0</v>
      </c>
      <c r="L720" s="626">
        <v>4156</v>
      </c>
      <c r="M720" s="626"/>
      <c r="N720" s="627">
        <v>1182</v>
      </c>
      <c r="O720" s="627">
        <v>11532</v>
      </c>
      <c r="P720" s="627">
        <v>0</v>
      </c>
      <c r="Q720" s="626">
        <v>924</v>
      </c>
      <c r="R720" s="626"/>
      <c r="S720" s="627">
        <v>2295</v>
      </c>
      <c r="T720" s="628">
        <v>779</v>
      </c>
      <c r="U720" s="628">
        <v>3074</v>
      </c>
    </row>
    <row r="721" spans="1:21" x14ac:dyDescent="0.25">
      <c r="A721" s="623">
        <v>97948</v>
      </c>
      <c r="B721" s="624" t="s">
        <v>1859</v>
      </c>
      <c r="C721" s="625">
        <v>3.43E-5</v>
      </c>
      <c r="D721" s="625">
        <v>3.0300000000000001E-5</v>
      </c>
      <c r="E721" s="626">
        <v>15110</v>
      </c>
      <c r="F721" s="626">
        <v>-16723</v>
      </c>
      <c r="G721" s="626">
        <v>15394</v>
      </c>
      <c r="H721" s="626"/>
      <c r="I721" s="627">
        <v>0</v>
      </c>
      <c r="J721" s="627">
        <v>30936</v>
      </c>
      <c r="K721" s="627">
        <v>0</v>
      </c>
      <c r="L721" s="626">
        <v>4150</v>
      </c>
      <c r="M721" s="626"/>
      <c r="N721" s="627">
        <v>3618</v>
      </c>
      <c r="O721" s="627">
        <v>35318</v>
      </c>
      <c r="P721" s="627">
        <v>0</v>
      </c>
      <c r="Q721" s="626">
        <v>0</v>
      </c>
      <c r="R721" s="626"/>
      <c r="S721" s="627">
        <v>7028</v>
      </c>
      <c r="T721" s="628">
        <v>1120</v>
      </c>
      <c r="U721" s="628">
        <v>8148</v>
      </c>
    </row>
    <row r="722" spans="1:21" x14ac:dyDescent="0.25">
      <c r="A722" s="623">
        <v>97951</v>
      </c>
      <c r="B722" s="624" t="s">
        <v>1860</v>
      </c>
      <c r="C722" s="625">
        <v>1.2842000000000001E-3</v>
      </c>
      <c r="D722" s="625">
        <v>1.2836E-3</v>
      </c>
      <c r="E722" s="626">
        <v>550895</v>
      </c>
      <c r="F722" s="626">
        <v>-708442</v>
      </c>
      <c r="G722" s="626">
        <v>576341</v>
      </c>
      <c r="H722" s="626"/>
      <c r="I722" s="627">
        <v>0</v>
      </c>
      <c r="J722" s="627">
        <v>1158241</v>
      </c>
      <c r="K722" s="627">
        <v>0</v>
      </c>
      <c r="L722" s="626">
        <v>21486</v>
      </c>
      <c r="M722" s="626"/>
      <c r="N722" s="627">
        <v>135474</v>
      </c>
      <c r="O722" s="627">
        <v>1322324</v>
      </c>
      <c r="P722" s="627">
        <v>0</v>
      </c>
      <c r="Q722" s="626">
        <v>21343</v>
      </c>
      <c r="R722" s="626"/>
      <c r="S722" s="627">
        <v>263135</v>
      </c>
      <c r="T722" s="628">
        <v>-1513</v>
      </c>
      <c r="U722" s="628">
        <v>261622</v>
      </c>
    </row>
    <row r="723" spans="1:21" x14ac:dyDescent="0.25">
      <c r="A723" s="623">
        <v>97957</v>
      </c>
      <c r="B723" s="624" t="s">
        <v>1861</v>
      </c>
      <c r="C723" s="625">
        <v>1.9899999999999999E-5</v>
      </c>
      <c r="D723" s="625">
        <v>2.6800000000000001E-5</v>
      </c>
      <c r="E723" s="626">
        <v>11493</v>
      </c>
      <c r="F723" s="626">
        <v>-14791</v>
      </c>
      <c r="G723" s="626">
        <v>8931</v>
      </c>
      <c r="H723" s="626"/>
      <c r="I723" s="627">
        <v>0</v>
      </c>
      <c r="J723" s="627">
        <v>17948</v>
      </c>
      <c r="K723" s="627">
        <v>0</v>
      </c>
      <c r="L723" s="626">
        <v>0</v>
      </c>
      <c r="M723" s="626"/>
      <c r="N723" s="627">
        <v>2099</v>
      </c>
      <c r="O723" s="627">
        <v>20491</v>
      </c>
      <c r="P723" s="627">
        <v>0</v>
      </c>
      <c r="Q723" s="626">
        <v>2439</v>
      </c>
      <c r="R723" s="626"/>
      <c r="S723" s="627">
        <v>4078</v>
      </c>
      <c r="T723" s="628">
        <v>-658</v>
      </c>
      <c r="U723" s="628">
        <v>3420</v>
      </c>
    </row>
    <row r="724" spans="1:21" x14ac:dyDescent="0.25">
      <c r="A724" s="623">
        <v>98001</v>
      </c>
      <c r="B724" s="624" t="s">
        <v>1862</v>
      </c>
      <c r="C724" s="625">
        <v>4.9379999999999997E-3</v>
      </c>
      <c r="D724" s="625">
        <v>4.9490999999999997E-3</v>
      </c>
      <c r="E724" s="626">
        <v>2103543</v>
      </c>
      <c r="F724" s="626">
        <v>-2731497</v>
      </c>
      <c r="G724" s="626">
        <v>2216145</v>
      </c>
      <c r="H724" s="626"/>
      <c r="I724" s="627">
        <v>0</v>
      </c>
      <c r="J724" s="627">
        <v>4453661</v>
      </c>
      <c r="K724" s="627">
        <v>0</v>
      </c>
      <c r="L724" s="626">
        <v>168061</v>
      </c>
      <c r="M724" s="626"/>
      <c r="N724" s="627">
        <v>520924</v>
      </c>
      <c r="O724" s="627">
        <v>5084594</v>
      </c>
      <c r="P724" s="627">
        <v>0</v>
      </c>
      <c r="Q724" s="626">
        <v>0</v>
      </c>
      <c r="R724" s="626"/>
      <c r="S724" s="627">
        <v>1011806</v>
      </c>
      <c r="T724" s="628">
        <v>51737</v>
      </c>
      <c r="U724" s="628">
        <v>1063544</v>
      </c>
    </row>
    <row r="725" spans="1:21" x14ac:dyDescent="0.25">
      <c r="A725" s="623">
        <v>98002</v>
      </c>
      <c r="B725" s="624" t="s">
        <v>1863</v>
      </c>
      <c r="C725" s="625">
        <v>7.1999999999999997E-6</v>
      </c>
      <c r="D725" s="625">
        <v>7.6000000000000001E-6</v>
      </c>
      <c r="E725" s="626">
        <v>3694</v>
      </c>
      <c r="F725" s="626">
        <v>-4195</v>
      </c>
      <c r="G725" s="626">
        <v>3231</v>
      </c>
      <c r="H725" s="626"/>
      <c r="I725" s="627">
        <v>0</v>
      </c>
      <c r="J725" s="627">
        <v>6494</v>
      </c>
      <c r="K725" s="627">
        <v>0</v>
      </c>
      <c r="L725" s="626">
        <v>317</v>
      </c>
      <c r="M725" s="626"/>
      <c r="N725" s="627">
        <v>760</v>
      </c>
      <c r="O725" s="627">
        <v>7414</v>
      </c>
      <c r="P725" s="627">
        <v>0</v>
      </c>
      <c r="Q725" s="626">
        <v>19608</v>
      </c>
      <c r="R725" s="626"/>
      <c r="S725" s="627">
        <v>1475</v>
      </c>
      <c r="T725" s="628">
        <v>-6475</v>
      </c>
      <c r="U725" s="628">
        <v>-5000</v>
      </c>
    </row>
    <row r="726" spans="1:21" x14ac:dyDescent="0.25">
      <c r="A726" s="623">
        <v>98003</v>
      </c>
      <c r="B726" s="624" t="s">
        <v>1864</v>
      </c>
      <c r="C726" s="625">
        <v>6.8100000000000002E-5</v>
      </c>
      <c r="D726" s="625">
        <v>8.0400000000000003E-5</v>
      </c>
      <c r="E726" s="626">
        <v>57711</v>
      </c>
      <c r="F726" s="626">
        <v>-44374</v>
      </c>
      <c r="G726" s="626">
        <v>30563</v>
      </c>
      <c r="H726" s="626"/>
      <c r="I726" s="627">
        <v>0</v>
      </c>
      <c r="J726" s="627">
        <v>61420</v>
      </c>
      <c r="K726" s="627">
        <v>0</v>
      </c>
      <c r="L726" s="626">
        <v>17489</v>
      </c>
      <c r="M726" s="626"/>
      <c r="N726" s="627">
        <v>7184</v>
      </c>
      <c r="O726" s="627">
        <v>70122</v>
      </c>
      <c r="P726" s="627">
        <v>0</v>
      </c>
      <c r="Q726" s="626">
        <v>0</v>
      </c>
      <c r="R726" s="626"/>
      <c r="S726" s="627">
        <v>13954</v>
      </c>
      <c r="T726" s="628">
        <v>4754</v>
      </c>
      <c r="U726" s="628">
        <v>18708</v>
      </c>
    </row>
    <row r="727" spans="1:21" x14ac:dyDescent="0.25">
      <c r="A727" s="623">
        <v>98004</v>
      </c>
      <c r="B727" s="624" t="s">
        <v>1865</v>
      </c>
      <c r="C727" s="625">
        <v>1.2630000000000001E-4</v>
      </c>
      <c r="D727" s="625">
        <v>1.294E-4</v>
      </c>
      <c r="E727" s="626">
        <v>69020</v>
      </c>
      <c r="F727" s="626">
        <v>-71418</v>
      </c>
      <c r="G727" s="626">
        <v>56683</v>
      </c>
      <c r="H727" s="626"/>
      <c r="I727" s="627">
        <v>0</v>
      </c>
      <c r="J727" s="627">
        <v>113912</v>
      </c>
      <c r="K727" s="627">
        <v>0</v>
      </c>
      <c r="L727" s="626">
        <v>20837</v>
      </c>
      <c r="M727" s="626"/>
      <c r="N727" s="627">
        <v>13324</v>
      </c>
      <c r="O727" s="627">
        <v>130049</v>
      </c>
      <c r="P727" s="627">
        <v>0</v>
      </c>
      <c r="Q727" s="626">
        <v>0</v>
      </c>
      <c r="R727" s="626"/>
      <c r="S727" s="627">
        <v>25879</v>
      </c>
      <c r="T727" s="628">
        <v>6122</v>
      </c>
      <c r="U727" s="628">
        <v>32001</v>
      </c>
    </row>
    <row r="728" spans="1:21" x14ac:dyDescent="0.25">
      <c r="A728" s="623">
        <v>98008</v>
      </c>
      <c r="B728" s="624" t="s">
        <v>1866</v>
      </c>
      <c r="C728" s="625">
        <v>8.3000000000000002E-6</v>
      </c>
      <c r="D728" s="625">
        <v>8.6000000000000007E-6</v>
      </c>
      <c r="E728" s="626">
        <v>3032</v>
      </c>
      <c r="F728" s="626">
        <v>-4746</v>
      </c>
      <c r="G728" s="626">
        <v>3725</v>
      </c>
      <c r="H728" s="626"/>
      <c r="I728" s="627">
        <v>0</v>
      </c>
      <c r="J728" s="627">
        <v>7486</v>
      </c>
      <c r="K728" s="627">
        <v>0</v>
      </c>
      <c r="L728" s="626">
        <v>0</v>
      </c>
      <c r="M728" s="626"/>
      <c r="N728" s="627">
        <v>876</v>
      </c>
      <c r="O728" s="627">
        <v>8546</v>
      </c>
      <c r="P728" s="627">
        <v>0</v>
      </c>
      <c r="Q728" s="626">
        <v>1261</v>
      </c>
      <c r="R728" s="626"/>
      <c r="S728" s="627">
        <v>1701</v>
      </c>
      <c r="T728" s="628">
        <v>-386</v>
      </c>
      <c r="U728" s="628">
        <v>1315</v>
      </c>
    </row>
    <row r="729" spans="1:21" x14ac:dyDescent="0.25">
      <c r="A729" s="623">
        <v>98011</v>
      </c>
      <c r="B729" s="624" t="s">
        <v>1867</v>
      </c>
      <c r="C729" s="625">
        <v>3.5899E-3</v>
      </c>
      <c r="D729" s="625">
        <v>3.4841E-3</v>
      </c>
      <c r="E729" s="626">
        <v>1274340</v>
      </c>
      <c r="F729" s="626">
        <v>-1922938</v>
      </c>
      <c r="G729" s="626">
        <v>1611126</v>
      </c>
      <c r="H729" s="626"/>
      <c r="I729" s="627">
        <v>0</v>
      </c>
      <c r="J729" s="627">
        <v>3237788</v>
      </c>
      <c r="K729" s="627">
        <v>0</v>
      </c>
      <c r="L729" s="626">
        <v>0</v>
      </c>
      <c r="M729" s="626"/>
      <c r="N729" s="627">
        <v>378709</v>
      </c>
      <c r="O729" s="627">
        <v>3696473</v>
      </c>
      <c r="P729" s="627">
        <v>0</v>
      </c>
      <c r="Q729" s="626">
        <v>225366</v>
      </c>
      <c r="R729" s="626"/>
      <c r="S729" s="627">
        <v>735578</v>
      </c>
      <c r="T729" s="628">
        <v>-69748</v>
      </c>
      <c r="U729" s="628">
        <v>665830</v>
      </c>
    </row>
    <row r="730" spans="1:21" x14ac:dyDescent="0.25">
      <c r="A730" s="623">
        <v>98013</v>
      </c>
      <c r="B730" s="624" t="s">
        <v>1868</v>
      </c>
      <c r="C730" s="625">
        <v>1.427E-4</v>
      </c>
      <c r="D730" s="625">
        <v>1.4799999999999999E-4</v>
      </c>
      <c r="E730" s="626">
        <v>136873</v>
      </c>
      <c r="F730" s="626">
        <v>-81684</v>
      </c>
      <c r="G730" s="626">
        <v>64043</v>
      </c>
      <c r="H730" s="626"/>
      <c r="I730" s="627">
        <v>0</v>
      </c>
      <c r="J730" s="627">
        <v>128703</v>
      </c>
      <c r="K730" s="627">
        <v>0</v>
      </c>
      <c r="L730" s="626">
        <v>58583</v>
      </c>
      <c r="M730" s="626"/>
      <c r="N730" s="627">
        <v>15054</v>
      </c>
      <c r="O730" s="627">
        <v>146936</v>
      </c>
      <c r="P730" s="627">
        <v>0</v>
      </c>
      <c r="Q730" s="626">
        <v>6261.06</v>
      </c>
      <c r="R730" s="626"/>
      <c r="S730" s="627">
        <v>29240</v>
      </c>
      <c r="T730" s="628">
        <v>13242</v>
      </c>
      <c r="U730" s="628">
        <v>42481</v>
      </c>
    </row>
    <row r="731" spans="1:21" x14ac:dyDescent="0.25">
      <c r="A731" s="623">
        <v>98021</v>
      </c>
      <c r="B731" s="624" t="s">
        <v>1869</v>
      </c>
      <c r="C731" s="625">
        <v>7.4099999999999999E-5</v>
      </c>
      <c r="D731" s="625">
        <v>3.2400000000000001E-5</v>
      </c>
      <c r="E731" s="626">
        <v>28998</v>
      </c>
      <c r="F731" s="626">
        <v>-17882</v>
      </c>
      <c r="G731" s="626">
        <v>33256</v>
      </c>
      <c r="H731" s="626"/>
      <c r="I731" s="627">
        <v>0</v>
      </c>
      <c r="J731" s="627">
        <v>66832</v>
      </c>
      <c r="K731" s="627">
        <v>0</v>
      </c>
      <c r="L731" s="626">
        <v>28268</v>
      </c>
      <c r="M731" s="626"/>
      <c r="N731" s="627">
        <v>7817</v>
      </c>
      <c r="O731" s="627">
        <v>76300</v>
      </c>
      <c r="P731" s="627">
        <v>0</v>
      </c>
      <c r="Q731" s="626">
        <v>511.29</v>
      </c>
      <c r="R731" s="626"/>
      <c r="S731" s="627">
        <v>15183</v>
      </c>
      <c r="T731" s="628">
        <v>7229</v>
      </c>
      <c r="U731" s="628">
        <v>22412</v>
      </c>
    </row>
    <row r="732" spans="1:21" x14ac:dyDescent="0.25">
      <c r="A732" s="623">
        <v>98023</v>
      </c>
      <c r="B732" s="624" t="s">
        <v>1870</v>
      </c>
      <c r="C732" s="625">
        <v>2.1500000000000001E-5</v>
      </c>
      <c r="D732" s="625">
        <v>2.4499999999999999E-5</v>
      </c>
      <c r="E732" s="626">
        <v>6403</v>
      </c>
      <c r="F732" s="626">
        <v>-13522</v>
      </c>
      <c r="G732" s="626">
        <v>9649</v>
      </c>
      <c r="H732" s="626"/>
      <c r="I732" s="627">
        <v>0</v>
      </c>
      <c r="J732" s="627">
        <v>19391</v>
      </c>
      <c r="K732" s="627">
        <v>0</v>
      </c>
      <c r="L732" s="626">
        <v>0</v>
      </c>
      <c r="M732" s="626"/>
      <c r="N732" s="627">
        <v>2268</v>
      </c>
      <c r="O732" s="627">
        <v>22138</v>
      </c>
      <c r="P732" s="627">
        <v>0</v>
      </c>
      <c r="Q732" s="626">
        <v>5970</v>
      </c>
      <c r="R732" s="626"/>
      <c r="S732" s="627">
        <v>4405</v>
      </c>
      <c r="T732" s="628">
        <v>-1707</v>
      </c>
      <c r="U732" s="628">
        <v>2699</v>
      </c>
    </row>
    <row r="733" spans="1:21" x14ac:dyDescent="0.25">
      <c r="A733" s="623">
        <v>98031</v>
      </c>
      <c r="B733" s="624" t="s">
        <v>1871</v>
      </c>
      <c r="C733" s="625">
        <v>1.7009999999999999E-4</v>
      </c>
      <c r="D733" s="625">
        <v>1.5689999999999999E-4</v>
      </c>
      <c r="E733" s="626">
        <v>70079</v>
      </c>
      <c r="F733" s="626">
        <v>-86596</v>
      </c>
      <c r="G733" s="626">
        <v>76340</v>
      </c>
      <c r="H733" s="626"/>
      <c r="I733" s="627">
        <v>0</v>
      </c>
      <c r="J733" s="627">
        <v>153416</v>
      </c>
      <c r="K733" s="627">
        <v>0</v>
      </c>
      <c r="L733" s="626">
        <v>9763</v>
      </c>
      <c r="M733" s="626"/>
      <c r="N733" s="627">
        <v>17944</v>
      </c>
      <c r="O733" s="627">
        <v>175150</v>
      </c>
      <c r="P733" s="627">
        <v>0</v>
      </c>
      <c r="Q733" s="626">
        <v>4928</v>
      </c>
      <c r="R733" s="626"/>
      <c r="S733" s="627">
        <v>34854</v>
      </c>
      <c r="T733" s="628">
        <v>908</v>
      </c>
      <c r="U733" s="628">
        <v>35762</v>
      </c>
    </row>
    <row r="734" spans="1:21" x14ac:dyDescent="0.25">
      <c r="A734" s="623">
        <v>98041</v>
      </c>
      <c r="B734" s="624" t="s">
        <v>1872</v>
      </c>
      <c r="C734" s="625">
        <v>1.438E-4</v>
      </c>
      <c r="D734" s="625">
        <v>1.5689999999999999E-4</v>
      </c>
      <c r="E734" s="626">
        <v>59131</v>
      </c>
      <c r="F734" s="626">
        <v>-86596</v>
      </c>
      <c r="G734" s="626">
        <v>64537</v>
      </c>
      <c r="H734" s="626"/>
      <c r="I734" s="627">
        <v>0</v>
      </c>
      <c r="J734" s="627">
        <v>129696</v>
      </c>
      <c r="K734" s="627">
        <v>0</v>
      </c>
      <c r="L734" s="626">
        <v>0</v>
      </c>
      <c r="M734" s="626"/>
      <c r="N734" s="627">
        <v>15170</v>
      </c>
      <c r="O734" s="627">
        <v>148069</v>
      </c>
      <c r="P734" s="627">
        <v>0</v>
      </c>
      <c r="Q734" s="626">
        <v>13566</v>
      </c>
      <c r="R734" s="626"/>
      <c r="S734" s="627">
        <v>29465</v>
      </c>
      <c r="T734" s="628">
        <v>-3893</v>
      </c>
      <c r="U734" s="628">
        <v>25572</v>
      </c>
    </row>
    <row r="735" spans="1:21" x14ac:dyDescent="0.25">
      <c r="A735" s="623">
        <v>98051</v>
      </c>
      <c r="B735" s="624" t="s">
        <v>1873</v>
      </c>
      <c r="C735" s="625">
        <v>2.699E-4</v>
      </c>
      <c r="D735" s="625">
        <v>2.5460000000000001E-4</v>
      </c>
      <c r="E735" s="626">
        <v>122459</v>
      </c>
      <c r="F735" s="626">
        <v>-140518</v>
      </c>
      <c r="G735" s="626">
        <v>121130</v>
      </c>
      <c r="H735" s="626"/>
      <c r="I735" s="627">
        <v>0</v>
      </c>
      <c r="J735" s="627">
        <v>243427</v>
      </c>
      <c r="K735" s="627">
        <v>0</v>
      </c>
      <c r="L735" s="626">
        <v>20456</v>
      </c>
      <c r="M735" s="626"/>
      <c r="N735" s="627">
        <v>28473</v>
      </c>
      <c r="O735" s="627">
        <v>277913</v>
      </c>
      <c r="P735" s="627">
        <v>0</v>
      </c>
      <c r="Q735" s="626">
        <v>343.85</v>
      </c>
      <c r="R735" s="626"/>
      <c r="S735" s="627">
        <v>55303</v>
      </c>
      <c r="T735" s="628">
        <v>5240</v>
      </c>
      <c r="U735" s="628">
        <v>60543</v>
      </c>
    </row>
    <row r="736" spans="1:21" x14ac:dyDescent="0.25">
      <c r="A736" s="623">
        <v>98061</v>
      </c>
      <c r="B736" s="624" t="s">
        <v>1874</v>
      </c>
      <c r="C736" s="625">
        <v>1.3410000000000001E-4</v>
      </c>
      <c r="D736" s="625">
        <v>1.36E-4</v>
      </c>
      <c r="E736" s="626">
        <v>46036</v>
      </c>
      <c r="F736" s="626">
        <v>-75061</v>
      </c>
      <c r="G736" s="626">
        <v>60183</v>
      </c>
      <c r="H736" s="626"/>
      <c r="I736" s="627">
        <v>0</v>
      </c>
      <c r="J736" s="627">
        <v>120947</v>
      </c>
      <c r="K736" s="627">
        <v>0</v>
      </c>
      <c r="L736" s="626">
        <v>0</v>
      </c>
      <c r="M736" s="626"/>
      <c r="N736" s="627">
        <v>14147</v>
      </c>
      <c r="O736" s="627">
        <v>138081</v>
      </c>
      <c r="P736" s="627">
        <v>0</v>
      </c>
      <c r="Q736" s="626">
        <v>9771</v>
      </c>
      <c r="R736" s="626"/>
      <c r="S736" s="627">
        <v>27477</v>
      </c>
      <c r="T736" s="628">
        <v>-2669</v>
      </c>
      <c r="U736" s="628">
        <v>24808</v>
      </c>
    </row>
    <row r="737" spans="1:21" x14ac:dyDescent="0.25">
      <c r="A737" s="623">
        <v>98071</v>
      </c>
      <c r="B737" s="624" t="s">
        <v>1875</v>
      </c>
      <c r="C737" s="625">
        <v>3.2299999999999999E-5</v>
      </c>
      <c r="D737" s="625">
        <v>4.6699999999999997E-5</v>
      </c>
      <c r="E737" s="626">
        <v>22761</v>
      </c>
      <c r="F737" s="626">
        <v>-25775</v>
      </c>
      <c r="G737" s="626">
        <v>14496</v>
      </c>
      <c r="H737" s="626"/>
      <c r="I737" s="627">
        <v>0</v>
      </c>
      <c r="J737" s="627">
        <v>29132</v>
      </c>
      <c r="K737" s="627">
        <v>0</v>
      </c>
      <c r="L737" s="626">
        <v>30</v>
      </c>
      <c r="M737" s="626"/>
      <c r="N737" s="627">
        <v>3407</v>
      </c>
      <c r="O737" s="627">
        <v>33259</v>
      </c>
      <c r="P737" s="627">
        <v>0</v>
      </c>
      <c r="Q737" s="626">
        <v>2518</v>
      </c>
      <c r="R737" s="626"/>
      <c r="S737" s="627">
        <v>6618</v>
      </c>
      <c r="T737" s="628">
        <v>-649</v>
      </c>
      <c r="U737" s="628">
        <v>5969</v>
      </c>
    </row>
    <row r="738" spans="1:21" x14ac:dyDescent="0.25">
      <c r="A738" s="623">
        <v>98081</v>
      </c>
      <c r="B738" s="624" t="s">
        <v>1876</v>
      </c>
      <c r="C738" s="625">
        <v>2.0999999999999999E-5</v>
      </c>
      <c r="D738" s="625">
        <v>2.19E-5</v>
      </c>
      <c r="E738" s="626">
        <v>7087</v>
      </c>
      <c r="F738" s="626">
        <v>-12087</v>
      </c>
      <c r="G738" s="626">
        <v>9425</v>
      </c>
      <c r="H738" s="626"/>
      <c r="I738" s="627">
        <v>0</v>
      </c>
      <c r="J738" s="627">
        <v>18940</v>
      </c>
      <c r="K738" s="627">
        <v>0</v>
      </c>
      <c r="L738" s="626">
        <v>0</v>
      </c>
      <c r="M738" s="626"/>
      <c r="N738" s="627">
        <v>2215</v>
      </c>
      <c r="O738" s="627">
        <v>21623</v>
      </c>
      <c r="P738" s="627">
        <v>0</v>
      </c>
      <c r="Q738" s="626">
        <v>3607</v>
      </c>
      <c r="R738" s="626"/>
      <c r="S738" s="627">
        <v>4303</v>
      </c>
      <c r="T738" s="628">
        <v>-1075</v>
      </c>
      <c r="U738" s="628">
        <v>3228</v>
      </c>
    </row>
    <row r="739" spans="1:21" x14ac:dyDescent="0.25">
      <c r="A739" s="623">
        <v>98091</v>
      </c>
      <c r="B739" s="624" t="s">
        <v>1877</v>
      </c>
      <c r="C739" s="625">
        <v>5.49E-5</v>
      </c>
      <c r="D739" s="625">
        <v>5.5000000000000002E-5</v>
      </c>
      <c r="E739" s="626">
        <v>24172</v>
      </c>
      <c r="F739" s="626">
        <v>-30355.49</v>
      </c>
      <c r="G739" s="626">
        <v>24639</v>
      </c>
      <c r="H739" s="626"/>
      <c r="I739" s="627">
        <v>0</v>
      </c>
      <c r="J739" s="627">
        <v>49515</v>
      </c>
      <c r="K739" s="627">
        <v>0</v>
      </c>
      <c r="L739" s="626">
        <v>1323</v>
      </c>
      <c r="M739" s="626"/>
      <c r="N739" s="627">
        <v>5792</v>
      </c>
      <c r="O739" s="627">
        <v>56530</v>
      </c>
      <c r="P739" s="627">
        <v>0</v>
      </c>
      <c r="Q739" s="626">
        <v>2437</v>
      </c>
      <c r="R739" s="626"/>
      <c r="S739" s="627">
        <v>11249</v>
      </c>
      <c r="T739" s="628">
        <v>-469</v>
      </c>
      <c r="U739" s="628">
        <v>10780</v>
      </c>
    </row>
    <row r="740" spans="1:21" x14ac:dyDescent="0.25">
      <c r="A740" s="623">
        <v>98101</v>
      </c>
      <c r="B740" s="624" t="s">
        <v>1878</v>
      </c>
      <c r="C740" s="625">
        <v>2.7445E-3</v>
      </c>
      <c r="D740" s="625">
        <v>2.6645000000000002E-3</v>
      </c>
      <c r="E740" s="626">
        <v>1127485</v>
      </c>
      <c r="F740" s="626">
        <v>-1470586</v>
      </c>
      <c r="G740" s="626">
        <v>1231715</v>
      </c>
      <c r="H740" s="626"/>
      <c r="I740" s="627">
        <v>0</v>
      </c>
      <c r="J740" s="627">
        <v>2475308</v>
      </c>
      <c r="K740" s="627">
        <v>0</v>
      </c>
      <c r="L740" s="626">
        <v>85616</v>
      </c>
      <c r="M740" s="626"/>
      <c r="N740" s="627">
        <v>289526</v>
      </c>
      <c r="O740" s="627">
        <v>2825976</v>
      </c>
      <c r="P740" s="627">
        <v>0</v>
      </c>
      <c r="Q740" s="626">
        <v>0</v>
      </c>
      <c r="R740" s="626"/>
      <c r="S740" s="627">
        <v>562354</v>
      </c>
      <c r="T740" s="628">
        <v>24154</v>
      </c>
      <c r="U740" s="628">
        <v>586508</v>
      </c>
    </row>
    <row r="741" spans="1:21" x14ac:dyDescent="0.25">
      <c r="A741" s="623">
        <v>98102</v>
      </c>
      <c r="B741" s="624" t="s">
        <v>1879</v>
      </c>
      <c r="C741" s="625">
        <v>1.7259999999999999E-4</v>
      </c>
      <c r="D741" s="625">
        <v>1.838E-4</v>
      </c>
      <c r="E741" s="626">
        <v>69512</v>
      </c>
      <c r="F741" s="626">
        <v>-101443</v>
      </c>
      <c r="G741" s="626">
        <v>77462</v>
      </c>
      <c r="H741" s="626"/>
      <c r="I741" s="627">
        <v>0</v>
      </c>
      <c r="J741" s="627">
        <v>155671</v>
      </c>
      <c r="K741" s="627">
        <v>0</v>
      </c>
      <c r="L741" s="626">
        <v>0</v>
      </c>
      <c r="M741" s="626"/>
      <c r="N741" s="627">
        <v>18208</v>
      </c>
      <c r="O741" s="627">
        <v>177724</v>
      </c>
      <c r="P741" s="627">
        <v>0</v>
      </c>
      <c r="Q741" s="626">
        <v>10956</v>
      </c>
      <c r="R741" s="626"/>
      <c r="S741" s="627">
        <v>35366</v>
      </c>
      <c r="T741" s="628">
        <v>-3038</v>
      </c>
      <c r="U741" s="628">
        <v>32328</v>
      </c>
    </row>
    <row r="742" spans="1:21" x14ac:dyDescent="0.25">
      <c r="A742" s="623">
        <v>98103</v>
      </c>
      <c r="B742" s="624" t="s">
        <v>1880</v>
      </c>
      <c r="C742" s="625">
        <v>5.7140000000000001E-4</v>
      </c>
      <c r="D742" s="625">
        <v>6.1129999999999995E-4</v>
      </c>
      <c r="E742" s="626">
        <v>249193</v>
      </c>
      <c r="F742" s="626">
        <v>-337387</v>
      </c>
      <c r="G742" s="626">
        <v>256441</v>
      </c>
      <c r="H742" s="626"/>
      <c r="I742" s="627">
        <v>0</v>
      </c>
      <c r="J742" s="627">
        <v>515355</v>
      </c>
      <c r="K742" s="627">
        <v>0</v>
      </c>
      <c r="L742" s="626">
        <v>0</v>
      </c>
      <c r="M742" s="626"/>
      <c r="N742" s="627">
        <v>60279</v>
      </c>
      <c r="O742" s="627">
        <v>588363</v>
      </c>
      <c r="P742" s="627">
        <v>0</v>
      </c>
      <c r="Q742" s="626">
        <v>54531</v>
      </c>
      <c r="R742" s="626"/>
      <c r="S742" s="627">
        <v>117081</v>
      </c>
      <c r="T742" s="628">
        <v>-17119</v>
      </c>
      <c r="U742" s="628">
        <v>99962</v>
      </c>
    </row>
    <row r="743" spans="1:21" x14ac:dyDescent="0.25">
      <c r="A743" s="623">
        <v>98107</v>
      </c>
      <c r="B743" s="624" t="s">
        <v>1881</v>
      </c>
      <c r="C743" s="625">
        <v>1.15E-5</v>
      </c>
      <c r="D743" s="625">
        <v>1.19E-5</v>
      </c>
      <c r="E743" s="626">
        <v>9634</v>
      </c>
      <c r="F743" s="626">
        <v>-6568</v>
      </c>
      <c r="G743" s="626">
        <v>5161</v>
      </c>
      <c r="H743" s="626"/>
      <c r="I743" s="627">
        <v>0</v>
      </c>
      <c r="J743" s="627">
        <v>10372</v>
      </c>
      <c r="K743" s="627">
        <v>0</v>
      </c>
      <c r="L743" s="626">
        <v>6297</v>
      </c>
      <c r="M743" s="626"/>
      <c r="N743" s="627">
        <v>1213</v>
      </c>
      <c r="O743" s="627">
        <v>11841</v>
      </c>
      <c r="P743" s="627">
        <v>0</v>
      </c>
      <c r="Q743" s="626">
        <v>0</v>
      </c>
      <c r="R743" s="626"/>
      <c r="S743" s="627">
        <v>2356</v>
      </c>
      <c r="T743" s="628">
        <v>1842</v>
      </c>
      <c r="U743" s="628">
        <v>4198</v>
      </c>
    </row>
    <row r="744" spans="1:21" x14ac:dyDescent="0.25">
      <c r="A744" s="623">
        <v>98109</v>
      </c>
      <c r="B744" s="624" t="s">
        <v>1882</v>
      </c>
      <c r="C744" s="625">
        <v>2.0680000000000001E-4</v>
      </c>
      <c r="D744" s="625">
        <v>2.1269999999999999E-4</v>
      </c>
      <c r="E744" s="626">
        <v>94815</v>
      </c>
      <c r="F744" s="626">
        <v>-117393</v>
      </c>
      <c r="G744" s="626">
        <v>92811</v>
      </c>
      <c r="H744" s="626"/>
      <c r="I744" s="627">
        <v>0</v>
      </c>
      <c r="J744" s="627">
        <v>186516</v>
      </c>
      <c r="K744" s="627">
        <v>0</v>
      </c>
      <c r="L744" s="626">
        <v>4088</v>
      </c>
      <c r="M744" s="626"/>
      <c r="N744" s="627">
        <v>21816</v>
      </c>
      <c r="O744" s="627">
        <v>212939</v>
      </c>
      <c r="P744" s="627">
        <v>0</v>
      </c>
      <c r="Q744" s="626">
        <v>12025.78</v>
      </c>
      <c r="R744" s="626"/>
      <c r="S744" s="627">
        <v>42374</v>
      </c>
      <c r="T744" s="628">
        <v>-2952</v>
      </c>
      <c r="U744" s="628">
        <v>39422</v>
      </c>
    </row>
    <row r="745" spans="1:21" x14ac:dyDescent="0.25">
      <c r="A745" s="623">
        <v>98111</v>
      </c>
      <c r="B745" s="624" t="s">
        <v>1883</v>
      </c>
      <c r="C745" s="625">
        <v>1.0443E-3</v>
      </c>
      <c r="D745" s="625">
        <v>1.0179E-3</v>
      </c>
      <c r="E745" s="626">
        <v>394912</v>
      </c>
      <c r="F745" s="626">
        <v>-561797</v>
      </c>
      <c r="G745" s="626">
        <v>468676</v>
      </c>
      <c r="H745" s="626"/>
      <c r="I745" s="627">
        <v>0</v>
      </c>
      <c r="J745" s="627">
        <v>941871</v>
      </c>
      <c r="K745" s="627">
        <v>0</v>
      </c>
      <c r="L745" s="626">
        <v>0</v>
      </c>
      <c r="M745" s="626"/>
      <c r="N745" s="627">
        <v>110166</v>
      </c>
      <c r="O745" s="627">
        <v>1075302</v>
      </c>
      <c r="P745" s="627">
        <v>0</v>
      </c>
      <c r="Q745" s="626">
        <v>8997</v>
      </c>
      <c r="R745" s="626"/>
      <c r="S745" s="627">
        <v>213979</v>
      </c>
      <c r="T745" s="628">
        <v>-2544</v>
      </c>
      <c r="U745" s="628">
        <v>211435</v>
      </c>
    </row>
    <row r="746" spans="1:21" x14ac:dyDescent="0.25">
      <c r="A746" s="623">
        <v>98113</v>
      </c>
      <c r="B746" s="624" t="s">
        <v>1884</v>
      </c>
      <c r="C746" s="625">
        <v>4.1399999999999997E-5</v>
      </c>
      <c r="D746" s="625">
        <v>3.8899999999999997E-5</v>
      </c>
      <c r="E746" s="626">
        <v>21720</v>
      </c>
      <c r="F746" s="626">
        <v>-21470</v>
      </c>
      <c r="G746" s="626">
        <v>18580</v>
      </c>
      <c r="H746" s="626"/>
      <c r="I746" s="627">
        <v>0</v>
      </c>
      <c r="J746" s="627">
        <v>37339</v>
      </c>
      <c r="K746" s="627">
        <v>0</v>
      </c>
      <c r="L746" s="626">
        <v>8658</v>
      </c>
      <c r="M746" s="626"/>
      <c r="N746" s="627">
        <v>4367</v>
      </c>
      <c r="O746" s="627">
        <v>42629</v>
      </c>
      <c r="P746" s="627">
        <v>0</v>
      </c>
      <c r="Q746" s="626">
        <v>0</v>
      </c>
      <c r="R746" s="626"/>
      <c r="S746" s="627">
        <v>8483</v>
      </c>
      <c r="T746" s="628">
        <v>2491</v>
      </c>
      <c r="U746" s="628">
        <v>10974</v>
      </c>
    </row>
    <row r="747" spans="1:21" x14ac:dyDescent="0.25">
      <c r="A747" s="623">
        <v>98121</v>
      </c>
      <c r="B747" s="624" t="s">
        <v>1885</v>
      </c>
      <c r="C747" s="625">
        <v>2.0689999999999999E-4</v>
      </c>
      <c r="D747" s="625">
        <v>2.229E-4</v>
      </c>
      <c r="E747" s="626">
        <v>87850</v>
      </c>
      <c r="F747" s="626">
        <v>-123023</v>
      </c>
      <c r="G747" s="626">
        <v>92855</v>
      </c>
      <c r="H747" s="626"/>
      <c r="I747" s="627">
        <v>0</v>
      </c>
      <c r="J747" s="627">
        <v>186606</v>
      </c>
      <c r="K747" s="627">
        <v>0</v>
      </c>
      <c r="L747" s="626">
        <v>4901</v>
      </c>
      <c r="M747" s="626"/>
      <c r="N747" s="627">
        <v>21827</v>
      </c>
      <c r="O747" s="627">
        <v>213042</v>
      </c>
      <c r="P747" s="627">
        <v>0</v>
      </c>
      <c r="Q747" s="626">
        <v>8552</v>
      </c>
      <c r="R747" s="626"/>
      <c r="S747" s="627">
        <v>42394</v>
      </c>
      <c r="T747" s="628">
        <v>-600</v>
      </c>
      <c r="U747" s="628">
        <v>41795</v>
      </c>
    </row>
    <row r="748" spans="1:21" x14ac:dyDescent="0.25">
      <c r="A748" s="623">
        <v>98131</v>
      </c>
      <c r="B748" s="624" t="s">
        <v>1886</v>
      </c>
      <c r="C748" s="625">
        <v>3.0610000000000001E-4</v>
      </c>
      <c r="D748" s="625">
        <v>3.19E-4</v>
      </c>
      <c r="E748" s="626">
        <v>111067</v>
      </c>
      <c r="F748" s="626">
        <v>-176062</v>
      </c>
      <c r="G748" s="626">
        <v>137376</v>
      </c>
      <c r="H748" s="626"/>
      <c r="I748" s="627">
        <v>0</v>
      </c>
      <c r="J748" s="627">
        <v>276076</v>
      </c>
      <c r="K748" s="627">
        <v>0</v>
      </c>
      <c r="L748" s="626">
        <v>0</v>
      </c>
      <c r="M748" s="626"/>
      <c r="N748" s="627">
        <v>32291</v>
      </c>
      <c r="O748" s="627">
        <v>315187</v>
      </c>
      <c r="P748" s="627">
        <v>0</v>
      </c>
      <c r="Q748" s="626">
        <v>45410</v>
      </c>
      <c r="R748" s="626"/>
      <c r="S748" s="627">
        <v>62721</v>
      </c>
      <c r="T748" s="628">
        <v>-13728</v>
      </c>
      <c r="U748" s="628">
        <v>48992</v>
      </c>
    </row>
    <row r="749" spans="1:21" x14ac:dyDescent="0.25">
      <c r="A749" s="623">
        <v>98141</v>
      </c>
      <c r="B749" s="624" t="s">
        <v>1887</v>
      </c>
      <c r="C749" s="625">
        <v>3.033E-4</v>
      </c>
      <c r="D749" s="625">
        <v>2.9080000000000002E-4</v>
      </c>
      <c r="E749" s="626">
        <v>115319</v>
      </c>
      <c r="F749" s="626">
        <v>-160498</v>
      </c>
      <c r="G749" s="626">
        <v>136119</v>
      </c>
      <c r="H749" s="626"/>
      <c r="I749" s="627">
        <v>0</v>
      </c>
      <c r="J749" s="627">
        <v>273551</v>
      </c>
      <c r="K749" s="627">
        <v>0</v>
      </c>
      <c r="L749" s="626">
        <v>2025</v>
      </c>
      <c r="M749" s="626"/>
      <c r="N749" s="627">
        <v>31996</v>
      </c>
      <c r="O749" s="627">
        <v>312304</v>
      </c>
      <c r="P749" s="627">
        <v>0</v>
      </c>
      <c r="Q749" s="626">
        <v>24703.38</v>
      </c>
      <c r="R749" s="626"/>
      <c r="S749" s="627">
        <v>62147</v>
      </c>
      <c r="T749" s="628">
        <v>-7732</v>
      </c>
      <c r="U749" s="628">
        <v>54415</v>
      </c>
    </row>
    <row r="750" spans="1:21" x14ac:dyDescent="0.25">
      <c r="A750" s="623">
        <v>98147</v>
      </c>
      <c r="B750" s="624" t="s">
        <v>1888</v>
      </c>
      <c r="C750" s="625">
        <v>1.03E-5</v>
      </c>
      <c r="D750" s="625">
        <v>1.1199999999999999E-5</v>
      </c>
      <c r="E750" s="626">
        <v>8144</v>
      </c>
      <c r="F750" s="626">
        <v>-6181</v>
      </c>
      <c r="G750" s="626">
        <v>4623</v>
      </c>
      <c r="H750" s="626"/>
      <c r="I750" s="627">
        <v>0</v>
      </c>
      <c r="J750" s="627">
        <v>9290</v>
      </c>
      <c r="K750" s="627">
        <v>0</v>
      </c>
      <c r="L750" s="626">
        <v>4763</v>
      </c>
      <c r="M750" s="626"/>
      <c r="N750" s="627">
        <v>1087</v>
      </c>
      <c r="O750" s="627">
        <v>10606</v>
      </c>
      <c r="P750" s="627">
        <v>0</v>
      </c>
      <c r="Q750" s="626">
        <v>0</v>
      </c>
      <c r="R750" s="626"/>
      <c r="S750" s="627">
        <v>2110</v>
      </c>
      <c r="T750" s="628">
        <v>1412</v>
      </c>
      <c r="U750" s="628">
        <v>3522</v>
      </c>
    </row>
    <row r="751" spans="1:21" x14ac:dyDescent="0.25">
      <c r="A751" s="623">
        <v>98161</v>
      </c>
      <c r="B751" s="624" t="s">
        <v>1889</v>
      </c>
      <c r="C751" s="625">
        <v>7.6000000000000001E-6</v>
      </c>
      <c r="D751" s="625">
        <v>7.9999999999999996E-6</v>
      </c>
      <c r="E751" s="626">
        <v>4479</v>
      </c>
      <c r="F751" s="626">
        <v>-4415</v>
      </c>
      <c r="G751" s="626">
        <v>3411</v>
      </c>
      <c r="H751" s="626"/>
      <c r="I751" s="627">
        <v>0</v>
      </c>
      <c r="J751" s="627">
        <v>6855</v>
      </c>
      <c r="K751" s="627">
        <v>0</v>
      </c>
      <c r="L751" s="626">
        <v>1659</v>
      </c>
      <c r="M751" s="626"/>
      <c r="N751" s="627">
        <v>802</v>
      </c>
      <c r="O751" s="627">
        <v>7826</v>
      </c>
      <c r="P751" s="627">
        <v>0</v>
      </c>
      <c r="Q751" s="626">
        <v>0</v>
      </c>
      <c r="R751" s="626"/>
      <c r="S751" s="627">
        <v>1557</v>
      </c>
      <c r="T751" s="628">
        <v>496</v>
      </c>
      <c r="U751" s="628">
        <v>2053</v>
      </c>
    </row>
    <row r="752" spans="1:21" x14ac:dyDescent="0.25">
      <c r="A752" s="623">
        <v>98201</v>
      </c>
      <c r="B752" s="624" t="s">
        <v>1890</v>
      </c>
      <c r="C752" s="625">
        <v>3.0019999999999999E-3</v>
      </c>
      <c r="D752" s="625">
        <v>3.0319000000000001E-3</v>
      </c>
      <c r="E752" s="626">
        <v>1194730</v>
      </c>
      <c r="F752" s="626">
        <v>-1673360</v>
      </c>
      <c r="G752" s="626">
        <v>1347280</v>
      </c>
      <c r="H752" s="626"/>
      <c r="I752" s="627">
        <v>0</v>
      </c>
      <c r="J752" s="627">
        <v>2707552</v>
      </c>
      <c r="K752" s="627">
        <v>0</v>
      </c>
      <c r="L752" s="626">
        <v>0</v>
      </c>
      <c r="M752" s="626"/>
      <c r="N752" s="627">
        <v>316690</v>
      </c>
      <c r="O752" s="627">
        <v>3091120</v>
      </c>
      <c r="P752" s="627">
        <v>0</v>
      </c>
      <c r="Q752" s="626">
        <v>59618</v>
      </c>
      <c r="R752" s="626"/>
      <c r="S752" s="627">
        <v>615116</v>
      </c>
      <c r="T752" s="628">
        <v>-16633</v>
      </c>
      <c r="U752" s="628">
        <v>598483</v>
      </c>
    </row>
    <row r="753" spans="1:21" x14ac:dyDescent="0.25">
      <c r="A753" s="623">
        <v>98205</v>
      </c>
      <c r="B753" s="624" t="s">
        <v>1891</v>
      </c>
      <c r="C753" s="625">
        <v>5.02E-5</v>
      </c>
      <c r="D753" s="625">
        <v>5.6900000000000001E-5</v>
      </c>
      <c r="E753" s="626">
        <v>23492</v>
      </c>
      <c r="F753" s="626">
        <v>-31404</v>
      </c>
      <c r="G753" s="626">
        <v>22529</v>
      </c>
      <c r="H753" s="626"/>
      <c r="I753" s="627">
        <v>0</v>
      </c>
      <c r="J753" s="627">
        <v>45276</v>
      </c>
      <c r="K753" s="627">
        <v>0</v>
      </c>
      <c r="L753" s="626">
        <v>568.1</v>
      </c>
      <c r="M753" s="626"/>
      <c r="N753" s="627">
        <v>5296</v>
      </c>
      <c r="O753" s="627">
        <v>51690</v>
      </c>
      <c r="P753" s="627">
        <v>0</v>
      </c>
      <c r="Q753" s="626">
        <v>2327</v>
      </c>
      <c r="R753" s="626"/>
      <c r="S753" s="627">
        <v>10286</v>
      </c>
      <c r="T753" s="628">
        <v>-419</v>
      </c>
      <c r="U753" s="628">
        <v>9867</v>
      </c>
    </row>
    <row r="754" spans="1:21" x14ac:dyDescent="0.25">
      <c r="A754" s="623">
        <v>98211</v>
      </c>
      <c r="B754" s="624" t="s">
        <v>1892</v>
      </c>
      <c r="C754" s="625">
        <v>9.4729999999999999E-4</v>
      </c>
      <c r="D754" s="625">
        <v>9.6869999999999996E-4</v>
      </c>
      <c r="E754" s="626">
        <v>340711</v>
      </c>
      <c r="F754" s="626">
        <v>-534643</v>
      </c>
      <c r="G754" s="626">
        <v>425143</v>
      </c>
      <c r="H754" s="626"/>
      <c r="I754" s="627">
        <v>0</v>
      </c>
      <c r="J754" s="627">
        <v>854385</v>
      </c>
      <c r="K754" s="627">
        <v>0</v>
      </c>
      <c r="L754" s="626">
        <v>0</v>
      </c>
      <c r="M754" s="626"/>
      <c r="N754" s="627">
        <v>99934</v>
      </c>
      <c r="O754" s="627">
        <v>975422</v>
      </c>
      <c r="P754" s="627">
        <v>0</v>
      </c>
      <c r="Q754" s="626">
        <v>66554</v>
      </c>
      <c r="R754" s="626"/>
      <c r="S754" s="627">
        <v>194104</v>
      </c>
      <c r="T754" s="628">
        <v>-18515</v>
      </c>
      <c r="U754" s="628">
        <v>175589</v>
      </c>
    </row>
    <row r="755" spans="1:21" x14ac:dyDescent="0.25">
      <c r="A755" s="623">
        <v>98218</v>
      </c>
      <c r="B755" s="624" t="s">
        <v>1893</v>
      </c>
      <c r="C755" s="625">
        <v>1.08E-5</v>
      </c>
      <c r="D755" s="625">
        <v>1.2999999999999999E-5</v>
      </c>
      <c r="E755" s="626">
        <v>5128</v>
      </c>
      <c r="F755" s="626">
        <v>-7175</v>
      </c>
      <c r="G755" s="626">
        <v>4847</v>
      </c>
      <c r="H755" s="626"/>
      <c r="I755" s="627">
        <v>0</v>
      </c>
      <c r="J755" s="627">
        <v>9741</v>
      </c>
      <c r="K755" s="627">
        <v>0</v>
      </c>
      <c r="L755" s="626">
        <v>0</v>
      </c>
      <c r="M755" s="626"/>
      <c r="N755" s="627">
        <v>1139</v>
      </c>
      <c r="O755" s="627">
        <v>11121</v>
      </c>
      <c r="P755" s="627">
        <v>0</v>
      </c>
      <c r="Q755" s="626">
        <v>2460</v>
      </c>
      <c r="R755" s="626"/>
      <c r="S755" s="627">
        <v>2213</v>
      </c>
      <c r="T755" s="628">
        <v>-752</v>
      </c>
      <c r="U755" s="628">
        <v>1461</v>
      </c>
    </row>
    <row r="756" spans="1:21" x14ac:dyDescent="0.25">
      <c r="A756" s="623">
        <v>98221</v>
      </c>
      <c r="B756" s="624" t="s">
        <v>1894</v>
      </c>
      <c r="C756" s="625">
        <v>1.5999999999999999E-5</v>
      </c>
      <c r="D756" s="625">
        <v>1.8600000000000001E-5</v>
      </c>
      <c r="E756" s="626">
        <v>9997</v>
      </c>
      <c r="F756" s="626">
        <v>-10266</v>
      </c>
      <c r="G756" s="626">
        <v>7181</v>
      </c>
      <c r="H756" s="626"/>
      <c r="I756" s="627">
        <v>0</v>
      </c>
      <c r="J756" s="627">
        <v>14431</v>
      </c>
      <c r="K756" s="627">
        <v>0</v>
      </c>
      <c r="L756" s="626">
        <v>924</v>
      </c>
      <c r="M756" s="626"/>
      <c r="N756" s="627">
        <v>1688</v>
      </c>
      <c r="O756" s="627">
        <v>16475</v>
      </c>
      <c r="P756" s="627">
        <v>0</v>
      </c>
      <c r="Q756" s="626">
        <v>0</v>
      </c>
      <c r="R756" s="626"/>
      <c r="S756" s="627">
        <v>3278</v>
      </c>
      <c r="T756" s="628">
        <v>242</v>
      </c>
      <c r="U756" s="628">
        <v>3520</v>
      </c>
    </row>
    <row r="757" spans="1:21" x14ac:dyDescent="0.25">
      <c r="A757" s="623">
        <v>98231</v>
      </c>
      <c r="B757" s="624" t="s">
        <v>1895</v>
      </c>
      <c r="C757" s="625">
        <v>3.7400000000000001E-5</v>
      </c>
      <c r="D757" s="625">
        <v>3.3599999999999997E-5</v>
      </c>
      <c r="E757" s="626">
        <v>16420</v>
      </c>
      <c r="F757" s="626">
        <v>-18544</v>
      </c>
      <c r="G757" s="626">
        <v>16785</v>
      </c>
      <c r="H757" s="626"/>
      <c r="I757" s="627">
        <v>0</v>
      </c>
      <c r="J757" s="627">
        <v>33732</v>
      </c>
      <c r="K757" s="627">
        <v>0</v>
      </c>
      <c r="L757" s="626">
        <v>3578</v>
      </c>
      <c r="M757" s="626"/>
      <c r="N757" s="627">
        <v>3945</v>
      </c>
      <c r="O757" s="627">
        <v>38510</v>
      </c>
      <c r="P757" s="627">
        <v>0</v>
      </c>
      <c r="Q757" s="626">
        <v>7750</v>
      </c>
      <c r="R757" s="626"/>
      <c r="S757" s="627">
        <v>7663</v>
      </c>
      <c r="T757" s="628">
        <v>-1655</v>
      </c>
      <c r="U757" s="628">
        <v>6008</v>
      </c>
    </row>
    <row r="758" spans="1:21" x14ac:dyDescent="0.25">
      <c r="A758" s="623">
        <v>98237</v>
      </c>
      <c r="B758" s="624" t="s">
        <v>1896</v>
      </c>
      <c r="C758" s="625">
        <v>2.9000000000000002E-6</v>
      </c>
      <c r="D758" s="625">
        <v>3.1999999999999999E-6</v>
      </c>
      <c r="E758" s="626">
        <v>2472</v>
      </c>
      <c r="F758" s="626">
        <v>-1766</v>
      </c>
      <c r="G758" s="626">
        <v>1302</v>
      </c>
      <c r="H758" s="626"/>
      <c r="I758" s="627">
        <v>0</v>
      </c>
      <c r="J758" s="627">
        <v>2616</v>
      </c>
      <c r="K758" s="627">
        <v>0</v>
      </c>
      <c r="L758" s="626">
        <v>1617</v>
      </c>
      <c r="M758" s="626"/>
      <c r="N758" s="627">
        <v>306</v>
      </c>
      <c r="O758" s="627">
        <v>2986</v>
      </c>
      <c r="P758" s="627">
        <v>0</v>
      </c>
      <c r="Q758" s="626">
        <v>0</v>
      </c>
      <c r="R758" s="626"/>
      <c r="S758" s="627">
        <v>594</v>
      </c>
      <c r="T758" s="628">
        <v>482</v>
      </c>
      <c r="U758" s="628">
        <v>1076</v>
      </c>
    </row>
    <row r="759" spans="1:21" x14ac:dyDescent="0.25">
      <c r="A759" s="623">
        <v>98241</v>
      </c>
      <c r="B759" s="624" t="s">
        <v>1897</v>
      </c>
      <c r="C759" s="625">
        <v>1.0200000000000001E-5</v>
      </c>
      <c r="D759" s="625">
        <v>1.47E-5</v>
      </c>
      <c r="E759" s="626">
        <v>7583</v>
      </c>
      <c r="F759" s="626">
        <v>-8113</v>
      </c>
      <c r="G759" s="626">
        <v>4578</v>
      </c>
      <c r="H759" s="626"/>
      <c r="I759" s="627">
        <v>0</v>
      </c>
      <c r="J759" s="627">
        <v>9200</v>
      </c>
      <c r="K759" s="627">
        <v>0</v>
      </c>
      <c r="L759" s="626">
        <v>5723</v>
      </c>
      <c r="M759" s="626"/>
      <c r="N759" s="627">
        <v>1076</v>
      </c>
      <c r="O759" s="627">
        <v>10503</v>
      </c>
      <c r="P759" s="627">
        <v>0</v>
      </c>
      <c r="Q759" s="626">
        <v>449</v>
      </c>
      <c r="R759" s="626"/>
      <c r="S759" s="627">
        <v>2090</v>
      </c>
      <c r="T759" s="628">
        <v>1797</v>
      </c>
      <c r="U759" s="628">
        <v>3887</v>
      </c>
    </row>
    <row r="760" spans="1:21" x14ac:dyDescent="0.25">
      <c r="A760" s="623">
        <v>98251</v>
      </c>
      <c r="B760" s="624" t="s">
        <v>1898</v>
      </c>
      <c r="C760" s="625">
        <v>3.1E-6</v>
      </c>
      <c r="D760" s="625">
        <v>2.9000000000000002E-6</v>
      </c>
      <c r="E760" s="626">
        <v>1912</v>
      </c>
      <c r="F760" s="626">
        <v>-1601</v>
      </c>
      <c r="G760" s="626">
        <v>1391</v>
      </c>
      <c r="H760" s="626"/>
      <c r="I760" s="627">
        <v>0</v>
      </c>
      <c r="J760" s="627">
        <v>2796</v>
      </c>
      <c r="K760" s="627">
        <v>0</v>
      </c>
      <c r="L760" s="626">
        <v>1008</v>
      </c>
      <c r="M760" s="626"/>
      <c r="N760" s="627">
        <v>327</v>
      </c>
      <c r="O760" s="627">
        <v>3192</v>
      </c>
      <c r="P760" s="627">
        <v>0</v>
      </c>
      <c r="Q760" s="626">
        <v>0</v>
      </c>
      <c r="R760" s="626"/>
      <c r="S760" s="627">
        <v>635</v>
      </c>
      <c r="T760" s="628">
        <v>290</v>
      </c>
      <c r="U760" s="628">
        <v>925</v>
      </c>
    </row>
    <row r="761" spans="1:21" x14ac:dyDescent="0.25">
      <c r="A761" s="623">
        <v>98261</v>
      </c>
      <c r="B761" s="624" t="s">
        <v>1899</v>
      </c>
      <c r="C761" s="625">
        <v>4.3099999999999997E-5</v>
      </c>
      <c r="D761" s="625">
        <v>3.0599999999999998E-5</v>
      </c>
      <c r="E761" s="626">
        <v>14163</v>
      </c>
      <c r="F761" s="626">
        <v>-16889</v>
      </c>
      <c r="G761" s="626">
        <v>19343</v>
      </c>
      <c r="H761" s="626"/>
      <c r="I761" s="627">
        <v>0</v>
      </c>
      <c r="J761" s="627">
        <v>38873</v>
      </c>
      <c r="K761" s="627">
        <v>0</v>
      </c>
      <c r="L761" s="626">
        <v>6107</v>
      </c>
      <c r="M761" s="626"/>
      <c r="N761" s="627">
        <v>4547</v>
      </c>
      <c r="O761" s="627">
        <v>44380</v>
      </c>
      <c r="P761" s="627">
        <v>0</v>
      </c>
      <c r="Q761" s="626">
        <v>0</v>
      </c>
      <c r="R761" s="626"/>
      <c r="S761" s="627">
        <v>8831</v>
      </c>
      <c r="T761" s="628">
        <v>1603</v>
      </c>
      <c r="U761" s="628">
        <v>10434</v>
      </c>
    </row>
    <row r="762" spans="1:21" x14ac:dyDescent="0.25">
      <c r="A762" s="623">
        <v>98271</v>
      </c>
      <c r="B762" s="624" t="s">
        <v>1900</v>
      </c>
      <c r="C762" s="625">
        <v>3.4000000000000001E-6</v>
      </c>
      <c r="D762" s="625">
        <v>2.9000000000000002E-6</v>
      </c>
      <c r="E762" s="626">
        <v>3432</v>
      </c>
      <c r="F762" s="626">
        <v>-1601</v>
      </c>
      <c r="G762" s="626">
        <v>1526</v>
      </c>
      <c r="H762" s="626"/>
      <c r="I762" s="627">
        <v>0</v>
      </c>
      <c r="J762" s="627">
        <v>3067</v>
      </c>
      <c r="K762" s="627">
        <v>0</v>
      </c>
      <c r="L762" s="626">
        <v>3388</v>
      </c>
      <c r="M762" s="626"/>
      <c r="N762" s="627">
        <v>359</v>
      </c>
      <c r="O762" s="627">
        <v>3501</v>
      </c>
      <c r="P762" s="627">
        <v>0</v>
      </c>
      <c r="Q762" s="626">
        <v>0</v>
      </c>
      <c r="R762" s="626"/>
      <c r="S762" s="627">
        <v>697</v>
      </c>
      <c r="T762" s="628">
        <v>990</v>
      </c>
      <c r="U762" s="628">
        <v>1686</v>
      </c>
    </row>
    <row r="763" spans="1:21" x14ac:dyDescent="0.25">
      <c r="A763" s="623">
        <v>98301</v>
      </c>
      <c r="B763" s="624" t="s">
        <v>1901</v>
      </c>
      <c r="C763" s="625">
        <v>1.7478999999999999E-3</v>
      </c>
      <c r="D763" s="625">
        <v>1.6693000000000001E-3</v>
      </c>
      <c r="E763" s="626">
        <v>739860</v>
      </c>
      <c r="F763" s="626">
        <v>-921317</v>
      </c>
      <c r="G763" s="626">
        <v>784447</v>
      </c>
      <c r="H763" s="626"/>
      <c r="I763" s="627">
        <v>0</v>
      </c>
      <c r="J763" s="627">
        <v>1576459</v>
      </c>
      <c r="K763" s="627">
        <v>0</v>
      </c>
      <c r="L763" s="626">
        <v>75940</v>
      </c>
      <c r="M763" s="626"/>
      <c r="N763" s="627">
        <v>184391</v>
      </c>
      <c r="O763" s="627">
        <v>1799790</v>
      </c>
      <c r="P763" s="627">
        <v>0</v>
      </c>
      <c r="Q763" s="626">
        <v>23606</v>
      </c>
      <c r="R763" s="626"/>
      <c r="S763" s="627">
        <v>358148</v>
      </c>
      <c r="T763" s="628">
        <v>11985</v>
      </c>
      <c r="U763" s="628">
        <v>370133</v>
      </c>
    </row>
    <row r="764" spans="1:21" x14ac:dyDescent="0.25">
      <c r="A764" s="623">
        <v>98304</v>
      </c>
      <c r="B764" s="624" t="s">
        <v>1902</v>
      </c>
      <c r="C764" s="625">
        <v>2.4499999999999999E-5</v>
      </c>
      <c r="D764" s="625">
        <v>2.5000000000000001E-5</v>
      </c>
      <c r="E764" s="626">
        <v>11779</v>
      </c>
      <c r="F764" s="626">
        <v>-13797.95</v>
      </c>
      <c r="G764" s="626">
        <v>10995</v>
      </c>
      <c r="H764" s="626"/>
      <c r="I764" s="627">
        <v>0</v>
      </c>
      <c r="J764" s="627">
        <v>22097</v>
      </c>
      <c r="K764" s="627">
        <v>0</v>
      </c>
      <c r="L764" s="626">
        <v>1227</v>
      </c>
      <c r="M764" s="626"/>
      <c r="N764" s="627">
        <v>2585</v>
      </c>
      <c r="O764" s="627">
        <v>25227</v>
      </c>
      <c r="P764" s="627">
        <v>0</v>
      </c>
      <c r="Q764" s="626">
        <v>0</v>
      </c>
      <c r="R764" s="626"/>
      <c r="S764" s="627">
        <v>5020</v>
      </c>
      <c r="T764" s="628">
        <v>334</v>
      </c>
      <c r="U764" s="628">
        <v>5354</v>
      </c>
    </row>
    <row r="765" spans="1:21" x14ac:dyDescent="0.25">
      <c r="A765" s="623">
        <v>98308</v>
      </c>
      <c r="B765" s="624" t="s">
        <v>1903</v>
      </c>
      <c r="C765" s="625">
        <v>2.5000000000000001E-5</v>
      </c>
      <c r="D765" s="625">
        <v>2.6400000000000001E-5</v>
      </c>
      <c r="E765" s="626">
        <v>15502</v>
      </c>
      <c r="F765" s="626">
        <v>-14571</v>
      </c>
      <c r="G765" s="626">
        <v>11219.85</v>
      </c>
      <c r="H765" s="626"/>
      <c r="I765" s="627">
        <v>0</v>
      </c>
      <c r="J765" s="627">
        <v>22547.9</v>
      </c>
      <c r="K765" s="627">
        <v>0</v>
      </c>
      <c r="L765" s="626">
        <v>6775</v>
      </c>
      <c r="M765" s="626"/>
      <c r="N765" s="627">
        <v>2637</v>
      </c>
      <c r="O765" s="627">
        <v>25742</v>
      </c>
      <c r="P765" s="627">
        <v>0</v>
      </c>
      <c r="Q765" s="626">
        <v>0</v>
      </c>
      <c r="R765" s="626"/>
      <c r="S765" s="627">
        <v>5122.55</v>
      </c>
      <c r="T765" s="628">
        <v>2032</v>
      </c>
      <c r="U765" s="628">
        <v>7155</v>
      </c>
    </row>
    <row r="766" spans="1:21" x14ac:dyDescent="0.25">
      <c r="A766" s="623">
        <v>98311</v>
      </c>
      <c r="B766" s="624" t="s">
        <v>1904</v>
      </c>
      <c r="C766" s="625">
        <v>1.1704E-3</v>
      </c>
      <c r="D766" s="625">
        <v>1.1291000000000001E-3</v>
      </c>
      <c r="E766" s="626">
        <v>422049</v>
      </c>
      <c r="F766" s="626">
        <v>-623171</v>
      </c>
      <c r="G766" s="626">
        <v>525268</v>
      </c>
      <c r="H766" s="626"/>
      <c r="I766" s="627">
        <v>0</v>
      </c>
      <c r="J766" s="627">
        <v>1055602</v>
      </c>
      <c r="K766" s="627">
        <v>0</v>
      </c>
      <c r="L766" s="626">
        <v>38215.19</v>
      </c>
      <c r="M766" s="626"/>
      <c r="N766" s="627">
        <v>123469</v>
      </c>
      <c r="O766" s="627">
        <v>1205146</v>
      </c>
      <c r="P766" s="627">
        <v>0</v>
      </c>
      <c r="Q766" s="626">
        <v>15245</v>
      </c>
      <c r="R766" s="626"/>
      <c r="S766" s="627">
        <v>239817</v>
      </c>
      <c r="T766" s="628">
        <v>8790</v>
      </c>
      <c r="U766" s="628">
        <v>248607</v>
      </c>
    </row>
    <row r="767" spans="1:21" x14ac:dyDescent="0.25">
      <c r="A767" s="623">
        <v>98313</v>
      </c>
      <c r="B767" s="624" t="s">
        <v>1905</v>
      </c>
      <c r="C767" s="625">
        <v>2.3589999999999999E-4</v>
      </c>
      <c r="D767" s="625">
        <v>2.5750000000000002E-4</v>
      </c>
      <c r="E767" s="626">
        <v>220698</v>
      </c>
      <c r="F767" s="626">
        <v>-142119</v>
      </c>
      <c r="G767" s="626">
        <v>105871</v>
      </c>
      <c r="H767" s="626"/>
      <c r="I767" s="627">
        <v>0</v>
      </c>
      <c r="J767" s="627">
        <v>212762</v>
      </c>
      <c r="K767" s="627">
        <v>0</v>
      </c>
      <c r="L767" s="626">
        <v>83421</v>
      </c>
      <c r="M767" s="626"/>
      <c r="N767" s="627">
        <v>24886</v>
      </c>
      <c r="O767" s="627">
        <v>242903</v>
      </c>
      <c r="P767" s="627">
        <v>0</v>
      </c>
      <c r="Q767" s="626">
        <v>179.4</v>
      </c>
      <c r="R767" s="626"/>
      <c r="S767" s="627">
        <v>48336</v>
      </c>
      <c r="T767" s="628">
        <v>21778</v>
      </c>
      <c r="U767" s="628">
        <v>70114</v>
      </c>
    </row>
    <row r="768" spans="1:21" x14ac:dyDescent="0.25">
      <c r="A768" s="623">
        <v>98321</v>
      </c>
      <c r="B768" s="624" t="s">
        <v>1906</v>
      </c>
      <c r="C768" s="625">
        <v>2.9E-5</v>
      </c>
      <c r="D768" s="625">
        <v>2.9200000000000002E-5</v>
      </c>
      <c r="E768" s="626">
        <v>11384</v>
      </c>
      <c r="F768" s="626">
        <v>-16116</v>
      </c>
      <c r="G768" s="626">
        <v>13015</v>
      </c>
      <c r="H768" s="626"/>
      <c r="I768" s="627">
        <v>0</v>
      </c>
      <c r="J768" s="627">
        <v>26156</v>
      </c>
      <c r="K768" s="627">
        <v>0</v>
      </c>
      <c r="L768" s="626">
        <v>4697.29</v>
      </c>
      <c r="M768" s="626"/>
      <c r="N768" s="627">
        <v>3059</v>
      </c>
      <c r="O768" s="627">
        <v>29861</v>
      </c>
      <c r="P768" s="627">
        <v>0</v>
      </c>
      <c r="Q768" s="626">
        <v>502</v>
      </c>
      <c r="R768" s="626"/>
      <c r="S768" s="627">
        <v>5942</v>
      </c>
      <c r="T768" s="628">
        <v>1440</v>
      </c>
      <c r="U768" s="628">
        <v>7382</v>
      </c>
    </row>
    <row r="769" spans="1:21" x14ac:dyDescent="0.25">
      <c r="A769" s="623">
        <v>98331</v>
      </c>
      <c r="B769" s="624" t="s">
        <v>1907</v>
      </c>
      <c r="C769" s="625">
        <v>9.7999999999999993E-6</v>
      </c>
      <c r="D769" s="625">
        <v>9.5999999999999996E-6</v>
      </c>
      <c r="E769" s="626">
        <v>5845</v>
      </c>
      <c r="F769" s="626">
        <v>-5298</v>
      </c>
      <c r="G769" s="626">
        <v>4398</v>
      </c>
      <c r="H769" s="626"/>
      <c r="I769" s="627">
        <v>0</v>
      </c>
      <c r="J769" s="627">
        <v>8839</v>
      </c>
      <c r="K769" s="627">
        <v>0</v>
      </c>
      <c r="L769" s="626">
        <v>1602</v>
      </c>
      <c r="M769" s="626"/>
      <c r="N769" s="627">
        <v>1034</v>
      </c>
      <c r="O769" s="627">
        <v>10091</v>
      </c>
      <c r="P769" s="627">
        <v>0</v>
      </c>
      <c r="Q769" s="626">
        <v>397.67</v>
      </c>
      <c r="R769" s="626"/>
      <c r="S769" s="627">
        <v>2008</v>
      </c>
      <c r="T769" s="628">
        <v>286</v>
      </c>
      <c r="U769" s="628">
        <v>2294</v>
      </c>
    </row>
    <row r="770" spans="1:21" x14ac:dyDescent="0.25">
      <c r="A770" s="623">
        <v>98401</v>
      </c>
      <c r="B770" s="624" t="s">
        <v>1908</v>
      </c>
      <c r="C770" s="625">
        <v>2.8057999999999998E-3</v>
      </c>
      <c r="D770" s="625">
        <v>2.7179999999999999E-3</v>
      </c>
      <c r="E770" s="626">
        <v>1214753</v>
      </c>
      <c r="F770" s="626">
        <v>-1500113</v>
      </c>
      <c r="G770" s="626">
        <v>1259226</v>
      </c>
      <c r="H770" s="626"/>
      <c r="I770" s="627">
        <v>0</v>
      </c>
      <c r="J770" s="627">
        <v>2530596</v>
      </c>
      <c r="K770" s="627">
        <v>0</v>
      </c>
      <c r="L770" s="626">
        <v>125640</v>
      </c>
      <c r="M770" s="626"/>
      <c r="N770" s="627">
        <v>295992</v>
      </c>
      <c r="O770" s="627">
        <v>2889096</v>
      </c>
      <c r="P770" s="627">
        <v>0</v>
      </c>
      <c r="Q770" s="626">
        <v>0</v>
      </c>
      <c r="R770" s="626"/>
      <c r="S770" s="627">
        <v>574914</v>
      </c>
      <c r="T770" s="628">
        <v>33558</v>
      </c>
      <c r="U770" s="628">
        <v>608472</v>
      </c>
    </row>
    <row r="771" spans="1:21" x14ac:dyDescent="0.25">
      <c r="A771" s="623">
        <v>98411</v>
      </c>
      <c r="B771" s="624" t="s">
        <v>1909</v>
      </c>
      <c r="C771" s="625">
        <v>1.9907000000000002E-3</v>
      </c>
      <c r="D771" s="625">
        <v>2.0038999999999999E-3</v>
      </c>
      <c r="E771" s="626">
        <v>794149</v>
      </c>
      <c r="F771" s="626">
        <v>-1105988</v>
      </c>
      <c r="G771" s="626">
        <v>893414</v>
      </c>
      <c r="H771" s="626"/>
      <c r="I771" s="627">
        <v>0</v>
      </c>
      <c r="J771" s="627">
        <v>1795444</v>
      </c>
      <c r="K771" s="627">
        <v>0</v>
      </c>
      <c r="L771" s="626">
        <v>12038</v>
      </c>
      <c r="M771" s="626"/>
      <c r="N771" s="627">
        <v>210005</v>
      </c>
      <c r="O771" s="627">
        <v>2049798</v>
      </c>
      <c r="P771" s="627">
        <v>0</v>
      </c>
      <c r="Q771" s="626">
        <v>24018</v>
      </c>
      <c r="R771" s="626"/>
      <c r="S771" s="627">
        <v>407898</v>
      </c>
      <c r="T771" s="628">
        <v>-2261</v>
      </c>
      <c r="U771" s="628">
        <v>405637</v>
      </c>
    </row>
    <row r="772" spans="1:21" x14ac:dyDescent="0.25">
      <c r="A772" s="623">
        <v>98417</v>
      </c>
      <c r="B772" s="624" t="s">
        <v>1910</v>
      </c>
      <c r="C772" s="625">
        <v>2.6400000000000001E-5</v>
      </c>
      <c r="D772" s="625">
        <v>2.7699999999999999E-5</v>
      </c>
      <c r="E772" s="626">
        <v>12185</v>
      </c>
      <c r="F772" s="626">
        <v>-15288</v>
      </c>
      <c r="G772" s="626">
        <v>11848</v>
      </c>
      <c r="H772" s="626"/>
      <c r="I772" s="627">
        <v>0</v>
      </c>
      <c r="J772" s="627">
        <v>23811</v>
      </c>
      <c r="K772" s="627">
        <v>0</v>
      </c>
      <c r="L772" s="626">
        <v>202</v>
      </c>
      <c r="M772" s="626"/>
      <c r="N772" s="627">
        <v>2785</v>
      </c>
      <c r="O772" s="627">
        <v>27184</v>
      </c>
      <c r="P772" s="627">
        <v>0</v>
      </c>
      <c r="Q772" s="626">
        <v>1279.72</v>
      </c>
      <c r="R772" s="626"/>
      <c r="S772" s="627">
        <v>5409</v>
      </c>
      <c r="T772" s="628">
        <v>-375</v>
      </c>
      <c r="U772" s="628">
        <v>5034</v>
      </c>
    </row>
    <row r="773" spans="1:21" x14ac:dyDescent="0.25">
      <c r="A773" s="623">
        <v>98421</v>
      </c>
      <c r="B773" s="624" t="s">
        <v>1911</v>
      </c>
      <c r="C773" s="625">
        <v>1.021E-4</v>
      </c>
      <c r="D773" s="625">
        <v>9.2299999999999994E-5</v>
      </c>
      <c r="E773" s="626">
        <v>45738</v>
      </c>
      <c r="F773" s="626">
        <v>-50942</v>
      </c>
      <c r="G773" s="626">
        <v>45822</v>
      </c>
      <c r="H773" s="626"/>
      <c r="I773" s="627">
        <v>0</v>
      </c>
      <c r="J773" s="627">
        <v>92086</v>
      </c>
      <c r="K773" s="627">
        <v>0</v>
      </c>
      <c r="L773" s="626">
        <v>10089</v>
      </c>
      <c r="M773" s="626"/>
      <c r="N773" s="627">
        <v>10771</v>
      </c>
      <c r="O773" s="627">
        <v>105131</v>
      </c>
      <c r="P773" s="627">
        <v>0</v>
      </c>
      <c r="Q773" s="626">
        <v>1926</v>
      </c>
      <c r="R773" s="626"/>
      <c r="S773" s="627">
        <v>20920</v>
      </c>
      <c r="T773" s="628">
        <v>1997</v>
      </c>
      <c r="U773" s="628">
        <v>22917</v>
      </c>
    </row>
    <row r="774" spans="1:21" x14ac:dyDescent="0.25">
      <c r="A774" s="623">
        <v>98427</v>
      </c>
      <c r="B774" s="624" t="s">
        <v>1912</v>
      </c>
      <c r="C774" s="625">
        <v>5.2000000000000002E-6</v>
      </c>
      <c r="D774" s="625">
        <v>5.5999999999999997E-6</v>
      </c>
      <c r="E774" s="626">
        <v>3003</v>
      </c>
      <c r="F774" s="626">
        <v>-3091</v>
      </c>
      <c r="G774" s="626">
        <v>2334</v>
      </c>
      <c r="H774" s="626"/>
      <c r="I774" s="627">
        <v>0</v>
      </c>
      <c r="J774" s="627">
        <v>4690</v>
      </c>
      <c r="K774" s="627">
        <v>0</v>
      </c>
      <c r="L774" s="626">
        <v>629</v>
      </c>
      <c r="M774" s="626"/>
      <c r="N774" s="627">
        <v>549</v>
      </c>
      <c r="O774" s="627">
        <v>5354</v>
      </c>
      <c r="P774" s="627">
        <v>0</v>
      </c>
      <c r="Q774" s="626">
        <v>0</v>
      </c>
      <c r="R774" s="626"/>
      <c r="S774" s="627">
        <v>1065</v>
      </c>
      <c r="T774" s="628">
        <v>180</v>
      </c>
      <c r="U774" s="628">
        <v>1246</v>
      </c>
    </row>
    <row r="775" spans="1:21" x14ac:dyDescent="0.25">
      <c r="A775" s="623">
        <v>98431</v>
      </c>
      <c r="B775" s="624" t="s">
        <v>1913</v>
      </c>
      <c r="C775" s="625">
        <v>2.0560000000000001E-4</v>
      </c>
      <c r="D775" s="625">
        <v>2.097E-4</v>
      </c>
      <c r="E775" s="626">
        <v>73013</v>
      </c>
      <c r="F775" s="626">
        <v>-115737</v>
      </c>
      <c r="G775" s="626">
        <v>92272</v>
      </c>
      <c r="H775" s="626"/>
      <c r="I775" s="627">
        <v>0</v>
      </c>
      <c r="J775" s="627">
        <v>185434</v>
      </c>
      <c r="K775" s="627">
        <v>0</v>
      </c>
      <c r="L775" s="626">
        <v>3764</v>
      </c>
      <c r="M775" s="626"/>
      <c r="N775" s="627">
        <v>21689</v>
      </c>
      <c r="O775" s="627">
        <v>211704</v>
      </c>
      <c r="P775" s="627">
        <v>0</v>
      </c>
      <c r="Q775" s="626">
        <v>11539</v>
      </c>
      <c r="R775" s="626"/>
      <c r="S775" s="627">
        <v>42128</v>
      </c>
      <c r="T775" s="628">
        <v>-1762</v>
      </c>
      <c r="U775" s="628">
        <v>40366</v>
      </c>
    </row>
    <row r="776" spans="1:21" x14ac:dyDescent="0.25">
      <c r="A776" s="623">
        <v>98441</v>
      </c>
      <c r="B776" s="624" t="s">
        <v>1914</v>
      </c>
      <c r="C776" s="625">
        <v>1.039E-4</v>
      </c>
      <c r="D776" s="625">
        <v>1.215E-4</v>
      </c>
      <c r="E776" s="626">
        <v>37953</v>
      </c>
      <c r="F776" s="626">
        <v>-67058</v>
      </c>
      <c r="G776" s="626">
        <v>46630</v>
      </c>
      <c r="H776" s="626"/>
      <c r="I776" s="627">
        <v>0</v>
      </c>
      <c r="J776" s="627">
        <v>93709</v>
      </c>
      <c r="K776" s="627">
        <v>0</v>
      </c>
      <c r="L776" s="626">
        <v>1722</v>
      </c>
      <c r="M776" s="626"/>
      <c r="N776" s="627">
        <v>10961</v>
      </c>
      <c r="O776" s="627">
        <v>106984</v>
      </c>
      <c r="P776" s="627">
        <v>0</v>
      </c>
      <c r="Q776" s="626">
        <v>15891</v>
      </c>
      <c r="R776" s="626"/>
      <c r="S776" s="627">
        <v>21289</v>
      </c>
      <c r="T776" s="628">
        <v>-3584</v>
      </c>
      <c r="U776" s="628">
        <v>17705</v>
      </c>
    </row>
    <row r="777" spans="1:21" x14ac:dyDescent="0.25">
      <c r="A777" s="623">
        <v>98451</v>
      </c>
      <c r="B777" s="624" t="s">
        <v>1915</v>
      </c>
      <c r="C777" s="625">
        <v>6.0300000000000002E-5</v>
      </c>
      <c r="D777" s="625">
        <v>6.2000000000000003E-5</v>
      </c>
      <c r="E777" s="626">
        <v>25199</v>
      </c>
      <c r="F777" s="626">
        <v>-34219</v>
      </c>
      <c r="G777" s="626">
        <v>27062</v>
      </c>
      <c r="H777" s="626"/>
      <c r="I777" s="627">
        <v>0</v>
      </c>
      <c r="J777" s="627">
        <v>54386</v>
      </c>
      <c r="K777" s="627">
        <v>0</v>
      </c>
      <c r="L777" s="626">
        <v>0</v>
      </c>
      <c r="M777" s="626"/>
      <c r="N777" s="627">
        <v>6361</v>
      </c>
      <c r="O777" s="627">
        <v>62090</v>
      </c>
      <c r="P777" s="627">
        <v>0</v>
      </c>
      <c r="Q777" s="626">
        <v>1056</v>
      </c>
      <c r="R777" s="626"/>
      <c r="S777" s="627">
        <v>12356</v>
      </c>
      <c r="T777" s="628">
        <v>-300</v>
      </c>
      <c r="U777" s="628">
        <v>12056</v>
      </c>
    </row>
    <row r="778" spans="1:21" x14ac:dyDescent="0.25">
      <c r="A778" s="623">
        <v>98481</v>
      </c>
      <c r="B778" s="624" t="s">
        <v>1916</v>
      </c>
      <c r="C778" s="625">
        <v>6.2500000000000001E-5</v>
      </c>
      <c r="D778" s="625">
        <v>6.0399999999999998E-5</v>
      </c>
      <c r="E778" s="626">
        <v>23628</v>
      </c>
      <c r="F778" s="626">
        <v>-33336</v>
      </c>
      <c r="G778" s="626">
        <v>28049.625</v>
      </c>
      <c r="H778" s="626"/>
      <c r="I778" s="627">
        <v>0</v>
      </c>
      <c r="J778" s="627">
        <v>56369.75</v>
      </c>
      <c r="K778" s="627">
        <v>0</v>
      </c>
      <c r="L778" s="626">
        <v>4667</v>
      </c>
      <c r="M778" s="626"/>
      <c r="N778" s="627">
        <v>6593.3125</v>
      </c>
      <c r="O778" s="627">
        <v>64355</v>
      </c>
      <c r="P778" s="627">
        <v>0</v>
      </c>
      <c r="Q778" s="626">
        <v>24</v>
      </c>
      <c r="R778" s="626"/>
      <c r="S778" s="627">
        <v>12806.375</v>
      </c>
      <c r="T778" s="628">
        <v>1555</v>
      </c>
      <c r="U778" s="628">
        <v>14361</v>
      </c>
    </row>
    <row r="779" spans="1:21" x14ac:dyDescent="0.25">
      <c r="A779" s="623">
        <v>98501</v>
      </c>
      <c r="B779" s="624" t="s">
        <v>1917</v>
      </c>
      <c r="C779" s="625">
        <v>1.5471E-3</v>
      </c>
      <c r="D779" s="625">
        <v>1.6026E-3</v>
      </c>
      <c r="E779" s="626">
        <v>682295</v>
      </c>
      <c r="F779" s="626">
        <v>-884504</v>
      </c>
      <c r="G779" s="626">
        <v>694329</v>
      </c>
      <c r="H779" s="626"/>
      <c r="I779" s="627">
        <v>0</v>
      </c>
      <c r="J779" s="627">
        <v>1395354</v>
      </c>
      <c r="K779" s="627">
        <v>0</v>
      </c>
      <c r="L779" s="626">
        <v>1189</v>
      </c>
      <c r="M779" s="626"/>
      <c r="N779" s="627">
        <v>163208</v>
      </c>
      <c r="O779" s="627">
        <v>1593029</v>
      </c>
      <c r="P779" s="627">
        <v>0</v>
      </c>
      <c r="Q779" s="626">
        <v>8856</v>
      </c>
      <c r="R779" s="626"/>
      <c r="S779" s="627">
        <v>317004</v>
      </c>
      <c r="T779" s="628">
        <v>-2651</v>
      </c>
      <c r="U779" s="628">
        <v>314353</v>
      </c>
    </row>
    <row r="780" spans="1:21" x14ac:dyDescent="0.25">
      <c r="A780" s="623">
        <v>98511</v>
      </c>
      <c r="B780" s="624" t="s">
        <v>1918</v>
      </c>
      <c r="C780" s="625">
        <v>3.96E-5</v>
      </c>
      <c r="D780" s="625">
        <v>4.3399999999999998E-5</v>
      </c>
      <c r="E780" s="626">
        <v>14642</v>
      </c>
      <c r="F780" s="626">
        <v>-23953</v>
      </c>
      <c r="G780" s="626">
        <v>17772</v>
      </c>
      <c r="H780" s="626"/>
      <c r="I780" s="627">
        <v>0</v>
      </c>
      <c r="J780" s="627">
        <v>35716</v>
      </c>
      <c r="K780" s="627">
        <v>0</v>
      </c>
      <c r="L780" s="626">
        <v>0</v>
      </c>
      <c r="M780" s="626"/>
      <c r="N780" s="627">
        <v>4178</v>
      </c>
      <c r="O780" s="627">
        <v>40776</v>
      </c>
      <c r="P780" s="627">
        <v>0</v>
      </c>
      <c r="Q780" s="626">
        <v>34296</v>
      </c>
      <c r="R780" s="626"/>
      <c r="S780" s="627">
        <v>8114</v>
      </c>
      <c r="T780" s="628">
        <v>-11189</v>
      </c>
      <c r="U780" s="628">
        <v>-3075</v>
      </c>
    </row>
    <row r="781" spans="1:21" x14ac:dyDescent="0.25">
      <c r="A781" s="623">
        <v>98517</v>
      </c>
      <c r="B781" s="624" t="s">
        <v>1919</v>
      </c>
      <c r="C781" s="625">
        <v>3.3000000000000002E-6</v>
      </c>
      <c r="D781" s="625">
        <v>3.8E-6</v>
      </c>
      <c r="E781" s="626">
        <v>2313</v>
      </c>
      <c r="F781" s="626">
        <v>-2097</v>
      </c>
      <c r="G781" s="626">
        <v>1481</v>
      </c>
      <c r="H781" s="626"/>
      <c r="I781" s="627">
        <v>0</v>
      </c>
      <c r="J781" s="627">
        <v>2976</v>
      </c>
      <c r="K781" s="627">
        <v>0</v>
      </c>
      <c r="L781" s="626">
        <v>761</v>
      </c>
      <c r="M781" s="626"/>
      <c r="N781" s="627">
        <v>348</v>
      </c>
      <c r="O781" s="627">
        <v>3398</v>
      </c>
      <c r="P781" s="627">
        <v>0</v>
      </c>
      <c r="Q781" s="626">
        <v>0</v>
      </c>
      <c r="R781" s="626"/>
      <c r="S781" s="627">
        <v>676</v>
      </c>
      <c r="T781" s="628">
        <v>224</v>
      </c>
      <c r="U781" s="628">
        <v>901</v>
      </c>
    </row>
    <row r="782" spans="1:21" x14ac:dyDescent="0.25">
      <c r="A782" s="623">
        <v>98521</v>
      </c>
      <c r="B782" s="624" t="s">
        <v>1920</v>
      </c>
      <c r="C782" s="625">
        <v>6.3980000000000005E-4</v>
      </c>
      <c r="D782" s="625">
        <v>6.1859999999999997E-4</v>
      </c>
      <c r="E782" s="626">
        <v>227190</v>
      </c>
      <c r="F782" s="626">
        <v>-341416</v>
      </c>
      <c r="G782" s="626">
        <v>287138</v>
      </c>
      <c r="H782" s="626"/>
      <c r="I782" s="627">
        <v>0</v>
      </c>
      <c r="J782" s="627">
        <v>577046</v>
      </c>
      <c r="K782" s="627">
        <v>0</v>
      </c>
      <c r="L782" s="626">
        <v>0</v>
      </c>
      <c r="M782" s="626"/>
      <c r="N782" s="627">
        <v>67494</v>
      </c>
      <c r="O782" s="627">
        <v>658794</v>
      </c>
      <c r="P782" s="627">
        <v>0</v>
      </c>
      <c r="Q782" s="626">
        <v>22955</v>
      </c>
      <c r="R782" s="626"/>
      <c r="S782" s="627">
        <v>131096</v>
      </c>
      <c r="T782" s="628">
        <v>-6798</v>
      </c>
      <c r="U782" s="628">
        <v>124298</v>
      </c>
    </row>
    <row r="783" spans="1:21" x14ac:dyDescent="0.25">
      <c r="A783" s="623">
        <v>98601</v>
      </c>
      <c r="B783" s="624" t="s">
        <v>1921</v>
      </c>
      <c r="C783" s="625">
        <v>3.3880999999999998E-3</v>
      </c>
      <c r="D783" s="625">
        <v>3.4897999999999999E-3</v>
      </c>
      <c r="E783" s="626">
        <v>1344084</v>
      </c>
      <c r="F783" s="626">
        <v>-1926083</v>
      </c>
      <c r="G783" s="626">
        <v>1520559</v>
      </c>
      <c r="H783" s="626"/>
      <c r="I783" s="627">
        <v>0</v>
      </c>
      <c r="J783" s="627">
        <v>3055782</v>
      </c>
      <c r="K783" s="627">
        <v>0</v>
      </c>
      <c r="L783" s="626">
        <v>0</v>
      </c>
      <c r="M783" s="626"/>
      <c r="N783" s="627">
        <v>357421</v>
      </c>
      <c r="O783" s="627">
        <v>3488683</v>
      </c>
      <c r="P783" s="627">
        <v>0</v>
      </c>
      <c r="Q783" s="626">
        <v>193863</v>
      </c>
      <c r="R783" s="626"/>
      <c r="S783" s="627">
        <v>694228</v>
      </c>
      <c r="T783" s="628">
        <v>-57392</v>
      </c>
      <c r="U783" s="628">
        <v>636836</v>
      </c>
    </row>
    <row r="784" spans="1:21" x14ac:dyDescent="0.25">
      <c r="A784" s="623">
        <v>98607</v>
      </c>
      <c r="B784" s="624" t="s">
        <v>1922</v>
      </c>
      <c r="C784" s="625">
        <v>6.0000000000000002E-6</v>
      </c>
      <c r="D784" s="625">
        <v>9.7999999999999993E-6</v>
      </c>
      <c r="E784" s="626">
        <v>2491</v>
      </c>
      <c r="F784" s="626">
        <v>-5409</v>
      </c>
      <c r="G784" s="626">
        <v>2693</v>
      </c>
      <c r="H784" s="626"/>
      <c r="I784" s="627">
        <v>0</v>
      </c>
      <c r="J784" s="627">
        <v>5411</v>
      </c>
      <c r="K784" s="627">
        <v>0</v>
      </c>
      <c r="L784" s="626">
        <v>0</v>
      </c>
      <c r="M784" s="626"/>
      <c r="N784" s="627">
        <v>633</v>
      </c>
      <c r="O784" s="627">
        <v>6178</v>
      </c>
      <c r="P784" s="627">
        <v>0</v>
      </c>
      <c r="Q784" s="626">
        <v>3127</v>
      </c>
      <c r="R784" s="626"/>
      <c r="S784" s="627">
        <v>1229</v>
      </c>
      <c r="T784" s="628">
        <v>-855</v>
      </c>
      <c r="U784" s="628">
        <v>375</v>
      </c>
    </row>
    <row r="785" spans="1:21" x14ac:dyDescent="0.25">
      <c r="A785" s="623">
        <v>98608</v>
      </c>
      <c r="B785" s="624" t="s">
        <v>1923</v>
      </c>
      <c r="C785" s="625">
        <v>5.4500000000000003E-5</v>
      </c>
      <c r="D785" s="625">
        <v>4.1300000000000001E-5</v>
      </c>
      <c r="E785" s="626">
        <v>19310</v>
      </c>
      <c r="F785" s="626">
        <v>-22794</v>
      </c>
      <c r="G785" s="626">
        <v>24459</v>
      </c>
      <c r="H785" s="626"/>
      <c r="I785" s="627">
        <v>0</v>
      </c>
      <c r="J785" s="627">
        <v>49154</v>
      </c>
      <c r="K785" s="627">
        <v>0</v>
      </c>
      <c r="L785" s="626">
        <v>8812</v>
      </c>
      <c r="M785" s="626"/>
      <c r="N785" s="627">
        <v>5749</v>
      </c>
      <c r="O785" s="627">
        <v>56118</v>
      </c>
      <c r="P785" s="627">
        <v>0</v>
      </c>
      <c r="Q785" s="626">
        <v>0</v>
      </c>
      <c r="R785" s="626"/>
      <c r="S785" s="627">
        <v>11167</v>
      </c>
      <c r="T785" s="628">
        <v>2444</v>
      </c>
      <c r="U785" s="628">
        <v>13611</v>
      </c>
    </row>
    <row r="786" spans="1:21" x14ac:dyDescent="0.25">
      <c r="A786" s="623">
        <v>98611</v>
      </c>
      <c r="B786" s="624" t="s">
        <v>1924</v>
      </c>
      <c r="C786" s="625">
        <v>1.2129999999999999E-4</v>
      </c>
      <c r="D786" s="625">
        <v>1.217E-4</v>
      </c>
      <c r="E786" s="626">
        <v>51918</v>
      </c>
      <c r="F786" s="626">
        <v>-67168</v>
      </c>
      <c r="G786" s="626">
        <v>54439</v>
      </c>
      <c r="H786" s="626"/>
      <c r="I786" s="627">
        <v>0</v>
      </c>
      <c r="J786" s="627">
        <v>109402</v>
      </c>
      <c r="K786" s="627">
        <v>0</v>
      </c>
      <c r="L786" s="626">
        <v>6920</v>
      </c>
      <c r="M786" s="626"/>
      <c r="N786" s="627">
        <v>12796</v>
      </c>
      <c r="O786" s="627">
        <v>124901</v>
      </c>
      <c r="P786" s="627">
        <v>0</v>
      </c>
      <c r="Q786" s="626">
        <v>0</v>
      </c>
      <c r="R786" s="626"/>
      <c r="S786" s="627">
        <v>24855</v>
      </c>
      <c r="T786" s="628">
        <v>2197</v>
      </c>
      <c r="U786" s="628">
        <v>27052</v>
      </c>
    </row>
    <row r="787" spans="1:21" x14ac:dyDescent="0.25">
      <c r="A787" s="623">
        <v>98621</v>
      </c>
      <c r="B787" s="624" t="s">
        <v>1925</v>
      </c>
      <c r="C787" s="625">
        <v>1.2740000000000001E-4</v>
      </c>
      <c r="D787" s="625">
        <v>1.317E-4</v>
      </c>
      <c r="E787" s="626">
        <v>46776</v>
      </c>
      <c r="F787" s="626">
        <v>-72688</v>
      </c>
      <c r="G787" s="626">
        <v>57176</v>
      </c>
      <c r="H787" s="626"/>
      <c r="I787" s="627">
        <v>0</v>
      </c>
      <c r="J787" s="627">
        <v>114904</v>
      </c>
      <c r="K787" s="627">
        <v>0</v>
      </c>
      <c r="L787" s="626">
        <v>1429.22</v>
      </c>
      <c r="M787" s="626"/>
      <c r="N787" s="627">
        <v>13440</v>
      </c>
      <c r="O787" s="627">
        <v>131182</v>
      </c>
      <c r="P787" s="627">
        <v>0</v>
      </c>
      <c r="Q787" s="626">
        <v>7170</v>
      </c>
      <c r="R787" s="626"/>
      <c r="S787" s="627">
        <v>26105</v>
      </c>
      <c r="T787" s="628">
        <v>-1399</v>
      </c>
      <c r="U787" s="628">
        <v>24706</v>
      </c>
    </row>
    <row r="788" spans="1:21" x14ac:dyDescent="0.25">
      <c r="A788" s="623">
        <v>98627</v>
      </c>
      <c r="B788" s="624" t="s">
        <v>1926</v>
      </c>
      <c r="C788" s="625">
        <v>7.4000000000000003E-6</v>
      </c>
      <c r="D788" s="625">
        <v>7.3000000000000004E-6</v>
      </c>
      <c r="E788" s="626">
        <v>2748</v>
      </c>
      <c r="F788" s="626">
        <v>-4029</v>
      </c>
      <c r="G788" s="626">
        <v>3321</v>
      </c>
      <c r="H788" s="626"/>
      <c r="I788" s="627">
        <v>0</v>
      </c>
      <c r="J788" s="627">
        <v>6674</v>
      </c>
      <c r="K788" s="627">
        <v>0</v>
      </c>
      <c r="L788" s="626">
        <v>0</v>
      </c>
      <c r="M788" s="626"/>
      <c r="N788" s="627">
        <v>781</v>
      </c>
      <c r="O788" s="627">
        <v>7620</v>
      </c>
      <c r="P788" s="627">
        <v>0</v>
      </c>
      <c r="Q788" s="626">
        <v>287</v>
      </c>
      <c r="R788" s="626"/>
      <c r="S788" s="627">
        <v>1516</v>
      </c>
      <c r="T788" s="628">
        <v>-85</v>
      </c>
      <c r="U788" s="628">
        <v>1431</v>
      </c>
    </row>
    <row r="789" spans="1:21" x14ac:dyDescent="0.25">
      <c r="A789" s="623">
        <v>98631</v>
      </c>
      <c r="B789" s="624" t="s">
        <v>1927</v>
      </c>
      <c r="C789" s="625">
        <v>1.1375000000000001E-3</v>
      </c>
      <c r="D789" s="625">
        <v>1.1872E-3</v>
      </c>
      <c r="E789" s="626">
        <v>425434</v>
      </c>
      <c r="F789" s="626">
        <v>-655237</v>
      </c>
      <c r="G789" s="626">
        <v>510503</v>
      </c>
      <c r="H789" s="626"/>
      <c r="I789" s="627">
        <v>0</v>
      </c>
      <c r="J789" s="627">
        <v>1025929</v>
      </c>
      <c r="K789" s="627">
        <v>0</v>
      </c>
      <c r="L789" s="626">
        <v>0</v>
      </c>
      <c r="M789" s="626"/>
      <c r="N789" s="627">
        <v>119998</v>
      </c>
      <c r="O789" s="627">
        <v>1171269</v>
      </c>
      <c r="P789" s="627">
        <v>0</v>
      </c>
      <c r="Q789" s="626">
        <v>73976</v>
      </c>
      <c r="R789" s="626"/>
      <c r="S789" s="627">
        <v>233076</v>
      </c>
      <c r="T789" s="628">
        <v>-19961</v>
      </c>
      <c r="U789" s="628">
        <v>213115</v>
      </c>
    </row>
    <row r="790" spans="1:21" x14ac:dyDescent="0.25">
      <c r="A790" s="623">
        <v>98637</v>
      </c>
      <c r="B790" s="624" t="s">
        <v>1928</v>
      </c>
      <c r="C790" s="625">
        <v>2.3499999999999999E-5</v>
      </c>
      <c r="D790" s="625">
        <v>2.4300000000000001E-5</v>
      </c>
      <c r="E790" s="626">
        <v>14103</v>
      </c>
      <c r="F790" s="626">
        <v>-13412</v>
      </c>
      <c r="G790" s="626">
        <v>10547</v>
      </c>
      <c r="H790" s="626"/>
      <c r="I790" s="627">
        <v>0</v>
      </c>
      <c r="J790" s="627">
        <v>21195</v>
      </c>
      <c r="K790" s="627">
        <v>0</v>
      </c>
      <c r="L790" s="626">
        <v>4776</v>
      </c>
      <c r="M790" s="626"/>
      <c r="N790" s="627">
        <v>2479</v>
      </c>
      <c r="O790" s="627">
        <v>24198</v>
      </c>
      <c r="P790" s="627">
        <v>0</v>
      </c>
      <c r="Q790" s="626">
        <v>0</v>
      </c>
      <c r="R790" s="626"/>
      <c r="S790" s="627">
        <v>4815</v>
      </c>
      <c r="T790" s="628">
        <v>1378</v>
      </c>
      <c r="U790" s="628">
        <v>6194</v>
      </c>
    </row>
    <row r="791" spans="1:21" x14ac:dyDescent="0.25">
      <c r="A791" s="623">
        <v>98641</v>
      </c>
      <c r="B791" s="624" t="s">
        <v>1929</v>
      </c>
      <c r="C791" s="625">
        <v>3.1819999999999998E-4</v>
      </c>
      <c r="D791" s="625">
        <v>3.2000000000000003E-4</v>
      </c>
      <c r="E791" s="626">
        <v>131514</v>
      </c>
      <c r="F791" s="626">
        <v>-176613.76000000001</v>
      </c>
      <c r="G791" s="626">
        <v>142806</v>
      </c>
      <c r="H791" s="626"/>
      <c r="I791" s="627">
        <v>0</v>
      </c>
      <c r="J791" s="627">
        <v>286990</v>
      </c>
      <c r="K791" s="627">
        <v>0</v>
      </c>
      <c r="L791" s="626">
        <v>6782</v>
      </c>
      <c r="M791" s="626"/>
      <c r="N791" s="627">
        <v>33568</v>
      </c>
      <c r="O791" s="627">
        <v>327646</v>
      </c>
      <c r="P791" s="627">
        <v>0</v>
      </c>
      <c r="Q791" s="626">
        <v>0</v>
      </c>
      <c r="R791" s="626"/>
      <c r="S791" s="627">
        <v>65200</v>
      </c>
      <c r="T791" s="628">
        <v>2268</v>
      </c>
      <c r="U791" s="628">
        <v>67468</v>
      </c>
    </row>
    <row r="792" spans="1:21" x14ac:dyDescent="0.25">
      <c r="A792" s="623">
        <v>98647</v>
      </c>
      <c r="B792" s="624" t="s">
        <v>1930</v>
      </c>
      <c r="C792" s="625">
        <v>1.24E-5</v>
      </c>
      <c r="D792" s="625">
        <v>1.27E-5</v>
      </c>
      <c r="E792" s="626">
        <v>11530</v>
      </c>
      <c r="F792" s="626">
        <v>-7009</v>
      </c>
      <c r="G792" s="626">
        <v>5565</v>
      </c>
      <c r="H792" s="626"/>
      <c r="I792" s="627">
        <v>0</v>
      </c>
      <c r="J792" s="627">
        <v>11184</v>
      </c>
      <c r="K792" s="627">
        <v>0</v>
      </c>
      <c r="L792" s="626">
        <v>6802</v>
      </c>
      <c r="M792" s="626"/>
      <c r="N792" s="627">
        <v>1308</v>
      </c>
      <c r="O792" s="627">
        <v>12768</v>
      </c>
      <c r="P792" s="627">
        <v>0</v>
      </c>
      <c r="Q792" s="626">
        <v>0</v>
      </c>
      <c r="R792" s="626"/>
      <c r="S792" s="627">
        <v>2541</v>
      </c>
      <c r="T792" s="628">
        <v>1918</v>
      </c>
      <c r="U792" s="628">
        <v>4459</v>
      </c>
    </row>
    <row r="793" spans="1:21" x14ac:dyDescent="0.25">
      <c r="A793" s="623">
        <v>98701</v>
      </c>
      <c r="B793" s="624" t="s">
        <v>1931</v>
      </c>
      <c r="C793" s="625">
        <v>1.0842E-3</v>
      </c>
      <c r="D793" s="625">
        <v>1.1505E-3</v>
      </c>
      <c r="E793" s="626">
        <v>428322</v>
      </c>
      <c r="F793" s="626">
        <v>-634982</v>
      </c>
      <c r="G793" s="626">
        <v>486582</v>
      </c>
      <c r="H793" s="626"/>
      <c r="I793" s="627">
        <v>0</v>
      </c>
      <c r="J793" s="627">
        <v>977857</v>
      </c>
      <c r="K793" s="627">
        <v>0</v>
      </c>
      <c r="L793" s="626">
        <v>0</v>
      </c>
      <c r="M793" s="626"/>
      <c r="N793" s="627">
        <v>114376</v>
      </c>
      <c r="O793" s="627">
        <v>1116387</v>
      </c>
      <c r="P793" s="627">
        <v>0</v>
      </c>
      <c r="Q793" s="626">
        <v>67115</v>
      </c>
      <c r="R793" s="626"/>
      <c r="S793" s="627">
        <v>222155</v>
      </c>
      <c r="T793" s="628">
        <v>-18240</v>
      </c>
      <c r="U793" s="628">
        <v>203915</v>
      </c>
    </row>
    <row r="794" spans="1:21" x14ac:dyDescent="0.25">
      <c r="A794" s="623">
        <v>98711</v>
      </c>
      <c r="B794" s="624" t="s">
        <v>1932</v>
      </c>
      <c r="C794" s="625">
        <v>1.7589999999999999E-4</v>
      </c>
      <c r="D794" s="625">
        <v>1.7340000000000001E-4</v>
      </c>
      <c r="E794" s="626">
        <v>63332</v>
      </c>
      <c r="F794" s="626">
        <v>-95703</v>
      </c>
      <c r="G794" s="626">
        <v>78943</v>
      </c>
      <c r="H794" s="626"/>
      <c r="I794" s="627">
        <v>0</v>
      </c>
      <c r="J794" s="627">
        <v>158647</v>
      </c>
      <c r="K794" s="627">
        <v>0</v>
      </c>
      <c r="L794" s="626">
        <v>3738</v>
      </c>
      <c r="M794" s="626"/>
      <c r="N794" s="627">
        <v>18556</v>
      </c>
      <c r="O794" s="627">
        <v>181122</v>
      </c>
      <c r="P794" s="627">
        <v>0</v>
      </c>
      <c r="Q794" s="626">
        <v>4970</v>
      </c>
      <c r="R794" s="626"/>
      <c r="S794" s="627">
        <v>36042</v>
      </c>
      <c r="T794" s="628">
        <v>-51</v>
      </c>
      <c r="U794" s="628">
        <v>35991</v>
      </c>
    </row>
    <row r="795" spans="1:21" x14ac:dyDescent="0.25">
      <c r="A795" s="623">
        <v>98717</v>
      </c>
      <c r="B795" s="624" t="s">
        <v>1933</v>
      </c>
      <c r="C795" s="625">
        <v>1.98E-5</v>
      </c>
      <c r="D795" s="625">
        <v>1.8099999999999999E-5</v>
      </c>
      <c r="E795" s="626">
        <v>7917</v>
      </c>
      <c r="F795" s="626">
        <v>-9990</v>
      </c>
      <c r="G795" s="626">
        <v>8886</v>
      </c>
      <c r="H795" s="626"/>
      <c r="I795" s="627">
        <v>0</v>
      </c>
      <c r="J795" s="627">
        <v>17858</v>
      </c>
      <c r="K795" s="627">
        <v>0</v>
      </c>
      <c r="L795" s="626">
        <v>1061</v>
      </c>
      <c r="M795" s="626"/>
      <c r="N795" s="627">
        <v>2089</v>
      </c>
      <c r="O795" s="627">
        <v>20388</v>
      </c>
      <c r="P795" s="627">
        <v>0</v>
      </c>
      <c r="Q795" s="626">
        <v>355.81</v>
      </c>
      <c r="R795" s="626"/>
      <c r="S795" s="627">
        <v>4057</v>
      </c>
      <c r="T795" s="628">
        <v>159</v>
      </c>
      <c r="U795" s="628">
        <v>4216</v>
      </c>
    </row>
    <row r="796" spans="1:21" x14ac:dyDescent="0.25">
      <c r="A796" s="623">
        <v>98801</v>
      </c>
      <c r="B796" s="624" t="s">
        <v>1934</v>
      </c>
      <c r="C796" s="625">
        <v>2.1686000000000001E-3</v>
      </c>
      <c r="D796" s="625">
        <v>2.1288000000000001E-3</v>
      </c>
      <c r="E796" s="626">
        <v>938480</v>
      </c>
      <c r="F796" s="626">
        <v>-1174923</v>
      </c>
      <c r="G796" s="626">
        <v>973255</v>
      </c>
      <c r="H796" s="626"/>
      <c r="I796" s="627">
        <v>0</v>
      </c>
      <c r="J796" s="627">
        <v>1955895</v>
      </c>
      <c r="K796" s="627">
        <v>0</v>
      </c>
      <c r="L796" s="626">
        <v>99717</v>
      </c>
      <c r="M796" s="626"/>
      <c r="N796" s="627">
        <v>228772</v>
      </c>
      <c r="O796" s="627">
        <v>2232979</v>
      </c>
      <c r="P796" s="627">
        <v>0</v>
      </c>
      <c r="Q796" s="626">
        <v>0</v>
      </c>
      <c r="R796" s="626"/>
      <c r="S796" s="627">
        <v>444350</v>
      </c>
      <c r="T796" s="628">
        <v>28264</v>
      </c>
      <c r="U796" s="628">
        <v>472614</v>
      </c>
    </row>
    <row r="797" spans="1:21" x14ac:dyDescent="0.25">
      <c r="A797" s="623">
        <v>98811</v>
      </c>
      <c r="B797" s="624" t="s">
        <v>1935</v>
      </c>
      <c r="C797" s="625">
        <v>7.737E-4</v>
      </c>
      <c r="D797" s="625">
        <v>7.5239999999999997E-4</v>
      </c>
      <c r="E797" s="626">
        <v>314972</v>
      </c>
      <c r="F797" s="626">
        <v>-415263</v>
      </c>
      <c r="G797" s="626">
        <v>347232</v>
      </c>
      <c r="H797" s="626"/>
      <c r="I797" s="627">
        <v>0</v>
      </c>
      <c r="J797" s="627">
        <v>697812</v>
      </c>
      <c r="K797" s="627">
        <v>0</v>
      </c>
      <c r="L797" s="626">
        <v>45027</v>
      </c>
      <c r="M797" s="626"/>
      <c r="N797" s="627">
        <v>81620</v>
      </c>
      <c r="O797" s="627">
        <v>796669</v>
      </c>
      <c r="P797" s="627">
        <v>0</v>
      </c>
      <c r="Q797" s="626">
        <v>0</v>
      </c>
      <c r="R797" s="626"/>
      <c r="S797" s="627">
        <v>158533</v>
      </c>
      <c r="T797" s="628">
        <v>14026</v>
      </c>
      <c r="U797" s="628">
        <v>172558</v>
      </c>
    </row>
    <row r="798" spans="1:21" x14ac:dyDescent="0.25">
      <c r="A798" s="623">
        <v>98817</v>
      </c>
      <c r="B798" s="624" t="s">
        <v>1936</v>
      </c>
      <c r="C798" s="625">
        <v>2.6400000000000001E-5</v>
      </c>
      <c r="D798" s="625">
        <v>2.7100000000000001E-5</v>
      </c>
      <c r="E798" s="626">
        <v>11424</v>
      </c>
      <c r="F798" s="626">
        <v>-14957</v>
      </c>
      <c r="G798" s="626">
        <v>11848</v>
      </c>
      <c r="H798" s="626"/>
      <c r="I798" s="627">
        <v>0</v>
      </c>
      <c r="J798" s="627">
        <v>23811</v>
      </c>
      <c r="K798" s="627">
        <v>0</v>
      </c>
      <c r="L798" s="626">
        <v>20</v>
      </c>
      <c r="M798" s="626"/>
      <c r="N798" s="627">
        <v>2785</v>
      </c>
      <c r="O798" s="627">
        <v>27184</v>
      </c>
      <c r="P798" s="627">
        <v>0</v>
      </c>
      <c r="Q798" s="626">
        <v>6581</v>
      </c>
      <c r="R798" s="626"/>
      <c r="S798" s="627">
        <v>5409</v>
      </c>
      <c r="T798" s="628">
        <v>-2196</v>
      </c>
      <c r="U798" s="628">
        <v>3214</v>
      </c>
    </row>
    <row r="799" spans="1:21" x14ac:dyDescent="0.25">
      <c r="A799" s="623">
        <v>98901</v>
      </c>
      <c r="B799" s="624" t="s">
        <v>1937</v>
      </c>
      <c r="C799" s="625">
        <v>3.4190000000000002E-4</v>
      </c>
      <c r="D799" s="625">
        <v>3.3609999999999998E-4</v>
      </c>
      <c r="E799" s="626">
        <v>138043</v>
      </c>
      <c r="F799" s="626">
        <v>-185500</v>
      </c>
      <c r="G799" s="626">
        <v>153443</v>
      </c>
      <c r="H799" s="626"/>
      <c r="I799" s="627">
        <v>0</v>
      </c>
      <c r="J799" s="627">
        <v>308365</v>
      </c>
      <c r="K799" s="627">
        <v>0</v>
      </c>
      <c r="L799" s="626">
        <v>2843</v>
      </c>
      <c r="M799" s="626"/>
      <c r="N799" s="627">
        <v>36068</v>
      </c>
      <c r="O799" s="627">
        <v>352050</v>
      </c>
      <c r="P799" s="627">
        <v>0</v>
      </c>
      <c r="Q799" s="626">
        <v>1929</v>
      </c>
      <c r="R799" s="626"/>
      <c r="S799" s="627">
        <v>70056</v>
      </c>
      <c r="T799" s="628">
        <v>99</v>
      </c>
      <c r="U799" s="628">
        <v>70155</v>
      </c>
    </row>
    <row r="800" spans="1:21" x14ac:dyDescent="0.25">
      <c r="A800" s="623">
        <v>98904</v>
      </c>
      <c r="B800" s="624" t="s">
        <v>1938</v>
      </c>
      <c r="C800" s="625">
        <v>3.4000000000000001E-6</v>
      </c>
      <c r="D800" s="625">
        <v>1.7999999999999999E-6</v>
      </c>
      <c r="E800" s="626">
        <v>886</v>
      </c>
      <c r="F800" s="626">
        <v>-993</v>
      </c>
      <c r="G800" s="626">
        <v>1526</v>
      </c>
      <c r="H800" s="626"/>
      <c r="I800" s="627">
        <v>0</v>
      </c>
      <c r="J800" s="627">
        <v>3067</v>
      </c>
      <c r="K800" s="627">
        <v>0</v>
      </c>
      <c r="L800" s="626">
        <v>785</v>
      </c>
      <c r="M800" s="626"/>
      <c r="N800" s="627">
        <v>359</v>
      </c>
      <c r="O800" s="627">
        <v>3501</v>
      </c>
      <c r="P800" s="627">
        <v>0</v>
      </c>
      <c r="Q800" s="626">
        <v>0</v>
      </c>
      <c r="R800" s="626"/>
      <c r="S800" s="627">
        <v>697</v>
      </c>
      <c r="T800" s="628">
        <v>210</v>
      </c>
      <c r="U800" s="628">
        <v>906</v>
      </c>
    </row>
    <row r="801" spans="1:21" x14ac:dyDescent="0.25">
      <c r="A801" s="623">
        <v>98911</v>
      </c>
      <c r="B801" s="624" t="s">
        <v>1939</v>
      </c>
      <c r="C801" s="625">
        <v>2.5899999999999999E-5</v>
      </c>
      <c r="D801" s="625">
        <v>2.0599999999999999E-5</v>
      </c>
      <c r="E801" s="626">
        <v>16950</v>
      </c>
      <c r="F801" s="626">
        <v>-11370</v>
      </c>
      <c r="G801" s="626">
        <v>11624</v>
      </c>
      <c r="H801" s="626"/>
      <c r="I801" s="627">
        <v>0</v>
      </c>
      <c r="J801" s="627">
        <v>23360</v>
      </c>
      <c r="K801" s="627">
        <v>0</v>
      </c>
      <c r="L801" s="626">
        <v>11625</v>
      </c>
      <c r="M801" s="626"/>
      <c r="N801" s="627">
        <v>2732</v>
      </c>
      <c r="O801" s="627">
        <v>26669</v>
      </c>
      <c r="P801" s="627">
        <v>0</v>
      </c>
      <c r="Q801" s="626">
        <v>0</v>
      </c>
      <c r="R801" s="626"/>
      <c r="S801" s="627">
        <v>5307</v>
      </c>
      <c r="T801" s="628">
        <v>3250</v>
      </c>
      <c r="U801" s="628">
        <v>8557</v>
      </c>
    </row>
    <row r="802" spans="1:21" x14ac:dyDescent="0.25">
      <c r="A802" s="623">
        <v>99001</v>
      </c>
      <c r="B802" s="624" t="s">
        <v>1940</v>
      </c>
      <c r="C802" s="625">
        <v>7.5116999999999996E-3</v>
      </c>
      <c r="D802" s="625">
        <v>6.9785999999999997E-3</v>
      </c>
      <c r="E802" s="626">
        <v>2973850</v>
      </c>
      <c r="F802" s="626">
        <v>-3851615</v>
      </c>
      <c r="G802" s="626">
        <v>3371206</v>
      </c>
      <c r="H802" s="626"/>
      <c r="I802" s="627">
        <v>0</v>
      </c>
      <c r="J802" s="627">
        <v>6774922</v>
      </c>
      <c r="K802" s="627">
        <v>0</v>
      </c>
      <c r="L802" s="626">
        <v>487095</v>
      </c>
      <c r="M802" s="626"/>
      <c r="N802" s="627">
        <v>792432</v>
      </c>
      <c r="O802" s="627">
        <v>7734700</v>
      </c>
      <c r="P802" s="627">
        <v>0</v>
      </c>
      <c r="Q802" s="626">
        <v>0</v>
      </c>
      <c r="R802" s="626"/>
      <c r="S802" s="627">
        <v>1539162</v>
      </c>
      <c r="T802" s="628">
        <v>141082</v>
      </c>
      <c r="U802" s="628">
        <v>1680244</v>
      </c>
    </row>
    <row r="803" spans="1:21" x14ac:dyDescent="0.25">
      <c r="A803" s="623">
        <v>99011</v>
      </c>
      <c r="B803" s="624" t="s">
        <v>1941</v>
      </c>
      <c r="C803" s="625">
        <v>4.3128999999999997E-3</v>
      </c>
      <c r="D803" s="625">
        <v>4.4080999999999999E-3</v>
      </c>
      <c r="E803" s="626">
        <v>1609040</v>
      </c>
      <c r="F803" s="626">
        <v>-2432910</v>
      </c>
      <c r="G803" s="626">
        <v>1935604</v>
      </c>
      <c r="H803" s="626"/>
      <c r="I803" s="627">
        <v>0</v>
      </c>
      <c r="J803" s="627">
        <v>3889874</v>
      </c>
      <c r="K803" s="627">
        <v>0</v>
      </c>
      <c r="L803" s="626">
        <v>0</v>
      </c>
      <c r="M803" s="626"/>
      <c r="N803" s="627">
        <v>454981</v>
      </c>
      <c r="O803" s="627">
        <v>4440937</v>
      </c>
      <c r="P803" s="627">
        <v>0</v>
      </c>
      <c r="Q803" s="626">
        <v>459033</v>
      </c>
      <c r="R803" s="626"/>
      <c r="S803" s="627">
        <v>883722</v>
      </c>
      <c r="T803" s="628">
        <v>-139923</v>
      </c>
      <c r="U803" s="628">
        <v>743799</v>
      </c>
    </row>
    <row r="804" spans="1:21" x14ac:dyDescent="0.25">
      <c r="A804" s="623">
        <v>99013</v>
      </c>
      <c r="B804" s="624" t="s">
        <v>1942</v>
      </c>
      <c r="C804" s="625">
        <v>7.2299999999999996E-5</v>
      </c>
      <c r="D804" s="625">
        <v>7.2999999999999999E-5</v>
      </c>
      <c r="E804" s="626">
        <v>28106</v>
      </c>
      <c r="F804" s="626">
        <v>-40290</v>
      </c>
      <c r="G804" s="626">
        <v>32448</v>
      </c>
      <c r="H804" s="626"/>
      <c r="I804" s="627">
        <v>0</v>
      </c>
      <c r="J804" s="627">
        <v>65209</v>
      </c>
      <c r="K804" s="627">
        <v>0</v>
      </c>
      <c r="L804" s="626">
        <v>30</v>
      </c>
      <c r="M804" s="626"/>
      <c r="N804" s="627">
        <v>7627</v>
      </c>
      <c r="O804" s="627">
        <v>74446</v>
      </c>
      <c r="P804" s="627">
        <v>0</v>
      </c>
      <c r="Q804" s="626">
        <v>1611</v>
      </c>
      <c r="R804" s="626"/>
      <c r="S804" s="627">
        <v>14814</v>
      </c>
      <c r="T804" s="628">
        <v>-412</v>
      </c>
      <c r="U804" s="628">
        <v>14403</v>
      </c>
    </row>
    <row r="805" spans="1:21" x14ac:dyDescent="0.25">
      <c r="A805" s="623">
        <v>99017</v>
      </c>
      <c r="B805" s="624" t="s">
        <v>1943</v>
      </c>
      <c r="C805" s="625">
        <v>4.1199999999999999E-5</v>
      </c>
      <c r="D805" s="625">
        <v>3.6600000000000002E-5</v>
      </c>
      <c r="E805" s="626">
        <v>16651</v>
      </c>
      <c r="F805" s="626">
        <v>-20200</v>
      </c>
      <c r="G805" s="626">
        <v>18490</v>
      </c>
      <c r="H805" s="626"/>
      <c r="I805" s="627">
        <v>0</v>
      </c>
      <c r="J805" s="627">
        <v>37159</v>
      </c>
      <c r="K805" s="627">
        <v>0</v>
      </c>
      <c r="L805" s="626">
        <v>3093</v>
      </c>
      <c r="M805" s="626"/>
      <c r="N805" s="627">
        <v>4346</v>
      </c>
      <c r="O805" s="627">
        <v>42423</v>
      </c>
      <c r="P805" s="627">
        <v>0</v>
      </c>
      <c r="Q805" s="626">
        <v>9983.61</v>
      </c>
      <c r="R805" s="626"/>
      <c r="S805" s="627">
        <v>8442</v>
      </c>
      <c r="T805" s="628">
        <v>-2529</v>
      </c>
      <c r="U805" s="628">
        <v>5913</v>
      </c>
    </row>
    <row r="806" spans="1:21" x14ac:dyDescent="0.25">
      <c r="A806" s="623">
        <v>99021</v>
      </c>
      <c r="B806" s="624" t="s">
        <v>1944</v>
      </c>
      <c r="C806" s="625">
        <v>1.3990000000000001E-4</v>
      </c>
      <c r="D806" s="625">
        <v>1.3210000000000001E-4</v>
      </c>
      <c r="E806" s="626">
        <v>58332</v>
      </c>
      <c r="F806" s="626">
        <v>-72908</v>
      </c>
      <c r="G806" s="626">
        <v>62786</v>
      </c>
      <c r="H806" s="626"/>
      <c r="I806" s="627">
        <v>0</v>
      </c>
      <c r="J806" s="627">
        <v>126178</v>
      </c>
      <c r="K806" s="627">
        <v>0</v>
      </c>
      <c r="L806" s="626">
        <v>8115</v>
      </c>
      <c r="M806" s="626"/>
      <c r="N806" s="627">
        <v>14758</v>
      </c>
      <c r="O806" s="627">
        <v>144053</v>
      </c>
      <c r="P806" s="627">
        <v>0</v>
      </c>
      <c r="Q806" s="626">
        <v>0</v>
      </c>
      <c r="R806" s="626"/>
      <c r="S806" s="627">
        <v>28666</v>
      </c>
      <c r="T806" s="628">
        <v>2247</v>
      </c>
      <c r="U806" s="628">
        <v>30912</v>
      </c>
    </row>
    <row r="807" spans="1:21" x14ac:dyDescent="0.25">
      <c r="A807" s="623">
        <v>99022</v>
      </c>
      <c r="B807" s="624" t="s">
        <v>1945</v>
      </c>
      <c r="C807" s="625">
        <v>1.33E-5</v>
      </c>
      <c r="D807" s="625">
        <v>1.3900000000000001E-5</v>
      </c>
      <c r="E807" s="626">
        <v>10570</v>
      </c>
      <c r="F807" s="626">
        <v>-7672</v>
      </c>
      <c r="G807" s="626">
        <v>5969</v>
      </c>
      <c r="H807" s="626"/>
      <c r="I807" s="627">
        <v>0</v>
      </c>
      <c r="J807" s="627">
        <v>11995</v>
      </c>
      <c r="K807" s="627">
        <v>0</v>
      </c>
      <c r="L807" s="626">
        <v>3652</v>
      </c>
      <c r="M807" s="626"/>
      <c r="N807" s="627">
        <v>1403</v>
      </c>
      <c r="O807" s="627">
        <v>13695</v>
      </c>
      <c r="P807" s="627">
        <v>0</v>
      </c>
      <c r="Q807" s="626">
        <v>397.67</v>
      </c>
      <c r="R807" s="626"/>
      <c r="S807" s="627">
        <v>2725</v>
      </c>
      <c r="T807" s="628">
        <v>823</v>
      </c>
      <c r="U807" s="628">
        <v>3548</v>
      </c>
    </row>
    <row r="808" spans="1:21" x14ac:dyDescent="0.25">
      <c r="A808" s="623">
        <v>99031</v>
      </c>
      <c r="B808" s="624" t="s">
        <v>1946</v>
      </c>
      <c r="C808" s="625">
        <v>1.2860000000000001E-4</v>
      </c>
      <c r="D808" s="625">
        <v>1.3180000000000001E-4</v>
      </c>
      <c r="E808" s="626">
        <v>47253</v>
      </c>
      <c r="F808" s="626">
        <v>-72743</v>
      </c>
      <c r="G808" s="626">
        <v>57715</v>
      </c>
      <c r="H808" s="626"/>
      <c r="I808" s="627">
        <v>0</v>
      </c>
      <c r="J808" s="627">
        <v>115986</v>
      </c>
      <c r="K808" s="627">
        <v>0</v>
      </c>
      <c r="L808" s="626">
        <v>0</v>
      </c>
      <c r="M808" s="626"/>
      <c r="N808" s="627">
        <v>13566</v>
      </c>
      <c r="O808" s="627">
        <v>132418</v>
      </c>
      <c r="P808" s="627">
        <v>0</v>
      </c>
      <c r="Q808" s="626">
        <v>29578</v>
      </c>
      <c r="R808" s="626"/>
      <c r="S808" s="627">
        <v>26350</v>
      </c>
      <c r="T808" s="628">
        <v>-9427</v>
      </c>
      <c r="U808" s="628">
        <v>16924</v>
      </c>
    </row>
    <row r="809" spans="1:21" x14ac:dyDescent="0.25">
      <c r="A809" s="623">
        <v>99041</v>
      </c>
      <c r="B809" s="624" t="s">
        <v>1947</v>
      </c>
      <c r="C809" s="625">
        <v>5.0670000000000001E-4</v>
      </c>
      <c r="D809" s="625">
        <v>4.5019999999999999E-4</v>
      </c>
      <c r="E809" s="626">
        <v>196235</v>
      </c>
      <c r="F809" s="626">
        <v>-248473</v>
      </c>
      <c r="G809" s="626">
        <v>227404</v>
      </c>
      <c r="H809" s="626"/>
      <c r="I809" s="627">
        <v>0</v>
      </c>
      <c r="J809" s="627">
        <v>457001</v>
      </c>
      <c r="K809" s="627">
        <v>0</v>
      </c>
      <c r="L809" s="626">
        <v>73962</v>
      </c>
      <c r="M809" s="626"/>
      <c r="N809" s="627">
        <v>53453</v>
      </c>
      <c r="O809" s="627">
        <v>521742</v>
      </c>
      <c r="P809" s="627">
        <v>0</v>
      </c>
      <c r="Q809" s="626">
        <v>0</v>
      </c>
      <c r="R809" s="626"/>
      <c r="S809" s="627">
        <v>103824</v>
      </c>
      <c r="T809" s="628">
        <v>22468</v>
      </c>
      <c r="U809" s="628">
        <v>126292</v>
      </c>
    </row>
    <row r="810" spans="1:21" x14ac:dyDescent="0.25">
      <c r="A810" s="623">
        <v>99047</v>
      </c>
      <c r="B810" s="624" t="s">
        <v>1948</v>
      </c>
      <c r="C810" s="625">
        <v>1.19E-5</v>
      </c>
      <c r="D810" s="625">
        <v>1.43E-5</v>
      </c>
      <c r="E810" s="626">
        <v>9821</v>
      </c>
      <c r="F810" s="626">
        <v>-7892</v>
      </c>
      <c r="G810" s="626">
        <v>5341</v>
      </c>
      <c r="H810" s="626"/>
      <c r="I810" s="627">
        <v>0</v>
      </c>
      <c r="J810" s="627">
        <v>10733</v>
      </c>
      <c r="K810" s="627">
        <v>0</v>
      </c>
      <c r="L810" s="626">
        <v>3723</v>
      </c>
      <c r="M810" s="626"/>
      <c r="N810" s="627">
        <v>1255</v>
      </c>
      <c r="O810" s="627">
        <v>12253</v>
      </c>
      <c r="P810" s="627">
        <v>0</v>
      </c>
      <c r="Q810" s="626">
        <v>0</v>
      </c>
      <c r="R810" s="626"/>
      <c r="S810" s="627">
        <v>2438</v>
      </c>
      <c r="T810" s="628">
        <v>1082</v>
      </c>
      <c r="U810" s="628">
        <v>3520</v>
      </c>
    </row>
    <row r="811" spans="1:21" x14ac:dyDescent="0.25">
      <c r="A811" s="623">
        <v>99051</v>
      </c>
      <c r="B811" s="624" t="s">
        <v>1949</v>
      </c>
      <c r="C811" s="625">
        <v>2.8449999999999998E-4</v>
      </c>
      <c r="D811" s="625">
        <v>2.8029999999999998E-4</v>
      </c>
      <c r="E811" s="626">
        <v>119792</v>
      </c>
      <c r="F811" s="626">
        <v>-154703</v>
      </c>
      <c r="G811" s="626">
        <v>127682</v>
      </c>
      <c r="H811" s="626"/>
      <c r="I811" s="627">
        <v>0</v>
      </c>
      <c r="J811" s="627">
        <v>256595</v>
      </c>
      <c r="K811" s="627">
        <v>0</v>
      </c>
      <c r="L811" s="626">
        <v>9749</v>
      </c>
      <c r="M811" s="626"/>
      <c r="N811" s="627">
        <v>30013</v>
      </c>
      <c r="O811" s="627">
        <v>292946</v>
      </c>
      <c r="P811" s="627">
        <v>0</v>
      </c>
      <c r="Q811" s="626">
        <v>0</v>
      </c>
      <c r="R811" s="626"/>
      <c r="S811" s="627">
        <v>58295</v>
      </c>
      <c r="T811" s="628">
        <v>2837</v>
      </c>
      <c r="U811" s="628">
        <v>61131</v>
      </c>
    </row>
    <row r="812" spans="1:21" x14ac:dyDescent="0.25">
      <c r="A812" s="623">
        <v>99061</v>
      </c>
      <c r="B812" s="624" t="s">
        <v>1950</v>
      </c>
      <c r="C812" s="625">
        <v>8.8000000000000004E-6</v>
      </c>
      <c r="D812" s="625">
        <v>7.5000000000000002E-6</v>
      </c>
      <c r="E812" s="626">
        <v>7388</v>
      </c>
      <c r="F812" s="626">
        <v>-4139</v>
      </c>
      <c r="G812" s="626">
        <v>3949</v>
      </c>
      <c r="H812" s="626"/>
      <c r="I812" s="627">
        <v>0</v>
      </c>
      <c r="J812" s="627">
        <v>7937</v>
      </c>
      <c r="K812" s="627">
        <v>0</v>
      </c>
      <c r="L812" s="626">
        <v>4237</v>
      </c>
      <c r="M812" s="626"/>
      <c r="N812" s="627">
        <v>928</v>
      </c>
      <c r="O812" s="627">
        <v>9061</v>
      </c>
      <c r="P812" s="627">
        <v>0</v>
      </c>
      <c r="Q812" s="626">
        <v>0</v>
      </c>
      <c r="R812" s="626"/>
      <c r="S812" s="627">
        <v>1803</v>
      </c>
      <c r="T812" s="628">
        <v>1132</v>
      </c>
      <c r="U812" s="628">
        <v>2935</v>
      </c>
    </row>
    <row r="813" spans="1:21" x14ac:dyDescent="0.25">
      <c r="A813" s="623">
        <v>99071</v>
      </c>
      <c r="B813" s="624" t="s">
        <v>1951</v>
      </c>
      <c r="C813" s="625">
        <v>3.9799999999999998E-5</v>
      </c>
      <c r="D813" s="625">
        <v>4.49E-5</v>
      </c>
      <c r="E813" s="626">
        <v>18097</v>
      </c>
      <c r="F813" s="626">
        <v>-24781</v>
      </c>
      <c r="G813" s="626">
        <v>17862</v>
      </c>
      <c r="H813" s="626"/>
      <c r="I813" s="627">
        <v>0</v>
      </c>
      <c r="J813" s="627">
        <v>35896</v>
      </c>
      <c r="K813" s="627">
        <v>0</v>
      </c>
      <c r="L813" s="626">
        <v>0</v>
      </c>
      <c r="M813" s="626"/>
      <c r="N813" s="627">
        <v>4199</v>
      </c>
      <c r="O813" s="627">
        <v>40982</v>
      </c>
      <c r="P813" s="627">
        <v>0</v>
      </c>
      <c r="Q813" s="626">
        <v>3846</v>
      </c>
      <c r="R813" s="626"/>
      <c r="S813" s="627">
        <v>8155</v>
      </c>
      <c r="T813" s="628">
        <v>-1133</v>
      </c>
      <c r="U813" s="628">
        <v>7023</v>
      </c>
    </row>
    <row r="814" spans="1:21" x14ac:dyDescent="0.25">
      <c r="A814" s="623">
        <v>99081</v>
      </c>
      <c r="B814" s="624" t="s">
        <v>1952</v>
      </c>
      <c r="C814" s="625">
        <v>3.6999999999999998E-5</v>
      </c>
      <c r="D814" s="625">
        <v>2.4499999999999999E-5</v>
      </c>
      <c r="E814" s="626">
        <v>13538</v>
      </c>
      <c r="F814" s="626">
        <v>-13522</v>
      </c>
      <c r="G814" s="626">
        <v>16605</v>
      </c>
      <c r="H814" s="626"/>
      <c r="I814" s="627">
        <v>0</v>
      </c>
      <c r="J814" s="627">
        <v>33371</v>
      </c>
      <c r="K814" s="627">
        <v>0</v>
      </c>
      <c r="L814" s="626">
        <v>7529</v>
      </c>
      <c r="M814" s="626"/>
      <c r="N814" s="627">
        <v>3903</v>
      </c>
      <c r="O814" s="627">
        <v>38098</v>
      </c>
      <c r="P814" s="627">
        <v>0</v>
      </c>
      <c r="Q814" s="626">
        <v>4939</v>
      </c>
      <c r="R814" s="626"/>
      <c r="S814" s="627">
        <v>7581</v>
      </c>
      <c r="T814" s="628">
        <v>319</v>
      </c>
      <c r="U814" s="628">
        <v>7900</v>
      </c>
    </row>
    <row r="815" spans="1:21" x14ac:dyDescent="0.25">
      <c r="A815" s="623">
        <v>99091</v>
      </c>
      <c r="B815" s="624" t="s">
        <v>1953</v>
      </c>
      <c r="C815" s="625">
        <v>4.7999999999999998E-6</v>
      </c>
      <c r="D815" s="625">
        <v>5.4E-6</v>
      </c>
      <c r="E815" s="626">
        <v>4205</v>
      </c>
      <c r="F815" s="626">
        <v>-2980</v>
      </c>
      <c r="G815" s="626">
        <v>2154</v>
      </c>
      <c r="H815" s="626"/>
      <c r="I815" s="627">
        <v>0</v>
      </c>
      <c r="J815" s="627">
        <v>4329</v>
      </c>
      <c r="K815" s="627">
        <v>0</v>
      </c>
      <c r="L815" s="626">
        <v>1358</v>
      </c>
      <c r="M815" s="626"/>
      <c r="N815" s="627">
        <v>506</v>
      </c>
      <c r="O815" s="627">
        <v>4942</v>
      </c>
      <c r="P815" s="627">
        <v>0</v>
      </c>
      <c r="Q815" s="626">
        <v>9762.35</v>
      </c>
      <c r="R815" s="626"/>
      <c r="S815" s="627">
        <v>984</v>
      </c>
      <c r="T815" s="628">
        <v>-2909</v>
      </c>
      <c r="U815" s="628">
        <v>-1926</v>
      </c>
    </row>
    <row r="816" spans="1:21" x14ac:dyDescent="0.25">
      <c r="A816" s="623">
        <v>99101</v>
      </c>
      <c r="B816" s="624" t="s">
        <v>1954</v>
      </c>
      <c r="C816" s="625">
        <v>2.026E-3</v>
      </c>
      <c r="D816" s="625">
        <v>2.0306999999999999E-3</v>
      </c>
      <c r="E816" s="626">
        <v>844790</v>
      </c>
      <c r="F816" s="626">
        <v>-1120780</v>
      </c>
      <c r="G816" s="626">
        <v>909257</v>
      </c>
      <c r="H816" s="626"/>
      <c r="I816" s="627">
        <v>0</v>
      </c>
      <c r="J816" s="627">
        <v>1827282</v>
      </c>
      <c r="K816" s="627">
        <v>0</v>
      </c>
      <c r="L816" s="626">
        <v>10659</v>
      </c>
      <c r="M816" s="626"/>
      <c r="N816" s="627">
        <v>213729</v>
      </c>
      <c r="O816" s="627">
        <v>2086146</v>
      </c>
      <c r="P816" s="627">
        <v>0</v>
      </c>
      <c r="Q816" s="626">
        <v>55132.61</v>
      </c>
      <c r="R816" s="626"/>
      <c r="S816" s="627">
        <v>415131</v>
      </c>
      <c r="T816" s="628">
        <v>-15649</v>
      </c>
      <c r="U816" s="628">
        <v>399483</v>
      </c>
    </row>
    <row r="817" spans="1:21" x14ac:dyDescent="0.25">
      <c r="A817" s="623">
        <v>99104</v>
      </c>
      <c r="B817" s="624" t="s">
        <v>1955</v>
      </c>
      <c r="C817" s="625">
        <v>2.55E-5</v>
      </c>
      <c r="D817" s="625">
        <v>2.5700000000000001E-5</v>
      </c>
      <c r="E817" s="626">
        <v>17765</v>
      </c>
      <c r="F817" s="626">
        <v>-14184</v>
      </c>
      <c r="G817" s="626">
        <v>11444</v>
      </c>
      <c r="H817" s="626"/>
      <c r="I817" s="627">
        <v>0</v>
      </c>
      <c r="J817" s="627">
        <v>22999</v>
      </c>
      <c r="K817" s="627">
        <v>0</v>
      </c>
      <c r="L817" s="626">
        <v>9419</v>
      </c>
      <c r="M817" s="626"/>
      <c r="N817" s="627">
        <v>2690</v>
      </c>
      <c r="O817" s="627">
        <v>26257</v>
      </c>
      <c r="P817" s="627">
        <v>0</v>
      </c>
      <c r="Q817" s="626">
        <v>0</v>
      </c>
      <c r="R817" s="626"/>
      <c r="S817" s="627">
        <v>5225</v>
      </c>
      <c r="T817" s="628">
        <v>2737</v>
      </c>
      <c r="U817" s="628">
        <v>7962</v>
      </c>
    </row>
    <row r="818" spans="1:21" x14ac:dyDescent="0.25">
      <c r="A818" s="623">
        <v>99109</v>
      </c>
      <c r="B818" s="624" t="s">
        <v>1956</v>
      </c>
      <c r="C818" s="625">
        <v>1.4129999999999999E-4</v>
      </c>
      <c r="D818" s="625">
        <v>1.2960000000000001E-4</v>
      </c>
      <c r="E818" s="626">
        <v>56384</v>
      </c>
      <c r="F818" s="626">
        <v>-71529</v>
      </c>
      <c r="G818" s="626">
        <v>63415</v>
      </c>
      <c r="H818" s="626"/>
      <c r="I818" s="627">
        <v>0</v>
      </c>
      <c r="J818" s="627">
        <v>127441</v>
      </c>
      <c r="K818" s="627">
        <v>0</v>
      </c>
      <c r="L818" s="626">
        <v>7175</v>
      </c>
      <c r="M818" s="626"/>
      <c r="N818" s="627">
        <v>14906</v>
      </c>
      <c r="O818" s="627">
        <v>145495</v>
      </c>
      <c r="P818" s="627">
        <v>0</v>
      </c>
      <c r="Q818" s="626">
        <v>13996.19</v>
      </c>
      <c r="R818" s="626"/>
      <c r="S818" s="627">
        <v>28953</v>
      </c>
      <c r="T818" s="628">
        <v>-2803</v>
      </c>
      <c r="U818" s="628">
        <v>26150</v>
      </c>
    </row>
    <row r="819" spans="1:21" x14ac:dyDescent="0.25">
      <c r="A819" s="623">
        <v>99110</v>
      </c>
      <c r="B819" s="624" t="s">
        <v>1957</v>
      </c>
      <c r="C819" s="625">
        <v>1.728E-4</v>
      </c>
      <c r="D819" s="625">
        <v>1.4799999999999999E-4</v>
      </c>
      <c r="E819" s="626">
        <v>100045</v>
      </c>
      <c r="F819" s="626">
        <v>-81684</v>
      </c>
      <c r="G819" s="626">
        <v>77552</v>
      </c>
      <c r="H819" s="626"/>
      <c r="I819" s="627">
        <v>0</v>
      </c>
      <c r="J819" s="627">
        <v>155851</v>
      </c>
      <c r="K819" s="627">
        <v>0</v>
      </c>
      <c r="L819" s="626">
        <v>50872</v>
      </c>
      <c r="M819" s="626"/>
      <c r="N819" s="627">
        <v>18229</v>
      </c>
      <c r="O819" s="627">
        <v>177930</v>
      </c>
      <c r="P819" s="627">
        <v>0</v>
      </c>
      <c r="Q819" s="626">
        <v>0</v>
      </c>
      <c r="R819" s="626"/>
      <c r="S819" s="627">
        <v>35407</v>
      </c>
      <c r="T819" s="628">
        <v>14051</v>
      </c>
      <c r="U819" s="628">
        <v>49458</v>
      </c>
    </row>
    <row r="820" spans="1:21" x14ac:dyDescent="0.25">
      <c r="A820" s="623">
        <v>99111</v>
      </c>
      <c r="B820" s="624" t="s">
        <v>1958</v>
      </c>
      <c r="C820" s="625">
        <v>1.3278000000000001E-3</v>
      </c>
      <c r="D820" s="625">
        <v>1.4199E-3</v>
      </c>
      <c r="E820" s="626">
        <v>512322</v>
      </c>
      <c r="F820" s="626">
        <v>-783668</v>
      </c>
      <c r="G820" s="626">
        <v>595909</v>
      </c>
      <c r="H820" s="626"/>
      <c r="I820" s="627">
        <v>0</v>
      </c>
      <c r="J820" s="627">
        <v>1197564</v>
      </c>
      <c r="K820" s="627">
        <v>0</v>
      </c>
      <c r="L820" s="626">
        <v>0</v>
      </c>
      <c r="M820" s="626"/>
      <c r="N820" s="627">
        <v>140074</v>
      </c>
      <c r="O820" s="627">
        <v>1367218</v>
      </c>
      <c r="P820" s="627">
        <v>0</v>
      </c>
      <c r="Q820" s="626">
        <v>150495</v>
      </c>
      <c r="R820" s="626"/>
      <c r="S820" s="627">
        <v>272069</v>
      </c>
      <c r="T820" s="628">
        <v>-43920</v>
      </c>
      <c r="U820" s="628">
        <v>228149</v>
      </c>
    </row>
    <row r="821" spans="1:21" x14ac:dyDescent="0.25">
      <c r="A821" s="623">
        <v>99201</v>
      </c>
      <c r="B821" s="624" t="s">
        <v>1959</v>
      </c>
      <c r="C821" s="625">
        <v>3.0831399999999998E-2</v>
      </c>
      <c r="D821" s="625">
        <v>2.99034E-2</v>
      </c>
      <c r="E821" s="626">
        <v>12842916</v>
      </c>
      <c r="F821" s="626">
        <v>-16504225</v>
      </c>
      <c r="G821" s="626">
        <v>13836947</v>
      </c>
      <c r="H821" s="626"/>
      <c r="I821" s="627">
        <v>0</v>
      </c>
      <c r="J821" s="627">
        <v>27807333</v>
      </c>
      <c r="K821" s="627">
        <v>0</v>
      </c>
      <c r="L821" s="626">
        <v>853316</v>
      </c>
      <c r="M821" s="626"/>
      <c r="N821" s="627">
        <v>3252497</v>
      </c>
      <c r="O821" s="627">
        <v>31746692</v>
      </c>
      <c r="P821" s="627">
        <v>0</v>
      </c>
      <c r="Q821" s="626">
        <v>729431.43</v>
      </c>
      <c r="R821" s="626"/>
      <c r="S821" s="627">
        <v>6317416</v>
      </c>
      <c r="T821" s="628">
        <v>-20576</v>
      </c>
      <c r="U821" s="628">
        <v>6296840</v>
      </c>
    </row>
    <row r="822" spans="1:21" x14ac:dyDescent="0.25">
      <c r="A822" s="623">
        <v>99202</v>
      </c>
      <c r="B822" s="624" t="s">
        <v>1960</v>
      </c>
      <c r="C822" s="625">
        <v>2.6002999999999998E-3</v>
      </c>
      <c r="D822" s="625">
        <v>2.5086000000000002E-3</v>
      </c>
      <c r="E822" s="626">
        <v>919588</v>
      </c>
      <c r="F822" s="626">
        <v>-1384541</v>
      </c>
      <c r="G822" s="626">
        <v>1166999</v>
      </c>
      <c r="H822" s="626"/>
      <c r="I822" s="627">
        <v>0</v>
      </c>
      <c r="J822" s="627">
        <v>2345252</v>
      </c>
      <c r="K822" s="627">
        <v>0</v>
      </c>
      <c r="L822" s="626">
        <v>0</v>
      </c>
      <c r="M822" s="626"/>
      <c r="N822" s="627">
        <v>274313</v>
      </c>
      <c r="O822" s="627">
        <v>2677495</v>
      </c>
      <c r="P822" s="627">
        <v>0</v>
      </c>
      <c r="Q822" s="626">
        <v>87018</v>
      </c>
      <c r="R822" s="626"/>
      <c r="S822" s="627">
        <v>532807</v>
      </c>
      <c r="T822" s="628">
        <v>-25597</v>
      </c>
      <c r="U822" s="628">
        <v>507209</v>
      </c>
    </row>
    <row r="823" spans="1:21" x14ac:dyDescent="0.25">
      <c r="A823" s="623">
        <v>99203</v>
      </c>
      <c r="B823" s="624" t="s">
        <v>1961</v>
      </c>
      <c r="C823" s="625">
        <v>2.5050000000000002E-4</v>
      </c>
      <c r="D823" s="625">
        <v>2.42E-4</v>
      </c>
      <c r="E823" s="626">
        <v>95689</v>
      </c>
      <c r="F823" s="626">
        <v>-133564</v>
      </c>
      <c r="G823" s="626">
        <v>112423</v>
      </c>
      <c r="H823" s="626"/>
      <c r="I823" s="627">
        <v>0</v>
      </c>
      <c r="J823" s="627">
        <v>225930</v>
      </c>
      <c r="K823" s="627">
        <v>0</v>
      </c>
      <c r="L823" s="626">
        <v>36329</v>
      </c>
      <c r="M823" s="626"/>
      <c r="N823" s="627">
        <v>26426</v>
      </c>
      <c r="O823" s="627">
        <v>257937</v>
      </c>
      <c r="P823" s="627">
        <v>0</v>
      </c>
      <c r="Q823" s="626">
        <v>0</v>
      </c>
      <c r="R823" s="626"/>
      <c r="S823" s="627">
        <v>51328</v>
      </c>
      <c r="T823" s="628">
        <v>12096</v>
      </c>
      <c r="U823" s="628">
        <v>63424</v>
      </c>
    </row>
    <row r="824" spans="1:21" x14ac:dyDescent="0.25">
      <c r="A824" s="623">
        <v>99204</v>
      </c>
      <c r="B824" s="624" t="s">
        <v>1962</v>
      </c>
      <c r="C824" s="625">
        <v>6.5600000000000001E-4</v>
      </c>
      <c r="D824" s="625">
        <v>6.5870000000000002E-4</v>
      </c>
      <c r="E824" s="626">
        <v>300226</v>
      </c>
      <c r="F824" s="626">
        <v>-363548</v>
      </c>
      <c r="G824" s="626">
        <v>294409</v>
      </c>
      <c r="H824" s="626"/>
      <c r="I824" s="627">
        <v>0</v>
      </c>
      <c r="J824" s="627">
        <v>591657</v>
      </c>
      <c r="K824" s="627">
        <v>0</v>
      </c>
      <c r="L824" s="626">
        <v>35346</v>
      </c>
      <c r="M824" s="626"/>
      <c r="N824" s="627">
        <v>69203</v>
      </c>
      <c r="O824" s="627">
        <v>675475</v>
      </c>
      <c r="P824" s="627">
        <v>0</v>
      </c>
      <c r="Q824" s="626">
        <v>0</v>
      </c>
      <c r="R824" s="626"/>
      <c r="S824" s="627">
        <v>134416</v>
      </c>
      <c r="T824" s="628">
        <v>10094</v>
      </c>
      <c r="U824" s="628">
        <v>144509</v>
      </c>
    </row>
    <row r="825" spans="1:21" x14ac:dyDescent="0.25">
      <c r="A825" s="623">
        <v>99206</v>
      </c>
      <c r="B825" s="624" t="s">
        <v>1963</v>
      </c>
      <c r="C825" s="625">
        <v>1.9373999999999999E-3</v>
      </c>
      <c r="D825" s="625">
        <v>1.9239000000000001E-3</v>
      </c>
      <c r="E825" s="626">
        <v>1150570</v>
      </c>
      <c r="F825" s="626">
        <v>-1061835</v>
      </c>
      <c r="G825" s="626">
        <v>869493</v>
      </c>
      <c r="H825" s="626"/>
      <c r="I825" s="627">
        <v>0</v>
      </c>
      <c r="J825" s="627">
        <v>1747372</v>
      </c>
      <c r="K825" s="627">
        <v>0</v>
      </c>
      <c r="L825" s="626">
        <v>294440</v>
      </c>
      <c r="M825" s="626"/>
      <c r="N825" s="627">
        <v>204382</v>
      </c>
      <c r="O825" s="627">
        <v>1994916</v>
      </c>
      <c r="P825" s="627">
        <v>0</v>
      </c>
      <c r="Q825" s="626">
        <v>20358.91</v>
      </c>
      <c r="R825" s="626"/>
      <c r="S825" s="627">
        <v>396977</v>
      </c>
      <c r="T825" s="628">
        <v>70269</v>
      </c>
      <c r="U825" s="628">
        <v>467247</v>
      </c>
    </row>
    <row r="826" spans="1:21" x14ac:dyDescent="0.25">
      <c r="A826" s="623">
        <v>99207</v>
      </c>
      <c r="B826" s="624" t="s">
        <v>1964</v>
      </c>
      <c r="C826" s="625">
        <v>1.4320000000000001E-4</v>
      </c>
      <c r="D826" s="625">
        <v>1.6479999999999999E-4</v>
      </c>
      <c r="E826" s="626">
        <v>121309</v>
      </c>
      <c r="F826" s="626">
        <v>-90956</v>
      </c>
      <c r="G826" s="626">
        <v>64267</v>
      </c>
      <c r="H826" s="626"/>
      <c r="I826" s="627">
        <v>0</v>
      </c>
      <c r="J826" s="627">
        <v>129154</v>
      </c>
      <c r="K826" s="627">
        <v>0</v>
      </c>
      <c r="L826" s="626">
        <v>42248</v>
      </c>
      <c r="M826" s="626"/>
      <c r="N826" s="627">
        <v>15107</v>
      </c>
      <c r="O826" s="627">
        <v>147451</v>
      </c>
      <c r="P826" s="627">
        <v>0</v>
      </c>
      <c r="Q826" s="626">
        <v>0</v>
      </c>
      <c r="R826" s="626"/>
      <c r="S826" s="627">
        <v>29342</v>
      </c>
      <c r="T826" s="628">
        <v>11612</v>
      </c>
      <c r="U826" s="628">
        <v>40954</v>
      </c>
    </row>
    <row r="827" spans="1:21" x14ac:dyDescent="0.25">
      <c r="A827" s="623">
        <v>99208</v>
      </c>
      <c r="B827" s="624" t="s">
        <v>1965</v>
      </c>
      <c r="C827" s="625">
        <v>1.774E-4</v>
      </c>
      <c r="D827" s="625">
        <v>1.7229999999999999E-4</v>
      </c>
      <c r="E827" s="626">
        <v>50690</v>
      </c>
      <c r="F827" s="626">
        <v>-95095</v>
      </c>
      <c r="G827" s="626">
        <v>79616</v>
      </c>
      <c r="H827" s="626"/>
      <c r="I827" s="627">
        <v>0</v>
      </c>
      <c r="J827" s="627">
        <v>160000</v>
      </c>
      <c r="K827" s="627">
        <v>0</v>
      </c>
      <c r="L827" s="626">
        <v>0</v>
      </c>
      <c r="M827" s="626"/>
      <c r="N827" s="627">
        <v>18714</v>
      </c>
      <c r="O827" s="627">
        <v>182666</v>
      </c>
      <c r="P827" s="627">
        <v>0</v>
      </c>
      <c r="Q827" s="626">
        <v>40620</v>
      </c>
      <c r="R827" s="626"/>
      <c r="S827" s="627">
        <v>36350</v>
      </c>
      <c r="T827" s="628">
        <v>-12593</v>
      </c>
      <c r="U827" s="628">
        <v>23756</v>
      </c>
    </row>
    <row r="828" spans="1:21" x14ac:dyDescent="0.25">
      <c r="A828" s="623">
        <v>99210</v>
      </c>
      <c r="B828" s="624" t="s">
        <v>1966</v>
      </c>
      <c r="C828" s="625">
        <v>1.6262E-3</v>
      </c>
      <c r="D828" s="625">
        <v>1.6076E-3</v>
      </c>
      <c r="E828" s="626">
        <v>732709</v>
      </c>
      <c r="F828" s="626">
        <v>-887263</v>
      </c>
      <c r="G828" s="626">
        <v>729829</v>
      </c>
      <c r="H828" s="626"/>
      <c r="I828" s="627">
        <v>0</v>
      </c>
      <c r="J828" s="627">
        <v>1466696</v>
      </c>
      <c r="K828" s="627">
        <v>0</v>
      </c>
      <c r="L828" s="626">
        <v>79253</v>
      </c>
      <c r="M828" s="626"/>
      <c r="N828" s="627">
        <v>171553</v>
      </c>
      <c r="O828" s="627">
        <v>1674477</v>
      </c>
      <c r="P828" s="627">
        <v>0</v>
      </c>
      <c r="Q828" s="626">
        <v>0</v>
      </c>
      <c r="R828" s="626"/>
      <c r="S828" s="627">
        <v>333212</v>
      </c>
      <c r="T828" s="628">
        <v>21598</v>
      </c>
      <c r="U828" s="628">
        <v>354809</v>
      </c>
    </row>
    <row r="829" spans="1:21" x14ac:dyDescent="0.25">
      <c r="A829" s="623">
        <v>99211</v>
      </c>
      <c r="B829" s="624" t="s">
        <v>1967</v>
      </c>
      <c r="C829" s="625">
        <v>3.7564199999999999E-2</v>
      </c>
      <c r="D829" s="625">
        <v>3.7072899999999999E-2</v>
      </c>
      <c r="E829" s="626">
        <v>14459285</v>
      </c>
      <c r="F829" s="626">
        <v>-20461201</v>
      </c>
      <c r="G829" s="626">
        <v>16858588</v>
      </c>
      <c r="H829" s="626"/>
      <c r="I829" s="627">
        <v>0</v>
      </c>
      <c r="J829" s="627">
        <v>33879753</v>
      </c>
      <c r="K829" s="627">
        <v>0</v>
      </c>
      <c r="L829" s="626">
        <v>0</v>
      </c>
      <c r="M829" s="626"/>
      <c r="N829" s="627">
        <v>3962760</v>
      </c>
      <c r="O829" s="627">
        <v>38679368</v>
      </c>
      <c r="P829" s="627">
        <v>0</v>
      </c>
      <c r="Q829" s="626">
        <v>945012</v>
      </c>
      <c r="R829" s="626"/>
      <c r="S829" s="627">
        <v>7696980</v>
      </c>
      <c r="T829" s="628">
        <v>-290574</v>
      </c>
      <c r="U829" s="628">
        <v>7406406</v>
      </c>
    </row>
    <row r="830" spans="1:21" x14ac:dyDescent="0.25">
      <c r="A830" s="623">
        <v>99212</v>
      </c>
      <c r="B830" s="624" t="s">
        <v>1968</v>
      </c>
      <c r="C830" s="625">
        <v>1.2750000000000001E-4</v>
      </c>
      <c r="D830" s="625">
        <v>1.219E-4</v>
      </c>
      <c r="E830" s="626">
        <v>27907</v>
      </c>
      <c r="F830" s="626">
        <v>-67279</v>
      </c>
      <c r="G830" s="626">
        <v>57221</v>
      </c>
      <c r="H830" s="626"/>
      <c r="I830" s="627">
        <v>0</v>
      </c>
      <c r="J830" s="627">
        <v>114994</v>
      </c>
      <c r="K830" s="627">
        <v>0</v>
      </c>
      <c r="L830" s="626">
        <v>0</v>
      </c>
      <c r="M830" s="626"/>
      <c r="N830" s="627">
        <v>13450</v>
      </c>
      <c r="O830" s="627">
        <v>131285</v>
      </c>
      <c r="P830" s="627">
        <v>0</v>
      </c>
      <c r="Q830" s="626">
        <v>24218</v>
      </c>
      <c r="R830" s="626"/>
      <c r="S830" s="627">
        <v>26125</v>
      </c>
      <c r="T830" s="628">
        <v>-6995</v>
      </c>
      <c r="U830" s="628">
        <v>19131</v>
      </c>
    </row>
    <row r="831" spans="1:21" x14ac:dyDescent="0.25">
      <c r="A831" s="623">
        <v>99213</v>
      </c>
      <c r="B831" s="624" t="s">
        <v>1969</v>
      </c>
      <c r="C831" s="625">
        <v>8.3339999999999998E-4</v>
      </c>
      <c r="D831" s="625">
        <v>8.4809999999999996E-4</v>
      </c>
      <c r="E831" s="626">
        <v>369318</v>
      </c>
      <c r="F831" s="626">
        <v>-468082</v>
      </c>
      <c r="G831" s="626">
        <v>374025</v>
      </c>
      <c r="H831" s="626"/>
      <c r="I831" s="627">
        <v>0</v>
      </c>
      <c r="J831" s="627">
        <v>751657</v>
      </c>
      <c r="K831" s="627">
        <v>0</v>
      </c>
      <c r="L831" s="626">
        <v>12712</v>
      </c>
      <c r="M831" s="626"/>
      <c r="N831" s="627">
        <v>87918</v>
      </c>
      <c r="O831" s="627">
        <v>858141</v>
      </c>
      <c r="P831" s="627">
        <v>0</v>
      </c>
      <c r="Q831" s="626">
        <v>3486.34</v>
      </c>
      <c r="R831" s="626"/>
      <c r="S831" s="627">
        <v>170765</v>
      </c>
      <c r="T831" s="628">
        <v>2162</v>
      </c>
      <c r="U831" s="628">
        <v>172927</v>
      </c>
    </row>
    <row r="832" spans="1:21" x14ac:dyDescent="0.25">
      <c r="A832" s="623">
        <v>99218</v>
      </c>
      <c r="B832" s="624" t="s">
        <v>1970</v>
      </c>
      <c r="C832" s="625">
        <v>2.8506999999999998E-3</v>
      </c>
      <c r="D832" s="625">
        <v>2.8433E-3</v>
      </c>
      <c r="E832" s="626">
        <v>1234250</v>
      </c>
      <c r="F832" s="626">
        <v>-1569268</v>
      </c>
      <c r="G832" s="626">
        <v>1279377</v>
      </c>
      <c r="H832" s="626"/>
      <c r="I832" s="627">
        <v>0</v>
      </c>
      <c r="J832" s="627">
        <v>2571092</v>
      </c>
      <c r="K832" s="627">
        <v>0</v>
      </c>
      <c r="L832" s="626">
        <v>73436</v>
      </c>
      <c r="M832" s="626"/>
      <c r="N832" s="627">
        <v>300729</v>
      </c>
      <c r="O832" s="627">
        <v>2935329</v>
      </c>
      <c r="P832" s="627">
        <v>0</v>
      </c>
      <c r="Q832" s="626">
        <v>0</v>
      </c>
      <c r="R832" s="626"/>
      <c r="S832" s="627">
        <v>584114</v>
      </c>
      <c r="T832" s="628">
        <v>20131</v>
      </c>
      <c r="U832" s="628">
        <v>604245</v>
      </c>
    </row>
    <row r="833" spans="1:21" x14ac:dyDescent="0.25">
      <c r="A833" s="623">
        <v>99221</v>
      </c>
      <c r="B833" s="624" t="s">
        <v>1971</v>
      </c>
      <c r="C833" s="625">
        <v>1.33233E-2</v>
      </c>
      <c r="D833" s="625">
        <v>1.31276E-2</v>
      </c>
      <c r="E833" s="626">
        <v>5067097</v>
      </c>
      <c r="F833" s="626">
        <v>-7245359</v>
      </c>
      <c r="G833" s="626">
        <v>5979417</v>
      </c>
      <c r="H833" s="626"/>
      <c r="I833" s="627">
        <v>0</v>
      </c>
      <c r="J833" s="627">
        <v>12016497</v>
      </c>
      <c r="K833" s="627">
        <v>0</v>
      </c>
      <c r="L833" s="626">
        <v>0</v>
      </c>
      <c r="M833" s="626"/>
      <c r="N833" s="627">
        <v>1405515</v>
      </c>
      <c r="O833" s="627">
        <v>13718829</v>
      </c>
      <c r="P833" s="627">
        <v>0</v>
      </c>
      <c r="Q833" s="626">
        <v>326287</v>
      </c>
      <c r="R833" s="626"/>
      <c r="S833" s="627">
        <v>2729971</v>
      </c>
      <c r="T833" s="628">
        <v>-97649</v>
      </c>
      <c r="U833" s="628">
        <v>2632322</v>
      </c>
    </row>
    <row r="834" spans="1:21" x14ac:dyDescent="0.25">
      <c r="A834" s="623">
        <v>99222</v>
      </c>
      <c r="B834" s="624" t="s">
        <v>1972</v>
      </c>
      <c r="C834" s="625">
        <v>3.82E-5</v>
      </c>
      <c r="D834" s="625">
        <v>2.9300000000000001E-5</v>
      </c>
      <c r="E834" s="626">
        <v>13826</v>
      </c>
      <c r="F834" s="626">
        <v>-16171</v>
      </c>
      <c r="G834" s="626">
        <v>17144</v>
      </c>
      <c r="H834" s="626"/>
      <c r="I834" s="627">
        <v>0</v>
      </c>
      <c r="J834" s="627">
        <v>34453</v>
      </c>
      <c r="K834" s="627">
        <v>0</v>
      </c>
      <c r="L834" s="626">
        <v>4842</v>
      </c>
      <c r="M834" s="626"/>
      <c r="N834" s="627">
        <v>4030</v>
      </c>
      <c r="O834" s="627">
        <v>39334</v>
      </c>
      <c r="P834" s="627">
        <v>0</v>
      </c>
      <c r="Q834" s="626">
        <v>0</v>
      </c>
      <c r="R834" s="626"/>
      <c r="S834" s="627">
        <v>7827</v>
      </c>
      <c r="T834" s="628">
        <v>1268</v>
      </c>
      <c r="U834" s="628">
        <v>9095</v>
      </c>
    </row>
    <row r="835" spans="1:21" x14ac:dyDescent="0.25">
      <c r="A835" s="623">
        <v>99231</v>
      </c>
      <c r="B835" s="624" t="s">
        <v>1973</v>
      </c>
      <c r="C835" s="625">
        <v>3.7139999999999997E-4</v>
      </c>
      <c r="D835" s="625">
        <v>3.6460000000000003E-4</v>
      </c>
      <c r="E835" s="626">
        <v>135061</v>
      </c>
      <c r="F835" s="626">
        <v>-201229</v>
      </c>
      <c r="G835" s="626">
        <v>166682</v>
      </c>
      <c r="H835" s="626"/>
      <c r="I835" s="627">
        <v>0</v>
      </c>
      <c r="J835" s="627">
        <v>334972</v>
      </c>
      <c r="K835" s="627">
        <v>0</v>
      </c>
      <c r="L835" s="626">
        <v>0</v>
      </c>
      <c r="M835" s="626"/>
      <c r="N835" s="627">
        <v>39180</v>
      </c>
      <c r="O835" s="627">
        <v>382426</v>
      </c>
      <c r="P835" s="627">
        <v>0</v>
      </c>
      <c r="Q835" s="626">
        <v>29623</v>
      </c>
      <c r="R835" s="626"/>
      <c r="S835" s="627">
        <v>76101</v>
      </c>
      <c r="T835" s="628">
        <v>-9300</v>
      </c>
      <c r="U835" s="628">
        <v>66801</v>
      </c>
    </row>
    <row r="836" spans="1:21" x14ac:dyDescent="0.25">
      <c r="A836" s="623">
        <v>99241</v>
      </c>
      <c r="B836" s="624" t="s">
        <v>1974</v>
      </c>
      <c r="C836" s="625">
        <v>5.9259999999999998E-4</v>
      </c>
      <c r="D836" s="625">
        <v>6.1919999999999998E-4</v>
      </c>
      <c r="E836" s="626">
        <v>205370</v>
      </c>
      <c r="F836" s="626">
        <v>-341748</v>
      </c>
      <c r="G836" s="626">
        <v>265955</v>
      </c>
      <c r="H836" s="626"/>
      <c r="I836" s="627">
        <v>0</v>
      </c>
      <c r="J836" s="627">
        <v>534475</v>
      </c>
      <c r="K836" s="627">
        <v>0</v>
      </c>
      <c r="L836" s="626">
        <v>0</v>
      </c>
      <c r="M836" s="626"/>
      <c r="N836" s="627">
        <v>62515</v>
      </c>
      <c r="O836" s="627">
        <v>610193</v>
      </c>
      <c r="P836" s="627">
        <v>0</v>
      </c>
      <c r="Q836" s="626">
        <v>112284</v>
      </c>
      <c r="R836" s="626"/>
      <c r="S836" s="627">
        <v>121425</v>
      </c>
      <c r="T836" s="628">
        <v>-34090</v>
      </c>
      <c r="U836" s="628">
        <v>87335</v>
      </c>
    </row>
    <row r="837" spans="1:21" x14ac:dyDescent="0.25">
      <c r="A837" s="623">
        <v>99251</v>
      </c>
      <c r="B837" s="624" t="s">
        <v>1975</v>
      </c>
      <c r="C837" s="625">
        <v>1.598E-3</v>
      </c>
      <c r="D837" s="625">
        <v>1.6119999999999999E-3</v>
      </c>
      <c r="E837" s="626">
        <v>668409</v>
      </c>
      <c r="F837" s="626">
        <v>-889692</v>
      </c>
      <c r="G837" s="626">
        <v>717173</v>
      </c>
      <c r="H837" s="626"/>
      <c r="I837" s="627">
        <v>0</v>
      </c>
      <c r="J837" s="627">
        <v>1441262</v>
      </c>
      <c r="K837" s="627">
        <v>0</v>
      </c>
      <c r="L837" s="626">
        <v>2836</v>
      </c>
      <c r="M837" s="626"/>
      <c r="N837" s="627">
        <v>168578</v>
      </c>
      <c r="O837" s="627">
        <v>1645440</v>
      </c>
      <c r="P837" s="627">
        <v>0</v>
      </c>
      <c r="Q837" s="626">
        <v>21322</v>
      </c>
      <c r="R837" s="626"/>
      <c r="S837" s="627">
        <v>327433</v>
      </c>
      <c r="T837" s="628">
        <v>-6389</v>
      </c>
      <c r="U837" s="628">
        <v>321045</v>
      </c>
    </row>
    <row r="838" spans="1:21" x14ac:dyDescent="0.25">
      <c r="A838" s="623">
        <v>99252</v>
      </c>
      <c r="B838" s="624" t="s">
        <v>1976</v>
      </c>
      <c r="C838" s="625">
        <v>7.4010000000000005E-4</v>
      </c>
      <c r="D838" s="625">
        <v>7.4960000000000001E-4</v>
      </c>
      <c r="E838" s="626">
        <v>169808</v>
      </c>
      <c r="F838" s="626">
        <v>-413718</v>
      </c>
      <c r="G838" s="626">
        <v>332152</v>
      </c>
      <c r="H838" s="626"/>
      <c r="I838" s="627">
        <v>0</v>
      </c>
      <c r="J838" s="627">
        <v>667508</v>
      </c>
      <c r="K838" s="627">
        <v>0</v>
      </c>
      <c r="L838" s="626">
        <v>0</v>
      </c>
      <c r="M838" s="626"/>
      <c r="N838" s="627">
        <v>78075</v>
      </c>
      <c r="O838" s="627">
        <v>762071</v>
      </c>
      <c r="P838" s="627">
        <v>0</v>
      </c>
      <c r="Q838" s="626">
        <v>149032</v>
      </c>
      <c r="R838" s="626"/>
      <c r="S838" s="627">
        <v>151648</v>
      </c>
      <c r="T838" s="628">
        <v>-41736</v>
      </c>
      <c r="U838" s="628">
        <v>109912</v>
      </c>
    </row>
    <row r="839" spans="1:21" x14ac:dyDescent="0.25">
      <c r="A839" s="623">
        <v>99261</v>
      </c>
      <c r="B839" s="624" t="s">
        <v>1977</v>
      </c>
      <c r="C839" s="625">
        <v>1.8552E-3</v>
      </c>
      <c r="D839" s="625">
        <v>1.7953999999999999E-3</v>
      </c>
      <c r="E839" s="626">
        <v>622456</v>
      </c>
      <c r="F839" s="626">
        <v>-990914</v>
      </c>
      <c r="G839" s="626">
        <v>832603</v>
      </c>
      <c r="H839" s="626"/>
      <c r="I839" s="627">
        <v>0</v>
      </c>
      <c r="J839" s="627">
        <v>1673235</v>
      </c>
      <c r="K839" s="627">
        <v>0</v>
      </c>
      <c r="L839" s="626">
        <v>0</v>
      </c>
      <c r="M839" s="626"/>
      <c r="N839" s="627">
        <v>195711</v>
      </c>
      <c r="O839" s="627">
        <v>1910275</v>
      </c>
      <c r="P839" s="627">
        <v>0</v>
      </c>
      <c r="Q839" s="626">
        <v>131110</v>
      </c>
      <c r="R839" s="626"/>
      <c r="S839" s="627">
        <v>380134</v>
      </c>
      <c r="T839" s="628">
        <v>-39125</v>
      </c>
      <c r="U839" s="628">
        <v>341009</v>
      </c>
    </row>
    <row r="840" spans="1:21" x14ac:dyDescent="0.25">
      <c r="A840" s="623">
        <v>99271</v>
      </c>
      <c r="B840" s="624" t="s">
        <v>1978</v>
      </c>
      <c r="C840" s="625">
        <v>3.9693000000000003E-3</v>
      </c>
      <c r="D840" s="625">
        <v>3.8363E-3</v>
      </c>
      <c r="E840" s="626">
        <v>1466154</v>
      </c>
      <c r="F840" s="626">
        <v>-2117323</v>
      </c>
      <c r="G840" s="626">
        <v>1781398</v>
      </c>
      <c r="H840" s="626"/>
      <c r="I840" s="627">
        <v>0</v>
      </c>
      <c r="J840" s="627">
        <v>3579975</v>
      </c>
      <c r="K840" s="627">
        <v>0</v>
      </c>
      <c r="L840" s="626">
        <v>0</v>
      </c>
      <c r="M840" s="626"/>
      <c r="N840" s="627">
        <v>418733</v>
      </c>
      <c r="O840" s="627">
        <v>4087137</v>
      </c>
      <c r="P840" s="627">
        <v>0</v>
      </c>
      <c r="Q840" s="626">
        <v>33239</v>
      </c>
      <c r="R840" s="626"/>
      <c r="S840" s="627">
        <v>813318</v>
      </c>
      <c r="T840" s="628">
        <v>-9004</v>
      </c>
      <c r="U840" s="628">
        <v>804313</v>
      </c>
    </row>
    <row r="841" spans="1:21" x14ac:dyDescent="0.25">
      <c r="A841" s="623">
        <v>99281</v>
      </c>
      <c r="B841" s="624" t="s">
        <v>1979</v>
      </c>
      <c r="C841" s="625">
        <v>2.3207000000000002E-3</v>
      </c>
      <c r="D841" s="625">
        <v>2.3078E-3</v>
      </c>
      <c r="E841" s="626">
        <v>884799</v>
      </c>
      <c r="F841" s="626">
        <v>-1273716</v>
      </c>
      <c r="G841" s="626">
        <v>1041516</v>
      </c>
      <c r="H841" s="626"/>
      <c r="I841" s="627">
        <v>0</v>
      </c>
      <c r="J841" s="627">
        <v>2093076</v>
      </c>
      <c r="K841" s="627">
        <v>0</v>
      </c>
      <c r="L841" s="626">
        <v>20365</v>
      </c>
      <c r="M841" s="626"/>
      <c r="N841" s="627">
        <v>244818</v>
      </c>
      <c r="O841" s="627">
        <v>2389595</v>
      </c>
      <c r="P841" s="627">
        <v>0</v>
      </c>
      <c r="Q841" s="626">
        <v>40640</v>
      </c>
      <c r="R841" s="626"/>
      <c r="S841" s="627">
        <v>475516</v>
      </c>
      <c r="T841" s="628">
        <v>-3828</v>
      </c>
      <c r="U841" s="628">
        <v>471688</v>
      </c>
    </row>
    <row r="842" spans="1:21" x14ac:dyDescent="0.25">
      <c r="A842" s="623">
        <v>99291</v>
      </c>
      <c r="B842" s="624" t="s">
        <v>1980</v>
      </c>
      <c r="C842" s="625">
        <v>8.0780000000000001E-4</v>
      </c>
      <c r="D842" s="625">
        <v>8.2589999999999996E-4</v>
      </c>
      <c r="E842" s="626">
        <v>273809</v>
      </c>
      <c r="F842" s="626">
        <v>-455829</v>
      </c>
      <c r="G842" s="626">
        <v>362536</v>
      </c>
      <c r="H842" s="626"/>
      <c r="I842" s="627">
        <v>0</v>
      </c>
      <c r="J842" s="627">
        <v>728568</v>
      </c>
      <c r="K842" s="627">
        <v>0</v>
      </c>
      <c r="L842" s="626">
        <v>0</v>
      </c>
      <c r="M842" s="626"/>
      <c r="N842" s="627">
        <v>85217</v>
      </c>
      <c r="O842" s="627">
        <v>831781</v>
      </c>
      <c r="P842" s="627">
        <v>0</v>
      </c>
      <c r="Q842" s="626">
        <v>91311</v>
      </c>
      <c r="R842" s="626"/>
      <c r="S842" s="627">
        <v>165520</v>
      </c>
      <c r="T842" s="628">
        <v>-26390</v>
      </c>
      <c r="U842" s="628">
        <v>139129</v>
      </c>
    </row>
    <row r="843" spans="1:21" x14ac:dyDescent="0.25">
      <c r="A843" s="623">
        <v>99301</v>
      </c>
      <c r="B843" s="624" t="s">
        <v>1981</v>
      </c>
      <c r="C843" s="625">
        <v>1.7903000000000001E-3</v>
      </c>
      <c r="D843" s="625">
        <v>1.7198999999999999E-3</v>
      </c>
      <c r="E843" s="626">
        <v>743736</v>
      </c>
      <c r="F843" s="626">
        <v>-949244</v>
      </c>
      <c r="G843" s="626">
        <v>803476</v>
      </c>
      <c r="H843" s="626"/>
      <c r="I843" s="627">
        <v>0</v>
      </c>
      <c r="J843" s="627">
        <v>1614700</v>
      </c>
      <c r="K843" s="627">
        <v>0</v>
      </c>
      <c r="L843" s="626">
        <v>177452</v>
      </c>
      <c r="M843" s="626"/>
      <c r="N843" s="627">
        <v>188864</v>
      </c>
      <c r="O843" s="627">
        <v>1843449</v>
      </c>
      <c r="P843" s="627">
        <v>0</v>
      </c>
      <c r="Q843" s="626">
        <v>0</v>
      </c>
      <c r="R843" s="626"/>
      <c r="S843" s="627">
        <v>366836</v>
      </c>
      <c r="T843" s="628">
        <v>55022</v>
      </c>
      <c r="U843" s="628">
        <v>421858</v>
      </c>
    </row>
    <row r="844" spans="1:21" x14ac:dyDescent="0.25">
      <c r="A844" s="623">
        <v>99304</v>
      </c>
      <c r="B844" s="624" t="s">
        <v>1982</v>
      </c>
      <c r="C844" s="625">
        <v>1.0000000000000001E-5</v>
      </c>
      <c r="D844" s="625">
        <v>9.9000000000000001E-6</v>
      </c>
      <c r="E844" s="626">
        <v>6783</v>
      </c>
      <c r="F844" s="626">
        <v>-5464</v>
      </c>
      <c r="G844" s="626">
        <v>4488</v>
      </c>
      <c r="H844" s="626"/>
      <c r="I844" s="627">
        <v>0</v>
      </c>
      <c r="J844" s="627">
        <v>9019.16</v>
      </c>
      <c r="K844" s="627">
        <v>0</v>
      </c>
      <c r="L844" s="626">
        <v>2210</v>
      </c>
      <c r="M844" s="626"/>
      <c r="N844" s="627">
        <v>1054.93</v>
      </c>
      <c r="O844" s="627">
        <v>10297</v>
      </c>
      <c r="P844" s="627">
        <v>0</v>
      </c>
      <c r="Q844" s="626">
        <v>747.5</v>
      </c>
      <c r="R844" s="626"/>
      <c r="S844" s="627">
        <v>2049.02</v>
      </c>
      <c r="T844" s="628">
        <v>329</v>
      </c>
      <c r="U844" s="628">
        <v>2378</v>
      </c>
    </row>
    <row r="845" spans="1:21" x14ac:dyDescent="0.25">
      <c r="A845" s="623">
        <v>99311</v>
      </c>
      <c r="B845" s="624" t="s">
        <v>1983</v>
      </c>
      <c r="C845" s="625">
        <v>6.2100000000000005E-5</v>
      </c>
      <c r="D845" s="625">
        <v>5.8199999999999998E-5</v>
      </c>
      <c r="E845" s="626">
        <v>21857</v>
      </c>
      <c r="F845" s="626">
        <v>-32122</v>
      </c>
      <c r="G845" s="626">
        <v>27870</v>
      </c>
      <c r="H845" s="626"/>
      <c r="I845" s="627">
        <v>0</v>
      </c>
      <c r="J845" s="627">
        <v>56009</v>
      </c>
      <c r="K845" s="627">
        <v>0</v>
      </c>
      <c r="L845" s="626">
        <v>0</v>
      </c>
      <c r="M845" s="626"/>
      <c r="N845" s="627">
        <v>6551</v>
      </c>
      <c r="O845" s="627">
        <v>63944</v>
      </c>
      <c r="P845" s="627">
        <v>0</v>
      </c>
      <c r="Q845" s="626">
        <v>4771</v>
      </c>
      <c r="R845" s="626"/>
      <c r="S845" s="627">
        <v>12724</v>
      </c>
      <c r="T845" s="628">
        <v>-1593</v>
      </c>
      <c r="U845" s="628">
        <v>11131</v>
      </c>
    </row>
    <row r="846" spans="1:21" x14ac:dyDescent="0.25">
      <c r="A846" s="623">
        <v>99321</v>
      </c>
      <c r="B846" s="624" t="s">
        <v>1984</v>
      </c>
      <c r="C846" s="625">
        <v>1.015E-4</v>
      </c>
      <c r="D846" s="625">
        <v>9.0699999999999996E-5</v>
      </c>
      <c r="E846" s="626">
        <v>85317</v>
      </c>
      <c r="F846" s="626">
        <v>-50059</v>
      </c>
      <c r="G846" s="626">
        <v>45553</v>
      </c>
      <c r="H846" s="626"/>
      <c r="I846" s="627">
        <v>0</v>
      </c>
      <c r="J846" s="627">
        <v>91544</v>
      </c>
      <c r="K846" s="627">
        <v>0</v>
      </c>
      <c r="L846" s="626">
        <v>76874</v>
      </c>
      <c r="M846" s="626"/>
      <c r="N846" s="627">
        <v>10708</v>
      </c>
      <c r="O846" s="627">
        <v>104513</v>
      </c>
      <c r="P846" s="627">
        <v>0</v>
      </c>
      <c r="Q846" s="626">
        <v>0</v>
      </c>
      <c r="R846" s="626"/>
      <c r="S846" s="627">
        <v>20798</v>
      </c>
      <c r="T846" s="628">
        <v>22633</v>
      </c>
      <c r="U846" s="628">
        <v>43430</v>
      </c>
    </row>
    <row r="847" spans="1:21" x14ac:dyDescent="0.25">
      <c r="A847" s="623">
        <v>99401</v>
      </c>
      <c r="B847" s="624" t="s">
        <v>1985</v>
      </c>
      <c r="C847" s="625">
        <v>9.0470000000000004E-4</v>
      </c>
      <c r="D847" s="625">
        <v>9.456E-4</v>
      </c>
      <c r="E847" s="626">
        <v>411341</v>
      </c>
      <c r="F847" s="626">
        <v>-521894</v>
      </c>
      <c r="G847" s="626">
        <v>406024</v>
      </c>
      <c r="H847" s="626"/>
      <c r="I847" s="627">
        <v>0</v>
      </c>
      <c r="J847" s="627">
        <v>815963</v>
      </c>
      <c r="K847" s="627">
        <v>0</v>
      </c>
      <c r="L847" s="626">
        <v>69897</v>
      </c>
      <c r="M847" s="626"/>
      <c r="N847" s="627">
        <v>95440</v>
      </c>
      <c r="O847" s="627">
        <v>931558</v>
      </c>
      <c r="P847" s="627">
        <v>0</v>
      </c>
      <c r="Q847" s="626">
        <v>0</v>
      </c>
      <c r="R847" s="626"/>
      <c r="S847" s="627">
        <v>185375</v>
      </c>
      <c r="T847" s="628">
        <v>23046</v>
      </c>
      <c r="U847" s="628">
        <v>208421</v>
      </c>
    </row>
    <row r="848" spans="1:21" x14ac:dyDescent="0.25">
      <c r="A848" s="623">
        <v>99404</v>
      </c>
      <c r="B848" s="624" t="s">
        <v>1986</v>
      </c>
      <c r="C848" s="625">
        <v>9.9000000000000001E-6</v>
      </c>
      <c r="D848" s="625">
        <v>1.0699999999999999E-5</v>
      </c>
      <c r="E848" s="626">
        <v>5045</v>
      </c>
      <c r="F848" s="626">
        <v>-5906</v>
      </c>
      <c r="G848" s="626">
        <v>4443</v>
      </c>
      <c r="H848" s="626"/>
      <c r="I848" s="627">
        <v>0</v>
      </c>
      <c r="J848" s="627">
        <v>8929</v>
      </c>
      <c r="K848" s="627">
        <v>0</v>
      </c>
      <c r="L848" s="626">
        <v>464</v>
      </c>
      <c r="M848" s="626"/>
      <c r="N848" s="627">
        <v>1044</v>
      </c>
      <c r="O848" s="627">
        <v>10194</v>
      </c>
      <c r="P848" s="627">
        <v>0</v>
      </c>
      <c r="Q848" s="626">
        <v>0</v>
      </c>
      <c r="R848" s="626"/>
      <c r="S848" s="627">
        <v>2029</v>
      </c>
      <c r="T848" s="628">
        <v>138</v>
      </c>
      <c r="U848" s="628">
        <v>2167</v>
      </c>
    </row>
    <row r="849" spans="1:21" x14ac:dyDescent="0.25">
      <c r="A849" s="623">
        <v>99405</v>
      </c>
      <c r="B849" s="624" t="s">
        <v>1987</v>
      </c>
      <c r="C849" s="625">
        <v>6.3399999999999996E-5</v>
      </c>
      <c r="D849" s="625">
        <v>5.9799999999999997E-5</v>
      </c>
      <c r="E849" s="626">
        <v>36243</v>
      </c>
      <c r="F849" s="626">
        <v>-33005</v>
      </c>
      <c r="G849" s="626">
        <v>28454</v>
      </c>
      <c r="H849" s="626"/>
      <c r="I849" s="627">
        <v>0</v>
      </c>
      <c r="J849" s="627">
        <v>57181</v>
      </c>
      <c r="K849" s="627">
        <v>0</v>
      </c>
      <c r="L849" s="626">
        <v>10735</v>
      </c>
      <c r="M849" s="626"/>
      <c r="N849" s="627">
        <v>6688</v>
      </c>
      <c r="O849" s="627">
        <v>65282</v>
      </c>
      <c r="P849" s="627">
        <v>0</v>
      </c>
      <c r="Q849" s="626">
        <v>1014</v>
      </c>
      <c r="R849" s="626"/>
      <c r="S849" s="627">
        <v>12991</v>
      </c>
      <c r="T849" s="628">
        <v>2471</v>
      </c>
      <c r="U849" s="628">
        <v>15462</v>
      </c>
    </row>
    <row r="850" spans="1:21" x14ac:dyDescent="0.25">
      <c r="A850" s="623">
        <v>99411</v>
      </c>
      <c r="B850" s="624" t="s">
        <v>1988</v>
      </c>
      <c r="C850" s="625">
        <v>1.07E-4</v>
      </c>
      <c r="D850" s="625">
        <v>1.116E-4</v>
      </c>
      <c r="E850" s="626">
        <v>59445</v>
      </c>
      <c r="F850" s="626">
        <v>-61594</v>
      </c>
      <c r="G850" s="626">
        <v>48021</v>
      </c>
      <c r="H850" s="626"/>
      <c r="I850" s="627">
        <v>0</v>
      </c>
      <c r="J850" s="627">
        <v>96505</v>
      </c>
      <c r="K850" s="627">
        <v>0</v>
      </c>
      <c r="L850" s="626">
        <v>9261</v>
      </c>
      <c r="M850" s="626"/>
      <c r="N850" s="627">
        <v>11288</v>
      </c>
      <c r="O850" s="627">
        <v>110177</v>
      </c>
      <c r="P850" s="627">
        <v>0</v>
      </c>
      <c r="Q850" s="626">
        <v>13288</v>
      </c>
      <c r="R850" s="626"/>
      <c r="S850" s="627">
        <v>21925</v>
      </c>
      <c r="T850" s="628">
        <v>-2020</v>
      </c>
      <c r="U850" s="628">
        <v>19905</v>
      </c>
    </row>
    <row r="851" spans="1:21" x14ac:dyDescent="0.25">
      <c r="A851" s="623">
        <v>99413</v>
      </c>
      <c r="B851" s="624" t="s">
        <v>1989</v>
      </c>
      <c r="C851" s="625">
        <v>4.21E-5</v>
      </c>
      <c r="D851" s="625">
        <v>4.6100000000000002E-5</v>
      </c>
      <c r="E851" s="626">
        <v>18309</v>
      </c>
      <c r="F851" s="626">
        <v>-25443</v>
      </c>
      <c r="G851" s="626">
        <v>18894</v>
      </c>
      <c r="H851" s="626"/>
      <c r="I851" s="627">
        <v>0</v>
      </c>
      <c r="J851" s="627">
        <v>37971</v>
      </c>
      <c r="K851" s="627">
        <v>0</v>
      </c>
      <c r="L851" s="626">
        <v>15</v>
      </c>
      <c r="M851" s="626"/>
      <c r="N851" s="627">
        <v>4441</v>
      </c>
      <c r="O851" s="627">
        <v>43350</v>
      </c>
      <c r="P851" s="627">
        <v>0</v>
      </c>
      <c r="Q851" s="626">
        <v>1919</v>
      </c>
      <c r="R851" s="626"/>
      <c r="S851" s="627">
        <v>8626</v>
      </c>
      <c r="T851" s="628">
        <v>-497</v>
      </c>
      <c r="U851" s="628">
        <v>8129</v>
      </c>
    </row>
    <row r="852" spans="1:21" x14ac:dyDescent="0.25">
      <c r="A852" s="623">
        <v>99421</v>
      </c>
      <c r="B852" s="624" t="s">
        <v>1990</v>
      </c>
      <c r="C852" s="625">
        <v>2.2099999999999998E-5</v>
      </c>
      <c r="D852" s="625">
        <v>2.4300000000000001E-5</v>
      </c>
      <c r="E852" s="626">
        <v>8598</v>
      </c>
      <c r="F852" s="626">
        <v>-13412</v>
      </c>
      <c r="G852" s="626">
        <v>9918</v>
      </c>
      <c r="H852" s="626"/>
      <c r="I852" s="627">
        <v>0</v>
      </c>
      <c r="J852" s="627">
        <v>19932</v>
      </c>
      <c r="K852" s="627">
        <v>0</v>
      </c>
      <c r="L852" s="626">
        <v>2308</v>
      </c>
      <c r="M852" s="626"/>
      <c r="N852" s="627">
        <v>2331</v>
      </c>
      <c r="O852" s="627">
        <v>22756</v>
      </c>
      <c r="P852" s="627">
        <v>0</v>
      </c>
      <c r="Q852" s="626">
        <v>1881</v>
      </c>
      <c r="R852" s="626"/>
      <c r="S852" s="627">
        <v>4528</v>
      </c>
      <c r="T852" s="628">
        <v>280</v>
      </c>
      <c r="U852" s="628">
        <v>4808</v>
      </c>
    </row>
    <row r="853" spans="1:21" x14ac:dyDescent="0.25">
      <c r="A853" s="623">
        <v>99431</v>
      </c>
      <c r="B853" s="624" t="s">
        <v>1991</v>
      </c>
      <c r="C853" s="625">
        <v>2.09E-5</v>
      </c>
      <c r="D853" s="625">
        <v>1.9400000000000001E-5</v>
      </c>
      <c r="E853" s="626">
        <v>6124</v>
      </c>
      <c r="F853" s="626">
        <v>-10707</v>
      </c>
      <c r="G853" s="626">
        <v>9380</v>
      </c>
      <c r="H853" s="626"/>
      <c r="I853" s="627">
        <v>0</v>
      </c>
      <c r="J853" s="627">
        <v>18850</v>
      </c>
      <c r="K853" s="627">
        <v>0</v>
      </c>
      <c r="L853" s="626">
        <v>3235</v>
      </c>
      <c r="M853" s="626"/>
      <c r="N853" s="627">
        <v>2205</v>
      </c>
      <c r="O853" s="627">
        <v>21520</v>
      </c>
      <c r="P853" s="627">
        <v>0</v>
      </c>
      <c r="Q853" s="626">
        <v>857</v>
      </c>
      <c r="R853" s="626"/>
      <c r="S853" s="627">
        <v>4282</v>
      </c>
      <c r="T853" s="628">
        <v>858</v>
      </c>
      <c r="U853" s="628">
        <v>5140</v>
      </c>
    </row>
    <row r="854" spans="1:21" x14ac:dyDescent="0.25">
      <c r="A854" s="623">
        <v>99501</v>
      </c>
      <c r="B854" s="624" t="s">
        <v>1992</v>
      </c>
      <c r="C854" s="625">
        <v>1.7404E-3</v>
      </c>
      <c r="D854" s="625">
        <v>1.7776999999999999E-3</v>
      </c>
      <c r="E854" s="626">
        <v>750180</v>
      </c>
      <c r="F854" s="626">
        <v>-981145</v>
      </c>
      <c r="G854" s="626">
        <v>781081</v>
      </c>
      <c r="H854" s="626"/>
      <c r="I854" s="627">
        <v>0</v>
      </c>
      <c r="J854" s="627">
        <v>1569695</v>
      </c>
      <c r="K854" s="627">
        <v>0</v>
      </c>
      <c r="L854" s="626">
        <v>5893</v>
      </c>
      <c r="M854" s="626"/>
      <c r="N854" s="627">
        <v>183600</v>
      </c>
      <c r="O854" s="627">
        <v>1792067</v>
      </c>
      <c r="P854" s="627">
        <v>0</v>
      </c>
      <c r="Q854" s="626">
        <v>0</v>
      </c>
      <c r="R854" s="626"/>
      <c r="S854" s="627">
        <v>356611</v>
      </c>
      <c r="T854" s="628">
        <v>1592</v>
      </c>
      <c r="U854" s="628">
        <v>358203</v>
      </c>
    </row>
    <row r="855" spans="1:21" x14ac:dyDescent="0.25">
      <c r="A855" s="623">
        <v>99502</v>
      </c>
      <c r="B855" s="624" t="s">
        <v>1993</v>
      </c>
      <c r="C855" s="625">
        <v>1.628E-4</v>
      </c>
      <c r="D855" s="625">
        <v>1.6569999999999999E-4</v>
      </c>
      <c r="E855" s="626">
        <v>98700</v>
      </c>
      <c r="F855" s="626">
        <v>-91453</v>
      </c>
      <c r="G855" s="626">
        <v>73064</v>
      </c>
      <c r="H855" s="626"/>
      <c r="I855" s="627">
        <v>0</v>
      </c>
      <c r="J855" s="627">
        <v>146832</v>
      </c>
      <c r="K855" s="627">
        <v>0</v>
      </c>
      <c r="L855" s="626">
        <v>23510</v>
      </c>
      <c r="M855" s="626"/>
      <c r="N855" s="627">
        <v>17174</v>
      </c>
      <c r="O855" s="627">
        <v>167633</v>
      </c>
      <c r="P855" s="627">
        <v>0</v>
      </c>
      <c r="Q855" s="626">
        <v>215</v>
      </c>
      <c r="R855" s="626"/>
      <c r="S855" s="627">
        <v>33358</v>
      </c>
      <c r="T855" s="628">
        <v>6082</v>
      </c>
      <c r="U855" s="628">
        <v>39440</v>
      </c>
    </row>
    <row r="856" spans="1:21" x14ac:dyDescent="0.25">
      <c r="A856" s="623">
        <v>99508</v>
      </c>
      <c r="B856" s="624" t="s">
        <v>1994</v>
      </c>
      <c r="C856" s="625">
        <v>2.3200000000000001E-5</v>
      </c>
      <c r="D856" s="625">
        <v>2.3300000000000001E-5</v>
      </c>
      <c r="E856" s="626">
        <v>8737</v>
      </c>
      <c r="F856" s="626">
        <v>-12860</v>
      </c>
      <c r="G856" s="626">
        <v>10412</v>
      </c>
      <c r="H856" s="626"/>
      <c r="I856" s="627">
        <v>0</v>
      </c>
      <c r="J856" s="627">
        <v>20924</v>
      </c>
      <c r="K856" s="627">
        <v>0</v>
      </c>
      <c r="L856" s="626">
        <v>0</v>
      </c>
      <c r="M856" s="626"/>
      <c r="N856" s="627">
        <v>2447</v>
      </c>
      <c r="O856" s="627">
        <v>23889</v>
      </c>
      <c r="P856" s="627">
        <v>0</v>
      </c>
      <c r="Q856" s="626">
        <v>2402</v>
      </c>
      <c r="R856" s="626"/>
      <c r="S856" s="627">
        <v>4754</v>
      </c>
      <c r="T856" s="628">
        <v>-756</v>
      </c>
      <c r="U856" s="628">
        <v>3998</v>
      </c>
    </row>
    <row r="857" spans="1:21" x14ac:dyDescent="0.25">
      <c r="A857" s="623">
        <v>99509</v>
      </c>
      <c r="B857" s="624" t="s">
        <v>1995</v>
      </c>
      <c r="C857" s="625">
        <v>2.87E-5</v>
      </c>
      <c r="D857" s="625">
        <v>2.8500000000000002E-5</v>
      </c>
      <c r="E857" s="626">
        <v>9734</v>
      </c>
      <c r="F857" s="626">
        <v>-15730</v>
      </c>
      <c r="G857" s="626">
        <v>12880</v>
      </c>
      <c r="H857" s="626"/>
      <c r="I857" s="627">
        <v>0</v>
      </c>
      <c r="J857" s="627">
        <v>25885</v>
      </c>
      <c r="K857" s="627">
        <v>0</v>
      </c>
      <c r="L857" s="626">
        <v>0</v>
      </c>
      <c r="M857" s="626"/>
      <c r="N857" s="627">
        <v>3028</v>
      </c>
      <c r="O857" s="627">
        <v>29552</v>
      </c>
      <c r="P857" s="627">
        <v>0</v>
      </c>
      <c r="Q857" s="626">
        <v>10919</v>
      </c>
      <c r="R857" s="626"/>
      <c r="S857" s="627">
        <v>5881</v>
      </c>
      <c r="T857" s="628">
        <v>-3548</v>
      </c>
      <c r="U857" s="628">
        <v>2333</v>
      </c>
    </row>
    <row r="858" spans="1:21" x14ac:dyDescent="0.25">
      <c r="A858" s="623">
        <v>99511</v>
      </c>
      <c r="B858" s="624" t="s">
        <v>1996</v>
      </c>
      <c r="C858" s="625">
        <v>1.4238E-3</v>
      </c>
      <c r="D858" s="625">
        <v>1.3492000000000001E-3</v>
      </c>
      <c r="E858" s="626">
        <v>527176</v>
      </c>
      <c r="F858" s="626">
        <v>-744648</v>
      </c>
      <c r="G858" s="626">
        <v>638993</v>
      </c>
      <c r="H858" s="626"/>
      <c r="I858" s="627">
        <v>0</v>
      </c>
      <c r="J858" s="627">
        <v>1284148</v>
      </c>
      <c r="K858" s="627">
        <v>0</v>
      </c>
      <c r="L858" s="626">
        <v>9445</v>
      </c>
      <c r="M858" s="626"/>
      <c r="N858" s="627">
        <v>150201</v>
      </c>
      <c r="O858" s="627">
        <v>1466068</v>
      </c>
      <c r="P858" s="627">
        <v>0</v>
      </c>
      <c r="Q858" s="626">
        <v>26201</v>
      </c>
      <c r="R858" s="626"/>
      <c r="S858" s="627">
        <v>291739</v>
      </c>
      <c r="T858" s="628">
        <v>-6290</v>
      </c>
      <c r="U858" s="628">
        <v>285449</v>
      </c>
    </row>
    <row r="859" spans="1:21" x14ac:dyDescent="0.25">
      <c r="A859" s="623">
        <v>99521</v>
      </c>
      <c r="B859" s="624" t="s">
        <v>1997</v>
      </c>
      <c r="C859" s="625">
        <v>4.0989999999999999E-4</v>
      </c>
      <c r="D859" s="625">
        <v>3.9669999999999999E-4</v>
      </c>
      <c r="E859" s="626">
        <v>146579</v>
      </c>
      <c r="F859" s="626">
        <v>-218946</v>
      </c>
      <c r="G859" s="626">
        <v>183961</v>
      </c>
      <c r="H859" s="626"/>
      <c r="I859" s="627">
        <v>0</v>
      </c>
      <c r="J859" s="627">
        <v>369695</v>
      </c>
      <c r="K859" s="627">
        <v>0</v>
      </c>
      <c r="L859" s="626">
        <v>2155.79</v>
      </c>
      <c r="M859" s="626"/>
      <c r="N859" s="627">
        <v>43242</v>
      </c>
      <c r="O859" s="627">
        <v>422069</v>
      </c>
      <c r="P859" s="627">
        <v>0</v>
      </c>
      <c r="Q859" s="626">
        <v>7202</v>
      </c>
      <c r="R859" s="626"/>
      <c r="S859" s="627">
        <v>83989</v>
      </c>
      <c r="T859" s="628">
        <v>-1164</v>
      </c>
      <c r="U859" s="628">
        <v>82825</v>
      </c>
    </row>
    <row r="860" spans="1:21" x14ac:dyDescent="0.25">
      <c r="A860" s="623">
        <v>99527</v>
      </c>
      <c r="B860" s="624" t="s">
        <v>1998</v>
      </c>
      <c r="C860" s="625">
        <v>1.1800000000000001E-5</v>
      </c>
      <c r="D860" s="625">
        <v>1.1199999999999999E-5</v>
      </c>
      <c r="E860" s="626">
        <v>5209</v>
      </c>
      <c r="F860" s="626">
        <v>-6181</v>
      </c>
      <c r="G860" s="626">
        <v>5296</v>
      </c>
      <c r="H860" s="626"/>
      <c r="I860" s="627">
        <v>0</v>
      </c>
      <c r="J860" s="627">
        <v>10643</v>
      </c>
      <c r="K860" s="627">
        <v>0</v>
      </c>
      <c r="L860" s="626">
        <v>1431</v>
      </c>
      <c r="M860" s="626"/>
      <c r="N860" s="627">
        <v>1245</v>
      </c>
      <c r="O860" s="627">
        <v>12150</v>
      </c>
      <c r="P860" s="627">
        <v>0</v>
      </c>
      <c r="Q860" s="626">
        <v>0</v>
      </c>
      <c r="R860" s="626"/>
      <c r="S860" s="627">
        <v>2418</v>
      </c>
      <c r="T860" s="628">
        <v>425</v>
      </c>
      <c r="U860" s="628">
        <v>2843</v>
      </c>
    </row>
    <row r="861" spans="1:21" x14ac:dyDescent="0.25">
      <c r="A861" s="623">
        <v>99531</v>
      </c>
      <c r="B861" s="624" t="s">
        <v>1999</v>
      </c>
      <c r="C861" s="625">
        <v>8.8200000000000003E-5</v>
      </c>
      <c r="D861" s="625">
        <v>9.4400000000000004E-5</v>
      </c>
      <c r="E861" s="626">
        <v>66218</v>
      </c>
      <c r="F861" s="626">
        <v>-52101</v>
      </c>
      <c r="G861" s="626">
        <v>39584</v>
      </c>
      <c r="H861" s="626"/>
      <c r="I861" s="627">
        <v>0</v>
      </c>
      <c r="J861" s="627">
        <v>79549</v>
      </c>
      <c r="K861" s="627">
        <v>0</v>
      </c>
      <c r="L861" s="626">
        <v>20550</v>
      </c>
      <c r="M861" s="626"/>
      <c r="N861" s="627">
        <v>9304</v>
      </c>
      <c r="O861" s="627">
        <v>90818</v>
      </c>
      <c r="P861" s="627">
        <v>0</v>
      </c>
      <c r="Q861" s="626">
        <v>0</v>
      </c>
      <c r="R861" s="626"/>
      <c r="S861" s="627">
        <v>18072</v>
      </c>
      <c r="T861" s="628">
        <v>5449</v>
      </c>
      <c r="U861" s="628">
        <v>23522</v>
      </c>
    </row>
    <row r="862" spans="1:21" x14ac:dyDescent="0.25">
      <c r="A862" s="623">
        <v>99601</v>
      </c>
      <c r="B862" s="624" t="s">
        <v>2000</v>
      </c>
      <c r="C862" s="625">
        <v>5.3274999999999998E-3</v>
      </c>
      <c r="D862" s="625">
        <v>5.1766E-3</v>
      </c>
      <c r="E862" s="626">
        <v>2145041</v>
      </c>
      <c r="F862" s="626">
        <v>-2857059</v>
      </c>
      <c r="G862" s="626">
        <v>2390950</v>
      </c>
      <c r="H862" s="626"/>
      <c r="I862" s="627">
        <v>0</v>
      </c>
      <c r="J862" s="627">
        <v>4804957.49</v>
      </c>
      <c r="K862" s="627">
        <v>0</v>
      </c>
      <c r="L862" s="626">
        <v>82052</v>
      </c>
      <c r="M862" s="626"/>
      <c r="N862" s="627">
        <v>562014</v>
      </c>
      <c r="O862" s="627">
        <v>5485657</v>
      </c>
      <c r="P862" s="627">
        <v>0</v>
      </c>
      <c r="Q862" s="626">
        <v>15204</v>
      </c>
      <c r="R862" s="626"/>
      <c r="S862" s="627">
        <v>1091615</v>
      </c>
      <c r="T862" s="628">
        <v>16394</v>
      </c>
      <c r="U862" s="628">
        <v>1108010</v>
      </c>
    </row>
    <row r="863" spans="1:21" x14ac:dyDescent="0.25">
      <c r="A863" s="623">
        <v>99602</v>
      </c>
      <c r="B863" s="624" t="s">
        <v>2001</v>
      </c>
      <c r="C863" s="625">
        <v>5.13E-5</v>
      </c>
      <c r="D863" s="625">
        <v>4.7700000000000001E-5</v>
      </c>
      <c r="E863" s="626">
        <v>23624</v>
      </c>
      <c r="F863" s="626">
        <v>-26326</v>
      </c>
      <c r="G863" s="626">
        <v>23023</v>
      </c>
      <c r="H863" s="626"/>
      <c r="I863" s="627">
        <v>0</v>
      </c>
      <c r="J863" s="627">
        <v>46268</v>
      </c>
      <c r="K863" s="627">
        <v>0</v>
      </c>
      <c r="L863" s="626">
        <v>4650</v>
      </c>
      <c r="M863" s="626"/>
      <c r="N863" s="627">
        <v>5412</v>
      </c>
      <c r="O863" s="627">
        <v>52823</v>
      </c>
      <c r="P863" s="627">
        <v>0</v>
      </c>
      <c r="Q863" s="626">
        <v>6243</v>
      </c>
      <c r="R863" s="626"/>
      <c r="S863" s="627">
        <v>10511</v>
      </c>
      <c r="T863" s="628">
        <v>-871</v>
      </c>
      <c r="U863" s="628">
        <v>9641</v>
      </c>
    </row>
    <row r="864" spans="1:21" x14ac:dyDescent="0.25">
      <c r="A864" s="623">
        <v>99603</v>
      </c>
      <c r="B864" s="624" t="s">
        <v>2002</v>
      </c>
      <c r="C864" s="625">
        <v>1.474E-4</v>
      </c>
      <c r="D864" s="625">
        <v>1.6100000000000001E-4</v>
      </c>
      <c r="E864" s="626">
        <v>140290</v>
      </c>
      <c r="F864" s="626">
        <v>-88859</v>
      </c>
      <c r="G864" s="626">
        <v>66152</v>
      </c>
      <c r="H864" s="626"/>
      <c r="I864" s="627">
        <v>0</v>
      </c>
      <c r="J864" s="627">
        <v>132942</v>
      </c>
      <c r="K864" s="627">
        <v>0</v>
      </c>
      <c r="L864" s="626">
        <v>59474</v>
      </c>
      <c r="M864" s="626"/>
      <c r="N864" s="627">
        <v>15550</v>
      </c>
      <c r="O864" s="627">
        <v>151776</v>
      </c>
      <c r="P864" s="627">
        <v>0</v>
      </c>
      <c r="Q864" s="626">
        <v>0</v>
      </c>
      <c r="R864" s="626"/>
      <c r="S864" s="627">
        <v>30203</v>
      </c>
      <c r="T864" s="628">
        <v>15971</v>
      </c>
      <c r="U864" s="628">
        <v>46173</v>
      </c>
    </row>
    <row r="865" spans="1:21" x14ac:dyDescent="0.25">
      <c r="A865" s="623">
        <v>99604</v>
      </c>
      <c r="B865" s="624" t="s">
        <v>2003</v>
      </c>
      <c r="C865" s="625">
        <v>9.3300000000000005E-5</v>
      </c>
      <c r="D865" s="625">
        <v>8.6100000000000006E-5</v>
      </c>
      <c r="E865" s="626">
        <v>45202</v>
      </c>
      <c r="F865" s="626">
        <v>-47520</v>
      </c>
      <c r="G865" s="626">
        <v>41872</v>
      </c>
      <c r="H865" s="626"/>
      <c r="I865" s="627">
        <v>0</v>
      </c>
      <c r="J865" s="627">
        <v>84149</v>
      </c>
      <c r="K865" s="627">
        <v>0</v>
      </c>
      <c r="L865" s="626">
        <v>19985</v>
      </c>
      <c r="M865" s="626"/>
      <c r="N865" s="627">
        <v>9842</v>
      </c>
      <c r="O865" s="627">
        <v>96070</v>
      </c>
      <c r="P865" s="627">
        <v>0</v>
      </c>
      <c r="Q865" s="626">
        <v>0</v>
      </c>
      <c r="R865" s="626"/>
      <c r="S865" s="627">
        <v>19117</v>
      </c>
      <c r="T865" s="628">
        <v>5908</v>
      </c>
      <c r="U865" s="628">
        <v>25025</v>
      </c>
    </row>
    <row r="866" spans="1:21" x14ac:dyDescent="0.25">
      <c r="A866" s="623">
        <v>99609</v>
      </c>
      <c r="B866" s="624" t="s">
        <v>2004</v>
      </c>
      <c r="C866" s="625">
        <v>1.98E-5</v>
      </c>
      <c r="D866" s="625">
        <v>1.9599999999999999E-5</v>
      </c>
      <c r="E866" s="626">
        <v>9993</v>
      </c>
      <c r="F866" s="626">
        <v>-10818</v>
      </c>
      <c r="G866" s="626">
        <v>8886</v>
      </c>
      <c r="H866" s="626"/>
      <c r="I866" s="627">
        <v>0</v>
      </c>
      <c r="J866" s="627">
        <v>17858</v>
      </c>
      <c r="K866" s="627">
        <v>0</v>
      </c>
      <c r="L866" s="626">
        <v>4733</v>
      </c>
      <c r="M866" s="626"/>
      <c r="N866" s="627">
        <v>2089</v>
      </c>
      <c r="O866" s="627">
        <v>20388</v>
      </c>
      <c r="P866" s="627">
        <v>0</v>
      </c>
      <c r="Q866" s="626">
        <v>0</v>
      </c>
      <c r="R866" s="626"/>
      <c r="S866" s="627">
        <v>4057</v>
      </c>
      <c r="T866" s="628">
        <v>1463</v>
      </c>
      <c r="U866" s="628">
        <v>5520</v>
      </c>
    </row>
    <row r="867" spans="1:21" x14ac:dyDescent="0.25">
      <c r="A867" s="623">
        <v>99610</v>
      </c>
      <c r="B867" s="624" t="s">
        <v>2005</v>
      </c>
      <c r="C867" s="625">
        <v>1.883E-4</v>
      </c>
      <c r="D867" s="625">
        <v>1.873E-4</v>
      </c>
      <c r="E867" s="626">
        <v>73750</v>
      </c>
      <c r="F867" s="626">
        <v>-103374</v>
      </c>
      <c r="G867" s="626">
        <v>84508</v>
      </c>
      <c r="H867" s="626"/>
      <c r="I867" s="627">
        <v>0</v>
      </c>
      <c r="J867" s="627">
        <v>169831</v>
      </c>
      <c r="K867" s="627">
        <v>0</v>
      </c>
      <c r="L867" s="626">
        <v>4221.88</v>
      </c>
      <c r="M867" s="626"/>
      <c r="N867" s="627">
        <v>19864</v>
      </c>
      <c r="O867" s="627">
        <v>193890</v>
      </c>
      <c r="P867" s="627">
        <v>0</v>
      </c>
      <c r="Q867" s="626">
        <v>1778</v>
      </c>
      <c r="R867" s="626"/>
      <c r="S867" s="627">
        <v>38583</v>
      </c>
      <c r="T867" s="628">
        <v>946</v>
      </c>
      <c r="U867" s="628">
        <v>39529</v>
      </c>
    </row>
    <row r="868" spans="1:21" x14ac:dyDescent="0.25">
      <c r="A868" s="623">
        <v>99611</v>
      </c>
      <c r="B868" s="624" t="s">
        <v>2006</v>
      </c>
      <c r="C868" s="625">
        <v>3.4461000000000001E-3</v>
      </c>
      <c r="D868" s="625">
        <v>3.4954999999999999E-3</v>
      </c>
      <c r="E868" s="626">
        <v>1362979</v>
      </c>
      <c r="F868" s="626">
        <v>-1929229</v>
      </c>
      <c r="G868" s="626">
        <v>1546589</v>
      </c>
      <c r="H868" s="626"/>
      <c r="I868" s="627">
        <v>0</v>
      </c>
      <c r="J868" s="627">
        <v>3108093</v>
      </c>
      <c r="K868" s="627">
        <v>0</v>
      </c>
      <c r="L868" s="626">
        <v>0</v>
      </c>
      <c r="M868" s="626"/>
      <c r="N868" s="627">
        <v>363539</v>
      </c>
      <c r="O868" s="627">
        <v>3548404</v>
      </c>
      <c r="P868" s="627">
        <v>0</v>
      </c>
      <c r="Q868" s="626">
        <v>169698</v>
      </c>
      <c r="R868" s="626"/>
      <c r="S868" s="627">
        <v>706113</v>
      </c>
      <c r="T868" s="628">
        <v>-51702</v>
      </c>
      <c r="U868" s="628">
        <v>654411</v>
      </c>
    </row>
    <row r="869" spans="1:21" x14ac:dyDescent="0.25">
      <c r="A869" s="623">
        <v>99613</v>
      </c>
      <c r="B869" s="624" t="s">
        <v>2007</v>
      </c>
      <c r="C869" s="625">
        <v>2.6350000000000001E-4</v>
      </c>
      <c r="D869" s="625">
        <v>3.2299999999999999E-4</v>
      </c>
      <c r="E869" s="626">
        <v>272794</v>
      </c>
      <c r="F869" s="626">
        <v>-178270</v>
      </c>
      <c r="G869" s="626">
        <v>118257</v>
      </c>
      <c r="H869" s="626"/>
      <c r="I869" s="627">
        <v>0</v>
      </c>
      <c r="J869" s="627">
        <v>237655</v>
      </c>
      <c r="K869" s="627">
        <v>0</v>
      </c>
      <c r="L869" s="626">
        <v>93901</v>
      </c>
      <c r="M869" s="626"/>
      <c r="N869" s="627">
        <v>27797</v>
      </c>
      <c r="O869" s="627">
        <v>271323</v>
      </c>
      <c r="P869" s="627">
        <v>0</v>
      </c>
      <c r="Q869" s="626">
        <v>0</v>
      </c>
      <c r="R869" s="626"/>
      <c r="S869" s="627">
        <v>53992</v>
      </c>
      <c r="T869" s="628">
        <v>24924</v>
      </c>
      <c r="U869" s="628">
        <v>78916</v>
      </c>
    </row>
    <row r="870" spans="1:21" x14ac:dyDescent="0.25">
      <c r="A870" s="623">
        <v>99621</v>
      </c>
      <c r="B870" s="624" t="s">
        <v>2008</v>
      </c>
      <c r="C870" s="625">
        <v>2.9550000000000003E-4</v>
      </c>
      <c r="D870" s="625">
        <v>3.1500000000000001E-4</v>
      </c>
      <c r="E870" s="626">
        <v>125545</v>
      </c>
      <c r="F870" s="626">
        <v>-173854.17</v>
      </c>
      <c r="G870" s="626">
        <v>132619</v>
      </c>
      <c r="H870" s="626"/>
      <c r="I870" s="627">
        <v>0</v>
      </c>
      <c r="J870" s="627">
        <v>266516</v>
      </c>
      <c r="K870" s="627">
        <v>0</v>
      </c>
      <c r="L870" s="626">
        <v>14471.6</v>
      </c>
      <c r="M870" s="626"/>
      <c r="N870" s="627">
        <v>31173</v>
      </c>
      <c r="O870" s="627">
        <v>304273</v>
      </c>
      <c r="P870" s="627">
        <v>0</v>
      </c>
      <c r="Q870" s="626">
        <v>9802</v>
      </c>
      <c r="R870" s="626"/>
      <c r="S870" s="627">
        <v>60549</v>
      </c>
      <c r="T870" s="628">
        <v>2274</v>
      </c>
      <c r="U870" s="628">
        <v>62823</v>
      </c>
    </row>
    <row r="871" spans="1:21" x14ac:dyDescent="0.25">
      <c r="A871" s="623">
        <v>99623</v>
      </c>
      <c r="B871" s="624" t="s">
        <v>2009</v>
      </c>
      <c r="C871" s="625">
        <v>2.1299999999999999E-5</v>
      </c>
      <c r="D871" s="625">
        <v>1.45E-5</v>
      </c>
      <c r="E871" s="626">
        <v>6542</v>
      </c>
      <c r="F871" s="626">
        <v>-8003</v>
      </c>
      <c r="G871" s="626">
        <v>9559</v>
      </c>
      <c r="H871" s="626"/>
      <c r="I871" s="627">
        <v>0</v>
      </c>
      <c r="J871" s="627">
        <v>19211</v>
      </c>
      <c r="K871" s="627">
        <v>0</v>
      </c>
      <c r="L871" s="626">
        <v>3065</v>
      </c>
      <c r="M871" s="626"/>
      <c r="N871" s="627">
        <v>2247</v>
      </c>
      <c r="O871" s="627">
        <v>21932</v>
      </c>
      <c r="P871" s="627">
        <v>0</v>
      </c>
      <c r="Q871" s="626">
        <v>475.41</v>
      </c>
      <c r="R871" s="626"/>
      <c r="S871" s="627">
        <v>4364</v>
      </c>
      <c r="T871" s="628">
        <v>643</v>
      </c>
      <c r="U871" s="628">
        <v>5008</v>
      </c>
    </row>
    <row r="872" spans="1:21" x14ac:dyDescent="0.25">
      <c r="A872" s="623">
        <v>99631</v>
      </c>
      <c r="B872" s="624" t="s">
        <v>2010</v>
      </c>
      <c r="C872" s="625">
        <v>9.8599999999999998E-5</v>
      </c>
      <c r="D872" s="625">
        <v>9.8400000000000007E-5</v>
      </c>
      <c r="E872" s="626">
        <v>37960</v>
      </c>
      <c r="F872" s="626">
        <v>-54309</v>
      </c>
      <c r="G872" s="626">
        <v>44251</v>
      </c>
      <c r="H872" s="626"/>
      <c r="I872" s="627">
        <v>0</v>
      </c>
      <c r="J872" s="627">
        <v>88929</v>
      </c>
      <c r="K872" s="627">
        <v>0</v>
      </c>
      <c r="L872" s="626">
        <v>0</v>
      </c>
      <c r="M872" s="626"/>
      <c r="N872" s="627">
        <v>10402</v>
      </c>
      <c r="O872" s="627">
        <v>101527</v>
      </c>
      <c r="P872" s="627">
        <v>0</v>
      </c>
      <c r="Q872" s="626">
        <v>12007</v>
      </c>
      <c r="R872" s="626"/>
      <c r="S872" s="627">
        <v>20203</v>
      </c>
      <c r="T872" s="628">
        <v>-3894</v>
      </c>
      <c r="U872" s="628">
        <v>16310</v>
      </c>
    </row>
    <row r="873" spans="1:21" x14ac:dyDescent="0.25">
      <c r="A873" s="623">
        <v>99651</v>
      </c>
      <c r="B873" s="624" t="s">
        <v>2011</v>
      </c>
      <c r="C873" s="625">
        <v>5.7500000000000002E-5</v>
      </c>
      <c r="D873" s="625">
        <v>4.57E-5</v>
      </c>
      <c r="E873" s="626">
        <v>23206</v>
      </c>
      <c r="F873" s="626">
        <v>-25223</v>
      </c>
      <c r="G873" s="626">
        <v>25806</v>
      </c>
      <c r="H873" s="626"/>
      <c r="I873" s="627">
        <v>0</v>
      </c>
      <c r="J873" s="627">
        <v>51860.17</v>
      </c>
      <c r="K873" s="627">
        <v>0</v>
      </c>
      <c r="L873" s="626">
        <v>8067</v>
      </c>
      <c r="M873" s="626"/>
      <c r="N873" s="627">
        <v>6066</v>
      </c>
      <c r="O873" s="627">
        <v>59207</v>
      </c>
      <c r="P873" s="627">
        <v>0</v>
      </c>
      <c r="Q873" s="626">
        <v>4267</v>
      </c>
      <c r="R873" s="626"/>
      <c r="S873" s="627">
        <v>11782</v>
      </c>
      <c r="T873" s="628">
        <v>685</v>
      </c>
      <c r="U873" s="628">
        <v>12467</v>
      </c>
    </row>
    <row r="874" spans="1:21" x14ac:dyDescent="0.25">
      <c r="A874" s="623">
        <v>99661</v>
      </c>
      <c r="B874" s="624" t="s">
        <v>2012</v>
      </c>
      <c r="C874" s="625">
        <v>3.4900000000000001E-5</v>
      </c>
      <c r="D874" s="625">
        <v>3.5200000000000002E-5</v>
      </c>
      <c r="E874" s="626">
        <v>37567</v>
      </c>
      <c r="F874" s="626">
        <v>-19428</v>
      </c>
      <c r="G874" s="626">
        <v>15663</v>
      </c>
      <c r="H874" s="626"/>
      <c r="I874" s="627">
        <v>0</v>
      </c>
      <c r="J874" s="627">
        <v>31477</v>
      </c>
      <c r="K874" s="627">
        <v>0</v>
      </c>
      <c r="L874" s="626">
        <v>19740</v>
      </c>
      <c r="M874" s="626"/>
      <c r="N874" s="627">
        <v>3682</v>
      </c>
      <c r="O874" s="627">
        <v>35936</v>
      </c>
      <c r="P874" s="627">
        <v>0</v>
      </c>
      <c r="Q874" s="626">
        <v>0</v>
      </c>
      <c r="R874" s="626"/>
      <c r="S874" s="627">
        <v>7151</v>
      </c>
      <c r="T874" s="628">
        <v>5275</v>
      </c>
      <c r="U874" s="628">
        <v>12426</v>
      </c>
    </row>
    <row r="875" spans="1:21" x14ac:dyDescent="0.25">
      <c r="A875" s="623">
        <v>99701</v>
      </c>
      <c r="B875" s="624" t="s">
        <v>2013</v>
      </c>
      <c r="C875" s="625">
        <v>2.7742000000000001E-3</v>
      </c>
      <c r="D875" s="625">
        <v>2.7345999999999998E-3</v>
      </c>
      <c r="E875" s="626">
        <v>1130410</v>
      </c>
      <c r="F875" s="626">
        <v>-1509275</v>
      </c>
      <c r="G875" s="626">
        <v>1245044</v>
      </c>
      <c r="H875" s="626"/>
      <c r="I875" s="627">
        <v>0</v>
      </c>
      <c r="J875" s="627">
        <v>2502095</v>
      </c>
      <c r="K875" s="627">
        <v>0</v>
      </c>
      <c r="L875" s="626">
        <v>26009</v>
      </c>
      <c r="M875" s="626"/>
      <c r="N875" s="627">
        <v>292659</v>
      </c>
      <c r="O875" s="627">
        <v>2856558</v>
      </c>
      <c r="P875" s="627">
        <v>0</v>
      </c>
      <c r="Q875" s="626">
        <v>29556.15</v>
      </c>
      <c r="R875" s="626"/>
      <c r="S875" s="627">
        <v>568439</v>
      </c>
      <c r="T875" s="628">
        <v>-3076</v>
      </c>
      <c r="U875" s="628">
        <v>565363</v>
      </c>
    </row>
    <row r="876" spans="1:21" x14ac:dyDescent="0.25">
      <c r="A876" s="623">
        <v>99705</v>
      </c>
      <c r="B876" s="624" t="s">
        <v>2014</v>
      </c>
      <c r="C876" s="625">
        <v>1.7660000000000001E-4</v>
      </c>
      <c r="D876" s="625">
        <v>1.8440000000000001E-4</v>
      </c>
      <c r="E876" s="626">
        <v>77569</v>
      </c>
      <c r="F876" s="626">
        <v>-101774</v>
      </c>
      <c r="G876" s="626">
        <v>79257</v>
      </c>
      <c r="H876" s="626"/>
      <c r="I876" s="627">
        <v>0</v>
      </c>
      <c r="J876" s="627">
        <v>159278</v>
      </c>
      <c r="K876" s="627">
        <v>0</v>
      </c>
      <c r="L876" s="626">
        <v>13078.26</v>
      </c>
      <c r="M876" s="626"/>
      <c r="N876" s="627">
        <v>18630</v>
      </c>
      <c r="O876" s="627">
        <v>181843</v>
      </c>
      <c r="P876" s="627">
        <v>0</v>
      </c>
      <c r="Q876" s="626">
        <v>1141</v>
      </c>
      <c r="R876" s="626"/>
      <c r="S876" s="627">
        <v>36186</v>
      </c>
      <c r="T876" s="628">
        <v>4075</v>
      </c>
      <c r="U876" s="628">
        <v>40261</v>
      </c>
    </row>
    <row r="877" spans="1:21" x14ac:dyDescent="0.25">
      <c r="A877" s="623">
        <v>99711</v>
      </c>
      <c r="B877" s="624" t="s">
        <v>2015</v>
      </c>
      <c r="C877" s="625">
        <v>4.506E-4</v>
      </c>
      <c r="D877" s="625">
        <v>4.8020000000000002E-4</v>
      </c>
      <c r="E877" s="626">
        <v>188249</v>
      </c>
      <c r="F877" s="626">
        <v>-265031</v>
      </c>
      <c r="G877" s="626">
        <v>202227</v>
      </c>
      <c r="H877" s="626"/>
      <c r="I877" s="627">
        <v>0</v>
      </c>
      <c r="J877" s="627">
        <v>406403</v>
      </c>
      <c r="K877" s="627">
        <v>0</v>
      </c>
      <c r="L877" s="626">
        <v>2840.5</v>
      </c>
      <c r="M877" s="626"/>
      <c r="N877" s="627">
        <v>47535</v>
      </c>
      <c r="O877" s="627">
        <v>463977</v>
      </c>
      <c r="P877" s="627">
        <v>0</v>
      </c>
      <c r="Q877" s="626">
        <v>17381</v>
      </c>
      <c r="R877" s="626"/>
      <c r="S877" s="627">
        <v>92329</v>
      </c>
      <c r="T877" s="628">
        <v>-3600</v>
      </c>
      <c r="U877" s="628">
        <v>88729</v>
      </c>
    </row>
    <row r="878" spans="1:21" x14ac:dyDescent="0.25">
      <c r="A878" s="623">
        <v>99717</v>
      </c>
      <c r="B878" s="624" t="s">
        <v>2016</v>
      </c>
      <c r="C878" s="625">
        <v>2.2399999999999999E-5</v>
      </c>
      <c r="D878" s="625">
        <v>2.2900000000000001E-5</v>
      </c>
      <c r="E878" s="626">
        <v>7872</v>
      </c>
      <c r="F878" s="626">
        <v>-12639</v>
      </c>
      <c r="G878" s="626">
        <v>10053</v>
      </c>
      <c r="H878" s="626"/>
      <c r="I878" s="627">
        <v>0</v>
      </c>
      <c r="J878" s="627">
        <v>20203</v>
      </c>
      <c r="K878" s="627">
        <v>0</v>
      </c>
      <c r="L878" s="626">
        <v>0</v>
      </c>
      <c r="M878" s="626"/>
      <c r="N878" s="627">
        <v>2363</v>
      </c>
      <c r="O878" s="627">
        <v>23065</v>
      </c>
      <c r="P878" s="627">
        <v>0</v>
      </c>
      <c r="Q878" s="626">
        <v>1405</v>
      </c>
      <c r="R878" s="626"/>
      <c r="S878" s="627">
        <v>4590</v>
      </c>
      <c r="T878" s="628">
        <v>-371</v>
      </c>
      <c r="U878" s="628">
        <v>4219</v>
      </c>
    </row>
    <row r="879" spans="1:21" x14ac:dyDescent="0.25">
      <c r="A879" s="623">
        <v>99721</v>
      </c>
      <c r="B879" s="624" t="s">
        <v>2017</v>
      </c>
      <c r="C879" s="625">
        <v>5.8460000000000001E-4</v>
      </c>
      <c r="D879" s="625">
        <v>5.6860000000000005E-4</v>
      </c>
      <c r="E879" s="626">
        <v>223354</v>
      </c>
      <c r="F879" s="626">
        <v>-313821</v>
      </c>
      <c r="G879" s="626">
        <v>262365</v>
      </c>
      <c r="H879" s="626"/>
      <c r="I879" s="627">
        <v>0</v>
      </c>
      <c r="J879" s="627">
        <v>527260</v>
      </c>
      <c r="K879" s="627">
        <v>0</v>
      </c>
      <c r="L879" s="626">
        <v>0</v>
      </c>
      <c r="M879" s="626"/>
      <c r="N879" s="627">
        <v>61671</v>
      </c>
      <c r="O879" s="627">
        <v>601955</v>
      </c>
      <c r="P879" s="627">
        <v>0</v>
      </c>
      <c r="Q879" s="626">
        <v>6389</v>
      </c>
      <c r="R879" s="626"/>
      <c r="S879" s="627">
        <v>119786</v>
      </c>
      <c r="T879" s="628">
        <v>-2070</v>
      </c>
      <c r="U879" s="628">
        <v>117716</v>
      </c>
    </row>
    <row r="880" spans="1:21" x14ac:dyDescent="0.25">
      <c r="A880" s="623">
        <v>99727</v>
      </c>
      <c r="B880" s="624" t="s">
        <v>2018</v>
      </c>
      <c r="C880" s="625">
        <v>2.8099999999999999E-5</v>
      </c>
      <c r="D880" s="625">
        <v>2.6400000000000001E-5</v>
      </c>
      <c r="E880" s="626">
        <v>42215</v>
      </c>
      <c r="F880" s="626">
        <v>-14571</v>
      </c>
      <c r="G880" s="626">
        <v>12611</v>
      </c>
      <c r="H880" s="626"/>
      <c r="I880" s="627">
        <v>0</v>
      </c>
      <c r="J880" s="627">
        <v>25344</v>
      </c>
      <c r="K880" s="627">
        <v>0</v>
      </c>
      <c r="L880" s="626">
        <v>27734</v>
      </c>
      <c r="M880" s="626"/>
      <c r="N880" s="627">
        <v>2964</v>
      </c>
      <c r="O880" s="627">
        <v>28934</v>
      </c>
      <c r="P880" s="627">
        <v>0</v>
      </c>
      <c r="Q880" s="626">
        <v>0</v>
      </c>
      <c r="R880" s="626"/>
      <c r="S880" s="627">
        <v>5758</v>
      </c>
      <c r="T880" s="628">
        <v>7418</v>
      </c>
      <c r="U880" s="628">
        <v>13176</v>
      </c>
    </row>
    <row r="881" spans="1:21" x14ac:dyDescent="0.25">
      <c r="A881" s="623">
        <v>99801</v>
      </c>
      <c r="B881" s="624" t="s">
        <v>2019</v>
      </c>
      <c r="C881" s="625">
        <v>5.0806999999999996E-3</v>
      </c>
      <c r="D881" s="625">
        <v>5.1273999999999998E-3</v>
      </c>
      <c r="E881" s="626">
        <v>2054744</v>
      </c>
      <c r="F881" s="626">
        <v>-2829904</v>
      </c>
      <c r="G881" s="626">
        <v>2280188</v>
      </c>
      <c r="H881" s="626"/>
      <c r="I881" s="627">
        <v>0</v>
      </c>
      <c r="J881" s="627">
        <v>4582365</v>
      </c>
      <c r="K881" s="627">
        <v>0</v>
      </c>
      <c r="L881" s="626">
        <v>51469.86</v>
      </c>
      <c r="M881" s="626"/>
      <c r="N881" s="627">
        <v>535978</v>
      </c>
      <c r="O881" s="627">
        <v>5231531</v>
      </c>
      <c r="P881" s="627">
        <v>0</v>
      </c>
      <c r="Q881" s="626">
        <v>48316</v>
      </c>
      <c r="R881" s="626"/>
      <c r="S881" s="627">
        <v>1041046</v>
      </c>
      <c r="T881" s="628">
        <v>4566</v>
      </c>
      <c r="U881" s="628">
        <v>1045611</v>
      </c>
    </row>
    <row r="882" spans="1:21" x14ac:dyDescent="0.25">
      <c r="A882" s="623">
        <v>99802</v>
      </c>
      <c r="B882" s="624" t="s">
        <v>2020</v>
      </c>
      <c r="C882" s="625">
        <v>7.7000000000000008E-6</v>
      </c>
      <c r="D882" s="625">
        <v>8.3000000000000002E-6</v>
      </c>
      <c r="E882" s="626">
        <v>3918</v>
      </c>
      <c r="F882" s="626">
        <v>-4581</v>
      </c>
      <c r="G882" s="626">
        <v>3456</v>
      </c>
      <c r="H882" s="626"/>
      <c r="I882" s="627">
        <v>0</v>
      </c>
      <c r="J882" s="627">
        <v>6945</v>
      </c>
      <c r="K882" s="627">
        <v>0</v>
      </c>
      <c r="L882" s="626">
        <v>192</v>
      </c>
      <c r="M882" s="626"/>
      <c r="N882" s="627">
        <v>812</v>
      </c>
      <c r="O882" s="627">
        <v>7929</v>
      </c>
      <c r="P882" s="627">
        <v>0</v>
      </c>
      <c r="Q882" s="626">
        <v>161.46</v>
      </c>
      <c r="R882" s="626"/>
      <c r="S882" s="627">
        <v>1578</v>
      </c>
      <c r="T882" s="628">
        <v>-4</v>
      </c>
      <c r="U882" s="628">
        <v>1574</v>
      </c>
    </row>
    <row r="883" spans="1:21" x14ac:dyDescent="0.25">
      <c r="A883" s="623">
        <v>99804</v>
      </c>
      <c r="B883" s="624" t="s">
        <v>2021</v>
      </c>
      <c r="C883" s="625">
        <v>8.7999999999999998E-5</v>
      </c>
      <c r="D883" s="625">
        <v>8.2399999999999997E-5</v>
      </c>
      <c r="E883" s="626">
        <v>41302</v>
      </c>
      <c r="F883" s="626">
        <v>-45478</v>
      </c>
      <c r="G883" s="626">
        <v>39494</v>
      </c>
      <c r="H883" s="626"/>
      <c r="I883" s="627">
        <v>0</v>
      </c>
      <c r="J883" s="627">
        <v>79369</v>
      </c>
      <c r="K883" s="627">
        <v>0</v>
      </c>
      <c r="L883" s="626">
        <v>8311</v>
      </c>
      <c r="M883" s="626"/>
      <c r="N883" s="627">
        <v>9283</v>
      </c>
      <c r="O883" s="627">
        <v>90612</v>
      </c>
      <c r="P883" s="627">
        <v>0</v>
      </c>
      <c r="Q883" s="626">
        <v>0</v>
      </c>
      <c r="R883" s="626"/>
      <c r="S883" s="627">
        <v>18031</v>
      </c>
      <c r="T883" s="628">
        <v>2185</v>
      </c>
      <c r="U883" s="628">
        <v>20216</v>
      </c>
    </row>
    <row r="884" spans="1:21" x14ac:dyDescent="0.25">
      <c r="A884" s="623">
        <v>99811</v>
      </c>
      <c r="B884" s="624" t="s">
        <v>2022</v>
      </c>
      <c r="C884" s="625">
        <v>6.9579999999999998E-3</v>
      </c>
      <c r="D884" s="625">
        <v>7.0546999999999997E-3</v>
      </c>
      <c r="E884" s="626">
        <v>2632634</v>
      </c>
      <c r="F884" s="626">
        <v>-3893616</v>
      </c>
      <c r="G884" s="626">
        <v>3122709</v>
      </c>
      <c r="H884" s="626"/>
      <c r="I884" s="627">
        <v>0</v>
      </c>
      <c r="J884" s="627">
        <v>6275532</v>
      </c>
      <c r="K884" s="627">
        <v>0</v>
      </c>
      <c r="L884" s="626">
        <v>0</v>
      </c>
      <c r="M884" s="626"/>
      <c r="N884" s="627">
        <v>734020</v>
      </c>
      <c r="O884" s="627">
        <v>7164562</v>
      </c>
      <c r="P884" s="627">
        <v>0</v>
      </c>
      <c r="Q884" s="626">
        <v>370492</v>
      </c>
      <c r="R884" s="626"/>
      <c r="S884" s="627">
        <v>1425708</v>
      </c>
      <c r="T884" s="628">
        <v>-106989</v>
      </c>
      <c r="U884" s="628">
        <v>1318719</v>
      </c>
    </row>
    <row r="885" spans="1:21" x14ac:dyDescent="0.25">
      <c r="A885" s="623">
        <v>99812</v>
      </c>
      <c r="B885" s="624" t="s">
        <v>2023</v>
      </c>
      <c r="C885" s="625">
        <v>2.7399999999999999E-5</v>
      </c>
      <c r="D885" s="625">
        <v>2.9799999999999999E-5</v>
      </c>
      <c r="E885" s="626">
        <v>18217</v>
      </c>
      <c r="F885" s="626">
        <v>-16447</v>
      </c>
      <c r="G885" s="626">
        <v>12297</v>
      </c>
      <c r="H885" s="626"/>
      <c r="I885" s="627">
        <v>0</v>
      </c>
      <c r="J885" s="627">
        <v>24712</v>
      </c>
      <c r="K885" s="627">
        <v>0</v>
      </c>
      <c r="L885" s="626">
        <v>5490</v>
      </c>
      <c r="M885" s="626"/>
      <c r="N885" s="627">
        <v>2891</v>
      </c>
      <c r="O885" s="627">
        <v>28213</v>
      </c>
      <c r="P885" s="627">
        <v>0</v>
      </c>
      <c r="Q885" s="626">
        <v>0</v>
      </c>
      <c r="R885" s="626"/>
      <c r="S885" s="627">
        <v>5614</v>
      </c>
      <c r="T885" s="628">
        <v>1554</v>
      </c>
      <c r="U885" s="628">
        <v>7168</v>
      </c>
    </row>
    <row r="886" spans="1:21" x14ac:dyDescent="0.25">
      <c r="A886" s="623">
        <v>99818</v>
      </c>
      <c r="B886" s="624" t="s">
        <v>2024</v>
      </c>
      <c r="C886" s="625">
        <v>4.4199999999999997E-5</v>
      </c>
      <c r="D886" s="625">
        <v>4.1199999999999999E-5</v>
      </c>
      <c r="E886" s="626">
        <v>18644</v>
      </c>
      <c r="F886" s="626">
        <v>-22739</v>
      </c>
      <c r="G886" s="626">
        <v>19837</v>
      </c>
      <c r="H886" s="626"/>
      <c r="I886" s="627">
        <v>0</v>
      </c>
      <c r="J886" s="627">
        <v>39865</v>
      </c>
      <c r="K886" s="627">
        <v>0</v>
      </c>
      <c r="L886" s="626">
        <v>8093</v>
      </c>
      <c r="M886" s="626"/>
      <c r="N886" s="627">
        <v>4663</v>
      </c>
      <c r="O886" s="627">
        <v>45512</v>
      </c>
      <c r="P886" s="627">
        <v>0</v>
      </c>
      <c r="Q886" s="626">
        <v>0</v>
      </c>
      <c r="R886" s="626"/>
      <c r="S886" s="627">
        <v>9057</v>
      </c>
      <c r="T886" s="628">
        <v>2519</v>
      </c>
      <c r="U886" s="628">
        <v>11576</v>
      </c>
    </row>
    <row r="887" spans="1:21" x14ac:dyDescent="0.25">
      <c r="A887" s="623">
        <v>99821</v>
      </c>
      <c r="B887" s="624" t="s">
        <v>2025</v>
      </c>
      <c r="C887" s="625">
        <v>8.42E-5</v>
      </c>
      <c r="D887" s="625">
        <v>9.5600000000000006E-5</v>
      </c>
      <c r="E887" s="626">
        <v>43001</v>
      </c>
      <c r="F887" s="626">
        <v>-52763</v>
      </c>
      <c r="G887" s="626">
        <v>37788</v>
      </c>
      <c r="H887" s="626"/>
      <c r="I887" s="627">
        <v>0</v>
      </c>
      <c r="J887" s="627">
        <v>75941</v>
      </c>
      <c r="K887" s="627">
        <v>0</v>
      </c>
      <c r="L887" s="626">
        <v>17655.95</v>
      </c>
      <c r="M887" s="626"/>
      <c r="N887" s="627">
        <v>8883</v>
      </c>
      <c r="O887" s="627">
        <v>86700</v>
      </c>
      <c r="P887" s="627">
        <v>0</v>
      </c>
      <c r="Q887" s="626">
        <v>1166</v>
      </c>
      <c r="R887" s="626"/>
      <c r="S887" s="627">
        <v>17253</v>
      </c>
      <c r="T887" s="628">
        <v>5600</v>
      </c>
      <c r="U887" s="628">
        <v>22853</v>
      </c>
    </row>
    <row r="888" spans="1:21" x14ac:dyDescent="0.25">
      <c r="A888" s="623">
        <v>99831</v>
      </c>
      <c r="B888" s="624" t="s">
        <v>2026</v>
      </c>
      <c r="C888" s="625">
        <v>5.0699999999999999E-5</v>
      </c>
      <c r="D888" s="625">
        <v>5.66E-5</v>
      </c>
      <c r="E888" s="626">
        <v>24432</v>
      </c>
      <c r="F888" s="626">
        <v>-31239</v>
      </c>
      <c r="G888" s="626">
        <v>22754</v>
      </c>
      <c r="H888" s="626"/>
      <c r="I888" s="627">
        <v>0</v>
      </c>
      <c r="J888" s="627">
        <v>45727</v>
      </c>
      <c r="K888" s="627">
        <v>0</v>
      </c>
      <c r="L888" s="626">
        <v>864.11</v>
      </c>
      <c r="M888" s="626"/>
      <c r="N888" s="627">
        <v>5348</v>
      </c>
      <c r="O888" s="627">
        <v>52205</v>
      </c>
      <c r="P888" s="627">
        <v>0</v>
      </c>
      <c r="Q888" s="626">
        <v>1183</v>
      </c>
      <c r="R888" s="626"/>
      <c r="S888" s="627">
        <v>10389</v>
      </c>
      <c r="T888" s="628">
        <v>-21</v>
      </c>
      <c r="U888" s="628">
        <v>10368</v>
      </c>
    </row>
    <row r="889" spans="1:21" x14ac:dyDescent="0.25">
      <c r="A889" s="623">
        <v>99841</v>
      </c>
      <c r="B889" s="624" t="s">
        <v>2027</v>
      </c>
      <c r="C889" s="625">
        <v>4.6699999999999997E-5</v>
      </c>
      <c r="D889" s="625">
        <v>4.4100000000000001E-5</v>
      </c>
      <c r="E889" s="626">
        <v>20132</v>
      </c>
      <c r="F889" s="626">
        <v>-24340</v>
      </c>
      <c r="G889" s="626">
        <v>20959</v>
      </c>
      <c r="H889" s="626"/>
      <c r="I889" s="627">
        <v>0</v>
      </c>
      <c r="J889" s="627">
        <v>42119</v>
      </c>
      <c r="K889" s="627">
        <v>0</v>
      </c>
      <c r="L889" s="626">
        <v>2669</v>
      </c>
      <c r="M889" s="626"/>
      <c r="N889" s="627">
        <v>4927</v>
      </c>
      <c r="O889" s="627">
        <v>48086</v>
      </c>
      <c r="P889" s="627">
        <v>0</v>
      </c>
      <c r="Q889" s="626">
        <v>3262.09</v>
      </c>
      <c r="R889" s="626"/>
      <c r="S889" s="627">
        <v>9569</v>
      </c>
      <c r="T889" s="628">
        <v>-392</v>
      </c>
      <c r="U889" s="628">
        <v>9177</v>
      </c>
    </row>
    <row r="890" spans="1:21" x14ac:dyDescent="0.25">
      <c r="A890" s="623">
        <v>99851</v>
      </c>
      <c r="B890" s="624" t="s">
        <v>2028</v>
      </c>
      <c r="C890" s="625">
        <v>2.0299999999999999E-5</v>
      </c>
      <c r="D890" s="625">
        <v>1.7099999999999999E-5</v>
      </c>
      <c r="E890" s="626">
        <v>5832</v>
      </c>
      <c r="F890" s="626">
        <v>-9438</v>
      </c>
      <c r="G890" s="626">
        <v>9111</v>
      </c>
      <c r="H890" s="626"/>
      <c r="I890" s="627">
        <v>0</v>
      </c>
      <c r="J890" s="627">
        <v>18309</v>
      </c>
      <c r="K890" s="627">
        <v>0</v>
      </c>
      <c r="L890" s="626">
        <v>299</v>
      </c>
      <c r="M890" s="626"/>
      <c r="N890" s="627">
        <v>2142</v>
      </c>
      <c r="O890" s="627">
        <v>20903</v>
      </c>
      <c r="P890" s="627">
        <v>0</v>
      </c>
      <c r="Q890" s="626">
        <v>104.65</v>
      </c>
      <c r="R890" s="626"/>
      <c r="S890" s="627">
        <v>4160</v>
      </c>
      <c r="T890" s="628">
        <v>43</v>
      </c>
      <c r="U890" s="628">
        <v>4203</v>
      </c>
    </row>
    <row r="891" spans="1:21" x14ac:dyDescent="0.25">
      <c r="A891" s="623">
        <v>99901</v>
      </c>
      <c r="B891" s="624" t="s">
        <v>2029</v>
      </c>
      <c r="C891" s="625">
        <v>1.5259E-3</v>
      </c>
      <c r="D891" s="625">
        <v>1.4857E-3</v>
      </c>
      <c r="E891" s="626">
        <v>651006</v>
      </c>
      <c r="F891" s="626">
        <v>-819985</v>
      </c>
      <c r="G891" s="626">
        <v>684815</v>
      </c>
      <c r="H891" s="626"/>
      <c r="I891" s="627">
        <v>0</v>
      </c>
      <c r="J891" s="627">
        <v>1376234</v>
      </c>
      <c r="K891" s="627">
        <v>0</v>
      </c>
      <c r="L891" s="626">
        <v>50407</v>
      </c>
      <c r="M891" s="626"/>
      <c r="N891" s="627">
        <v>160972</v>
      </c>
      <c r="O891" s="627">
        <v>1571199</v>
      </c>
      <c r="P891" s="627">
        <v>0</v>
      </c>
      <c r="Q891" s="626">
        <v>36304.58</v>
      </c>
      <c r="R891" s="626"/>
      <c r="S891" s="627">
        <v>312660</v>
      </c>
      <c r="T891" s="628">
        <v>1054</v>
      </c>
      <c r="U891" s="628">
        <v>313714</v>
      </c>
    </row>
    <row r="892" spans="1:21" x14ac:dyDescent="0.25">
      <c r="A892" s="623">
        <v>99911</v>
      </c>
      <c r="B892" s="624" t="s">
        <v>2030</v>
      </c>
      <c r="C892" s="625">
        <v>2.766E-4</v>
      </c>
      <c r="D892" s="625">
        <v>2.7329999999999998E-4</v>
      </c>
      <c r="E892" s="626">
        <v>114903</v>
      </c>
      <c r="F892" s="626">
        <v>-150839</v>
      </c>
      <c r="G892" s="626">
        <v>124136</v>
      </c>
      <c r="H892" s="626"/>
      <c r="I892" s="627">
        <v>0</v>
      </c>
      <c r="J892" s="627">
        <v>249470</v>
      </c>
      <c r="K892" s="627">
        <v>0</v>
      </c>
      <c r="L892" s="626">
        <v>3879</v>
      </c>
      <c r="M892" s="626"/>
      <c r="N892" s="627">
        <v>29179</v>
      </c>
      <c r="O892" s="627">
        <v>284811</v>
      </c>
      <c r="P892" s="627">
        <v>0</v>
      </c>
      <c r="Q892" s="626">
        <v>15730</v>
      </c>
      <c r="R892" s="626"/>
      <c r="S892" s="627">
        <v>56676</v>
      </c>
      <c r="T892" s="628">
        <v>-4246</v>
      </c>
      <c r="U892" s="628">
        <v>52430</v>
      </c>
    </row>
    <row r="893" spans="1:21" x14ac:dyDescent="0.25">
      <c r="A893" s="623">
        <v>99921</v>
      </c>
      <c r="B893" s="624" t="s">
        <v>2031</v>
      </c>
      <c r="C893" s="625">
        <v>1.3889999999999999E-4</v>
      </c>
      <c r="D893" s="625">
        <v>1.3320000000000001E-4</v>
      </c>
      <c r="E893" s="626">
        <v>57114</v>
      </c>
      <c r="F893" s="626">
        <v>-73515</v>
      </c>
      <c r="G893" s="626">
        <v>62337</v>
      </c>
      <c r="H893" s="626"/>
      <c r="I893" s="627">
        <v>0</v>
      </c>
      <c r="J893" s="627">
        <v>125276</v>
      </c>
      <c r="K893" s="627">
        <v>0</v>
      </c>
      <c r="L893" s="626">
        <v>4320</v>
      </c>
      <c r="M893" s="626"/>
      <c r="N893" s="627">
        <v>14653</v>
      </c>
      <c r="O893" s="627">
        <v>143024</v>
      </c>
      <c r="P893" s="627">
        <v>0</v>
      </c>
      <c r="Q893" s="626">
        <v>11048</v>
      </c>
      <c r="R893" s="626"/>
      <c r="S893" s="627">
        <v>28461</v>
      </c>
      <c r="T893" s="628">
        <v>-2564</v>
      </c>
      <c r="U893" s="628">
        <v>25897</v>
      </c>
    </row>
    <row r="894" spans="1:21" x14ac:dyDescent="0.25">
      <c r="A894" s="623">
        <v>99931</v>
      </c>
      <c r="B894" s="624" t="s">
        <v>2032</v>
      </c>
      <c r="C894" s="625">
        <v>2.5700000000000001E-5</v>
      </c>
      <c r="D894" s="625">
        <v>3.01E-5</v>
      </c>
      <c r="E894" s="626">
        <v>8959</v>
      </c>
      <c r="F894" s="626">
        <v>-16613</v>
      </c>
      <c r="G894" s="626">
        <v>11534</v>
      </c>
      <c r="H894" s="626"/>
      <c r="I894" s="627">
        <v>0</v>
      </c>
      <c r="J894" s="627">
        <v>23179</v>
      </c>
      <c r="K894" s="627">
        <v>0</v>
      </c>
      <c r="L894" s="626">
        <v>0</v>
      </c>
      <c r="M894" s="626"/>
      <c r="N894" s="627">
        <v>2711</v>
      </c>
      <c r="O894" s="627">
        <v>26463</v>
      </c>
      <c r="P894" s="627">
        <v>0</v>
      </c>
      <c r="Q894" s="626">
        <v>6082</v>
      </c>
      <c r="R894" s="626"/>
      <c r="S894" s="627">
        <v>5266</v>
      </c>
      <c r="T894" s="628">
        <v>-1721</v>
      </c>
      <c r="U894" s="628">
        <v>3545</v>
      </c>
    </row>
    <row r="895" spans="1:21" x14ac:dyDescent="0.25">
      <c r="A895" s="623">
        <v>99941</v>
      </c>
      <c r="B895" s="624" t="s">
        <v>2033</v>
      </c>
      <c r="C895" s="625">
        <v>8.7899999999999995E-5</v>
      </c>
      <c r="D895" s="625">
        <v>8.4599999999999996E-5</v>
      </c>
      <c r="E895" s="626">
        <v>30573</v>
      </c>
      <c r="F895" s="626">
        <v>-46692</v>
      </c>
      <c r="G895" s="626">
        <v>39449</v>
      </c>
      <c r="H895" s="626"/>
      <c r="I895" s="627">
        <v>0</v>
      </c>
      <c r="J895" s="627">
        <v>79278</v>
      </c>
      <c r="K895" s="627">
        <v>0</v>
      </c>
      <c r="L895" s="626">
        <v>0</v>
      </c>
      <c r="M895" s="626"/>
      <c r="N895" s="627">
        <v>9273</v>
      </c>
      <c r="O895" s="627">
        <v>90509</v>
      </c>
      <c r="P895" s="627">
        <v>0</v>
      </c>
      <c r="Q895" s="626">
        <v>4752</v>
      </c>
      <c r="R895" s="626"/>
      <c r="S895" s="627">
        <v>18011</v>
      </c>
      <c r="T895" s="628">
        <v>-1451</v>
      </c>
      <c r="U895" s="628">
        <v>16559</v>
      </c>
    </row>
    <row r="896" spans="1:21" x14ac:dyDescent="0.25">
      <c r="A896" s="623">
        <v>99991</v>
      </c>
      <c r="B896" s="624" t="s">
        <v>2034</v>
      </c>
      <c r="C896" s="625">
        <v>5.1539999999999995E-4</v>
      </c>
      <c r="D896" s="625">
        <v>5.285E-4</v>
      </c>
      <c r="E896" s="626">
        <v>238939</v>
      </c>
      <c r="F896" s="626">
        <v>-291689</v>
      </c>
      <c r="G896" s="626">
        <v>231308</v>
      </c>
      <c r="H896" s="626"/>
      <c r="I896" s="627">
        <v>0</v>
      </c>
      <c r="J896" s="627">
        <v>464848</v>
      </c>
      <c r="K896" s="627">
        <v>0</v>
      </c>
      <c r="L896" s="626">
        <v>50153</v>
      </c>
      <c r="M896" s="626"/>
      <c r="N896" s="627">
        <v>54371</v>
      </c>
      <c r="O896" s="627">
        <v>530701</v>
      </c>
      <c r="P896" s="627">
        <v>0</v>
      </c>
      <c r="Q896" s="626">
        <v>0</v>
      </c>
      <c r="R896" s="626"/>
      <c r="S896" s="627">
        <v>105606</v>
      </c>
      <c r="T896" s="628">
        <v>15800</v>
      </c>
      <c r="U896" s="628">
        <v>121406</v>
      </c>
    </row>
    <row r="897" spans="1:21" x14ac:dyDescent="0.25">
      <c r="A897" s="623">
        <v>99999</v>
      </c>
      <c r="B897" s="624" t="s">
        <v>2035</v>
      </c>
      <c r="C897" s="625">
        <v>9.3599999999999998E-4</v>
      </c>
      <c r="D897" s="625">
        <v>9.0430000000000003E-4</v>
      </c>
      <c r="E897" s="626">
        <v>440655</v>
      </c>
      <c r="F897" s="626">
        <v>-499099</v>
      </c>
      <c r="G897" s="626">
        <v>420071</v>
      </c>
      <c r="H897" s="626"/>
      <c r="I897" s="627">
        <v>0</v>
      </c>
      <c r="J897" s="627">
        <v>844193</v>
      </c>
      <c r="K897" s="627">
        <v>0</v>
      </c>
      <c r="L897" s="626">
        <v>68610</v>
      </c>
      <c r="M897" s="626"/>
      <c r="N897" s="627">
        <v>98741</v>
      </c>
      <c r="O897" s="627">
        <v>963787</v>
      </c>
      <c r="P897" s="627">
        <v>0</v>
      </c>
      <c r="Q897" s="626">
        <v>65510.9</v>
      </c>
      <c r="R897" s="626"/>
      <c r="S897" s="627">
        <v>191788</v>
      </c>
      <c r="T897" s="628">
        <v>-3949</v>
      </c>
      <c r="U897" s="628">
        <v>187839</v>
      </c>
    </row>
    <row r="898" spans="1:21" x14ac:dyDescent="0.25">
      <c r="A898" s="672">
        <v>91013</v>
      </c>
      <c r="B898" s="624"/>
      <c r="C898" s="625"/>
      <c r="D898" s="625"/>
      <c r="E898" s="626"/>
      <c r="F898" s="626"/>
      <c r="G898" s="626"/>
      <c r="H898" s="626"/>
      <c r="I898" s="627"/>
      <c r="J898" s="627"/>
      <c r="K898" s="627"/>
      <c r="L898" s="626"/>
      <c r="M898" s="626"/>
      <c r="N898" s="627"/>
      <c r="O898" s="627"/>
      <c r="P898" s="627"/>
      <c r="Q898" s="626"/>
      <c r="R898" s="626"/>
      <c r="S898" s="627"/>
      <c r="T898" s="628"/>
      <c r="U898" s="628"/>
    </row>
    <row r="899" spans="1:21" x14ac:dyDescent="0.25">
      <c r="A899" s="672">
        <v>92513</v>
      </c>
      <c r="B899" s="624"/>
      <c r="C899" s="625"/>
      <c r="D899" s="625"/>
      <c r="E899" s="626"/>
      <c r="F899" s="626"/>
      <c r="G899" s="626"/>
      <c r="H899" s="626"/>
      <c r="I899" s="627"/>
      <c r="J899" s="627"/>
      <c r="K899" s="627"/>
      <c r="L899" s="626"/>
      <c r="M899" s="626"/>
      <c r="N899" s="627"/>
      <c r="O899" s="627"/>
      <c r="P899" s="627"/>
      <c r="Q899" s="626"/>
      <c r="R899" s="626"/>
      <c r="S899" s="627"/>
      <c r="T899" s="628"/>
      <c r="U899" s="628"/>
    </row>
    <row r="900" spans="1:21" x14ac:dyDescent="0.25">
      <c r="A900" s="672">
        <v>96318</v>
      </c>
      <c r="B900" s="624"/>
      <c r="C900" s="625"/>
      <c r="D900" s="625"/>
      <c r="E900" s="626"/>
      <c r="F900" s="626"/>
      <c r="G900" s="626"/>
      <c r="H900" s="626"/>
      <c r="I900" s="627"/>
      <c r="J900" s="627"/>
      <c r="K900" s="627"/>
      <c r="L900" s="626"/>
      <c r="M900" s="626"/>
      <c r="N900" s="627"/>
      <c r="O900" s="627"/>
      <c r="P900" s="627"/>
      <c r="Q900" s="626"/>
      <c r="R900" s="626"/>
      <c r="S900" s="627"/>
      <c r="T900" s="628"/>
      <c r="U900" s="628"/>
    </row>
    <row r="901" spans="1:21" x14ac:dyDescent="0.25">
      <c r="A901" s="672">
        <v>98604</v>
      </c>
      <c r="B901" s="624"/>
      <c r="C901" s="625"/>
      <c r="D901" s="625"/>
      <c r="E901" s="626"/>
      <c r="F901" s="626"/>
      <c r="G901" s="626"/>
      <c r="H901" s="626"/>
      <c r="I901" s="627"/>
      <c r="J901" s="627"/>
      <c r="K901" s="627"/>
      <c r="L901" s="626"/>
      <c r="M901" s="626"/>
      <c r="N901" s="627"/>
      <c r="O901" s="627"/>
      <c r="P901" s="627"/>
      <c r="Q901" s="626"/>
      <c r="R901" s="626"/>
      <c r="S901" s="627"/>
      <c r="T901" s="628"/>
      <c r="U901" s="628"/>
    </row>
    <row r="902" spans="1:21" x14ac:dyDescent="0.25">
      <c r="A902" s="672">
        <v>99014</v>
      </c>
      <c r="B902" s="624"/>
      <c r="C902" s="625"/>
      <c r="D902" s="625"/>
      <c r="E902" s="626"/>
      <c r="F902" s="626"/>
      <c r="G902" s="626"/>
      <c r="H902" s="626"/>
      <c r="I902" s="627"/>
      <c r="J902" s="627"/>
      <c r="K902" s="627"/>
      <c r="L902" s="626"/>
      <c r="M902" s="626"/>
      <c r="N902" s="627"/>
      <c r="O902" s="627"/>
      <c r="P902" s="627"/>
      <c r="Q902" s="626"/>
      <c r="R902" s="626"/>
      <c r="S902" s="627"/>
      <c r="T902" s="628"/>
      <c r="U902" s="628"/>
    </row>
    <row r="903" spans="1:21" x14ac:dyDescent="0.25">
      <c r="A903" s="623" t="s">
        <v>2526</v>
      </c>
      <c r="B903" s="624" t="s">
        <v>2525</v>
      </c>
      <c r="C903" s="625">
        <v>2.9179999999999999E-4</v>
      </c>
      <c r="D903" s="625">
        <v>2.898E-4</v>
      </c>
      <c r="E903" s="626">
        <v>121450</v>
      </c>
      <c r="F903" s="626">
        <v>-159946</v>
      </c>
      <c r="G903" s="626">
        <v>130958</v>
      </c>
      <c r="H903" s="626"/>
      <c r="I903" s="627">
        <v>0</v>
      </c>
      <c r="J903" s="627">
        <v>263179</v>
      </c>
      <c r="K903" s="627">
        <v>0</v>
      </c>
      <c r="L903" s="626">
        <v>3237</v>
      </c>
      <c r="M903" s="626"/>
      <c r="N903" s="627">
        <v>30783</v>
      </c>
      <c r="O903" s="627">
        <v>300463</v>
      </c>
      <c r="P903" s="627">
        <v>0</v>
      </c>
      <c r="Q903" s="626">
        <v>2879</v>
      </c>
      <c r="R903" s="626"/>
      <c r="S903" s="627">
        <v>59790</v>
      </c>
      <c r="T903" s="628">
        <v>-116</v>
      </c>
      <c r="U903" s="628">
        <v>59675</v>
      </c>
    </row>
    <row r="904" spans="1:21" s="618" customFormat="1" x14ac:dyDescent="0.25">
      <c r="A904" s="629"/>
      <c r="B904" s="630" t="s">
        <v>2036</v>
      </c>
      <c r="C904" s="630"/>
      <c r="D904" s="631"/>
      <c r="E904" s="632">
        <f>SUM(E4:E897)</f>
        <v>408282084</v>
      </c>
      <c r="F904" s="632">
        <f>SUM(F4:F897)</f>
        <v>-551918051</v>
      </c>
      <c r="G904" s="633">
        <f>SUM(G4:G897)</f>
        <v>448793979</v>
      </c>
      <c r="H904" s="633"/>
      <c r="I904" s="633">
        <f>SUM(I4:I897)</f>
        <v>0</v>
      </c>
      <c r="J904" s="633">
        <f>SUM(J4:J897)</f>
        <v>901915995</v>
      </c>
      <c r="K904" s="633">
        <f>SUM(K4:K897)</f>
        <v>0</v>
      </c>
      <c r="L904" s="633">
        <f>SUM(L4:L897)</f>
        <v>35048819</v>
      </c>
      <c r="M904" s="633"/>
      <c r="N904" s="633">
        <f>SUM(N4:N897)</f>
        <v>105492995</v>
      </c>
      <c r="O904" s="633">
        <f>SUM(O4:O897)</f>
        <v>1029687002</v>
      </c>
      <c r="P904" s="633">
        <f>SUM(P4:P897)</f>
        <v>0</v>
      </c>
      <c r="Q904" s="633">
        <f>SUM(Q4:Q897)</f>
        <v>35048730</v>
      </c>
      <c r="R904" s="633"/>
      <c r="S904" s="633">
        <f>SUM(S4:S897)</f>
        <v>204901983</v>
      </c>
      <c r="T904" s="633">
        <f>SUM(T4:T897)</f>
        <v>30</v>
      </c>
      <c r="U904" s="633">
        <f>SUM(U4:U897)</f>
        <v>204902031</v>
      </c>
    </row>
    <row r="909" spans="1:21" x14ac:dyDescent="0.25">
      <c r="B909" s="619" t="s">
        <v>2094</v>
      </c>
      <c r="C909" s="619" t="s">
        <v>480</v>
      </c>
    </row>
    <row r="910" spans="1:21" x14ac:dyDescent="0.25">
      <c r="B910" s="624" t="s">
        <v>2097</v>
      </c>
      <c r="C910" s="623">
        <v>96331</v>
      </c>
      <c r="D910" s="624"/>
    </row>
    <row r="911" spans="1:21" x14ac:dyDescent="0.25">
      <c r="B911" s="624" t="s">
        <v>2098</v>
      </c>
      <c r="C911" s="623">
        <v>94611</v>
      </c>
      <c r="D911" s="624"/>
    </row>
    <row r="912" spans="1:21" x14ac:dyDescent="0.25">
      <c r="B912" s="624" t="s">
        <v>1461</v>
      </c>
      <c r="C912" s="623">
        <v>93402</v>
      </c>
      <c r="D912" s="624"/>
    </row>
    <row r="913" spans="2:4" x14ac:dyDescent="0.25">
      <c r="B913" s="624" t="s">
        <v>2099</v>
      </c>
      <c r="C913" s="623">
        <v>90151</v>
      </c>
      <c r="D913" s="624"/>
    </row>
    <row r="914" spans="2:4" x14ac:dyDescent="0.25">
      <c r="B914" s="624" t="s">
        <v>1526</v>
      </c>
      <c r="C914" s="623">
        <v>94109</v>
      </c>
      <c r="D914" s="624"/>
    </row>
    <row r="915" spans="2:4" x14ac:dyDescent="0.25">
      <c r="B915" s="624" t="s">
        <v>1155</v>
      </c>
      <c r="C915" s="623">
        <v>90101</v>
      </c>
      <c r="D915" s="624"/>
    </row>
    <row r="916" spans="2:4" x14ac:dyDescent="0.25">
      <c r="B916" s="624" t="s">
        <v>2100</v>
      </c>
      <c r="C916" s="623">
        <v>98411</v>
      </c>
      <c r="D916" s="624"/>
    </row>
    <row r="917" spans="2:4" x14ac:dyDescent="0.25">
      <c r="B917" s="624" t="s">
        <v>1910</v>
      </c>
      <c r="C917" s="623">
        <v>98417</v>
      </c>
      <c r="D917" s="624"/>
    </row>
    <row r="918" spans="2:4" x14ac:dyDescent="0.25">
      <c r="B918" s="624" t="s">
        <v>1770</v>
      </c>
      <c r="C918" s="623">
        <v>97008</v>
      </c>
      <c r="D918" s="624"/>
    </row>
    <row r="919" spans="2:4" x14ac:dyDescent="0.25">
      <c r="B919" s="624" t="s">
        <v>1771</v>
      </c>
      <c r="C919" s="623">
        <v>97010</v>
      </c>
      <c r="D919" s="624"/>
    </row>
    <row r="920" spans="2:4" x14ac:dyDescent="0.25">
      <c r="B920" s="624" t="s">
        <v>1204</v>
      </c>
      <c r="C920" s="623">
        <v>90805</v>
      </c>
      <c r="D920" s="624"/>
    </row>
    <row r="921" spans="2:4" x14ac:dyDescent="0.25">
      <c r="B921" s="624" t="s">
        <v>1348</v>
      </c>
      <c r="C921" s="623">
        <v>92109</v>
      </c>
      <c r="D921" s="624"/>
    </row>
    <row r="922" spans="2:4" x14ac:dyDescent="0.25">
      <c r="B922" s="624" t="s">
        <v>1164</v>
      </c>
      <c r="C922" s="623">
        <v>90201</v>
      </c>
      <c r="D922" s="624"/>
    </row>
    <row r="923" spans="2:4" x14ac:dyDescent="0.25">
      <c r="B923" s="624" t="s">
        <v>1165</v>
      </c>
      <c r="C923" s="623">
        <v>90203</v>
      </c>
      <c r="D923" s="624"/>
    </row>
    <row r="924" spans="2:4" x14ac:dyDescent="0.25">
      <c r="B924" s="624" t="s">
        <v>1166</v>
      </c>
      <c r="C924" s="623">
        <v>90205</v>
      </c>
      <c r="D924" s="624"/>
    </row>
    <row r="925" spans="2:4" x14ac:dyDescent="0.25">
      <c r="B925" s="624" t="s">
        <v>1167</v>
      </c>
      <c r="C925" s="623">
        <v>90206</v>
      </c>
      <c r="D925" s="624"/>
    </row>
    <row r="926" spans="2:4" x14ac:dyDescent="0.25">
      <c r="B926" s="624" t="s">
        <v>1169</v>
      </c>
      <c r="C926" s="623">
        <v>90301</v>
      </c>
      <c r="D926" s="624"/>
    </row>
    <row r="927" spans="2:4" x14ac:dyDescent="0.25">
      <c r="B927" s="624" t="s">
        <v>1444</v>
      </c>
      <c r="C927" s="623">
        <v>93209</v>
      </c>
      <c r="D927" s="624"/>
    </row>
    <row r="928" spans="2:4" x14ac:dyDescent="0.25">
      <c r="B928" s="624" t="s">
        <v>2101</v>
      </c>
      <c r="C928" s="623">
        <v>92021</v>
      </c>
      <c r="D928" s="624"/>
    </row>
    <row r="929" spans="2:4" x14ac:dyDescent="0.25">
      <c r="B929" s="624" t="s">
        <v>2102</v>
      </c>
      <c r="C929" s="623">
        <v>94351</v>
      </c>
      <c r="D929" s="624"/>
    </row>
    <row r="930" spans="2:4" x14ac:dyDescent="0.25">
      <c r="B930" s="624" t="s">
        <v>1557</v>
      </c>
      <c r="C930" s="623">
        <v>94347</v>
      </c>
      <c r="D930" s="624"/>
    </row>
    <row r="931" spans="2:4" x14ac:dyDescent="0.25">
      <c r="B931" s="624" t="s">
        <v>1172</v>
      </c>
      <c r="C931" s="623">
        <v>90401</v>
      </c>
      <c r="D931" s="624"/>
    </row>
    <row r="932" spans="2:4" x14ac:dyDescent="0.25">
      <c r="B932" s="624" t="s">
        <v>2103</v>
      </c>
      <c r="C932" s="623">
        <v>90451</v>
      </c>
      <c r="D932" s="624"/>
    </row>
    <row r="933" spans="2:4" x14ac:dyDescent="0.25">
      <c r="B933" s="624" t="s">
        <v>2104</v>
      </c>
      <c r="C933" s="623">
        <v>99271</v>
      </c>
      <c r="D933" s="624"/>
    </row>
    <row r="934" spans="2:4" x14ac:dyDescent="0.25">
      <c r="B934" s="624" t="s">
        <v>1154</v>
      </c>
      <c r="C934" s="623">
        <v>90099</v>
      </c>
      <c r="D934" s="624"/>
    </row>
    <row r="935" spans="2:4" x14ac:dyDescent="0.25">
      <c r="B935" s="624" t="s">
        <v>2014</v>
      </c>
      <c r="C935" s="623">
        <v>99705</v>
      </c>
      <c r="D935" s="624"/>
    </row>
    <row r="936" spans="2:4" x14ac:dyDescent="0.25">
      <c r="B936" s="624" t="s">
        <v>2105</v>
      </c>
      <c r="C936" s="623">
        <v>97651</v>
      </c>
      <c r="D936" s="624"/>
    </row>
    <row r="937" spans="2:4" x14ac:dyDescent="0.25">
      <c r="B937" s="624" t="s">
        <v>2106</v>
      </c>
      <c r="C937" s="623">
        <v>95106</v>
      </c>
      <c r="D937" s="624"/>
    </row>
    <row r="938" spans="2:4" x14ac:dyDescent="0.25">
      <c r="B938" s="624" t="s">
        <v>1181</v>
      </c>
      <c r="C938" s="623">
        <v>90501</v>
      </c>
      <c r="D938" s="624"/>
    </row>
    <row r="939" spans="2:4" x14ac:dyDescent="0.25">
      <c r="B939" s="624" t="s">
        <v>2107</v>
      </c>
      <c r="C939" s="623">
        <v>97611</v>
      </c>
      <c r="D939" s="624"/>
    </row>
    <row r="940" spans="2:4" x14ac:dyDescent="0.25">
      <c r="B940" s="624" t="s">
        <v>1813</v>
      </c>
      <c r="C940" s="623">
        <v>97607</v>
      </c>
      <c r="D940" s="624"/>
    </row>
    <row r="941" spans="2:4" x14ac:dyDescent="0.25">
      <c r="B941" s="624" t="s">
        <v>1815</v>
      </c>
      <c r="C941" s="623">
        <v>97613</v>
      </c>
      <c r="D941" s="624"/>
    </row>
    <row r="942" spans="2:4" x14ac:dyDescent="0.25">
      <c r="B942" s="624" t="s">
        <v>2108</v>
      </c>
      <c r="C942" s="623">
        <v>91121</v>
      </c>
      <c r="D942" s="624"/>
    </row>
    <row r="943" spans="2:4" x14ac:dyDescent="0.25">
      <c r="B943" s="624" t="s">
        <v>1257</v>
      </c>
      <c r="C943" s="623">
        <v>91127</v>
      </c>
      <c r="D943" s="624"/>
    </row>
    <row r="944" spans="2:4" x14ac:dyDescent="0.25">
      <c r="B944" s="624" t="s">
        <v>1258</v>
      </c>
      <c r="C944" s="623">
        <v>91128</v>
      </c>
      <c r="D944" s="624"/>
    </row>
    <row r="945" spans="2:4" x14ac:dyDescent="0.25">
      <c r="B945" s="624" t="s">
        <v>2109</v>
      </c>
      <c r="C945" s="623">
        <v>91681</v>
      </c>
      <c r="D945" s="624"/>
    </row>
    <row r="946" spans="2:4" x14ac:dyDescent="0.25">
      <c r="B946" s="624" t="s">
        <v>2110</v>
      </c>
      <c r="C946" s="623">
        <v>90811</v>
      </c>
      <c r="D946" s="624"/>
    </row>
    <row r="947" spans="2:4" x14ac:dyDescent="0.25">
      <c r="B947" s="624" t="s">
        <v>2111</v>
      </c>
      <c r="C947" s="623">
        <v>90721</v>
      </c>
      <c r="D947" s="624"/>
    </row>
    <row r="948" spans="2:4" x14ac:dyDescent="0.25">
      <c r="B948" s="624" t="s">
        <v>2112</v>
      </c>
      <c r="C948" s="623">
        <v>98271</v>
      </c>
      <c r="D948" s="624"/>
    </row>
    <row r="949" spans="2:4" x14ac:dyDescent="0.25">
      <c r="B949" s="624" t="s">
        <v>1185</v>
      </c>
      <c r="C949" s="623">
        <v>90601</v>
      </c>
      <c r="D949" s="624"/>
    </row>
    <row r="950" spans="2:4" x14ac:dyDescent="0.25">
      <c r="B950" s="624" t="s">
        <v>2095</v>
      </c>
      <c r="C950" s="623">
        <v>90602</v>
      </c>
      <c r="D950" s="624"/>
    </row>
    <row r="951" spans="2:4" x14ac:dyDescent="0.25">
      <c r="B951" s="624" t="s">
        <v>1186</v>
      </c>
      <c r="C951" s="623">
        <v>90605</v>
      </c>
      <c r="D951" s="624"/>
    </row>
    <row r="952" spans="2:4" x14ac:dyDescent="0.25">
      <c r="B952" s="624" t="s">
        <v>2113</v>
      </c>
      <c r="C952" s="623">
        <v>97461</v>
      </c>
      <c r="D952" s="624"/>
    </row>
    <row r="953" spans="2:4" x14ac:dyDescent="0.25">
      <c r="B953" s="624" t="s">
        <v>1804</v>
      </c>
      <c r="C953" s="623">
        <v>97463</v>
      </c>
      <c r="D953" s="624"/>
    </row>
    <row r="954" spans="2:4" x14ac:dyDescent="0.25">
      <c r="B954" s="624" t="s">
        <v>1195</v>
      </c>
      <c r="C954" s="623">
        <v>90705</v>
      </c>
      <c r="D954" s="624"/>
    </row>
    <row r="955" spans="2:4" x14ac:dyDescent="0.25">
      <c r="B955" s="624" t="s">
        <v>2114</v>
      </c>
      <c r="C955" s="623">
        <v>98451</v>
      </c>
      <c r="D955" s="624"/>
    </row>
    <row r="956" spans="2:4" x14ac:dyDescent="0.25">
      <c r="B956" s="624" t="s">
        <v>2115</v>
      </c>
      <c r="C956" s="623">
        <v>96451</v>
      </c>
      <c r="D956" s="624"/>
    </row>
    <row r="957" spans="2:4" x14ac:dyDescent="0.25">
      <c r="B957" s="624" t="s">
        <v>2116</v>
      </c>
      <c r="C957" s="623">
        <v>96121</v>
      </c>
      <c r="D957" s="624"/>
    </row>
    <row r="958" spans="2:4" x14ac:dyDescent="0.25">
      <c r="B958" s="624" t="s">
        <v>2117</v>
      </c>
      <c r="C958" s="623">
        <v>91091</v>
      </c>
      <c r="D958" s="624"/>
    </row>
    <row r="959" spans="2:4" x14ac:dyDescent="0.25">
      <c r="B959" s="624" t="s">
        <v>2118</v>
      </c>
      <c r="C959" s="623">
        <v>90611</v>
      </c>
      <c r="D959" s="624"/>
    </row>
    <row r="960" spans="2:4" x14ac:dyDescent="0.25">
      <c r="B960" s="624" t="s">
        <v>1765</v>
      </c>
      <c r="C960" s="623">
        <v>96918</v>
      </c>
      <c r="D960" s="624"/>
    </row>
    <row r="961" spans="2:4" x14ac:dyDescent="0.25">
      <c r="B961" s="624" t="s">
        <v>2119</v>
      </c>
      <c r="C961" s="623">
        <v>96911</v>
      </c>
      <c r="D961" s="624"/>
    </row>
    <row r="962" spans="2:4" x14ac:dyDescent="0.25">
      <c r="B962" s="624" t="s">
        <v>1965</v>
      </c>
      <c r="C962" s="623">
        <v>99208</v>
      </c>
      <c r="D962" s="624"/>
    </row>
    <row r="963" spans="2:4" x14ac:dyDescent="0.25">
      <c r="B963" s="624" t="s">
        <v>2120</v>
      </c>
      <c r="C963" s="623">
        <v>91631</v>
      </c>
      <c r="D963" s="624"/>
    </row>
    <row r="964" spans="2:4" x14ac:dyDescent="0.25">
      <c r="B964" s="624" t="s">
        <v>1193</v>
      </c>
      <c r="C964" s="623">
        <v>90701</v>
      </c>
      <c r="D964" s="624"/>
    </row>
    <row r="965" spans="2:4" x14ac:dyDescent="0.25">
      <c r="B965" s="624" t="s">
        <v>1194</v>
      </c>
      <c r="C965" s="623">
        <v>90704</v>
      </c>
      <c r="D965" s="624"/>
    </row>
    <row r="966" spans="2:4" x14ac:dyDescent="0.25">
      <c r="B966" s="624" t="s">
        <v>1309</v>
      </c>
      <c r="C966" s="623">
        <v>91633</v>
      </c>
      <c r="D966" s="624"/>
    </row>
    <row r="967" spans="2:4" x14ac:dyDescent="0.25">
      <c r="B967" s="624" t="s">
        <v>2121</v>
      </c>
      <c r="C967" s="623">
        <v>90631</v>
      </c>
      <c r="D967" s="624"/>
    </row>
    <row r="968" spans="2:4" x14ac:dyDescent="0.25">
      <c r="B968" s="624" t="s">
        <v>2122</v>
      </c>
      <c r="C968" s="623">
        <v>90731</v>
      </c>
      <c r="D968" s="624"/>
    </row>
    <row r="969" spans="2:4" x14ac:dyDescent="0.25">
      <c r="B969" s="624" t="s">
        <v>2123</v>
      </c>
      <c r="C969" s="623">
        <v>93621</v>
      </c>
      <c r="D969" s="624"/>
    </row>
    <row r="970" spans="2:4" x14ac:dyDescent="0.25">
      <c r="B970" s="624" t="s">
        <v>1490</v>
      </c>
      <c r="C970" s="623">
        <v>93623</v>
      </c>
      <c r="D970" s="624"/>
    </row>
    <row r="971" spans="2:4" x14ac:dyDescent="0.25">
      <c r="B971" s="624" t="s">
        <v>2124</v>
      </c>
      <c r="C971" s="623">
        <v>91020</v>
      </c>
      <c r="D971" s="624"/>
    </row>
    <row r="972" spans="2:4" x14ac:dyDescent="0.25">
      <c r="B972" s="624" t="s">
        <v>2125</v>
      </c>
      <c r="C972" s="623">
        <v>95141</v>
      </c>
      <c r="D972" s="624"/>
    </row>
    <row r="973" spans="2:4" x14ac:dyDescent="0.25">
      <c r="B973" s="624" t="s">
        <v>1610</v>
      </c>
      <c r="C973" s="623">
        <v>95103</v>
      </c>
      <c r="D973" s="624"/>
    </row>
    <row r="974" spans="2:4" x14ac:dyDescent="0.25">
      <c r="B974" s="624" t="s">
        <v>2126</v>
      </c>
      <c r="C974" s="623">
        <v>93021</v>
      </c>
      <c r="D974" s="624"/>
    </row>
    <row r="975" spans="2:4" x14ac:dyDescent="0.25">
      <c r="B975" s="624" t="s">
        <v>1202</v>
      </c>
      <c r="C975" s="623">
        <v>90801</v>
      </c>
      <c r="D975" s="624"/>
    </row>
    <row r="976" spans="2:4" x14ac:dyDescent="0.25">
      <c r="B976" s="624" t="s">
        <v>1203</v>
      </c>
      <c r="C976" s="623">
        <v>90804</v>
      </c>
      <c r="D976" s="624"/>
    </row>
    <row r="977" spans="2:4" x14ac:dyDescent="0.25">
      <c r="B977" s="624" t="s">
        <v>1205</v>
      </c>
      <c r="C977" s="623">
        <v>90808</v>
      </c>
      <c r="D977" s="624"/>
    </row>
    <row r="978" spans="2:4" x14ac:dyDescent="0.25">
      <c r="B978" s="624" t="s">
        <v>2127</v>
      </c>
      <c r="C978" s="623">
        <v>93671</v>
      </c>
      <c r="D978" s="624"/>
    </row>
    <row r="979" spans="2:4" x14ac:dyDescent="0.25">
      <c r="B979" s="624" t="s">
        <v>2128</v>
      </c>
      <c r="C979" s="623">
        <v>93677</v>
      </c>
      <c r="D979" s="624"/>
    </row>
    <row r="980" spans="2:4" x14ac:dyDescent="0.25">
      <c r="B980" s="624" t="s">
        <v>2129</v>
      </c>
      <c r="C980" s="623">
        <v>97441</v>
      </c>
      <c r="D980" s="624"/>
    </row>
    <row r="981" spans="2:4" x14ac:dyDescent="0.25">
      <c r="B981" s="624" t="s">
        <v>2130</v>
      </c>
      <c r="C981" s="623">
        <v>93111</v>
      </c>
      <c r="D981" s="624"/>
    </row>
    <row r="982" spans="2:4" x14ac:dyDescent="0.25">
      <c r="B982" s="624" t="s">
        <v>2131</v>
      </c>
      <c r="C982" s="623">
        <v>91111</v>
      </c>
      <c r="D982" s="624"/>
    </row>
    <row r="983" spans="2:4" x14ac:dyDescent="0.25">
      <c r="B983" s="624" t="s">
        <v>2132</v>
      </c>
      <c r="C983" s="623">
        <v>96231</v>
      </c>
      <c r="D983" s="624"/>
    </row>
    <row r="984" spans="2:4" x14ac:dyDescent="0.25">
      <c r="B984" s="624" t="s">
        <v>2133</v>
      </c>
      <c r="C984" s="623">
        <v>99831</v>
      </c>
      <c r="D984" s="624"/>
    </row>
    <row r="985" spans="2:4" x14ac:dyDescent="0.25">
      <c r="B985" s="624" t="s">
        <v>2134</v>
      </c>
      <c r="C985" s="623">
        <v>91151</v>
      </c>
      <c r="D985" s="624"/>
    </row>
    <row r="986" spans="2:4" x14ac:dyDescent="0.25">
      <c r="B986" s="624" t="s">
        <v>1263</v>
      </c>
      <c r="C986" s="623">
        <v>91154</v>
      </c>
      <c r="D986" s="624"/>
    </row>
    <row r="987" spans="2:4" x14ac:dyDescent="0.25">
      <c r="B987" s="624" t="s">
        <v>1210</v>
      </c>
      <c r="C987" s="623">
        <v>90901</v>
      </c>
      <c r="D987" s="624"/>
    </row>
    <row r="988" spans="2:4" x14ac:dyDescent="0.25">
      <c r="B988" s="624" t="s">
        <v>2135</v>
      </c>
      <c r="C988" s="623">
        <v>90941</v>
      </c>
      <c r="D988" s="624"/>
    </row>
    <row r="989" spans="2:4" x14ac:dyDescent="0.25">
      <c r="B989" s="624" t="s">
        <v>2136</v>
      </c>
      <c r="C989" s="623">
        <v>99521</v>
      </c>
      <c r="D989" s="624"/>
    </row>
    <row r="990" spans="2:4" x14ac:dyDescent="0.25">
      <c r="B990" s="624" t="s">
        <v>1998</v>
      </c>
      <c r="C990" s="623">
        <v>99527</v>
      </c>
      <c r="D990" s="624"/>
    </row>
    <row r="991" spans="2:4" x14ac:dyDescent="0.25">
      <c r="B991" s="624" t="s">
        <v>1994</v>
      </c>
      <c r="C991" s="623">
        <v>99508</v>
      </c>
      <c r="D991" s="624"/>
    </row>
    <row r="992" spans="2:4" x14ac:dyDescent="0.25">
      <c r="B992" s="624" t="s">
        <v>1576</v>
      </c>
      <c r="C992" s="623">
        <v>94532</v>
      </c>
      <c r="D992" s="624"/>
    </row>
    <row r="993" spans="2:4" x14ac:dyDescent="0.25">
      <c r="B993" s="624" t="s">
        <v>2137</v>
      </c>
      <c r="C993" s="623">
        <v>91071</v>
      </c>
      <c r="D993" s="624"/>
    </row>
    <row r="994" spans="2:4" x14ac:dyDescent="0.25">
      <c r="B994" s="624" t="s">
        <v>1244</v>
      </c>
      <c r="C994" s="623">
        <v>91077</v>
      </c>
      <c r="D994" s="624"/>
    </row>
    <row r="995" spans="2:4" x14ac:dyDescent="0.25">
      <c r="B995" s="624" t="s">
        <v>2138</v>
      </c>
      <c r="C995" s="623">
        <v>92331</v>
      </c>
      <c r="D995" s="624"/>
    </row>
    <row r="996" spans="2:4" x14ac:dyDescent="0.25">
      <c r="B996" s="624" t="s">
        <v>2139</v>
      </c>
      <c r="C996" s="623">
        <v>92414</v>
      </c>
      <c r="D996" s="624"/>
    </row>
    <row r="997" spans="2:4" x14ac:dyDescent="0.25">
      <c r="B997" s="624" t="s">
        <v>2140</v>
      </c>
      <c r="C997" s="623">
        <v>99511</v>
      </c>
      <c r="D997" s="624"/>
    </row>
    <row r="998" spans="2:4" x14ac:dyDescent="0.25">
      <c r="B998" s="624" t="s">
        <v>2141</v>
      </c>
      <c r="C998" s="623">
        <v>99941</v>
      </c>
      <c r="D998" s="624"/>
    </row>
    <row r="999" spans="2:4" x14ac:dyDescent="0.25">
      <c r="B999" s="624" t="s">
        <v>1717</v>
      </c>
      <c r="C999" s="623">
        <v>96405</v>
      </c>
      <c r="D999" s="624"/>
    </row>
    <row r="1000" spans="2:4" x14ac:dyDescent="0.25">
      <c r="B1000" s="624" t="s">
        <v>2142</v>
      </c>
      <c r="C1000" s="623">
        <v>98811</v>
      </c>
      <c r="D1000" s="624"/>
    </row>
    <row r="1001" spans="2:4" x14ac:dyDescent="0.25">
      <c r="B1001" s="624" t="s">
        <v>1936</v>
      </c>
      <c r="C1001" s="623">
        <v>98817</v>
      </c>
      <c r="D1001" s="624"/>
    </row>
    <row r="1002" spans="2:4" x14ac:dyDescent="0.25">
      <c r="B1002" s="624" t="s">
        <v>2143</v>
      </c>
      <c r="C1002" s="623">
        <v>92561</v>
      </c>
      <c r="D1002" s="624"/>
    </row>
    <row r="1003" spans="2:4" x14ac:dyDescent="0.25">
      <c r="B1003" s="624" t="s">
        <v>1879</v>
      </c>
      <c r="C1003" s="623">
        <v>98102</v>
      </c>
      <c r="D1003" s="624"/>
    </row>
    <row r="1004" spans="2:4" x14ac:dyDescent="0.25">
      <c r="B1004" s="624" t="s">
        <v>2144</v>
      </c>
      <c r="C1004" s="623">
        <v>95321</v>
      </c>
      <c r="D1004" s="624"/>
    </row>
    <row r="1005" spans="2:4" x14ac:dyDescent="0.25">
      <c r="B1005" s="624" t="s">
        <v>2145</v>
      </c>
      <c r="C1005" s="623">
        <v>91861</v>
      </c>
      <c r="D1005" s="624"/>
    </row>
    <row r="1006" spans="2:4" x14ac:dyDescent="0.25">
      <c r="B1006" s="624" t="s">
        <v>2146</v>
      </c>
      <c r="C1006" s="623">
        <v>92421</v>
      </c>
      <c r="D1006" s="624"/>
    </row>
    <row r="1007" spans="2:4" x14ac:dyDescent="0.25">
      <c r="B1007" s="624" t="s">
        <v>1217</v>
      </c>
      <c r="C1007" s="623">
        <v>91001</v>
      </c>
      <c r="D1007" s="624"/>
    </row>
    <row r="1008" spans="2:4" x14ac:dyDescent="0.25">
      <c r="B1008" s="624" t="s">
        <v>1220</v>
      </c>
      <c r="C1008" s="623">
        <v>91004</v>
      </c>
      <c r="D1008" s="624"/>
    </row>
    <row r="1009" spans="2:4" x14ac:dyDescent="0.25">
      <c r="B1009" s="624" t="s">
        <v>1219</v>
      </c>
      <c r="C1009" s="623">
        <v>91003</v>
      </c>
      <c r="D1009" s="624"/>
    </row>
    <row r="1010" spans="2:4" x14ac:dyDescent="0.25">
      <c r="B1010" s="624" t="s">
        <v>1224</v>
      </c>
      <c r="C1010" s="623">
        <v>91009</v>
      </c>
      <c r="D1010" s="624"/>
    </row>
    <row r="1011" spans="2:4" x14ac:dyDescent="0.25">
      <c r="B1011" s="624" t="s">
        <v>1221</v>
      </c>
      <c r="C1011" s="623">
        <v>91006</v>
      </c>
      <c r="D1011" s="624"/>
    </row>
    <row r="1012" spans="2:4" x14ac:dyDescent="0.25">
      <c r="B1012" s="624" t="s">
        <v>2147</v>
      </c>
      <c r="C1012" s="623">
        <v>98711</v>
      </c>
      <c r="D1012" s="624"/>
    </row>
    <row r="1013" spans="2:4" x14ac:dyDescent="0.25">
      <c r="B1013" s="624" t="s">
        <v>1933</v>
      </c>
      <c r="C1013" s="623">
        <v>98717</v>
      </c>
      <c r="D1013" s="624"/>
    </row>
    <row r="1014" spans="2:4" x14ac:dyDescent="0.25">
      <c r="B1014" s="624" t="s">
        <v>1247</v>
      </c>
      <c r="C1014" s="623">
        <v>91101</v>
      </c>
      <c r="D1014" s="624"/>
    </row>
    <row r="1015" spans="2:4" x14ac:dyDescent="0.25">
      <c r="B1015" s="624" t="s">
        <v>2148</v>
      </c>
      <c r="C1015" s="623">
        <v>93531</v>
      </c>
      <c r="D1015" s="624"/>
    </row>
    <row r="1016" spans="2:4" x14ac:dyDescent="0.25">
      <c r="B1016" s="624" t="s">
        <v>1480</v>
      </c>
      <c r="C1016" s="623">
        <v>93537</v>
      </c>
      <c r="D1016" s="624"/>
    </row>
    <row r="1017" spans="2:4" x14ac:dyDescent="0.25">
      <c r="B1017" s="624" t="s">
        <v>2149</v>
      </c>
      <c r="C1017" s="623">
        <v>97111</v>
      </c>
      <c r="D1017" s="624"/>
    </row>
    <row r="1018" spans="2:4" x14ac:dyDescent="0.25">
      <c r="B1018" s="624" t="s">
        <v>1266</v>
      </c>
      <c r="C1018" s="623">
        <v>91201</v>
      </c>
      <c r="D1018" s="624"/>
    </row>
    <row r="1019" spans="2:4" x14ac:dyDescent="0.25">
      <c r="B1019" s="624" t="s">
        <v>1268</v>
      </c>
      <c r="C1019" s="623">
        <v>91203</v>
      </c>
      <c r="D1019" s="624"/>
    </row>
    <row r="1020" spans="2:4" x14ac:dyDescent="0.25">
      <c r="B1020" s="624" t="s">
        <v>1270</v>
      </c>
      <c r="C1020" s="623">
        <v>91208</v>
      </c>
      <c r="D1020" s="624"/>
    </row>
    <row r="1021" spans="2:4" x14ac:dyDescent="0.25">
      <c r="B1021" s="624" t="s">
        <v>1269</v>
      </c>
      <c r="C1021" s="623">
        <v>91206</v>
      </c>
      <c r="D1021" s="624"/>
    </row>
    <row r="1022" spans="2:4" x14ac:dyDescent="0.25">
      <c r="B1022" s="624" t="s">
        <v>1267</v>
      </c>
      <c r="C1022" s="623">
        <v>91202</v>
      </c>
      <c r="D1022" s="624"/>
    </row>
    <row r="1023" spans="2:4" x14ac:dyDescent="0.25">
      <c r="B1023" s="624" t="s">
        <v>2150</v>
      </c>
      <c r="C1023" s="623">
        <v>90111</v>
      </c>
      <c r="D1023" s="624"/>
    </row>
    <row r="1024" spans="2:4" x14ac:dyDescent="0.25">
      <c r="B1024" s="624" t="s">
        <v>1158</v>
      </c>
      <c r="C1024" s="623">
        <v>90117</v>
      </c>
      <c r="D1024" s="624"/>
    </row>
    <row r="1025" spans="2:4" x14ac:dyDescent="0.25">
      <c r="B1025" s="624" t="s">
        <v>2151</v>
      </c>
      <c r="C1025" s="623">
        <v>90011</v>
      </c>
      <c r="D1025" s="624"/>
    </row>
    <row r="1026" spans="2:4" x14ac:dyDescent="0.25">
      <c r="B1026" s="624" t="s">
        <v>2152</v>
      </c>
      <c r="C1026" s="623">
        <v>93931</v>
      </c>
      <c r="D1026" s="624"/>
    </row>
    <row r="1027" spans="2:4" x14ac:dyDescent="0.25">
      <c r="B1027" s="624" t="s">
        <v>1283</v>
      </c>
      <c r="C1027" s="623">
        <v>91306</v>
      </c>
      <c r="D1027" s="624"/>
    </row>
    <row r="1028" spans="2:4" x14ac:dyDescent="0.25">
      <c r="B1028" s="624" t="s">
        <v>1284</v>
      </c>
      <c r="C1028" s="623">
        <v>91308</v>
      </c>
      <c r="D1028" s="624"/>
    </row>
    <row r="1029" spans="2:4" x14ac:dyDescent="0.25">
      <c r="B1029" s="624" t="s">
        <v>1281</v>
      </c>
      <c r="C1029" s="623">
        <v>91301</v>
      </c>
      <c r="D1029" s="624"/>
    </row>
    <row r="1030" spans="2:4" x14ac:dyDescent="0.25">
      <c r="B1030" s="624" t="s">
        <v>2153</v>
      </c>
      <c r="C1030" s="623">
        <v>91461</v>
      </c>
      <c r="D1030" s="624"/>
    </row>
    <row r="1031" spans="2:4" x14ac:dyDescent="0.25">
      <c r="B1031" s="624" t="s">
        <v>2154</v>
      </c>
      <c r="C1031" s="623">
        <v>91010</v>
      </c>
      <c r="D1031" s="624"/>
    </row>
    <row r="1032" spans="2:4" x14ac:dyDescent="0.25">
      <c r="B1032" s="624" t="s">
        <v>1222</v>
      </c>
      <c r="C1032" s="623">
        <v>91007</v>
      </c>
      <c r="D1032" s="624"/>
    </row>
    <row r="1033" spans="2:4" x14ac:dyDescent="0.25">
      <c r="B1033" s="624" t="s">
        <v>1291</v>
      </c>
      <c r="C1033" s="623">
        <v>91401</v>
      </c>
      <c r="D1033" s="624"/>
    </row>
    <row r="1034" spans="2:4" x14ac:dyDescent="0.25">
      <c r="B1034" s="624" t="s">
        <v>2155</v>
      </c>
      <c r="C1034" s="623">
        <v>93171</v>
      </c>
      <c r="D1034" s="624"/>
    </row>
    <row r="1035" spans="2:4" x14ac:dyDescent="0.25">
      <c r="B1035" s="624" t="s">
        <v>1301</v>
      </c>
      <c r="C1035" s="623">
        <v>91501</v>
      </c>
      <c r="D1035" s="624"/>
    </row>
    <row r="1036" spans="2:4" x14ac:dyDescent="0.25">
      <c r="B1036" s="624" t="s">
        <v>1302</v>
      </c>
      <c r="C1036" s="623">
        <v>91504</v>
      </c>
      <c r="D1036" s="624"/>
    </row>
    <row r="1037" spans="2:4" x14ac:dyDescent="0.25">
      <c r="B1037" s="624" t="s">
        <v>2156</v>
      </c>
      <c r="C1037" s="623">
        <v>96312</v>
      </c>
      <c r="D1037" s="624"/>
    </row>
    <row r="1038" spans="2:4" x14ac:dyDescent="0.25">
      <c r="B1038" s="624" t="s">
        <v>2157</v>
      </c>
      <c r="C1038" s="623">
        <v>96241</v>
      </c>
      <c r="D1038" s="624"/>
    </row>
    <row r="1039" spans="2:4" x14ac:dyDescent="0.25">
      <c r="B1039" s="624" t="s">
        <v>2158</v>
      </c>
      <c r="C1039" s="623">
        <v>94431</v>
      </c>
      <c r="D1039" s="624"/>
    </row>
    <row r="1040" spans="2:4" x14ac:dyDescent="0.25">
      <c r="B1040" s="624" t="s">
        <v>1568</v>
      </c>
      <c r="C1040" s="623">
        <v>94437</v>
      </c>
      <c r="D1040" s="624"/>
    </row>
    <row r="1041" spans="2:4" x14ac:dyDescent="0.25">
      <c r="B1041" s="624" t="s">
        <v>2159</v>
      </c>
      <c r="C1041" s="623">
        <v>91671</v>
      </c>
      <c r="D1041" s="624"/>
    </row>
    <row r="1042" spans="2:4" x14ac:dyDescent="0.25">
      <c r="B1042" s="624" t="s">
        <v>1223</v>
      </c>
      <c r="C1042" s="623">
        <v>91008</v>
      </c>
      <c r="D1042" s="624"/>
    </row>
    <row r="1043" spans="2:4" x14ac:dyDescent="0.25">
      <c r="B1043" s="624" t="s">
        <v>1731</v>
      </c>
      <c r="C1043" s="623">
        <v>96512</v>
      </c>
      <c r="D1043" s="624"/>
    </row>
    <row r="1044" spans="2:4" x14ac:dyDescent="0.25">
      <c r="B1044" s="624" t="s">
        <v>1728</v>
      </c>
      <c r="C1044" s="623">
        <v>96507</v>
      </c>
      <c r="D1044" s="624"/>
    </row>
    <row r="1045" spans="2:4" x14ac:dyDescent="0.25">
      <c r="B1045" s="624" t="s">
        <v>2160</v>
      </c>
      <c r="C1045" s="623">
        <v>96521</v>
      </c>
      <c r="D1045" s="624"/>
    </row>
    <row r="1046" spans="2:4" x14ac:dyDescent="0.25">
      <c r="B1046" s="624" t="s">
        <v>2161</v>
      </c>
      <c r="C1046" s="623">
        <v>91024</v>
      </c>
      <c r="D1046" s="624"/>
    </row>
    <row r="1047" spans="2:4" x14ac:dyDescent="0.25">
      <c r="B1047" s="624" t="s">
        <v>2162</v>
      </c>
      <c r="C1047" s="623">
        <v>96821</v>
      </c>
      <c r="D1047" s="624"/>
    </row>
    <row r="1048" spans="2:4" x14ac:dyDescent="0.25">
      <c r="B1048" s="624" t="s">
        <v>1303</v>
      </c>
      <c r="C1048" s="623">
        <v>91601</v>
      </c>
      <c r="D1048" s="624"/>
    </row>
    <row r="1049" spans="2:4" x14ac:dyDescent="0.25">
      <c r="B1049" s="624" t="s">
        <v>1304</v>
      </c>
      <c r="C1049" s="623">
        <v>91604</v>
      </c>
      <c r="D1049" s="624"/>
    </row>
    <row r="1050" spans="2:4" x14ac:dyDescent="0.25">
      <c r="B1050" s="624" t="s">
        <v>2163</v>
      </c>
      <c r="C1050" s="623">
        <v>96391</v>
      </c>
      <c r="D1050" s="624"/>
    </row>
    <row r="1051" spans="2:4" x14ac:dyDescent="0.25">
      <c r="B1051" s="624" t="s">
        <v>2164</v>
      </c>
      <c r="C1051" s="623">
        <v>99221</v>
      </c>
      <c r="D1051" s="624"/>
    </row>
    <row r="1052" spans="2:4" x14ac:dyDescent="0.25">
      <c r="B1052" s="624" t="s">
        <v>2165</v>
      </c>
      <c r="C1052" s="623">
        <v>91051</v>
      </c>
      <c r="D1052" s="624"/>
    </row>
    <row r="1053" spans="2:4" x14ac:dyDescent="0.25">
      <c r="B1053" s="624" t="s">
        <v>1316</v>
      </c>
      <c r="C1053" s="623">
        <v>91701</v>
      </c>
      <c r="D1053" s="624"/>
    </row>
    <row r="1054" spans="2:4" x14ac:dyDescent="0.25">
      <c r="B1054" s="624" t="s">
        <v>1317</v>
      </c>
      <c r="C1054" s="623">
        <v>91704</v>
      </c>
      <c r="D1054" s="624"/>
    </row>
    <row r="1055" spans="2:4" x14ac:dyDescent="0.25">
      <c r="B1055" s="624" t="s">
        <v>1318</v>
      </c>
      <c r="C1055" s="623">
        <v>91706</v>
      </c>
      <c r="D1055" s="624"/>
    </row>
    <row r="1056" spans="2:4" x14ac:dyDescent="0.25">
      <c r="B1056" s="624" t="s">
        <v>2166</v>
      </c>
      <c r="C1056" s="623">
        <v>91881</v>
      </c>
      <c r="D1056" s="624"/>
    </row>
    <row r="1057" spans="2:4" x14ac:dyDescent="0.25">
      <c r="B1057" s="624" t="s">
        <v>1320</v>
      </c>
      <c r="C1057" s="623">
        <v>91801</v>
      </c>
      <c r="D1057" s="624"/>
    </row>
    <row r="1058" spans="2:4" x14ac:dyDescent="0.25">
      <c r="B1058" s="624" t="s">
        <v>1321</v>
      </c>
      <c r="C1058" s="623">
        <v>91804</v>
      </c>
      <c r="D1058" s="624"/>
    </row>
    <row r="1059" spans="2:4" x14ac:dyDescent="0.25">
      <c r="B1059" s="624" t="s">
        <v>2167</v>
      </c>
      <c r="C1059" s="623">
        <v>91691</v>
      </c>
      <c r="D1059" s="624"/>
    </row>
    <row r="1060" spans="2:4" x14ac:dyDescent="0.25">
      <c r="B1060" s="624" t="s">
        <v>1972</v>
      </c>
      <c r="C1060" s="623">
        <v>99222</v>
      </c>
      <c r="D1060" s="624"/>
    </row>
    <row r="1061" spans="2:4" x14ac:dyDescent="0.25">
      <c r="B1061" s="624" t="s">
        <v>1678</v>
      </c>
      <c r="C1061" s="623">
        <v>96009</v>
      </c>
      <c r="D1061" s="624"/>
    </row>
    <row r="1062" spans="2:4" x14ac:dyDescent="0.25">
      <c r="B1062" s="624" t="s">
        <v>2168</v>
      </c>
      <c r="C1062" s="623">
        <v>92441</v>
      </c>
      <c r="D1062" s="624"/>
    </row>
    <row r="1063" spans="2:4" x14ac:dyDescent="0.25">
      <c r="B1063" s="624" t="s">
        <v>1370</v>
      </c>
      <c r="C1063" s="623">
        <v>92444</v>
      </c>
      <c r="D1063" s="624"/>
    </row>
    <row r="1064" spans="2:4" x14ac:dyDescent="0.25">
      <c r="B1064" s="624" t="s">
        <v>2169</v>
      </c>
      <c r="C1064" s="623">
        <v>96811</v>
      </c>
      <c r="D1064" s="624"/>
    </row>
    <row r="1065" spans="2:4" x14ac:dyDescent="0.25">
      <c r="B1065" s="624" t="s">
        <v>1674</v>
      </c>
      <c r="C1065" s="623">
        <v>96003</v>
      </c>
      <c r="D1065" s="624"/>
    </row>
    <row r="1066" spans="2:4" x14ac:dyDescent="0.25">
      <c r="B1066" s="624" t="s">
        <v>2170</v>
      </c>
      <c r="C1066" s="623">
        <v>96011</v>
      </c>
      <c r="D1066" s="624"/>
    </row>
    <row r="1067" spans="2:4" x14ac:dyDescent="0.25">
      <c r="B1067" s="624" t="s">
        <v>1680</v>
      </c>
      <c r="C1067" s="623">
        <v>96012</v>
      </c>
      <c r="D1067" s="624"/>
    </row>
    <row r="1068" spans="2:4" x14ac:dyDescent="0.25">
      <c r="B1068" s="624" t="s">
        <v>1681</v>
      </c>
      <c r="C1068" s="623">
        <v>96018</v>
      </c>
      <c r="D1068" s="624"/>
    </row>
    <row r="1069" spans="2:4" x14ac:dyDescent="0.25">
      <c r="B1069" s="624" t="s">
        <v>1676</v>
      </c>
      <c r="C1069" s="623">
        <v>96005</v>
      </c>
      <c r="D1069" s="624"/>
    </row>
    <row r="1070" spans="2:4" x14ac:dyDescent="0.25">
      <c r="B1070" s="624" t="s">
        <v>1334</v>
      </c>
      <c r="C1070" s="623">
        <v>91901</v>
      </c>
      <c r="D1070" s="624"/>
    </row>
    <row r="1071" spans="2:4" x14ac:dyDescent="0.25">
      <c r="B1071" s="624" t="s">
        <v>1336</v>
      </c>
      <c r="C1071" s="623">
        <v>91904</v>
      </c>
      <c r="D1071" s="624"/>
    </row>
    <row r="1072" spans="2:4" x14ac:dyDescent="0.25">
      <c r="B1072" s="624" t="s">
        <v>1335</v>
      </c>
      <c r="C1072" s="623">
        <v>91903</v>
      </c>
      <c r="D1072" s="624"/>
    </row>
    <row r="1073" spans="2:4" x14ac:dyDescent="0.25">
      <c r="B1073" s="624" t="s">
        <v>1341</v>
      </c>
      <c r="C1073" s="623">
        <v>92001</v>
      </c>
      <c r="D1073" s="624"/>
    </row>
    <row r="1074" spans="2:4" x14ac:dyDescent="0.25">
      <c r="B1074" s="624" t="s">
        <v>2171</v>
      </c>
      <c r="C1074" s="623">
        <v>93641</v>
      </c>
      <c r="D1074" s="624"/>
    </row>
    <row r="1075" spans="2:4" x14ac:dyDescent="0.25">
      <c r="B1075" s="624" t="s">
        <v>1493</v>
      </c>
      <c r="C1075" s="623">
        <v>93647</v>
      </c>
      <c r="D1075" s="624"/>
    </row>
    <row r="1076" spans="2:4" x14ac:dyDescent="0.25">
      <c r="B1076" s="624" t="s">
        <v>2172</v>
      </c>
      <c r="C1076" s="623">
        <v>98041</v>
      </c>
      <c r="D1076" s="624"/>
    </row>
    <row r="1077" spans="2:4" x14ac:dyDescent="0.25">
      <c r="B1077" s="624" t="s">
        <v>1739</v>
      </c>
      <c r="C1077" s="623">
        <v>96612</v>
      </c>
      <c r="D1077" s="624"/>
    </row>
    <row r="1078" spans="2:4" x14ac:dyDescent="0.25">
      <c r="B1078" s="624" t="s">
        <v>2173</v>
      </c>
      <c r="C1078" s="623">
        <v>90751</v>
      </c>
      <c r="D1078" s="624"/>
    </row>
    <row r="1079" spans="2:4" x14ac:dyDescent="0.25">
      <c r="B1079" s="624" t="s">
        <v>1346</v>
      </c>
      <c r="C1079" s="623">
        <v>92101</v>
      </c>
      <c r="D1079" s="624"/>
    </row>
    <row r="1080" spans="2:4" x14ac:dyDescent="0.25">
      <c r="B1080" s="624" t="s">
        <v>1347</v>
      </c>
      <c r="C1080" s="623">
        <v>92104</v>
      </c>
      <c r="D1080" s="624"/>
    </row>
    <row r="1081" spans="2:4" x14ac:dyDescent="0.25">
      <c r="B1081" s="624" t="s">
        <v>2024</v>
      </c>
      <c r="C1081" s="623">
        <v>99818</v>
      </c>
      <c r="D1081" s="624"/>
    </row>
    <row r="1082" spans="2:4" x14ac:dyDescent="0.25">
      <c r="B1082" s="624" t="s">
        <v>2174</v>
      </c>
      <c r="C1082" s="623">
        <v>91821</v>
      </c>
      <c r="D1082" s="624"/>
    </row>
    <row r="1083" spans="2:4" x14ac:dyDescent="0.25">
      <c r="B1083" s="624" t="s">
        <v>2175</v>
      </c>
      <c r="C1083" s="623">
        <v>90931</v>
      </c>
      <c r="D1083" s="624"/>
    </row>
    <row r="1084" spans="2:4" x14ac:dyDescent="0.25">
      <c r="B1084" s="624" t="s">
        <v>1351</v>
      </c>
      <c r="C1084" s="623">
        <v>92201</v>
      </c>
      <c r="D1084" s="624"/>
    </row>
    <row r="1085" spans="2:4" x14ac:dyDescent="0.25">
      <c r="B1085" s="624" t="s">
        <v>2176</v>
      </c>
      <c r="C1085" s="623">
        <v>95131</v>
      </c>
      <c r="D1085" s="624"/>
    </row>
    <row r="1086" spans="2:4" x14ac:dyDescent="0.25">
      <c r="B1086" s="624" t="s">
        <v>2177</v>
      </c>
      <c r="C1086" s="623">
        <v>93441</v>
      </c>
      <c r="D1086" s="624"/>
    </row>
    <row r="1087" spans="2:4" x14ac:dyDescent="0.25">
      <c r="B1087" s="624" t="s">
        <v>1470</v>
      </c>
      <c r="C1087" s="623">
        <v>93442</v>
      </c>
      <c r="D1087" s="624"/>
    </row>
    <row r="1088" spans="2:4" x14ac:dyDescent="0.25">
      <c r="B1088" s="624" t="s">
        <v>2178</v>
      </c>
      <c r="C1088" s="623">
        <v>98091</v>
      </c>
      <c r="D1088" s="624"/>
    </row>
    <row r="1089" spans="2:4" x14ac:dyDescent="0.25">
      <c r="B1089" s="624" t="s">
        <v>1352</v>
      </c>
      <c r="C1089" s="623">
        <v>92301</v>
      </c>
      <c r="D1089" s="624"/>
    </row>
    <row r="1090" spans="2:4" x14ac:dyDescent="0.25">
      <c r="B1090" s="624" t="s">
        <v>1353</v>
      </c>
      <c r="C1090" s="623">
        <v>92302</v>
      </c>
      <c r="D1090" s="624"/>
    </row>
    <row r="1091" spans="2:4" x14ac:dyDescent="0.25">
      <c r="B1091" s="624" t="s">
        <v>2179</v>
      </c>
      <c r="C1091" s="623">
        <v>98211</v>
      </c>
      <c r="D1091" s="624"/>
    </row>
    <row r="1092" spans="2:4" x14ac:dyDescent="0.25">
      <c r="B1092" s="624" t="s">
        <v>1893</v>
      </c>
      <c r="C1092" s="623">
        <v>98218</v>
      </c>
      <c r="D1092" s="624"/>
    </row>
    <row r="1093" spans="2:4" x14ac:dyDescent="0.25">
      <c r="B1093" s="624" t="s">
        <v>1732</v>
      </c>
      <c r="C1093" s="623">
        <v>96519</v>
      </c>
      <c r="D1093" s="624"/>
    </row>
    <row r="1094" spans="2:4" x14ac:dyDescent="0.25">
      <c r="B1094" s="624" t="s">
        <v>1379</v>
      </c>
      <c r="C1094" s="623">
        <v>92508</v>
      </c>
      <c r="D1094" s="624"/>
    </row>
    <row r="1095" spans="2:4" x14ac:dyDescent="0.25">
      <c r="B1095" s="624" t="s">
        <v>2180</v>
      </c>
      <c r="C1095" s="623">
        <v>94341</v>
      </c>
      <c r="D1095" s="624"/>
    </row>
    <row r="1096" spans="2:4" x14ac:dyDescent="0.25">
      <c r="B1096" s="624" t="s">
        <v>2181</v>
      </c>
      <c r="C1096" s="623">
        <v>94641</v>
      </c>
      <c r="D1096" s="624"/>
    </row>
    <row r="1097" spans="2:4" x14ac:dyDescent="0.25">
      <c r="B1097" s="624" t="s">
        <v>2182</v>
      </c>
      <c r="C1097" s="623">
        <v>90813</v>
      </c>
      <c r="D1097" s="624"/>
    </row>
    <row r="1098" spans="2:4" x14ac:dyDescent="0.25">
      <c r="B1098" s="624" t="s">
        <v>1537</v>
      </c>
      <c r="C1098" s="623">
        <v>94168</v>
      </c>
      <c r="D1098" s="624"/>
    </row>
    <row r="1099" spans="2:4" x14ac:dyDescent="0.25">
      <c r="B1099" s="624" t="s">
        <v>2183</v>
      </c>
      <c r="C1099" s="623">
        <v>98911</v>
      </c>
      <c r="D1099" s="624"/>
    </row>
    <row r="1100" spans="2:4" x14ac:dyDescent="0.25">
      <c r="B1100" s="624" t="s">
        <v>2184</v>
      </c>
      <c r="C1100" s="623">
        <v>97521</v>
      </c>
      <c r="D1100" s="624"/>
    </row>
    <row r="1101" spans="2:4" x14ac:dyDescent="0.25">
      <c r="B1101" s="624" t="s">
        <v>1361</v>
      </c>
      <c r="C1101" s="623">
        <v>92401</v>
      </c>
      <c r="D1101" s="624"/>
    </row>
    <row r="1102" spans="2:4" x14ac:dyDescent="0.25">
      <c r="B1102" s="624" t="s">
        <v>2185</v>
      </c>
      <c r="C1102" s="623">
        <v>91311</v>
      </c>
      <c r="D1102" s="624"/>
    </row>
    <row r="1103" spans="2:4" x14ac:dyDescent="0.25">
      <c r="B1103" s="624" t="s">
        <v>1286</v>
      </c>
      <c r="C1103" s="623">
        <v>91317</v>
      </c>
      <c r="D1103" s="624"/>
    </row>
    <row r="1104" spans="2:4" x14ac:dyDescent="0.25">
      <c r="B1104" s="624" t="s">
        <v>2186</v>
      </c>
      <c r="C1104" s="623">
        <v>91261</v>
      </c>
      <c r="D1104" s="624"/>
    </row>
    <row r="1105" spans="2:4" x14ac:dyDescent="0.25">
      <c r="B1105" s="624" t="s">
        <v>2187</v>
      </c>
      <c r="C1105" s="623">
        <v>91851</v>
      </c>
      <c r="D1105" s="624"/>
    </row>
    <row r="1106" spans="2:4" x14ac:dyDescent="0.25">
      <c r="B1106" s="624" t="s">
        <v>1794</v>
      </c>
      <c r="C1106" s="623">
        <v>97408</v>
      </c>
      <c r="D1106" s="624"/>
    </row>
    <row r="1107" spans="2:4" x14ac:dyDescent="0.25">
      <c r="B1107" s="624" t="s">
        <v>2188</v>
      </c>
      <c r="C1107" s="623">
        <v>96641</v>
      </c>
      <c r="D1107" s="624"/>
    </row>
    <row r="1108" spans="2:4" x14ac:dyDescent="0.25">
      <c r="B1108" s="624" t="s">
        <v>2189</v>
      </c>
      <c r="C1108" s="623">
        <v>93031</v>
      </c>
      <c r="D1108" s="624"/>
    </row>
    <row r="1109" spans="2:4" x14ac:dyDescent="0.25">
      <c r="B1109" s="624" t="s">
        <v>1425</v>
      </c>
      <c r="C1109" s="623">
        <v>93027</v>
      </c>
      <c r="D1109" s="624"/>
    </row>
    <row r="1110" spans="2:4" x14ac:dyDescent="0.25">
      <c r="B1110" s="624" t="s">
        <v>2190</v>
      </c>
      <c r="C1110" s="623">
        <v>96051</v>
      </c>
      <c r="D1110" s="624"/>
    </row>
    <row r="1111" spans="2:4" x14ac:dyDescent="0.25">
      <c r="B1111" s="624" t="s">
        <v>2191</v>
      </c>
      <c r="C1111" s="623">
        <v>92571</v>
      </c>
      <c r="D1111" s="624"/>
    </row>
    <row r="1112" spans="2:4" x14ac:dyDescent="0.25">
      <c r="B1112" s="624" t="s">
        <v>2192</v>
      </c>
      <c r="C1112" s="623">
        <v>93631</v>
      </c>
      <c r="D1112" s="624"/>
    </row>
    <row r="1113" spans="2:4" x14ac:dyDescent="0.25">
      <c r="B1113" s="624" t="s">
        <v>1373</v>
      </c>
      <c r="C1113" s="623">
        <v>92501</v>
      </c>
      <c r="D1113" s="624"/>
    </row>
    <row r="1114" spans="2:4" x14ac:dyDescent="0.25">
      <c r="B1114" s="624" t="s">
        <v>1375</v>
      </c>
      <c r="C1114" s="623">
        <v>92504</v>
      </c>
      <c r="D1114" s="624"/>
    </row>
    <row r="1115" spans="2:4" x14ac:dyDescent="0.25">
      <c r="B1115" s="624" t="s">
        <v>1377</v>
      </c>
      <c r="C1115" s="623">
        <v>92506</v>
      </c>
      <c r="D1115" s="624"/>
    </row>
    <row r="1116" spans="2:4" x14ac:dyDescent="0.25">
      <c r="B1116" s="624" t="s">
        <v>1376</v>
      </c>
      <c r="C1116" s="623">
        <v>92505</v>
      </c>
      <c r="D1116" s="624"/>
    </row>
    <row r="1117" spans="2:4" x14ac:dyDescent="0.25">
      <c r="B1117" s="624" t="s">
        <v>2193</v>
      </c>
      <c r="C1117" s="623">
        <v>93921</v>
      </c>
      <c r="D1117" s="624"/>
    </row>
    <row r="1118" spans="2:4" x14ac:dyDescent="0.25">
      <c r="B1118" s="624" t="s">
        <v>2194</v>
      </c>
      <c r="C1118" s="623">
        <v>99431</v>
      </c>
      <c r="D1118" s="624"/>
    </row>
    <row r="1119" spans="2:4" x14ac:dyDescent="0.25">
      <c r="B1119" s="624" t="s">
        <v>1388</v>
      </c>
      <c r="C1119" s="623">
        <v>92601</v>
      </c>
      <c r="D1119" s="624"/>
    </row>
    <row r="1120" spans="2:4" x14ac:dyDescent="0.25">
      <c r="B1120" s="624" t="s">
        <v>1390</v>
      </c>
      <c r="C1120" s="623">
        <v>92604</v>
      </c>
      <c r="D1120" s="624"/>
    </row>
    <row r="1121" spans="2:4" x14ac:dyDescent="0.25">
      <c r="B1121" s="624" t="s">
        <v>1392</v>
      </c>
      <c r="C1121" s="623">
        <v>92608</v>
      </c>
      <c r="D1121" s="624"/>
    </row>
    <row r="1122" spans="2:4" x14ac:dyDescent="0.25">
      <c r="B1122" s="624" t="s">
        <v>1403</v>
      </c>
      <c r="C1122" s="623">
        <v>92701</v>
      </c>
      <c r="D1122" s="624"/>
    </row>
    <row r="1123" spans="2:4" x14ac:dyDescent="0.25">
      <c r="B1123" s="624" t="s">
        <v>1404</v>
      </c>
      <c r="C1123" s="623">
        <v>92704</v>
      </c>
      <c r="D1123" s="624"/>
    </row>
    <row r="1124" spans="2:4" x14ac:dyDescent="0.25">
      <c r="B1124" s="624" t="s">
        <v>2195</v>
      </c>
      <c r="C1124" s="623">
        <v>93651</v>
      </c>
      <c r="D1124" s="624"/>
    </row>
    <row r="1125" spans="2:4" x14ac:dyDescent="0.25">
      <c r="B1125" s="624" t="s">
        <v>1405</v>
      </c>
      <c r="C1125" s="623">
        <v>92801</v>
      </c>
      <c r="D1125" s="624"/>
    </row>
    <row r="1126" spans="2:4" x14ac:dyDescent="0.25">
      <c r="B1126" s="624" t="s">
        <v>1407</v>
      </c>
      <c r="C1126" s="623">
        <v>92804</v>
      </c>
      <c r="D1126" s="624"/>
    </row>
    <row r="1127" spans="2:4" x14ac:dyDescent="0.25">
      <c r="B1127" s="624" t="s">
        <v>1406</v>
      </c>
      <c r="C1127" s="623">
        <v>92802</v>
      </c>
      <c r="D1127" s="624"/>
    </row>
    <row r="1128" spans="2:4" x14ac:dyDescent="0.25">
      <c r="B1128" s="624" t="s">
        <v>2196</v>
      </c>
      <c r="C1128" s="623">
        <v>96081</v>
      </c>
      <c r="D1128" s="624"/>
    </row>
    <row r="1129" spans="2:4" x14ac:dyDescent="0.25">
      <c r="B1129" s="624" t="s">
        <v>1414</v>
      </c>
      <c r="C1129" s="623">
        <v>92901</v>
      </c>
      <c r="D1129" s="624"/>
    </row>
    <row r="1130" spans="2:4" x14ac:dyDescent="0.25">
      <c r="B1130" s="624" t="s">
        <v>1421</v>
      </c>
      <c r="C1130" s="623">
        <v>93001</v>
      </c>
      <c r="D1130" s="624"/>
    </row>
    <row r="1131" spans="2:4" x14ac:dyDescent="0.25">
      <c r="B1131" s="624" t="s">
        <v>1422</v>
      </c>
      <c r="C1131" s="623">
        <v>93009</v>
      </c>
      <c r="D1131" s="624"/>
    </row>
    <row r="1132" spans="2:4" x14ac:dyDescent="0.25">
      <c r="B1132" s="624" t="s">
        <v>2197</v>
      </c>
      <c r="C1132" s="623">
        <v>92921</v>
      </c>
      <c r="D1132" s="624"/>
    </row>
    <row r="1133" spans="2:4" x14ac:dyDescent="0.25">
      <c r="B1133" s="624" t="s">
        <v>2198</v>
      </c>
      <c r="C1133" s="623">
        <v>98621</v>
      </c>
      <c r="D1133" s="624"/>
    </row>
    <row r="1134" spans="2:4" x14ac:dyDescent="0.25">
      <c r="B1134" s="624" t="s">
        <v>1926</v>
      </c>
      <c r="C1134" s="623">
        <v>98627</v>
      </c>
      <c r="D1134" s="624"/>
    </row>
    <row r="1135" spans="2:4" x14ac:dyDescent="0.25">
      <c r="B1135" s="624" t="s">
        <v>2199</v>
      </c>
      <c r="C1135" s="623">
        <v>91221</v>
      </c>
      <c r="D1135" s="624"/>
    </row>
    <row r="1136" spans="2:4" x14ac:dyDescent="0.25">
      <c r="B1136" s="624" t="s">
        <v>2200</v>
      </c>
      <c r="C1136" s="623">
        <v>92861</v>
      </c>
      <c r="D1136" s="624"/>
    </row>
    <row r="1137" spans="2:4" x14ac:dyDescent="0.25">
      <c r="B1137" s="624" t="s">
        <v>2201</v>
      </c>
      <c r="C1137" s="623">
        <v>94311</v>
      </c>
      <c r="D1137" s="624"/>
    </row>
    <row r="1138" spans="2:4" x14ac:dyDescent="0.25">
      <c r="B1138" s="624" t="s">
        <v>1553</v>
      </c>
      <c r="C1138" s="623">
        <v>94317</v>
      </c>
      <c r="D1138" s="624"/>
    </row>
    <row r="1139" spans="2:4" x14ac:dyDescent="0.25">
      <c r="B1139" s="624" t="s">
        <v>1552</v>
      </c>
      <c r="C1139" s="623">
        <v>94313</v>
      </c>
      <c r="D1139" s="624"/>
    </row>
    <row r="1140" spans="2:4" x14ac:dyDescent="0.25">
      <c r="B1140" s="624" t="s">
        <v>1427</v>
      </c>
      <c r="C1140" s="623">
        <v>93101</v>
      </c>
      <c r="D1140" s="624"/>
    </row>
    <row r="1141" spans="2:4" x14ac:dyDescent="0.25">
      <c r="B1141" s="624" t="s">
        <v>2202</v>
      </c>
      <c r="C1141" s="623">
        <v>93103</v>
      </c>
      <c r="D1141" s="624"/>
    </row>
    <row r="1142" spans="2:4" x14ac:dyDescent="0.25">
      <c r="B1142" s="624" t="s">
        <v>1428</v>
      </c>
      <c r="C1142" s="623">
        <v>93108</v>
      </c>
      <c r="D1142" s="624"/>
    </row>
    <row r="1143" spans="2:4" x14ac:dyDescent="0.25">
      <c r="B1143" s="624" t="s">
        <v>2203</v>
      </c>
      <c r="C1143" s="623">
        <v>93211</v>
      </c>
      <c r="D1143" s="624"/>
    </row>
    <row r="1144" spans="2:4" x14ac:dyDescent="0.25">
      <c r="B1144" s="624" t="s">
        <v>1446</v>
      </c>
      <c r="C1144" s="623">
        <v>93212</v>
      </c>
      <c r="D1144" s="624"/>
    </row>
    <row r="1145" spans="2:4" x14ac:dyDescent="0.25">
      <c r="B1145" s="624" t="s">
        <v>1441</v>
      </c>
      <c r="C1145" s="623">
        <v>93201</v>
      </c>
      <c r="D1145" s="624"/>
    </row>
    <row r="1146" spans="2:4" x14ac:dyDescent="0.25">
      <c r="B1146" s="624" t="s">
        <v>1443</v>
      </c>
      <c r="C1146" s="623">
        <v>93204</v>
      </c>
      <c r="D1146" s="624"/>
    </row>
    <row r="1147" spans="2:4" x14ac:dyDescent="0.25">
      <c r="B1147" s="624" t="s">
        <v>1968</v>
      </c>
      <c r="C1147" s="623">
        <v>99212</v>
      </c>
      <c r="D1147" s="624"/>
    </row>
    <row r="1148" spans="2:4" x14ac:dyDescent="0.25">
      <c r="B1148" s="624" t="s">
        <v>1769</v>
      </c>
      <c r="C1148" s="623">
        <v>97005</v>
      </c>
      <c r="D1148" s="624"/>
    </row>
    <row r="1149" spans="2:4" x14ac:dyDescent="0.25">
      <c r="B1149" s="624" t="s">
        <v>2204</v>
      </c>
      <c r="C1149" s="623">
        <v>99931</v>
      </c>
      <c r="D1149" s="624"/>
    </row>
    <row r="1150" spans="2:4" x14ac:dyDescent="0.25">
      <c r="B1150" s="624" t="s">
        <v>2205</v>
      </c>
      <c r="C1150" s="623">
        <v>98021</v>
      </c>
      <c r="D1150" s="624"/>
    </row>
    <row r="1151" spans="2:4" x14ac:dyDescent="0.25">
      <c r="B1151" s="624" t="s">
        <v>1870</v>
      </c>
      <c r="C1151" s="623">
        <v>98023</v>
      </c>
      <c r="D1151" s="624"/>
    </row>
    <row r="1152" spans="2:4" x14ac:dyDescent="0.25">
      <c r="B1152" s="624" t="s">
        <v>1144</v>
      </c>
      <c r="C1152" s="623">
        <v>70505</v>
      </c>
      <c r="D1152" s="624"/>
    </row>
    <row r="1153" spans="2:4" x14ac:dyDescent="0.25">
      <c r="B1153" s="624" t="s">
        <v>2002</v>
      </c>
      <c r="C1153" s="623">
        <v>99603</v>
      </c>
      <c r="D1153" s="624"/>
    </row>
    <row r="1154" spans="2:4" x14ac:dyDescent="0.25">
      <c r="B1154" s="624" t="s">
        <v>2005</v>
      </c>
      <c r="C1154" s="623">
        <v>99610</v>
      </c>
      <c r="D1154" s="624"/>
    </row>
    <row r="1155" spans="2:4" x14ac:dyDescent="0.25">
      <c r="B1155" s="624" t="s">
        <v>2206</v>
      </c>
      <c r="C1155" s="623">
        <v>92681</v>
      </c>
      <c r="D1155" s="624"/>
    </row>
    <row r="1156" spans="2:4" x14ac:dyDescent="0.25">
      <c r="B1156" s="624" t="s">
        <v>2207</v>
      </c>
      <c r="C1156" s="623">
        <v>97951</v>
      </c>
      <c r="D1156" s="624"/>
    </row>
    <row r="1157" spans="2:4" x14ac:dyDescent="0.25">
      <c r="B1157" s="624" t="s">
        <v>1861</v>
      </c>
      <c r="C1157" s="623">
        <v>97957</v>
      </c>
      <c r="D1157" s="624"/>
    </row>
    <row r="1158" spans="2:4" x14ac:dyDescent="0.25">
      <c r="B1158" s="624" t="s">
        <v>2208</v>
      </c>
      <c r="C1158" s="623">
        <v>92111</v>
      </c>
      <c r="D1158" s="624"/>
    </row>
    <row r="1159" spans="2:4" x14ac:dyDescent="0.25">
      <c r="B1159" s="624" t="s">
        <v>1448</v>
      </c>
      <c r="C1159" s="623">
        <v>93301</v>
      </c>
      <c r="D1159" s="624"/>
    </row>
    <row r="1160" spans="2:4" x14ac:dyDescent="0.25">
      <c r="B1160" s="624" t="s">
        <v>1449</v>
      </c>
      <c r="C1160" s="623">
        <v>93304</v>
      </c>
      <c r="D1160" s="624"/>
    </row>
    <row r="1161" spans="2:4" x14ac:dyDescent="0.25">
      <c r="B1161" s="624" t="s">
        <v>1450</v>
      </c>
      <c r="C1161" s="623">
        <v>93305</v>
      </c>
      <c r="D1161" s="624"/>
    </row>
    <row r="1162" spans="2:4" x14ac:dyDescent="0.25">
      <c r="B1162" s="624" t="s">
        <v>1966</v>
      </c>
      <c r="C1162" s="623">
        <v>99210</v>
      </c>
      <c r="D1162" s="624"/>
    </row>
    <row r="1163" spans="2:4" x14ac:dyDescent="0.25">
      <c r="B1163" s="624" t="s">
        <v>1772</v>
      </c>
      <c r="C1163" s="623">
        <v>97011</v>
      </c>
      <c r="D1163" s="624"/>
    </row>
    <row r="1164" spans="2:4" x14ac:dyDescent="0.25">
      <c r="B1164" s="624" t="s">
        <v>1774</v>
      </c>
      <c r="C1164" s="623">
        <v>97013</v>
      </c>
      <c r="D1164" s="624"/>
    </row>
    <row r="1165" spans="2:4" x14ac:dyDescent="0.25">
      <c r="B1165" s="624" t="s">
        <v>1773</v>
      </c>
      <c r="C1165" s="623">
        <v>97012</v>
      </c>
      <c r="D1165" s="624"/>
    </row>
    <row r="1166" spans="2:4" x14ac:dyDescent="0.25">
      <c r="B1166" s="624" t="s">
        <v>1776</v>
      </c>
      <c r="C1166" s="623">
        <v>97018</v>
      </c>
      <c r="D1166" s="624"/>
    </row>
    <row r="1167" spans="2:4" x14ac:dyDescent="0.25">
      <c r="B1167" s="624" t="s">
        <v>2209</v>
      </c>
      <c r="C1167" s="623">
        <v>90911</v>
      </c>
      <c r="D1167" s="624"/>
    </row>
    <row r="1168" spans="2:4" x14ac:dyDescent="0.25">
      <c r="B1168" s="624" t="s">
        <v>1212</v>
      </c>
      <c r="C1168" s="623">
        <v>90917</v>
      </c>
      <c r="D1168" s="624"/>
    </row>
    <row r="1169" spans="2:4" x14ac:dyDescent="0.25">
      <c r="B1169" s="624" t="s">
        <v>2210</v>
      </c>
      <c r="C1169" s="623">
        <v>90641</v>
      </c>
      <c r="D1169" s="624"/>
    </row>
    <row r="1170" spans="2:4" x14ac:dyDescent="0.25">
      <c r="B1170" s="624" t="s">
        <v>2211</v>
      </c>
      <c r="C1170" s="623">
        <v>98641</v>
      </c>
      <c r="D1170" s="624"/>
    </row>
    <row r="1171" spans="2:4" x14ac:dyDescent="0.25">
      <c r="B1171" s="624" t="s">
        <v>1930</v>
      </c>
      <c r="C1171" s="623">
        <v>98647</v>
      </c>
      <c r="D1171" s="624"/>
    </row>
    <row r="1172" spans="2:4" x14ac:dyDescent="0.25">
      <c r="B1172" s="624" t="s">
        <v>2212</v>
      </c>
      <c r="C1172" s="623">
        <v>98161</v>
      </c>
      <c r="D1172" s="624"/>
    </row>
    <row r="1173" spans="2:4" x14ac:dyDescent="0.25">
      <c r="B1173" s="624" t="s">
        <v>2213</v>
      </c>
      <c r="C1173" s="623">
        <v>97731</v>
      </c>
      <c r="D1173" s="624"/>
    </row>
    <row r="1174" spans="2:4" x14ac:dyDescent="0.25">
      <c r="B1174" s="624" t="s">
        <v>2214</v>
      </c>
      <c r="C1174" s="623">
        <v>99851</v>
      </c>
      <c r="D1174" s="624"/>
    </row>
    <row r="1175" spans="2:4" x14ac:dyDescent="0.25">
      <c r="B1175" s="624" t="s">
        <v>2215</v>
      </c>
      <c r="C1175" s="623">
        <v>90131</v>
      </c>
      <c r="D1175" s="624"/>
    </row>
    <row r="1176" spans="2:4" x14ac:dyDescent="0.25">
      <c r="B1176" s="624" t="s">
        <v>2216</v>
      </c>
      <c r="C1176" s="623">
        <v>91651</v>
      </c>
      <c r="D1176" s="624"/>
    </row>
    <row r="1177" spans="2:4" x14ac:dyDescent="0.25">
      <c r="B1177" s="624" t="s">
        <v>2217</v>
      </c>
      <c r="C1177" s="623">
        <v>94211</v>
      </c>
      <c r="D1177" s="624"/>
    </row>
    <row r="1178" spans="2:4" x14ac:dyDescent="0.25">
      <c r="B1178" s="624" t="s">
        <v>2218</v>
      </c>
      <c r="C1178" s="623">
        <v>94331</v>
      </c>
      <c r="D1178" s="624"/>
    </row>
    <row r="1179" spans="2:4" x14ac:dyDescent="0.25">
      <c r="B1179" s="624" t="s">
        <v>2219</v>
      </c>
      <c r="C1179" s="623">
        <v>92431</v>
      </c>
      <c r="D1179" s="624"/>
    </row>
    <row r="1180" spans="2:4" x14ac:dyDescent="0.25">
      <c r="B1180" s="624" t="s">
        <v>2220</v>
      </c>
      <c r="C1180" s="623">
        <v>97821</v>
      </c>
      <c r="D1180" s="624"/>
    </row>
    <row r="1181" spans="2:4" x14ac:dyDescent="0.25">
      <c r="B1181" s="624" t="s">
        <v>1840</v>
      </c>
      <c r="C1181" s="623">
        <v>97823</v>
      </c>
      <c r="D1181" s="624"/>
    </row>
    <row r="1182" spans="2:4" x14ac:dyDescent="0.25">
      <c r="B1182" s="624" t="s">
        <v>2221</v>
      </c>
      <c r="C1182" s="623">
        <v>93141</v>
      </c>
      <c r="D1182" s="624"/>
    </row>
    <row r="1183" spans="2:4" x14ac:dyDescent="0.25">
      <c r="B1183" s="624" t="s">
        <v>2222</v>
      </c>
      <c r="C1183" s="623">
        <v>98081</v>
      </c>
      <c r="D1183" s="624"/>
    </row>
    <row r="1184" spans="2:4" x14ac:dyDescent="0.25">
      <c r="B1184" s="624" t="s">
        <v>2223</v>
      </c>
      <c r="C1184" s="623">
        <v>92671</v>
      </c>
      <c r="D1184" s="624"/>
    </row>
    <row r="1185" spans="2:4" x14ac:dyDescent="0.25">
      <c r="B1185" s="624" t="s">
        <v>2224</v>
      </c>
      <c r="C1185" s="623">
        <v>97421</v>
      </c>
      <c r="D1185" s="624"/>
    </row>
    <row r="1186" spans="2:4" x14ac:dyDescent="0.25">
      <c r="B1186" s="624" t="s">
        <v>1799</v>
      </c>
      <c r="C1186" s="623">
        <v>97423</v>
      </c>
      <c r="D1186" s="624"/>
    </row>
    <row r="1187" spans="2:4" x14ac:dyDescent="0.25">
      <c r="B1187" s="624" t="s">
        <v>2225</v>
      </c>
      <c r="C1187" s="623">
        <v>92611</v>
      </c>
      <c r="D1187" s="624"/>
    </row>
    <row r="1188" spans="2:4" x14ac:dyDescent="0.25">
      <c r="B1188" s="624" t="s">
        <v>1394</v>
      </c>
      <c r="C1188" s="623">
        <v>92613</v>
      </c>
      <c r="D1188" s="624"/>
    </row>
    <row r="1189" spans="2:4" x14ac:dyDescent="0.25">
      <c r="B1189" s="624" t="s">
        <v>1395</v>
      </c>
      <c r="C1189" s="623">
        <v>92614</v>
      </c>
      <c r="D1189" s="624"/>
    </row>
    <row r="1190" spans="2:4" x14ac:dyDescent="0.25">
      <c r="B1190" s="624" t="s">
        <v>1374</v>
      </c>
      <c r="C1190" s="623">
        <v>92502</v>
      </c>
      <c r="D1190" s="624"/>
    </row>
    <row r="1191" spans="2:4" x14ac:dyDescent="0.25">
      <c r="B1191" s="624" t="s">
        <v>2226</v>
      </c>
      <c r="C1191" s="623">
        <v>94531</v>
      </c>
      <c r="D1191" s="624"/>
    </row>
    <row r="1192" spans="2:4" x14ac:dyDescent="0.25">
      <c r="B1192" s="624" t="s">
        <v>2227</v>
      </c>
      <c r="C1192" s="623">
        <v>94541</v>
      </c>
      <c r="D1192" s="624"/>
    </row>
    <row r="1193" spans="2:4" x14ac:dyDescent="0.25">
      <c r="B1193" s="624" t="s">
        <v>1578</v>
      </c>
      <c r="C1193" s="623">
        <v>94547</v>
      </c>
      <c r="D1193" s="624"/>
    </row>
    <row r="1194" spans="2:4" x14ac:dyDescent="0.25">
      <c r="B1194" s="624" t="s">
        <v>1604</v>
      </c>
      <c r="C1194" s="623">
        <v>95005</v>
      </c>
      <c r="D1194" s="624"/>
    </row>
    <row r="1195" spans="2:4" x14ac:dyDescent="0.25">
      <c r="B1195" s="624" t="s">
        <v>1883</v>
      </c>
      <c r="C1195" s="623">
        <v>98111</v>
      </c>
      <c r="D1195" s="624"/>
    </row>
    <row r="1196" spans="2:4" x14ac:dyDescent="0.25">
      <c r="B1196" s="624" t="s">
        <v>1881</v>
      </c>
      <c r="C1196" s="623">
        <v>98107</v>
      </c>
      <c r="D1196" s="624"/>
    </row>
    <row r="1197" spans="2:4" x14ac:dyDescent="0.25">
      <c r="B1197" s="624" t="s">
        <v>1884</v>
      </c>
      <c r="C1197" s="623">
        <v>98113</v>
      </c>
      <c r="D1197" s="624"/>
    </row>
    <row r="1198" spans="2:4" x14ac:dyDescent="0.25">
      <c r="B1198" s="624" t="s">
        <v>2001</v>
      </c>
      <c r="C1198" s="623">
        <v>99602</v>
      </c>
      <c r="D1198" s="624"/>
    </row>
    <row r="1199" spans="2:4" x14ac:dyDescent="0.25">
      <c r="B1199" s="624" t="s">
        <v>1460</v>
      </c>
      <c r="C1199" s="623">
        <v>93401</v>
      </c>
      <c r="D1199" s="624"/>
    </row>
    <row r="1200" spans="2:4" x14ac:dyDescent="0.25">
      <c r="B1200" s="624" t="s">
        <v>1463</v>
      </c>
      <c r="C1200" s="623">
        <v>93408</v>
      </c>
      <c r="D1200" s="624"/>
    </row>
    <row r="1201" spans="2:4" x14ac:dyDescent="0.25">
      <c r="B1201" s="624" t="s">
        <v>2228</v>
      </c>
      <c r="C1201" s="623">
        <v>97491</v>
      </c>
      <c r="D1201" s="624"/>
    </row>
    <row r="1202" spans="2:4" x14ac:dyDescent="0.25">
      <c r="B1202" s="624" t="s">
        <v>2229</v>
      </c>
      <c r="C1202" s="623">
        <v>95151</v>
      </c>
      <c r="D1202" s="624"/>
    </row>
    <row r="1203" spans="2:4" x14ac:dyDescent="0.25">
      <c r="B1203" s="624" t="s">
        <v>1713</v>
      </c>
      <c r="C1203" s="623">
        <v>96381</v>
      </c>
      <c r="D1203" s="624"/>
    </row>
    <row r="1204" spans="2:4" x14ac:dyDescent="0.25">
      <c r="B1204" s="624" t="s">
        <v>2230</v>
      </c>
      <c r="C1204" s="623">
        <v>95611</v>
      </c>
      <c r="D1204" s="624"/>
    </row>
    <row r="1205" spans="2:4" x14ac:dyDescent="0.25">
      <c r="B1205" s="624" t="s">
        <v>1474</v>
      </c>
      <c r="C1205" s="623">
        <v>93501</v>
      </c>
      <c r="D1205" s="624"/>
    </row>
    <row r="1206" spans="2:4" x14ac:dyDescent="0.25">
      <c r="B1206" s="624" t="s">
        <v>2231</v>
      </c>
      <c r="C1206" s="623">
        <v>93511</v>
      </c>
      <c r="D1206" s="624"/>
    </row>
    <row r="1207" spans="2:4" x14ac:dyDescent="0.25">
      <c r="B1207" s="624" t="s">
        <v>1476</v>
      </c>
      <c r="C1207" s="623">
        <v>93517</v>
      </c>
      <c r="D1207" s="624"/>
    </row>
    <row r="1208" spans="2:4" x14ac:dyDescent="0.25">
      <c r="B1208" s="624" t="s">
        <v>2232</v>
      </c>
      <c r="C1208" s="623">
        <v>99631</v>
      </c>
      <c r="D1208" s="624"/>
    </row>
    <row r="1209" spans="2:4" x14ac:dyDescent="0.25">
      <c r="B1209" s="624" t="s">
        <v>2233</v>
      </c>
      <c r="C1209" s="623">
        <v>99261</v>
      </c>
      <c r="D1209" s="624"/>
    </row>
    <row r="1210" spans="2:4" x14ac:dyDescent="0.25">
      <c r="B1210" s="624" t="s">
        <v>2234</v>
      </c>
      <c r="C1210" s="623">
        <v>98241</v>
      </c>
      <c r="D1210" s="624"/>
    </row>
    <row r="1211" spans="2:4" x14ac:dyDescent="0.25">
      <c r="B1211" s="624" t="s">
        <v>2235</v>
      </c>
      <c r="C1211" s="623">
        <v>99251</v>
      </c>
      <c r="D1211" s="624"/>
    </row>
    <row r="1212" spans="2:4" x14ac:dyDescent="0.25">
      <c r="B1212" s="624" t="s">
        <v>1976</v>
      </c>
      <c r="C1212" s="623">
        <v>99252</v>
      </c>
      <c r="D1212" s="624"/>
    </row>
    <row r="1213" spans="2:4" x14ac:dyDescent="0.25">
      <c r="B1213" s="624" t="s">
        <v>2236</v>
      </c>
      <c r="C1213" s="623">
        <v>96631</v>
      </c>
      <c r="D1213" s="624"/>
    </row>
    <row r="1214" spans="2:4" x14ac:dyDescent="0.25">
      <c r="B1214" s="624" t="s">
        <v>2237</v>
      </c>
      <c r="C1214" s="623">
        <v>96651</v>
      </c>
      <c r="D1214" s="624"/>
    </row>
    <row r="1215" spans="2:4" x14ac:dyDescent="0.25">
      <c r="B1215" s="624" t="s">
        <v>1488</v>
      </c>
      <c r="C1215" s="623">
        <v>93618</v>
      </c>
      <c r="D1215" s="624"/>
    </row>
    <row r="1216" spans="2:4" x14ac:dyDescent="0.25">
      <c r="B1216" s="624" t="s">
        <v>1482</v>
      </c>
      <c r="C1216" s="623">
        <v>93601</v>
      </c>
      <c r="D1216" s="624"/>
    </row>
    <row r="1217" spans="2:4" x14ac:dyDescent="0.25">
      <c r="B1217" s="624" t="s">
        <v>2238</v>
      </c>
      <c r="C1217" s="623">
        <v>93611</v>
      </c>
      <c r="D1217" s="624"/>
    </row>
    <row r="1218" spans="2:4" x14ac:dyDescent="0.25">
      <c r="B1218" s="624" t="s">
        <v>1487</v>
      </c>
      <c r="C1218" s="623">
        <v>93617</v>
      </c>
      <c r="D1218" s="624"/>
    </row>
    <row r="1219" spans="2:4" x14ac:dyDescent="0.25">
      <c r="B1219" s="624" t="s">
        <v>1484</v>
      </c>
      <c r="C1219" s="623">
        <v>93609</v>
      </c>
      <c r="D1219" s="624"/>
    </row>
    <row r="1220" spans="2:4" x14ac:dyDescent="0.25">
      <c r="B1220" s="624" t="s">
        <v>1500</v>
      </c>
      <c r="C1220" s="623">
        <v>93701</v>
      </c>
      <c r="D1220" s="624"/>
    </row>
    <row r="1221" spans="2:4" x14ac:dyDescent="0.25">
      <c r="B1221" s="624" t="s">
        <v>1501</v>
      </c>
      <c r="C1221" s="623">
        <v>93704</v>
      </c>
      <c r="D1221" s="624"/>
    </row>
    <row r="1222" spans="2:4" x14ac:dyDescent="0.25">
      <c r="B1222" s="624" t="s">
        <v>2239</v>
      </c>
      <c r="C1222" s="623">
        <v>98331</v>
      </c>
      <c r="D1222" s="624"/>
    </row>
    <row r="1223" spans="2:4" x14ac:dyDescent="0.25">
      <c r="B1223" s="624" t="s">
        <v>2240</v>
      </c>
      <c r="C1223" s="623">
        <v>94151</v>
      </c>
      <c r="D1223" s="624"/>
    </row>
    <row r="1224" spans="2:4" x14ac:dyDescent="0.25">
      <c r="B1224" s="624" t="s">
        <v>1535</v>
      </c>
      <c r="C1224" s="623">
        <v>94157</v>
      </c>
      <c r="D1224" s="624"/>
    </row>
    <row r="1225" spans="2:4" x14ac:dyDescent="0.25">
      <c r="B1225" s="624" t="s">
        <v>2241</v>
      </c>
      <c r="C1225" s="623">
        <v>91241</v>
      </c>
      <c r="D1225" s="624"/>
    </row>
    <row r="1226" spans="2:4" x14ac:dyDescent="0.25">
      <c r="B1226" s="624" t="s">
        <v>1640</v>
      </c>
      <c r="C1226" s="623">
        <v>95412</v>
      </c>
      <c r="D1226" s="624"/>
    </row>
    <row r="1227" spans="2:4" x14ac:dyDescent="0.25">
      <c r="B1227" s="624" t="s">
        <v>2242</v>
      </c>
      <c r="C1227" s="623">
        <v>99611</v>
      </c>
      <c r="D1227" s="624"/>
    </row>
    <row r="1228" spans="2:4" x14ac:dyDescent="0.25">
      <c r="B1228" s="624" t="s">
        <v>1337</v>
      </c>
      <c r="C1228" s="623">
        <v>91908</v>
      </c>
      <c r="D1228" s="624"/>
    </row>
    <row r="1229" spans="2:4" x14ac:dyDescent="0.25">
      <c r="B1229" s="624" t="s">
        <v>2243</v>
      </c>
      <c r="C1229" s="623">
        <v>90121</v>
      </c>
      <c r="D1229" s="624"/>
    </row>
    <row r="1230" spans="2:4" x14ac:dyDescent="0.25">
      <c r="B1230" s="624" t="s">
        <v>1502</v>
      </c>
      <c r="C1230" s="623">
        <v>93801</v>
      </c>
      <c r="D1230" s="624"/>
    </row>
    <row r="1231" spans="2:4" x14ac:dyDescent="0.25">
      <c r="B1231" s="624" t="s">
        <v>1503</v>
      </c>
      <c r="C1231" s="623">
        <v>93803</v>
      </c>
      <c r="D1231" s="624"/>
    </row>
    <row r="1232" spans="2:4" x14ac:dyDescent="0.25">
      <c r="B1232" s="624" t="s">
        <v>1504</v>
      </c>
      <c r="C1232" s="623">
        <v>93806</v>
      </c>
      <c r="D1232" s="624"/>
    </row>
    <row r="1233" spans="2:4" x14ac:dyDescent="0.25">
      <c r="B1233" s="624" t="s">
        <v>2244</v>
      </c>
      <c r="C1233" s="623">
        <v>91411</v>
      </c>
      <c r="D1233" s="624"/>
    </row>
    <row r="1234" spans="2:4" x14ac:dyDescent="0.25">
      <c r="B1234" s="624" t="s">
        <v>1293</v>
      </c>
      <c r="C1234" s="623">
        <v>91417</v>
      </c>
      <c r="D1234" s="624"/>
    </row>
    <row r="1235" spans="2:4" x14ac:dyDescent="0.25">
      <c r="B1235" s="624" t="s">
        <v>2245</v>
      </c>
      <c r="C1235" s="623">
        <v>98061</v>
      </c>
      <c r="D1235" s="624"/>
    </row>
    <row r="1236" spans="2:4" x14ac:dyDescent="0.25">
      <c r="B1236" s="624" t="s">
        <v>1506</v>
      </c>
      <c r="C1236" s="623">
        <v>93901</v>
      </c>
      <c r="D1236" s="624"/>
    </row>
    <row r="1237" spans="2:4" x14ac:dyDescent="0.25">
      <c r="B1237" s="624" t="s">
        <v>1507</v>
      </c>
      <c r="C1237" s="623">
        <v>93904</v>
      </c>
      <c r="D1237" s="624"/>
    </row>
    <row r="1238" spans="2:4" x14ac:dyDescent="0.25">
      <c r="B1238" s="624" t="s">
        <v>1508</v>
      </c>
      <c r="C1238" s="623">
        <v>93906</v>
      </c>
      <c r="D1238" s="624"/>
    </row>
    <row r="1239" spans="2:4" x14ac:dyDescent="0.25">
      <c r="B1239" s="624" t="s">
        <v>1509</v>
      </c>
      <c r="C1239" s="623">
        <v>93908</v>
      </c>
      <c r="D1239" s="624"/>
    </row>
    <row r="1240" spans="2:4" x14ac:dyDescent="0.25">
      <c r="B1240" s="624" t="s">
        <v>1594</v>
      </c>
      <c r="C1240" s="623">
        <v>94908</v>
      </c>
      <c r="D1240" s="624"/>
    </row>
    <row r="1241" spans="2:4" x14ac:dyDescent="0.25">
      <c r="B1241" s="624" t="s">
        <v>2246</v>
      </c>
      <c r="C1241" s="623">
        <v>90161</v>
      </c>
      <c r="D1241" s="624"/>
    </row>
    <row r="1242" spans="2:4" x14ac:dyDescent="0.25">
      <c r="B1242" s="624" t="s">
        <v>1516</v>
      </c>
      <c r="C1242" s="623">
        <v>94001</v>
      </c>
      <c r="D1242" s="624"/>
    </row>
    <row r="1243" spans="2:4" x14ac:dyDescent="0.25">
      <c r="B1243" s="624" t="s">
        <v>1518</v>
      </c>
      <c r="C1243" s="623">
        <v>94004</v>
      </c>
      <c r="D1243" s="624"/>
    </row>
    <row r="1244" spans="2:4" x14ac:dyDescent="0.25">
      <c r="B1244" s="624" t="s">
        <v>2247</v>
      </c>
      <c r="C1244" s="623">
        <v>94111</v>
      </c>
      <c r="D1244" s="624"/>
    </row>
    <row r="1245" spans="2:4" x14ac:dyDescent="0.25">
      <c r="B1245" s="624" t="s">
        <v>1529</v>
      </c>
      <c r="C1245" s="623">
        <v>94117</v>
      </c>
      <c r="D1245" s="624"/>
    </row>
    <row r="1246" spans="2:4" x14ac:dyDescent="0.25">
      <c r="B1246" s="624" t="s">
        <v>2248</v>
      </c>
      <c r="C1246" s="623">
        <v>97411</v>
      </c>
      <c r="D1246" s="624"/>
    </row>
    <row r="1247" spans="2:4" x14ac:dyDescent="0.25">
      <c r="B1247" s="624" t="s">
        <v>1797</v>
      </c>
      <c r="C1247" s="623">
        <v>97413</v>
      </c>
      <c r="D1247" s="624"/>
    </row>
    <row r="1248" spans="2:4" x14ac:dyDescent="0.25">
      <c r="B1248" s="624" t="s">
        <v>1796</v>
      </c>
      <c r="C1248" s="623">
        <v>97412</v>
      </c>
      <c r="D1248" s="624"/>
    </row>
    <row r="1249" spans="2:4" x14ac:dyDescent="0.25">
      <c r="B1249" s="624" t="s">
        <v>2249</v>
      </c>
      <c r="C1249" s="623">
        <v>97431</v>
      </c>
      <c r="D1249" s="624"/>
    </row>
    <row r="1250" spans="2:4" x14ac:dyDescent="0.25">
      <c r="B1250" s="624" t="s">
        <v>2250</v>
      </c>
      <c r="C1250" s="623">
        <v>97471</v>
      </c>
      <c r="D1250" s="624"/>
    </row>
    <row r="1251" spans="2:4" x14ac:dyDescent="0.25">
      <c r="B1251" s="624" t="s">
        <v>2251</v>
      </c>
      <c r="C1251" s="623">
        <v>92351</v>
      </c>
      <c r="D1251" s="624"/>
    </row>
    <row r="1252" spans="2:4" x14ac:dyDescent="0.25">
      <c r="B1252" s="624" t="s">
        <v>2252</v>
      </c>
      <c r="C1252" s="623">
        <v>94101</v>
      </c>
      <c r="D1252" s="624"/>
    </row>
    <row r="1253" spans="2:4" x14ac:dyDescent="0.25">
      <c r="B1253" s="624" t="s">
        <v>1530</v>
      </c>
      <c r="C1253" s="623">
        <v>94118</v>
      </c>
      <c r="D1253" s="624"/>
    </row>
    <row r="1254" spans="2:4" x14ac:dyDescent="0.25">
      <c r="B1254" s="624" t="s">
        <v>1524</v>
      </c>
      <c r="C1254" s="623">
        <v>94102</v>
      </c>
      <c r="D1254" s="624"/>
    </row>
    <row r="1255" spans="2:4" x14ac:dyDescent="0.25">
      <c r="B1255" s="624" t="s">
        <v>1540</v>
      </c>
      <c r="C1255" s="623">
        <v>94201</v>
      </c>
      <c r="D1255" s="624"/>
    </row>
    <row r="1256" spans="2:4" x14ac:dyDescent="0.25">
      <c r="B1256" s="624" t="s">
        <v>1541</v>
      </c>
      <c r="C1256" s="623">
        <v>94204</v>
      </c>
      <c r="D1256" s="624"/>
    </row>
    <row r="1257" spans="2:4" x14ac:dyDescent="0.25">
      <c r="B1257" s="624" t="s">
        <v>1542</v>
      </c>
      <c r="C1257" s="623">
        <v>94205</v>
      </c>
      <c r="D1257" s="624"/>
    </row>
    <row r="1258" spans="2:4" x14ac:dyDescent="0.25">
      <c r="B1258" s="624" t="s">
        <v>2253</v>
      </c>
      <c r="C1258" s="623">
        <v>95831</v>
      </c>
      <c r="D1258" s="624"/>
    </row>
    <row r="1259" spans="2:4" x14ac:dyDescent="0.25">
      <c r="B1259" s="624" t="s">
        <v>2254</v>
      </c>
      <c r="C1259" s="623">
        <v>97721</v>
      </c>
      <c r="D1259" s="624"/>
    </row>
    <row r="1260" spans="2:4" x14ac:dyDescent="0.25">
      <c r="B1260" s="624" t="s">
        <v>1828</v>
      </c>
      <c r="C1260" s="623">
        <v>97717</v>
      </c>
      <c r="D1260" s="624"/>
    </row>
    <row r="1261" spans="2:4" x14ac:dyDescent="0.25">
      <c r="B1261" s="624" t="s">
        <v>1550</v>
      </c>
      <c r="C1261" s="623">
        <v>94301</v>
      </c>
      <c r="D1261" s="624"/>
    </row>
    <row r="1262" spans="2:4" x14ac:dyDescent="0.25">
      <c r="B1262" s="624" t="s">
        <v>2255</v>
      </c>
      <c r="C1262" s="623">
        <v>91441</v>
      </c>
      <c r="D1262" s="624"/>
    </row>
    <row r="1263" spans="2:4" x14ac:dyDescent="0.25">
      <c r="B1263" s="624" t="s">
        <v>2256</v>
      </c>
      <c r="C1263" s="623">
        <v>92531</v>
      </c>
      <c r="D1263" s="624"/>
    </row>
    <row r="1264" spans="2:4" x14ac:dyDescent="0.25">
      <c r="B1264" s="624" t="s">
        <v>2257</v>
      </c>
      <c r="C1264" s="623">
        <v>90141</v>
      </c>
      <c r="D1264" s="624"/>
    </row>
    <row r="1265" spans="2:4" x14ac:dyDescent="0.25">
      <c r="B1265" s="624" t="s">
        <v>1559</v>
      </c>
      <c r="C1265" s="623">
        <v>94401</v>
      </c>
      <c r="D1265" s="624"/>
    </row>
    <row r="1266" spans="2:4" x14ac:dyDescent="0.25">
      <c r="B1266" s="624" t="s">
        <v>1560</v>
      </c>
      <c r="C1266" s="623">
        <v>94402</v>
      </c>
      <c r="D1266" s="624"/>
    </row>
    <row r="1267" spans="2:4" x14ac:dyDescent="0.25">
      <c r="B1267" s="624" t="s">
        <v>2258</v>
      </c>
      <c r="C1267" s="623">
        <v>99111</v>
      </c>
      <c r="D1267" s="624"/>
    </row>
    <row r="1268" spans="2:4" x14ac:dyDescent="0.25">
      <c r="B1268" s="624" t="s">
        <v>1569</v>
      </c>
      <c r="C1268" s="623">
        <v>94501</v>
      </c>
      <c r="D1268" s="624"/>
    </row>
    <row r="1269" spans="2:4" x14ac:dyDescent="0.25">
      <c r="B1269" s="624" t="s">
        <v>2259</v>
      </c>
      <c r="C1269" s="623">
        <v>94511</v>
      </c>
      <c r="D1269" s="624"/>
    </row>
    <row r="1270" spans="2:4" x14ac:dyDescent="0.25">
      <c r="B1270" s="624" t="s">
        <v>1572</v>
      </c>
      <c r="C1270" s="623">
        <v>94517</v>
      </c>
      <c r="D1270" s="624"/>
    </row>
    <row r="1271" spans="2:4" x14ac:dyDescent="0.25">
      <c r="B1271" s="624" t="s">
        <v>1571</v>
      </c>
      <c r="C1271" s="623">
        <v>94512</v>
      </c>
      <c r="D1271" s="624"/>
    </row>
    <row r="1272" spans="2:4" x14ac:dyDescent="0.25">
      <c r="B1272" s="624" t="s">
        <v>2260</v>
      </c>
      <c r="C1272" s="623">
        <v>97211</v>
      </c>
      <c r="D1272" s="624"/>
    </row>
    <row r="1273" spans="2:4" x14ac:dyDescent="0.25">
      <c r="B1273" s="624" t="s">
        <v>1785</v>
      </c>
      <c r="C1273" s="623">
        <v>97217</v>
      </c>
      <c r="D1273" s="624"/>
    </row>
    <row r="1274" spans="2:4" x14ac:dyDescent="0.25">
      <c r="B1274" s="624" t="s">
        <v>1580</v>
      </c>
      <c r="C1274" s="623">
        <v>94601</v>
      </c>
      <c r="D1274" s="624"/>
    </row>
    <row r="1275" spans="2:4" x14ac:dyDescent="0.25">
      <c r="B1275" s="624" t="s">
        <v>1581</v>
      </c>
      <c r="C1275" s="623">
        <v>94604</v>
      </c>
      <c r="D1275" s="624"/>
    </row>
    <row r="1276" spans="2:4" x14ac:dyDescent="0.25">
      <c r="B1276" s="624" t="s">
        <v>1582</v>
      </c>
      <c r="C1276" s="623">
        <v>94606</v>
      </c>
      <c r="D1276" s="624"/>
    </row>
    <row r="1277" spans="2:4" x14ac:dyDescent="0.25">
      <c r="B1277" s="624" t="s">
        <v>1784</v>
      </c>
      <c r="C1277" s="623">
        <v>97213</v>
      </c>
      <c r="D1277" s="624"/>
    </row>
    <row r="1278" spans="2:4" x14ac:dyDescent="0.25">
      <c r="B1278" s="624" t="s">
        <v>2261</v>
      </c>
      <c r="C1278" s="623">
        <v>91811</v>
      </c>
      <c r="D1278" s="624"/>
    </row>
    <row r="1279" spans="2:4" x14ac:dyDescent="0.25">
      <c r="B1279" s="624" t="s">
        <v>1324</v>
      </c>
      <c r="C1279" s="623">
        <v>91813</v>
      </c>
      <c r="D1279" s="624"/>
    </row>
    <row r="1280" spans="2:4" x14ac:dyDescent="0.25">
      <c r="B1280" s="624" t="s">
        <v>1323</v>
      </c>
      <c r="C1280" s="623">
        <v>91812</v>
      </c>
      <c r="D1280" s="624"/>
    </row>
    <row r="1281" spans="2:4" x14ac:dyDescent="0.25">
      <c r="B1281" s="624" t="s">
        <v>1188</v>
      </c>
      <c r="C1281" s="623">
        <v>90617</v>
      </c>
      <c r="D1281" s="624"/>
    </row>
    <row r="1282" spans="2:4" x14ac:dyDescent="0.25">
      <c r="B1282" s="624" t="s">
        <v>2262</v>
      </c>
      <c r="C1282" s="623">
        <v>94121</v>
      </c>
      <c r="D1282" s="624"/>
    </row>
    <row r="1283" spans="2:4" x14ac:dyDescent="0.25">
      <c r="B1283" s="624" t="s">
        <v>1532</v>
      </c>
      <c r="C1283" s="623">
        <v>94127</v>
      </c>
      <c r="D1283" s="624"/>
    </row>
    <row r="1284" spans="2:4" x14ac:dyDescent="0.25">
      <c r="B1284" s="624" t="s">
        <v>2263</v>
      </c>
      <c r="C1284" s="623">
        <v>95621</v>
      </c>
      <c r="D1284" s="624"/>
    </row>
    <row r="1285" spans="2:4" x14ac:dyDescent="0.25">
      <c r="B1285" s="624" t="s">
        <v>1652</v>
      </c>
      <c r="C1285" s="623">
        <v>95617</v>
      </c>
      <c r="D1285" s="624"/>
    </row>
    <row r="1286" spans="2:4" x14ac:dyDescent="0.25">
      <c r="B1286" s="624" t="s">
        <v>2264</v>
      </c>
      <c r="C1286" s="623">
        <v>91251</v>
      </c>
      <c r="D1286" s="624"/>
    </row>
    <row r="1287" spans="2:4" x14ac:dyDescent="0.25">
      <c r="B1287" s="624" t="s">
        <v>2265</v>
      </c>
      <c r="C1287" s="623">
        <v>96831</v>
      </c>
      <c r="D1287" s="624"/>
    </row>
    <row r="1288" spans="2:4" x14ac:dyDescent="0.25">
      <c r="B1288" s="624" t="s">
        <v>2266</v>
      </c>
      <c r="C1288" s="623">
        <v>94251</v>
      </c>
      <c r="D1288" s="624"/>
    </row>
    <row r="1289" spans="2:4" x14ac:dyDescent="0.25">
      <c r="B1289" s="624" t="s">
        <v>1587</v>
      </c>
      <c r="C1289" s="623">
        <v>94701</v>
      </c>
      <c r="D1289" s="624"/>
    </row>
    <row r="1290" spans="2:4" x14ac:dyDescent="0.25">
      <c r="B1290" s="624" t="s">
        <v>1588</v>
      </c>
      <c r="C1290" s="623">
        <v>94704</v>
      </c>
      <c r="D1290" s="624"/>
    </row>
    <row r="1291" spans="2:4" x14ac:dyDescent="0.25">
      <c r="B1291" s="624" t="s">
        <v>2267</v>
      </c>
      <c r="C1291" s="623">
        <v>91014</v>
      </c>
      <c r="D1291" s="624"/>
    </row>
    <row r="1292" spans="2:4" x14ac:dyDescent="0.25">
      <c r="B1292" s="624" t="s">
        <v>2268</v>
      </c>
      <c r="C1292" s="623">
        <v>96731</v>
      </c>
      <c r="D1292" s="624"/>
    </row>
    <row r="1293" spans="2:4" x14ac:dyDescent="0.25">
      <c r="B1293" s="624" t="s">
        <v>1753</v>
      </c>
      <c r="C1293" s="623">
        <v>96733</v>
      </c>
      <c r="D1293" s="624"/>
    </row>
    <row r="1294" spans="2:4" x14ac:dyDescent="0.25">
      <c r="B1294" s="624" t="s">
        <v>2269</v>
      </c>
      <c r="C1294" s="623">
        <v>99202</v>
      </c>
      <c r="D1294" s="624"/>
    </row>
    <row r="1295" spans="2:4" x14ac:dyDescent="0.25">
      <c r="B1295" s="624" t="s">
        <v>2270</v>
      </c>
      <c r="C1295" s="623">
        <v>94011</v>
      </c>
      <c r="D1295" s="624"/>
    </row>
    <row r="1296" spans="2:4" x14ac:dyDescent="0.25">
      <c r="B1296" s="624" t="s">
        <v>2271</v>
      </c>
      <c r="C1296" s="623">
        <v>92631</v>
      </c>
      <c r="D1296" s="624"/>
    </row>
    <row r="1297" spans="2:4" x14ac:dyDescent="0.25">
      <c r="B1297" s="624" t="s">
        <v>1657</v>
      </c>
      <c r="C1297" s="623">
        <v>95733</v>
      </c>
      <c r="D1297" s="624"/>
    </row>
    <row r="1298" spans="2:4" x14ac:dyDescent="0.25">
      <c r="B1298" s="624" t="s">
        <v>2007</v>
      </c>
      <c r="C1298" s="623">
        <v>99613</v>
      </c>
      <c r="D1298" s="624"/>
    </row>
    <row r="1299" spans="2:4" x14ac:dyDescent="0.25">
      <c r="B1299" s="624" t="s">
        <v>2272</v>
      </c>
      <c r="C1299" s="623">
        <v>91431</v>
      </c>
      <c r="D1299" s="624"/>
    </row>
    <row r="1300" spans="2:4" x14ac:dyDescent="0.25">
      <c r="B1300" s="624" t="s">
        <v>2273</v>
      </c>
      <c r="C1300" s="623">
        <v>96041</v>
      </c>
      <c r="D1300" s="624"/>
    </row>
    <row r="1301" spans="2:4" x14ac:dyDescent="0.25">
      <c r="B1301" s="624" t="s">
        <v>1590</v>
      </c>
      <c r="C1301" s="623">
        <v>94801</v>
      </c>
      <c r="D1301" s="624"/>
    </row>
    <row r="1302" spans="2:4" x14ac:dyDescent="0.25">
      <c r="B1302" s="624" t="s">
        <v>1591</v>
      </c>
      <c r="C1302" s="623">
        <v>94804</v>
      </c>
      <c r="D1302" s="624"/>
    </row>
    <row r="1303" spans="2:4" x14ac:dyDescent="0.25">
      <c r="B1303" s="624" t="s">
        <v>2274</v>
      </c>
      <c r="C1303" s="623">
        <v>91661</v>
      </c>
      <c r="D1303" s="624"/>
    </row>
    <row r="1304" spans="2:4" x14ac:dyDescent="0.25">
      <c r="B1304" s="624" t="s">
        <v>2275</v>
      </c>
      <c r="C1304" s="623">
        <v>99051</v>
      </c>
      <c r="D1304" s="624"/>
    </row>
    <row r="1305" spans="2:4" x14ac:dyDescent="0.25">
      <c r="B1305" s="624" t="s">
        <v>1593</v>
      </c>
      <c r="C1305" s="623">
        <v>94901</v>
      </c>
      <c r="D1305" s="624"/>
    </row>
    <row r="1306" spans="2:4" x14ac:dyDescent="0.25">
      <c r="B1306" s="624" t="s">
        <v>1882</v>
      </c>
      <c r="C1306" s="623">
        <v>98109</v>
      </c>
      <c r="D1306" s="624"/>
    </row>
    <row r="1307" spans="2:4" x14ac:dyDescent="0.25">
      <c r="B1307" s="624" t="s">
        <v>1891</v>
      </c>
      <c r="C1307" s="623">
        <v>98205</v>
      </c>
      <c r="D1307" s="624"/>
    </row>
    <row r="1308" spans="2:4" x14ac:dyDescent="0.25">
      <c r="B1308" s="624" t="s">
        <v>2276</v>
      </c>
      <c r="C1308" s="623">
        <v>96661</v>
      </c>
      <c r="D1308" s="624"/>
    </row>
    <row r="1309" spans="2:4" x14ac:dyDescent="0.25">
      <c r="B1309" s="624" t="s">
        <v>1602</v>
      </c>
      <c r="C1309" s="623">
        <v>95001</v>
      </c>
      <c r="D1309" s="624"/>
    </row>
    <row r="1310" spans="2:4" x14ac:dyDescent="0.25">
      <c r="B1310" s="624" t="s">
        <v>2277</v>
      </c>
      <c r="C1310" s="623">
        <v>96711</v>
      </c>
      <c r="D1310" s="624"/>
    </row>
    <row r="1311" spans="2:4" x14ac:dyDescent="0.25">
      <c r="B1311" s="624" t="s">
        <v>2278</v>
      </c>
      <c r="C1311" s="623">
        <v>94131</v>
      </c>
      <c r="D1311" s="624"/>
    </row>
    <row r="1312" spans="2:4" x14ac:dyDescent="0.25">
      <c r="B1312" s="624" t="s">
        <v>2279</v>
      </c>
      <c r="C1312" s="623">
        <v>95841</v>
      </c>
      <c r="D1312" s="624"/>
    </row>
    <row r="1313" spans="2:4" x14ac:dyDescent="0.25">
      <c r="B1313" s="624" t="s">
        <v>2280</v>
      </c>
      <c r="C1313" s="623">
        <v>90511</v>
      </c>
      <c r="D1313" s="624"/>
    </row>
    <row r="1314" spans="2:4" x14ac:dyDescent="0.25">
      <c r="B1314" s="624" t="s">
        <v>1609</v>
      </c>
      <c r="C1314" s="623">
        <v>95101</v>
      </c>
      <c r="D1314" s="624"/>
    </row>
    <row r="1315" spans="2:4" x14ac:dyDescent="0.25">
      <c r="B1315" s="624" t="s">
        <v>1611</v>
      </c>
      <c r="C1315" s="623">
        <v>95104</v>
      </c>
      <c r="D1315" s="624"/>
    </row>
    <row r="1316" spans="2:4" x14ac:dyDescent="0.25">
      <c r="B1316" s="624" t="s">
        <v>1614</v>
      </c>
      <c r="C1316" s="623">
        <v>95110</v>
      </c>
      <c r="D1316" s="624"/>
    </row>
    <row r="1317" spans="2:4" x14ac:dyDescent="0.25">
      <c r="B1317" s="624" t="s">
        <v>1612</v>
      </c>
      <c r="C1317" s="623">
        <v>95105</v>
      </c>
      <c r="D1317" s="624"/>
    </row>
    <row r="1318" spans="2:4" x14ac:dyDescent="0.25">
      <c r="B1318" s="624" t="s">
        <v>1627</v>
      </c>
      <c r="C1318" s="623">
        <v>95201</v>
      </c>
      <c r="D1318" s="624"/>
    </row>
    <row r="1319" spans="2:4" x14ac:dyDescent="0.25">
      <c r="B1319" s="624" t="s">
        <v>1628</v>
      </c>
      <c r="C1319" s="623">
        <v>95204</v>
      </c>
      <c r="D1319" s="624"/>
    </row>
    <row r="1320" spans="2:4" x14ac:dyDescent="0.25">
      <c r="B1320" s="624" t="s">
        <v>2281</v>
      </c>
      <c r="C1320" s="623">
        <v>99921</v>
      </c>
      <c r="D1320" s="624"/>
    </row>
    <row r="1321" spans="2:4" x14ac:dyDescent="0.25">
      <c r="B1321" s="624" t="s">
        <v>1561</v>
      </c>
      <c r="C1321" s="623">
        <v>94408</v>
      </c>
      <c r="D1321" s="624"/>
    </row>
    <row r="1322" spans="2:4" x14ac:dyDescent="0.25">
      <c r="B1322" s="624" t="s">
        <v>2282</v>
      </c>
      <c r="C1322" s="623">
        <v>91331</v>
      </c>
      <c r="D1322" s="624"/>
    </row>
    <row r="1323" spans="2:4" x14ac:dyDescent="0.25">
      <c r="B1323" s="624" t="s">
        <v>2283</v>
      </c>
      <c r="C1323" s="623">
        <v>93121</v>
      </c>
      <c r="D1323" s="624"/>
    </row>
    <row r="1324" spans="2:4" x14ac:dyDescent="0.25">
      <c r="B1324" s="624" t="s">
        <v>1431</v>
      </c>
      <c r="C1324" s="623">
        <v>93127</v>
      </c>
      <c r="D1324" s="624"/>
    </row>
    <row r="1325" spans="2:4" x14ac:dyDescent="0.25">
      <c r="B1325" s="624" t="s">
        <v>2284</v>
      </c>
      <c r="C1325" s="623">
        <v>95171</v>
      </c>
      <c r="D1325" s="624"/>
    </row>
    <row r="1326" spans="2:4" x14ac:dyDescent="0.25">
      <c r="B1326" s="624" t="s">
        <v>2285</v>
      </c>
      <c r="C1326" s="623">
        <v>93421</v>
      </c>
      <c r="D1326" s="624"/>
    </row>
    <row r="1327" spans="2:4" x14ac:dyDescent="0.25">
      <c r="B1327" s="624" t="s">
        <v>1957</v>
      </c>
      <c r="C1327" s="623">
        <v>99110</v>
      </c>
      <c r="D1327" s="624"/>
    </row>
    <row r="1328" spans="2:4" x14ac:dyDescent="0.25">
      <c r="B1328" s="624" t="s">
        <v>1956</v>
      </c>
      <c r="C1328" s="623">
        <v>99109</v>
      </c>
      <c r="D1328" s="624"/>
    </row>
    <row r="1329" spans="2:4" x14ac:dyDescent="0.25">
      <c r="B1329" s="624" t="s">
        <v>2286</v>
      </c>
      <c r="C1329" s="623">
        <v>92821</v>
      </c>
      <c r="D1329" s="624"/>
    </row>
    <row r="1330" spans="2:4" x14ac:dyDescent="0.25">
      <c r="B1330" s="624" t="s">
        <v>2287</v>
      </c>
      <c r="C1330" s="623">
        <v>98521</v>
      </c>
      <c r="D1330" s="624"/>
    </row>
    <row r="1331" spans="2:4" x14ac:dyDescent="0.25">
      <c r="B1331" s="624" t="s">
        <v>2288</v>
      </c>
      <c r="C1331" s="623">
        <v>92321</v>
      </c>
      <c r="D1331" s="624"/>
    </row>
    <row r="1332" spans="2:4" x14ac:dyDescent="0.25">
      <c r="B1332" s="624" t="s">
        <v>1357</v>
      </c>
      <c r="C1332" s="623">
        <v>92327</v>
      </c>
      <c r="D1332" s="624"/>
    </row>
    <row r="1333" spans="2:4" x14ac:dyDescent="0.25">
      <c r="B1333" s="624" t="s">
        <v>2289</v>
      </c>
      <c r="C1333" s="623">
        <v>95411</v>
      </c>
      <c r="D1333" s="624"/>
    </row>
    <row r="1334" spans="2:4" x14ac:dyDescent="0.25">
      <c r="B1334" s="624" t="s">
        <v>1641</v>
      </c>
      <c r="C1334" s="623">
        <v>95413</v>
      </c>
      <c r="D1334" s="624"/>
    </row>
    <row r="1335" spans="2:4" x14ac:dyDescent="0.25">
      <c r="B1335" s="624" t="s">
        <v>1642</v>
      </c>
      <c r="C1335" s="623">
        <v>95415</v>
      </c>
      <c r="D1335" s="624"/>
    </row>
    <row r="1336" spans="2:4" x14ac:dyDescent="0.25">
      <c r="B1336" s="624" t="s">
        <v>2290</v>
      </c>
      <c r="C1336" s="623">
        <v>92851</v>
      </c>
      <c r="D1336" s="624"/>
    </row>
    <row r="1337" spans="2:4" x14ac:dyDescent="0.25">
      <c r="B1337" s="624" t="s">
        <v>2291</v>
      </c>
      <c r="C1337" s="623">
        <v>99291</v>
      </c>
      <c r="D1337" s="624"/>
    </row>
    <row r="1338" spans="2:4" x14ac:dyDescent="0.25">
      <c r="B1338" s="624" t="s">
        <v>2292</v>
      </c>
      <c r="C1338" s="623">
        <v>96541</v>
      </c>
      <c r="D1338" s="624"/>
    </row>
    <row r="1339" spans="2:4" x14ac:dyDescent="0.25">
      <c r="B1339" s="624" t="s">
        <v>2293</v>
      </c>
      <c r="C1339" s="623">
        <v>95431</v>
      </c>
      <c r="D1339" s="624"/>
    </row>
    <row r="1340" spans="2:4" x14ac:dyDescent="0.25">
      <c r="B1340" s="624" t="s">
        <v>2294</v>
      </c>
      <c r="C1340" s="623">
        <v>98131</v>
      </c>
      <c r="D1340" s="624"/>
    </row>
    <row r="1341" spans="2:4" x14ac:dyDescent="0.25">
      <c r="B1341" s="624" t="s">
        <v>1367</v>
      </c>
      <c r="C1341" s="623">
        <v>92427</v>
      </c>
      <c r="D1341" s="624"/>
    </row>
    <row r="1342" spans="2:4" x14ac:dyDescent="0.25">
      <c r="B1342" s="624" t="s">
        <v>2295</v>
      </c>
      <c r="C1342" s="623">
        <v>92461</v>
      </c>
      <c r="D1342" s="624"/>
    </row>
    <row r="1343" spans="2:4" x14ac:dyDescent="0.25">
      <c r="B1343" s="624" t="s">
        <v>2296</v>
      </c>
      <c r="C1343" s="623">
        <v>98051</v>
      </c>
      <c r="D1343" s="624"/>
    </row>
    <row r="1344" spans="2:4" x14ac:dyDescent="0.25">
      <c r="B1344" s="624" t="s">
        <v>1248</v>
      </c>
      <c r="C1344" s="623">
        <v>91102</v>
      </c>
      <c r="D1344" s="624"/>
    </row>
    <row r="1345" spans="2:4" x14ac:dyDescent="0.25">
      <c r="B1345" s="624" t="s">
        <v>2297</v>
      </c>
      <c r="C1345" s="623">
        <v>94521</v>
      </c>
      <c r="D1345" s="624"/>
    </row>
    <row r="1346" spans="2:4" x14ac:dyDescent="0.25">
      <c r="B1346" s="624" t="s">
        <v>1574</v>
      </c>
      <c r="C1346" s="623">
        <v>94527</v>
      </c>
      <c r="D1346" s="624"/>
    </row>
    <row r="1347" spans="2:4" x14ac:dyDescent="0.25">
      <c r="B1347" s="624" t="s">
        <v>1905</v>
      </c>
      <c r="C1347" s="623">
        <v>98313</v>
      </c>
      <c r="D1347" s="624"/>
    </row>
    <row r="1348" spans="2:4" x14ac:dyDescent="0.25">
      <c r="B1348" s="624" t="s">
        <v>2298</v>
      </c>
      <c r="C1348" s="623">
        <v>98311</v>
      </c>
      <c r="D1348" s="624"/>
    </row>
    <row r="1349" spans="2:4" x14ac:dyDescent="0.25">
      <c r="B1349" s="624" t="s">
        <v>1903</v>
      </c>
      <c r="C1349" s="623">
        <v>98308</v>
      </c>
      <c r="D1349" s="624"/>
    </row>
    <row r="1350" spans="2:4" x14ac:dyDescent="0.25">
      <c r="B1350" s="624" t="s">
        <v>2299</v>
      </c>
      <c r="C1350" s="623">
        <v>92341</v>
      </c>
      <c r="D1350" s="624"/>
    </row>
    <row r="1351" spans="2:4" x14ac:dyDescent="0.25">
      <c r="B1351" s="624" t="s">
        <v>1632</v>
      </c>
      <c r="C1351" s="623">
        <v>95301</v>
      </c>
      <c r="D1351" s="624"/>
    </row>
    <row r="1352" spans="2:4" x14ac:dyDescent="0.25">
      <c r="B1352" s="624" t="s">
        <v>2300</v>
      </c>
      <c r="C1352" s="623">
        <v>91002</v>
      </c>
      <c r="D1352" s="624"/>
    </row>
    <row r="1353" spans="2:4" x14ac:dyDescent="0.25">
      <c r="B1353" s="624" t="s">
        <v>2301</v>
      </c>
      <c r="C1353" s="623">
        <v>91451</v>
      </c>
      <c r="D1353" s="624"/>
    </row>
    <row r="1354" spans="2:4" x14ac:dyDescent="0.25">
      <c r="B1354" s="624" t="s">
        <v>1299</v>
      </c>
      <c r="C1354" s="623">
        <v>91457</v>
      </c>
      <c r="D1354" s="624"/>
    </row>
    <row r="1355" spans="2:4" x14ac:dyDescent="0.25">
      <c r="B1355" s="624" t="s">
        <v>1636</v>
      </c>
      <c r="C1355" s="623">
        <v>95401</v>
      </c>
      <c r="D1355" s="624"/>
    </row>
    <row r="1356" spans="2:4" x14ac:dyDescent="0.25">
      <c r="B1356" s="624" t="s">
        <v>1637</v>
      </c>
      <c r="C1356" s="623">
        <v>95404</v>
      </c>
      <c r="D1356" s="624"/>
    </row>
    <row r="1357" spans="2:4" x14ac:dyDescent="0.25">
      <c r="B1357" s="624" t="s">
        <v>1295</v>
      </c>
      <c r="C1357" s="623">
        <v>91423</v>
      </c>
      <c r="D1357" s="624"/>
    </row>
    <row r="1358" spans="2:4" x14ac:dyDescent="0.25">
      <c r="B1358" s="624" t="s">
        <v>2302</v>
      </c>
      <c r="C1358" s="623">
        <v>90861</v>
      </c>
      <c r="D1358" s="624"/>
    </row>
    <row r="1359" spans="2:4" x14ac:dyDescent="0.25">
      <c r="B1359" s="624" t="s">
        <v>2303</v>
      </c>
      <c r="C1359" s="623">
        <v>93451</v>
      </c>
      <c r="D1359" s="624"/>
    </row>
    <row r="1360" spans="2:4" x14ac:dyDescent="0.25">
      <c r="B1360" s="624" t="s">
        <v>2304</v>
      </c>
      <c r="C1360" s="623">
        <v>92931</v>
      </c>
      <c r="D1360" s="624"/>
    </row>
    <row r="1361" spans="2:4" x14ac:dyDescent="0.25">
      <c r="B1361" s="624" t="s">
        <v>1417</v>
      </c>
      <c r="C1361" s="623">
        <v>92917</v>
      </c>
      <c r="D1361" s="624"/>
    </row>
    <row r="1362" spans="2:4" x14ac:dyDescent="0.25">
      <c r="B1362" s="624" t="s">
        <v>2305</v>
      </c>
      <c r="C1362" s="623">
        <v>97631</v>
      </c>
      <c r="D1362" s="624"/>
    </row>
    <row r="1363" spans="2:4" x14ac:dyDescent="0.25">
      <c r="B1363" s="624" t="s">
        <v>1820</v>
      </c>
      <c r="C1363" s="623">
        <v>97637</v>
      </c>
      <c r="D1363" s="624"/>
    </row>
    <row r="1364" spans="2:4" x14ac:dyDescent="0.25">
      <c r="B1364" s="624" t="s">
        <v>2306</v>
      </c>
      <c r="C1364" s="623">
        <v>90421</v>
      </c>
      <c r="D1364" s="624"/>
    </row>
    <row r="1365" spans="2:4" x14ac:dyDescent="0.25">
      <c r="B1365" s="624" t="s">
        <v>2307</v>
      </c>
      <c r="C1365" s="623">
        <v>94321</v>
      </c>
      <c r="D1365" s="624"/>
    </row>
    <row r="1366" spans="2:4" x14ac:dyDescent="0.25">
      <c r="B1366" s="624" t="s">
        <v>1645</v>
      </c>
      <c r="C1366" s="623">
        <v>95501</v>
      </c>
      <c r="D1366" s="624"/>
    </row>
    <row r="1367" spans="2:4" x14ac:dyDescent="0.25">
      <c r="B1367" s="624" t="s">
        <v>1646</v>
      </c>
      <c r="C1367" s="623">
        <v>95504</v>
      </c>
      <c r="D1367" s="624"/>
    </row>
    <row r="1368" spans="2:4" x14ac:dyDescent="0.25">
      <c r="B1368" s="624" t="s">
        <v>2308</v>
      </c>
      <c r="C1368" s="623">
        <v>95511</v>
      </c>
      <c r="D1368" s="624"/>
    </row>
    <row r="1369" spans="2:4" x14ac:dyDescent="0.25">
      <c r="B1369" s="624" t="s">
        <v>1649</v>
      </c>
      <c r="C1369" s="623">
        <v>95517</v>
      </c>
      <c r="D1369" s="624"/>
    </row>
    <row r="1370" spans="2:4" x14ac:dyDescent="0.25">
      <c r="B1370" s="624" t="s">
        <v>1648</v>
      </c>
      <c r="C1370" s="623">
        <v>95513</v>
      </c>
      <c r="D1370" s="624"/>
    </row>
    <row r="1371" spans="2:4" x14ac:dyDescent="0.25">
      <c r="B1371" s="624" t="s">
        <v>2309</v>
      </c>
      <c r="C1371" s="623">
        <v>92651</v>
      </c>
      <c r="D1371" s="624"/>
    </row>
    <row r="1372" spans="2:4" x14ac:dyDescent="0.25">
      <c r="B1372" s="624" t="s">
        <v>2310</v>
      </c>
      <c r="C1372" s="623">
        <v>94261</v>
      </c>
      <c r="D1372" s="624"/>
    </row>
    <row r="1373" spans="2:4" x14ac:dyDescent="0.25">
      <c r="B1373" s="624" t="s">
        <v>2311</v>
      </c>
      <c r="C1373" s="623">
        <v>98431</v>
      </c>
      <c r="D1373" s="624"/>
    </row>
    <row r="1374" spans="2:4" x14ac:dyDescent="0.25">
      <c r="B1374" s="624" t="s">
        <v>2312</v>
      </c>
      <c r="C1374" s="623">
        <v>91841</v>
      </c>
      <c r="D1374" s="624"/>
    </row>
    <row r="1375" spans="2:4" x14ac:dyDescent="0.25">
      <c r="B1375" s="624" t="s">
        <v>2313</v>
      </c>
      <c r="C1375" s="623">
        <v>93521</v>
      </c>
      <c r="D1375" s="624"/>
    </row>
    <row r="1376" spans="2:4" x14ac:dyDescent="0.25">
      <c r="B1376" s="624" t="s">
        <v>1478</v>
      </c>
      <c r="C1376" s="623">
        <v>93527</v>
      </c>
      <c r="D1376" s="624"/>
    </row>
    <row r="1377" spans="2:4" x14ac:dyDescent="0.25">
      <c r="B1377" s="624" t="s">
        <v>2314</v>
      </c>
      <c r="C1377" s="623">
        <v>93661</v>
      </c>
      <c r="D1377" s="624"/>
    </row>
    <row r="1378" spans="2:4" x14ac:dyDescent="0.25">
      <c r="B1378" s="624" t="s">
        <v>1729</v>
      </c>
      <c r="C1378" s="623">
        <v>96508</v>
      </c>
      <c r="D1378" s="624"/>
    </row>
    <row r="1379" spans="2:4" x14ac:dyDescent="0.25">
      <c r="B1379" s="624" t="s">
        <v>2315</v>
      </c>
      <c r="C1379" s="623">
        <v>99841</v>
      </c>
      <c r="D1379" s="624"/>
    </row>
    <row r="1380" spans="2:4" x14ac:dyDescent="0.25">
      <c r="B1380" s="624" t="s">
        <v>1833</v>
      </c>
      <c r="C1380" s="623">
        <v>97802</v>
      </c>
      <c r="D1380" s="624"/>
    </row>
    <row r="1381" spans="2:4" x14ac:dyDescent="0.25">
      <c r="B1381" s="624" t="s">
        <v>2316</v>
      </c>
      <c r="C1381" s="623">
        <v>97811</v>
      </c>
      <c r="D1381" s="624"/>
    </row>
    <row r="1382" spans="2:4" x14ac:dyDescent="0.25">
      <c r="B1382" s="624" t="s">
        <v>1837</v>
      </c>
      <c r="C1382" s="623">
        <v>97817</v>
      </c>
      <c r="D1382" s="624"/>
    </row>
    <row r="1383" spans="2:4" x14ac:dyDescent="0.25">
      <c r="B1383" s="624" t="s">
        <v>1838</v>
      </c>
      <c r="C1383" s="623">
        <v>97818</v>
      </c>
      <c r="D1383" s="624"/>
    </row>
    <row r="1384" spans="2:4" x14ac:dyDescent="0.25">
      <c r="B1384" s="624" t="s">
        <v>2317</v>
      </c>
      <c r="C1384" s="623">
        <v>93341</v>
      </c>
      <c r="D1384" s="624"/>
    </row>
    <row r="1385" spans="2:4" x14ac:dyDescent="0.25">
      <c r="B1385" s="624" t="s">
        <v>1650</v>
      </c>
      <c r="C1385" s="623">
        <v>95601</v>
      </c>
      <c r="D1385" s="624"/>
    </row>
    <row r="1386" spans="2:4" x14ac:dyDescent="0.25">
      <c r="B1386" s="624" t="s">
        <v>2318</v>
      </c>
      <c r="C1386" s="623">
        <v>97941</v>
      </c>
      <c r="D1386" s="624"/>
    </row>
    <row r="1387" spans="2:4" x14ac:dyDescent="0.25">
      <c r="B1387" s="624" t="s">
        <v>1858</v>
      </c>
      <c r="C1387" s="623">
        <v>97947</v>
      </c>
      <c r="D1387" s="624"/>
    </row>
    <row r="1388" spans="2:4" x14ac:dyDescent="0.25">
      <c r="B1388" s="624" t="s">
        <v>1654</v>
      </c>
      <c r="C1388" s="623">
        <v>95701</v>
      </c>
      <c r="D1388" s="624"/>
    </row>
    <row r="1389" spans="2:4" x14ac:dyDescent="0.25">
      <c r="B1389" s="624" t="s">
        <v>1859</v>
      </c>
      <c r="C1389" s="623">
        <v>97948</v>
      </c>
      <c r="D1389" s="624"/>
    </row>
    <row r="1390" spans="2:4" x14ac:dyDescent="0.25">
      <c r="B1390" s="624" t="s">
        <v>2319</v>
      </c>
      <c r="C1390" s="623">
        <v>94421</v>
      </c>
      <c r="D1390" s="624"/>
    </row>
    <row r="1391" spans="2:4" x14ac:dyDescent="0.25">
      <c r="B1391" s="624" t="s">
        <v>1565</v>
      </c>
      <c r="C1391" s="623">
        <v>94427</v>
      </c>
      <c r="D1391" s="624"/>
    </row>
    <row r="1392" spans="2:4" x14ac:dyDescent="0.25">
      <c r="B1392" s="624" t="s">
        <v>1566</v>
      </c>
      <c r="C1392" s="623">
        <v>94428</v>
      </c>
      <c r="D1392" s="624"/>
    </row>
    <row r="1393" spans="2:4" x14ac:dyDescent="0.25">
      <c r="B1393" s="624" t="s">
        <v>2320</v>
      </c>
      <c r="C1393" s="623">
        <v>93191</v>
      </c>
      <c r="D1393" s="624"/>
    </row>
    <row r="1394" spans="2:4" x14ac:dyDescent="0.25">
      <c r="B1394" s="624" t="s">
        <v>2321</v>
      </c>
      <c r="C1394" s="623">
        <v>91831</v>
      </c>
      <c r="D1394" s="624"/>
    </row>
    <row r="1395" spans="2:4" x14ac:dyDescent="0.25">
      <c r="B1395" s="624" t="s">
        <v>2322</v>
      </c>
      <c r="C1395" s="623">
        <v>92831</v>
      </c>
      <c r="D1395" s="624"/>
    </row>
    <row r="1396" spans="2:4" x14ac:dyDescent="0.25">
      <c r="B1396" s="624" t="s">
        <v>2323</v>
      </c>
      <c r="C1396" s="623">
        <v>95911</v>
      </c>
      <c r="D1396" s="624"/>
    </row>
    <row r="1397" spans="2:4" x14ac:dyDescent="0.25">
      <c r="B1397" s="624" t="s">
        <v>1671</v>
      </c>
      <c r="C1397" s="623">
        <v>95917</v>
      </c>
      <c r="D1397" s="624"/>
    </row>
    <row r="1398" spans="2:4" x14ac:dyDescent="0.25">
      <c r="B1398" s="624" t="s">
        <v>2324</v>
      </c>
      <c r="C1398" s="623">
        <v>95711</v>
      </c>
      <c r="D1398" s="624"/>
    </row>
    <row r="1399" spans="2:4" x14ac:dyDescent="0.25">
      <c r="B1399" s="624" t="s">
        <v>2325</v>
      </c>
      <c r="C1399" s="623">
        <v>95721</v>
      </c>
      <c r="D1399" s="624"/>
    </row>
    <row r="1400" spans="2:4" x14ac:dyDescent="0.25">
      <c r="B1400" s="624" t="s">
        <v>2326</v>
      </c>
      <c r="C1400" s="623">
        <v>99021</v>
      </c>
      <c r="D1400" s="624"/>
    </row>
    <row r="1401" spans="2:4" x14ac:dyDescent="0.25">
      <c r="B1401" s="624" t="s">
        <v>1658</v>
      </c>
      <c r="C1401" s="623">
        <v>95801</v>
      </c>
      <c r="D1401" s="624"/>
    </row>
    <row r="1402" spans="2:4" x14ac:dyDescent="0.25">
      <c r="B1402" s="624" t="s">
        <v>1660</v>
      </c>
      <c r="C1402" s="623">
        <v>95804</v>
      </c>
      <c r="D1402" s="624"/>
    </row>
    <row r="1403" spans="2:4" x14ac:dyDescent="0.25">
      <c r="B1403" s="624" t="s">
        <v>1659</v>
      </c>
      <c r="C1403" s="623">
        <v>95802</v>
      </c>
      <c r="D1403" s="624"/>
    </row>
    <row r="1404" spans="2:4" x14ac:dyDescent="0.25">
      <c r="B1404" s="624" t="s">
        <v>1151</v>
      </c>
      <c r="C1404" s="623">
        <v>90092</v>
      </c>
      <c r="D1404" s="624"/>
    </row>
    <row r="1405" spans="2:4" x14ac:dyDescent="0.25">
      <c r="B1405" s="624" t="s">
        <v>2327</v>
      </c>
      <c r="C1405" s="623">
        <v>99081</v>
      </c>
      <c r="D1405" s="624"/>
    </row>
    <row r="1406" spans="2:4" x14ac:dyDescent="0.25">
      <c r="B1406" s="624" t="s">
        <v>2328</v>
      </c>
      <c r="C1406" s="623">
        <v>96071</v>
      </c>
      <c r="D1406" s="624"/>
    </row>
    <row r="1407" spans="2:4" x14ac:dyDescent="0.25">
      <c r="B1407" s="624" t="s">
        <v>1517</v>
      </c>
      <c r="C1407" s="623">
        <v>94002</v>
      </c>
      <c r="D1407" s="624"/>
    </row>
    <row r="1408" spans="2:4" x14ac:dyDescent="0.25">
      <c r="B1408" s="624" t="s">
        <v>2329</v>
      </c>
      <c r="C1408" s="623">
        <v>97840</v>
      </c>
      <c r="D1408" s="624"/>
    </row>
    <row r="1409" spans="2:4" x14ac:dyDescent="0.25">
      <c r="B1409" s="624" t="s">
        <v>1845</v>
      </c>
      <c r="C1409" s="623">
        <v>97847</v>
      </c>
      <c r="D1409" s="624"/>
    </row>
    <row r="1410" spans="2:4" x14ac:dyDescent="0.25">
      <c r="B1410" s="624" t="s">
        <v>2330</v>
      </c>
      <c r="C1410" s="623">
        <v>97921</v>
      </c>
      <c r="D1410" s="624"/>
    </row>
    <row r="1411" spans="2:4" x14ac:dyDescent="0.25">
      <c r="B1411" s="624" t="s">
        <v>2331</v>
      </c>
      <c r="C1411" s="623">
        <v>95221</v>
      </c>
      <c r="D1411" s="624"/>
    </row>
    <row r="1412" spans="2:4" x14ac:dyDescent="0.25">
      <c r="B1412" s="624" t="s">
        <v>1668</v>
      </c>
      <c r="C1412" s="623">
        <v>95901</v>
      </c>
      <c r="D1412" s="624"/>
    </row>
    <row r="1413" spans="2:4" x14ac:dyDescent="0.25">
      <c r="B1413" s="624" t="s">
        <v>2332</v>
      </c>
      <c r="C1413" s="623">
        <v>93610</v>
      </c>
      <c r="D1413" s="624"/>
    </row>
    <row r="1414" spans="2:4" x14ac:dyDescent="0.25">
      <c r="B1414" s="624" t="s">
        <v>2333</v>
      </c>
      <c r="C1414" s="623">
        <v>90114</v>
      </c>
      <c r="D1414" s="624"/>
    </row>
    <row r="1415" spans="2:4" x14ac:dyDescent="0.25">
      <c r="B1415" s="624" t="s">
        <v>1673</v>
      </c>
      <c r="C1415" s="623">
        <v>96001</v>
      </c>
      <c r="D1415" s="624"/>
    </row>
    <row r="1416" spans="2:4" x14ac:dyDescent="0.25">
      <c r="B1416" s="624" t="s">
        <v>1675</v>
      </c>
      <c r="C1416" s="623">
        <v>96004</v>
      </c>
      <c r="D1416" s="624"/>
    </row>
    <row r="1417" spans="2:4" x14ac:dyDescent="0.25">
      <c r="B1417" s="624" t="s">
        <v>1677</v>
      </c>
      <c r="C1417" s="623">
        <v>96008</v>
      </c>
      <c r="D1417" s="624"/>
    </row>
    <row r="1418" spans="2:4" x14ac:dyDescent="0.25">
      <c r="B1418" s="624" t="s">
        <v>1251</v>
      </c>
      <c r="C1418" s="623">
        <v>91108</v>
      </c>
      <c r="D1418" s="624"/>
    </row>
    <row r="1419" spans="2:4" x14ac:dyDescent="0.25">
      <c r="B1419" s="624" t="s">
        <v>1601</v>
      </c>
      <c r="C1419" s="623">
        <v>94941</v>
      </c>
      <c r="D1419" s="624"/>
    </row>
    <row r="1420" spans="2:4" x14ac:dyDescent="0.25">
      <c r="B1420" s="624" t="s">
        <v>2334</v>
      </c>
      <c r="C1420" s="623">
        <v>95122</v>
      </c>
      <c r="D1420" s="624"/>
    </row>
    <row r="1421" spans="2:4" x14ac:dyDescent="0.25">
      <c r="B1421" s="624" t="s">
        <v>2335</v>
      </c>
      <c r="C1421" s="623">
        <v>96431</v>
      </c>
      <c r="D1421" s="624"/>
    </row>
    <row r="1422" spans="2:4" x14ac:dyDescent="0.25">
      <c r="B1422" s="624" t="s">
        <v>1196</v>
      </c>
      <c r="C1422" s="623">
        <v>90709</v>
      </c>
      <c r="D1422" s="624"/>
    </row>
    <row r="1423" spans="2:4" x14ac:dyDescent="0.25">
      <c r="B1423" s="624" t="s">
        <v>2336</v>
      </c>
      <c r="C1423" s="623">
        <v>91341</v>
      </c>
      <c r="D1423" s="624"/>
    </row>
    <row r="1424" spans="2:4" x14ac:dyDescent="0.25">
      <c r="B1424" s="624" t="s">
        <v>2337</v>
      </c>
      <c r="C1424" s="623">
        <v>92941</v>
      </c>
      <c r="D1424" s="624"/>
    </row>
    <row r="1425" spans="2:4" x14ac:dyDescent="0.25">
      <c r="B1425" s="624" t="s">
        <v>2338</v>
      </c>
      <c r="C1425" s="623">
        <v>94551</v>
      </c>
      <c r="D1425" s="624"/>
    </row>
    <row r="1426" spans="2:4" x14ac:dyDescent="0.25">
      <c r="B1426" s="624" t="s">
        <v>2339</v>
      </c>
      <c r="C1426" s="623">
        <v>99022</v>
      </c>
      <c r="D1426" s="624"/>
    </row>
    <row r="1427" spans="2:4" x14ac:dyDescent="0.25">
      <c r="B1427" s="624" t="s">
        <v>2340</v>
      </c>
      <c r="C1427" s="623">
        <v>96031</v>
      </c>
      <c r="D1427" s="624"/>
    </row>
    <row r="1428" spans="2:4" x14ac:dyDescent="0.25">
      <c r="B1428" s="624" t="s">
        <v>2341</v>
      </c>
      <c r="C1428" s="623">
        <v>71786</v>
      </c>
      <c r="D1428" s="624"/>
    </row>
    <row r="1429" spans="2:4" x14ac:dyDescent="0.25">
      <c r="B1429" s="624" t="s">
        <v>1689</v>
      </c>
      <c r="C1429" s="623">
        <v>96101</v>
      </c>
      <c r="D1429" s="624"/>
    </row>
    <row r="1430" spans="2:4" x14ac:dyDescent="0.25">
      <c r="B1430" s="624" t="s">
        <v>1690</v>
      </c>
      <c r="C1430" s="623">
        <v>96102</v>
      </c>
      <c r="D1430" s="624"/>
    </row>
    <row r="1431" spans="2:4" x14ac:dyDescent="0.25">
      <c r="B1431" s="624" t="s">
        <v>2342</v>
      </c>
      <c r="C1431" s="623">
        <v>93011</v>
      </c>
      <c r="D1431" s="624"/>
    </row>
    <row r="1432" spans="2:4" x14ac:dyDescent="0.25">
      <c r="B1432" s="624" t="s">
        <v>2343</v>
      </c>
      <c r="C1432" s="623">
        <v>99011</v>
      </c>
      <c r="D1432" s="624"/>
    </row>
    <row r="1433" spans="2:4" x14ac:dyDescent="0.25">
      <c r="B1433" s="624" t="s">
        <v>1943</v>
      </c>
      <c r="C1433" s="623">
        <v>99017</v>
      </c>
      <c r="D1433" s="624"/>
    </row>
    <row r="1434" spans="2:4" x14ac:dyDescent="0.25">
      <c r="B1434" s="624" t="s">
        <v>1942</v>
      </c>
      <c r="C1434" s="623">
        <v>99013</v>
      </c>
      <c r="D1434" s="624"/>
    </row>
    <row r="1435" spans="2:4" x14ac:dyDescent="0.25">
      <c r="B1435" s="624" t="s">
        <v>1693</v>
      </c>
      <c r="C1435" s="623">
        <v>96201</v>
      </c>
      <c r="D1435" s="624"/>
    </row>
    <row r="1436" spans="2:4" x14ac:dyDescent="0.25">
      <c r="B1436" s="624" t="s">
        <v>1694</v>
      </c>
      <c r="C1436" s="623">
        <v>96204</v>
      </c>
      <c r="D1436" s="624"/>
    </row>
    <row r="1437" spans="2:4" x14ac:dyDescent="0.25">
      <c r="B1437" s="624" t="s">
        <v>2344</v>
      </c>
      <c r="C1437" s="623">
        <v>91161</v>
      </c>
      <c r="D1437" s="624"/>
    </row>
    <row r="1438" spans="2:4" x14ac:dyDescent="0.25">
      <c r="B1438" s="624" t="s">
        <v>1700</v>
      </c>
      <c r="C1438" s="623">
        <v>96301</v>
      </c>
      <c r="D1438" s="624"/>
    </row>
    <row r="1439" spans="2:4" x14ac:dyDescent="0.25">
      <c r="B1439" s="624" t="s">
        <v>1702</v>
      </c>
      <c r="C1439" s="623">
        <v>96304</v>
      </c>
      <c r="D1439" s="624"/>
    </row>
    <row r="1440" spans="2:4" x14ac:dyDescent="0.25">
      <c r="B1440" s="624" t="s">
        <v>1704</v>
      </c>
      <c r="C1440" s="623">
        <v>96310</v>
      </c>
      <c r="D1440" s="624"/>
    </row>
    <row r="1441" spans="2:4" x14ac:dyDescent="0.25">
      <c r="B1441" s="624" t="s">
        <v>1703</v>
      </c>
      <c r="C1441" s="623">
        <v>96305</v>
      </c>
      <c r="D1441" s="624"/>
    </row>
    <row r="1442" spans="2:4" x14ac:dyDescent="0.25">
      <c r="B1442" s="624" t="s">
        <v>2345</v>
      </c>
      <c r="C1442" s="623">
        <v>94921</v>
      </c>
      <c r="D1442" s="624"/>
    </row>
    <row r="1443" spans="2:4" x14ac:dyDescent="0.25">
      <c r="B1443" s="624" t="s">
        <v>1599</v>
      </c>
      <c r="C1443" s="623">
        <v>94927</v>
      </c>
      <c r="D1443" s="624"/>
    </row>
    <row r="1444" spans="2:4" x14ac:dyDescent="0.25">
      <c r="B1444" s="624" t="s">
        <v>1598</v>
      </c>
      <c r="C1444" s="623">
        <v>94923</v>
      </c>
      <c r="D1444" s="624"/>
    </row>
    <row r="1445" spans="2:4" x14ac:dyDescent="0.25">
      <c r="B1445" s="624" t="s">
        <v>2346</v>
      </c>
      <c r="C1445" s="623">
        <v>91611</v>
      </c>
      <c r="D1445" s="624"/>
    </row>
    <row r="1446" spans="2:4" x14ac:dyDescent="0.25">
      <c r="B1446" s="624" t="s">
        <v>2347</v>
      </c>
      <c r="C1446" s="623">
        <v>91231</v>
      </c>
      <c r="D1446" s="624"/>
    </row>
    <row r="1447" spans="2:4" x14ac:dyDescent="0.25">
      <c r="B1447" s="624" t="s">
        <v>1274</v>
      </c>
      <c r="C1447" s="623">
        <v>91217</v>
      </c>
      <c r="D1447" s="624"/>
    </row>
    <row r="1448" spans="2:4" x14ac:dyDescent="0.25">
      <c r="B1448" s="624" t="s">
        <v>1277</v>
      </c>
      <c r="C1448" s="623">
        <v>91233</v>
      </c>
      <c r="D1448" s="624"/>
    </row>
    <row r="1449" spans="2:4" x14ac:dyDescent="0.25">
      <c r="B1449" s="624" t="s">
        <v>2348</v>
      </c>
      <c r="C1449" s="623">
        <v>99206</v>
      </c>
      <c r="D1449" s="624"/>
    </row>
    <row r="1450" spans="2:4" x14ac:dyDescent="0.25">
      <c r="B1450" s="624" t="s">
        <v>2349</v>
      </c>
      <c r="C1450" s="623">
        <v>90461</v>
      </c>
      <c r="D1450" s="624"/>
    </row>
    <row r="1451" spans="2:4" x14ac:dyDescent="0.25">
      <c r="B1451" s="624" t="s">
        <v>2350</v>
      </c>
      <c r="C1451" s="623">
        <v>98631</v>
      </c>
      <c r="D1451" s="624"/>
    </row>
    <row r="1452" spans="2:4" x14ac:dyDescent="0.25">
      <c r="B1452" s="624" t="s">
        <v>2351</v>
      </c>
      <c r="C1452" s="623">
        <v>96251</v>
      </c>
      <c r="D1452" s="624"/>
    </row>
    <row r="1453" spans="2:4" x14ac:dyDescent="0.25">
      <c r="B1453" s="624" t="s">
        <v>2352</v>
      </c>
      <c r="C1453" s="623">
        <v>99621</v>
      </c>
      <c r="D1453" s="624"/>
    </row>
    <row r="1454" spans="2:4" x14ac:dyDescent="0.25">
      <c r="B1454" s="624" t="s">
        <v>2009</v>
      </c>
      <c r="C1454" s="623">
        <v>99623</v>
      </c>
      <c r="D1454" s="624"/>
    </row>
    <row r="1455" spans="2:4" x14ac:dyDescent="0.25">
      <c r="B1455" s="624" t="s">
        <v>2353</v>
      </c>
      <c r="C1455" s="623">
        <v>91321</v>
      </c>
      <c r="D1455" s="624"/>
    </row>
    <row r="1456" spans="2:4" x14ac:dyDescent="0.25">
      <c r="B1456" s="624" t="s">
        <v>1928</v>
      </c>
      <c r="C1456" s="623">
        <v>98637</v>
      </c>
      <c r="D1456" s="624"/>
    </row>
    <row r="1457" spans="2:4" x14ac:dyDescent="0.25">
      <c r="B1457" s="624" t="s">
        <v>2354</v>
      </c>
      <c r="C1457" s="623">
        <v>93691</v>
      </c>
      <c r="D1457" s="624"/>
    </row>
    <row r="1458" spans="2:4" x14ac:dyDescent="0.25">
      <c r="B1458" s="624" t="s">
        <v>1288</v>
      </c>
      <c r="C1458" s="623">
        <v>91327</v>
      </c>
      <c r="D1458" s="624"/>
    </row>
    <row r="1459" spans="2:4" x14ac:dyDescent="0.25">
      <c r="B1459" s="624" t="s">
        <v>2355</v>
      </c>
      <c r="C1459" s="623">
        <v>94621</v>
      </c>
      <c r="D1459" s="624"/>
    </row>
    <row r="1460" spans="2:4" x14ac:dyDescent="0.25">
      <c r="B1460" s="624" t="s">
        <v>2356</v>
      </c>
      <c r="C1460" s="623">
        <v>92011</v>
      </c>
      <c r="D1460" s="624"/>
    </row>
    <row r="1461" spans="2:4" x14ac:dyDescent="0.25">
      <c r="B1461" s="624" t="s">
        <v>1344</v>
      </c>
      <c r="C1461" s="623">
        <v>92017</v>
      </c>
      <c r="D1461" s="624"/>
    </row>
    <row r="1462" spans="2:4" x14ac:dyDescent="0.25">
      <c r="B1462" s="624" t="s">
        <v>2034</v>
      </c>
      <c r="C1462" s="623">
        <v>99991</v>
      </c>
      <c r="D1462" s="624"/>
    </row>
    <row r="1463" spans="2:4" x14ac:dyDescent="0.25">
      <c r="B1463" s="624" t="s">
        <v>2035</v>
      </c>
      <c r="C1463" s="623">
        <v>99999</v>
      </c>
      <c r="D1463" s="624"/>
    </row>
    <row r="1464" spans="2:4" x14ac:dyDescent="0.25">
      <c r="B1464" s="624" t="s">
        <v>2357</v>
      </c>
      <c r="C1464" s="623">
        <v>92811</v>
      </c>
      <c r="D1464" s="624"/>
    </row>
    <row r="1465" spans="2:4" x14ac:dyDescent="0.25">
      <c r="B1465" s="624" t="s">
        <v>1342</v>
      </c>
      <c r="C1465" s="623">
        <v>92005</v>
      </c>
      <c r="D1465" s="624"/>
    </row>
    <row r="1466" spans="2:4" x14ac:dyDescent="0.25">
      <c r="B1466" s="624" t="s">
        <v>1715</v>
      </c>
      <c r="C1466" s="623">
        <v>96401</v>
      </c>
      <c r="D1466" s="624"/>
    </row>
    <row r="1467" spans="2:4" x14ac:dyDescent="0.25">
      <c r="B1467" s="624" t="s">
        <v>1716</v>
      </c>
      <c r="C1467" s="623">
        <v>96404</v>
      </c>
      <c r="D1467" s="624"/>
    </row>
    <row r="1468" spans="2:4" x14ac:dyDescent="0.25">
      <c r="B1468" s="624" t="s">
        <v>2358</v>
      </c>
      <c r="C1468" s="623">
        <v>96421</v>
      </c>
      <c r="D1468" s="624"/>
    </row>
    <row r="1469" spans="2:4" x14ac:dyDescent="0.25">
      <c r="B1469" s="624" t="s">
        <v>2359</v>
      </c>
      <c r="C1469" s="623">
        <v>91026</v>
      </c>
      <c r="D1469" s="624"/>
    </row>
    <row r="1470" spans="2:4" x14ac:dyDescent="0.25">
      <c r="B1470" s="624" t="s">
        <v>1380</v>
      </c>
      <c r="C1470" s="623">
        <v>92509</v>
      </c>
      <c r="D1470" s="624"/>
    </row>
    <row r="1471" spans="2:4" x14ac:dyDescent="0.25">
      <c r="B1471" s="624" t="s">
        <v>1638</v>
      </c>
      <c r="C1471" s="623">
        <v>95405</v>
      </c>
      <c r="D1471" s="624"/>
    </row>
    <row r="1472" spans="2:4" x14ac:dyDescent="0.25">
      <c r="B1472" s="624" t="s">
        <v>1519</v>
      </c>
      <c r="C1472" s="623">
        <v>94005</v>
      </c>
      <c r="D1472" s="624"/>
    </row>
    <row r="1473" spans="2:4" x14ac:dyDescent="0.25">
      <c r="B1473" s="624" t="s">
        <v>1629</v>
      </c>
      <c r="C1473" s="623">
        <v>95205</v>
      </c>
      <c r="D1473" s="624"/>
    </row>
    <row r="1474" spans="2:4" x14ac:dyDescent="0.25">
      <c r="B1474" s="624" t="s">
        <v>1378</v>
      </c>
      <c r="C1474" s="623">
        <v>92507</v>
      </c>
      <c r="D1474" s="624"/>
    </row>
    <row r="1475" spans="2:4" x14ac:dyDescent="0.25">
      <c r="B1475" s="624" t="s">
        <v>2360</v>
      </c>
      <c r="C1475" s="623">
        <v>92511</v>
      </c>
      <c r="D1475" s="624"/>
    </row>
    <row r="1476" spans="2:4" x14ac:dyDescent="0.25">
      <c r="B1476" s="624" t="s">
        <v>1725</v>
      </c>
      <c r="C1476" s="623">
        <v>96502</v>
      </c>
      <c r="D1476" s="624"/>
    </row>
    <row r="1477" spans="2:4" x14ac:dyDescent="0.25">
      <c r="B1477" s="624" t="s">
        <v>1724</v>
      </c>
      <c r="C1477" s="623">
        <v>96501</v>
      </c>
      <c r="D1477" s="624"/>
    </row>
    <row r="1478" spans="2:4" x14ac:dyDescent="0.25">
      <c r="B1478" s="624" t="s">
        <v>1727</v>
      </c>
      <c r="C1478" s="623">
        <v>96504</v>
      </c>
      <c r="D1478" s="624"/>
    </row>
    <row r="1479" spans="2:4" x14ac:dyDescent="0.25">
      <c r="B1479" s="624" t="s">
        <v>1853</v>
      </c>
      <c r="C1479" s="623">
        <v>97913</v>
      </c>
      <c r="D1479" s="624"/>
    </row>
    <row r="1480" spans="2:4" x14ac:dyDescent="0.25">
      <c r="B1480" s="624" t="s">
        <v>2361</v>
      </c>
      <c r="C1480" s="623">
        <v>90621</v>
      </c>
      <c r="D1480" s="624"/>
    </row>
    <row r="1481" spans="2:4" x14ac:dyDescent="0.25">
      <c r="B1481" s="624" t="s">
        <v>2362</v>
      </c>
      <c r="C1481" s="623">
        <v>91621</v>
      </c>
      <c r="D1481" s="624"/>
    </row>
    <row r="1482" spans="2:4" x14ac:dyDescent="0.25">
      <c r="B1482" s="624" t="s">
        <v>2363</v>
      </c>
      <c r="C1482" s="623">
        <v>91871</v>
      </c>
      <c r="D1482" s="624"/>
    </row>
    <row r="1483" spans="2:4" x14ac:dyDescent="0.25">
      <c r="B1483" s="624" t="s">
        <v>2364</v>
      </c>
      <c r="C1483" s="623">
        <v>98231</v>
      </c>
      <c r="D1483" s="624"/>
    </row>
    <row r="1484" spans="2:4" x14ac:dyDescent="0.25">
      <c r="B1484" s="624" t="s">
        <v>2365</v>
      </c>
      <c r="C1484" s="623">
        <v>99311</v>
      </c>
      <c r="D1484" s="624"/>
    </row>
    <row r="1485" spans="2:4" x14ac:dyDescent="0.25">
      <c r="B1485" s="624" t="s">
        <v>1237</v>
      </c>
      <c r="C1485" s="623">
        <v>91042</v>
      </c>
      <c r="D1485" s="624"/>
    </row>
    <row r="1486" spans="2:4" x14ac:dyDescent="0.25">
      <c r="B1486" s="624" t="s">
        <v>2366</v>
      </c>
      <c r="C1486" s="623">
        <v>96751</v>
      </c>
      <c r="D1486" s="624"/>
    </row>
    <row r="1487" spans="2:4" x14ac:dyDescent="0.25">
      <c r="B1487" s="624" t="s">
        <v>2367</v>
      </c>
      <c r="C1487" s="623">
        <v>99711</v>
      </c>
      <c r="D1487" s="624"/>
    </row>
    <row r="1488" spans="2:4" x14ac:dyDescent="0.25">
      <c r="B1488" s="624" t="s">
        <v>2016</v>
      </c>
      <c r="C1488" s="623">
        <v>99717</v>
      </c>
      <c r="D1488" s="624"/>
    </row>
    <row r="1489" spans="2:4" x14ac:dyDescent="0.25">
      <c r="B1489" s="624" t="s">
        <v>1736</v>
      </c>
      <c r="C1489" s="623">
        <v>96601</v>
      </c>
      <c r="D1489" s="624"/>
    </row>
    <row r="1490" spans="2:4" x14ac:dyDescent="0.25">
      <c r="B1490" s="624" t="s">
        <v>1737</v>
      </c>
      <c r="C1490" s="623">
        <v>96604</v>
      </c>
      <c r="D1490" s="624"/>
    </row>
    <row r="1491" spans="2:4" x14ac:dyDescent="0.25">
      <c r="B1491" s="624" t="s">
        <v>2368</v>
      </c>
      <c r="C1491" s="623">
        <v>91012</v>
      </c>
      <c r="D1491" s="624"/>
    </row>
    <row r="1492" spans="2:4" x14ac:dyDescent="0.25">
      <c r="B1492" s="624" t="s">
        <v>1170</v>
      </c>
      <c r="C1492" s="623">
        <v>90305</v>
      </c>
      <c r="D1492" s="624"/>
    </row>
    <row r="1493" spans="2:4" x14ac:dyDescent="0.25">
      <c r="B1493" s="624" t="s">
        <v>2369</v>
      </c>
      <c r="C1493" s="623">
        <v>98421</v>
      </c>
      <c r="D1493" s="624"/>
    </row>
    <row r="1494" spans="2:4" x14ac:dyDescent="0.25">
      <c r="B1494" s="624" t="s">
        <v>1912</v>
      </c>
      <c r="C1494" s="623">
        <v>98427</v>
      </c>
      <c r="D1494" s="624"/>
    </row>
    <row r="1495" spans="2:4" x14ac:dyDescent="0.25">
      <c r="B1495" s="624" t="s">
        <v>2370</v>
      </c>
      <c r="C1495" s="623">
        <v>95821</v>
      </c>
      <c r="D1495" s="624"/>
    </row>
    <row r="1496" spans="2:4" x14ac:dyDescent="0.25">
      <c r="B1496" s="624" t="s">
        <v>2371</v>
      </c>
      <c r="C1496" s="623">
        <v>91021</v>
      </c>
      <c r="D1496" s="624"/>
    </row>
    <row r="1497" spans="2:4" x14ac:dyDescent="0.25">
      <c r="B1497" s="624" t="s">
        <v>1234</v>
      </c>
      <c r="C1497" s="623">
        <v>91027</v>
      </c>
      <c r="D1497" s="624"/>
    </row>
    <row r="1498" spans="2:4" x14ac:dyDescent="0.25">
      <c r="B1498" s="624" t="s">
        <v>2372</v>
      </c>
      <c r="C1498" s="623">
        <v>94161</v>
      </c>
      <c r="D1498" s="624"/>
    </row>
    <row r="1499" spans="2:4" x14ac:dyDescent="0.25">
      <c r="B1499" s="624" t="s">
        <v>2373</v>
      </c>
      <c r="C1499" s="623">
        <v>98441</v>
      </c>
      <c r="D1499" s="624"/>
    </row>
    <row r="1500" spans="2:4" x14ac:dyDescent="0.25">
      <c r="B1500" s="624" t="s">
        <v>1242</v>
      </c>
      <c r="C1500" s="623">
        <v>91067</v>
      </c>
      <c r="D1500" s="624"/>
    </row>
    <row r="1501" spans="2:4" x14ac:dyDescent="0.25">
      <c r="B1501" s="624" t="s">
        <v>2374</v>
      </c>
      <c r="C1501" s="623">
        <v>91061</v>
      </c>
      <c r="D1501" s="624"/>
    </row>
    <row r="1502" spans="2:4" x14ac:dyDescent="0.25">
      <c r="B1502" s="624" t="s">
        <v>1592</v>
      </c>
      <c r="C1502" s="623">
        <v>94812</v>
      </c>
      <c r="D1502" s="624"/>
    </row>
    <row r="1503" spans="2:4" x14ac:dyDescent="0.25">
      <c r="B1503" s="624" t="s">
        <v>2375</v>
      </c>
      <c r="C1503" s="623">
        <v>95921</v>
      </c>
      <c r="D1503" s="624"/>
    </row>
    <row r="1504" spans="2:4" x14ac:dyDescent="0.25">
      <c r="B1504" s="624" t="s">
        <v>1747</v>
      </c>
      <c r="C1504" s="623">
        <v>96701</v>
      </c>
      <c r="D1504" s="624"/>
    </row>
    <row r="1505" spans="2:4" x14ac:dyDescent="0.25">
      <c r="B1505" s="624" t="s">
        <v>1748</v>
      </c>
      <c r="C1505" s="623">
        <v>96704</v>
      </c>
      <c r="D1505" s="624"/>
    </row>
    <row r="1506" spans="2:4" x14ac:dyDescent="0.25">
      <c r="B1506" s="624" t="s">
        <v>1749</v>
      </c>
      <c r="C1506" s="623">
        <v>96708</v>
      </c>
      <c r="D1506" s="624"/>
    </row>
    <row r="1507" spans="2:4" x14ac:dyDescent="0.25">
      <c r="B1507" s="624" t="s">
        <v>1756</v>
      </c>
      <c r="C1507" s="623">
        <v>96801</v>
      </c>
      <c r="D1507" s="624"/>
    </row>
    <row r="1508" spans="2:4" x14ac:dyDescent="0.25">
      <c r="B1508" s="624" t="s">
        <v>1757</v>
      </c>
      <c r="C1508" s="623">
        <v>96804</v>
      </c>
      <c r="D1508" s="624"/>
    </row>
    <row r="1509" spans="2:4" x14ac:dyDescent="0.25">
      <c r="B1509" s="624" t="s">
        <v>1758</v>
      </c>
      <c r="C1509" s="623">
        <v>96808</v>
      </c>
      <c r="D1509" s="624"/>
    </row>
    <row r="1510" spans="2:4" x14ac:dyDescent="0.25">
      <c r="B1510" s="624" t="s">
        <v>2376</v>
      </c>
      <c r="C1510" s="623">
        <v>96912</v>
      </c>
      <c r="D1510" s="624"/>
    </row>
    <row r="1511" spans="2:4" x14ac:dyDescent="0.25">
      <c r="B1511" s="624" t="s">
        <v>2377</v>
      </c>
      <c r="C1511" s="623">
        <v>93911</v>
      </c>
      <c r="D1511" s="624"/>
    </row>
    <row r="1512" spans="2:4" x14ac:dyDescent="0.25">
      <c r="B1512" s="624" t="s">
        <v>1512</v>
      </c>
      <c r="C1512" s="623">
        <v>93913</v>
      </c>
      <c r="D1512" s="624"/>
    </row>
    <row r="1513" spans="2:4" x14ac:dyDescent="0.25">
      <c r="B1513" s="624" t="s">
        <v>1762</v>
      </c>
      <c r="C1513" s="623">
        <v>96901</v>
      </c>
      <c r="D1513" s="624"/>
    </row>
    <row r="1514" spans="2:4" x14ac:dyDescent="0.25">
      <c r="B1514" s="624" t="s">
        <v>1442</v>
      </c>
      <c r="C1514" s="623">
        <v>93202</v>
      </c>
      <c r="D1514" s="624"/>
    </row>
    <row r="1515" spans="2:4" x14ac:dyDescent="0.25">
      <c r="B1515" s="624" t="s">
        <v>1152</v>
      </c>
      <c r="C1515" s="623">
        <v>90096</v>
      </c>
      <c r="D1515" s="624"/>
    </row>
    <row r="1516" spans="2:4" x14ac:dyDescent="0.25">
      <c r="B1516" s="624" t="s">
        <v>1766</v>
      </c>
      <c r="C1516" s="623">
        <v>97001</v>
      </c>
      <c r="D1516" s="624"/>
    </row>
    <row r="1517" spans="2:4" x14ac:dyDescent="0.25">
      <c r="B1517" s="624" t="s">
        <v>1768</v>
      </c>
      <c r="C1517" s="623">
        <v>97004</v>
      </c>
      <c r="D1517" s="624"/>
    </row>
    <row r="1518" spans="2:4" x14ac:dyDescent="0.25">
      <c r="B1518" s="624" t="s">
        <v>1767</v>
      </c>
      <c r="C1518" s="623">
        <v>97002</v>
      </c>
      <c r="D1518" s="624"/>
    </row>
    <row r="1519" spans="2:4" x14ac:dyDescent="0.25">
      <c r="B1519" s="624" t="s">
        <v>1775</v>
      </c>
      <c r="C1519" s="623">
        <v>97015</v>
      </c>
      <c r="D1519" s="624"/>
    </row>
    <row r="1520" spans="2:4" x14ac:dyDescent="0.25">
      <c r="B1520" s="624" t="s">
        <v>2378</v>
      </c>
      <c r="C1520" s="623">
        <v>90441</v>
      </c>
      <c r="D1520" s="624"/>
    </row>
    <row r="1521" spans="2:4" x14ac:dyDescent="0.25">
      <c r="B1521" s="624" t="s">
        <v>2379</v>
      </c>
      <c r="C1521" s="623">
        <v>97851</v>
      </c>
      <c r="D1521" s="624"/>
    </row>
    <row r="1522" spans="2:4" x14ac:dyDescent="0.25">
      <c r="B1522" s="624" t="s">
        <v>1847</v>
      </c>
      <c r="C1522" s="623">
        <v>97853</v>
      </c>
      <c r="D1522" s="624"/>
    </row>
    <row r="1523" spans="2:4" x14ac:dyDescent="0.25">
      <c r="B1523" s="624" t="s">
        <v>1777</v>
      </c>
      <c r="C1523" s="623">
        <v>97101</v>
      </c>
      <c r="D1523" s="624"/>
    </row>
    <row r="1524" spans="2:4" x14ac:dyDescent="0.25">
      <c r="B1524" s="624" t="s">
        <v>1778</v>
      </c>
      <c r="C1524" s="623">
        <v>97104</v>
      </c>
      <c r="D1524" s="624"/>
    </row>
    <row r="1525" spans="2:4" x14ac:dyDescent="0.25">
      <c r="B1525" s="624" t="s">
        <v>1782</v>
      </c>
      <c r="C1525" s="623">
        <v>97201</v>
      </c>
      <c r="D1525" s="624"/>
    </row>
    <row r="1526" spans="2:4" x14ac:dyDescent="0.25">
      <c r="B1526" s="624" t="s">
        <v>1787</v>
      </c>
      <c r="C1526" s="623">
        <v>97301</v>
      </c>
      <c r="D1526" s="624"/>
    </row>
    <row r="1527" spans="2:4" x14ac:dyDescent="0.25">
      <c r="B1527" s="624" t="s">
        <v>1788</v>
      </c>
      <c r="C1527" s="623">
        <v>97304</v>
      </c>
      <c r="D1527" s="624"/>
    </row>
    <row r="1528" spans="2:4" x14ac:dyDescent="0.25">
      <c r="B1528" s="624" t="s">
        <v>1987</v>
      </c>
      <c r="C1528" s="623">
        <v>99405</v>
      </c>
      <c r="D1528" s="624"/>
    </row>
    <row r="1529" spans="2:4" x14ac:dyDescent="0.25">
      <c r="B1529" s="624" t="s">
        <v>1146</v>
      </c>
      <c r="C1529" s="623">
        <v>72265</v>
      </c>
      <c r="D1529" s="624"/>
    </row>
    <row r="1530" spans="2:4" x14ac:dyDescent="0.25">
      <c r="B1530" s="624" t="s">
        <v>1462</v>
      </c>
      <c r="C1530" s="623">
        <v>93406</v>
      </c>
      <c r="D1530" s="624"/>
    </row>
    <row r="1531" spans="2:4" x14ac:dyDescent="0.25">
      <c r="B1531" s="624" t="s">
        <v>1528</v>
      </c>
      <c r="C1531" s="623">
        <v>94112</v>
      </c>
      <c r="D1531" s="624"/>
    </row>
    <row r="1532" spans="2:4" x14ac:dyDescent="0.25">
      <c r="B1532" s="624" t="s">
        <v>2380</v>
      </c>
      <c r="C1532" s="623">
        <v>99651</v>
      </c>
      <c r="D1532" s="624"/>
    </row>
    <row r="1533" spans="2:4" x14ac:dyDescent="0.25">
      <c r="B1533" s="624" t="s">
        <v>2381</v>
      </c>
      <c r="C1533" s="623">
        <v>98611</v>
      </c>
      <c r="D1533" s="624"/>
    </row>
    <row r="1534" spans="2:4" x14ac:dyDescent="0.25">
      <c r="B1534" s="624" t="s">
        <v>1922</v>
      </c>
      <c r="C1534" s="623">
        <v>98607</v>
      </c>
      <c r="D1534" s="624"/>
    </row>
    <row r="1535" spans="2:4" x14ac:dyDescent="0.25">
      <c r="B1535" s="624" t="s">
        <v>2382</v>
      </c>
      <c r="C1535" s="623">
        <v>91641</v>
      </c>
      <c r="D1535" s="624"/>
    </row>
    <row r="1536" spans="2:4" x14ac:dyDescent="0.25">
      <c r="B1536" s="624" t="s">
        <v>2383</v>
      </c>
      <c r="C1536" s="623">
        <v>95161</v>
      </c>
      <c r="D1536" s="624"/>
    </row>
    <row r="1537" spans="2:4" x14ac:dyDescent="0.25">
      <c r="B1537" s="624" t="s">
        <v>2384</v>
      </c>
      <c r="C1537" s="623">
        <v>96361</v>
      </c>
      <c r="D1537" s="624"/>
    </row>
    <row r="1538" spans="2:4" x14ac:dyDescent="0.25">
      <c r="B1538" s="624" t="s">
        <v>1525</v>
      </c>
      <c r="C1538" s="623">
        <v>94108</v>
      </c>
      <c r="D1538" s="624"/>
    </row>
    <row r="1539" spans="2:4" x14ac:dyDescent="0.25">
      <c r="B1539" s="624" t="s">
        <v>2385</v>
      </c>
      <c r="C1539" s="623">
        <v>96351</v>
      </c>
      <c r="D1539" s="624"/>
    </row>
    <row r="1540" spans="2:4" x14ac:dyDescent="0.25">
      <c r="B1540" s="624" t="s">
        <v>2386</v>
      </c>
      <c r="C1540" s="623">
        <v>93331</v>
      </c>
      <c r="D1540" s="624"/>
    </row>
    <row r="1541" spans="2:4" x14ac:dyDescent="0.25">
      <c r="B1541" s="624" t="s">
        <v>2387</v>
      </c>
      <c r="C1541" s="623">
        <v>96021</v>
      </c>
      <c r="D1541" s="624"/>
    </row>
    <row r="1542" spans="2:4" x14ac:dyDescent="0.25">
      <c r="B1542" s="624" t="s">
        <v>2388</v>
      </c>
      <c r="C1542" s="623">
        <v>95421</v>
      </c>
      <c r="D1542" s="624"/>
    </row>
    <row r="1543" spans="2:4" x14ac:dyDescent="0.25">
      <c r="B1543" s="624" t="s">
        <v>1790</v>
      </c>
      <c r="C1543" s="623">
        <v>97401</v>
      </c>
      <c r="D1543" s="624"/>
    </row>
    <row r="1544" spans="2:4" x14ac:dyDescent="0.25">
      <c r="B1544" s="624" t="s">
        <v>1792</v>
      </c>
      <c r="C1544" s="623">
        <v>97404</v>
      </c>
      <c r="D1544" s="624"/>
    </row>
    <row r="1545" spans="2:4" x14ac:dyDescent="0.25">
      <c r="B1545" s="624" t="s">
        <v>1791</v>
      </c>
      <c r="C1545" s="623">
        <v>97402</v>
      </c>
      <c r="D1545" s="624"/>
    </row>
    <row r="1546" spans="2:4" x14ac:dyDescent="0.25">
      <c r="B1546" s="624" t="s">
        <v>2389</v>
      </c>
      <c r="C1546" s="623">
        <v>91921</v>
      </c>
      <c r="D1546" s="624"/>
    </row>
    <row r="1547" spans="2:4" x14ac:dyDescent="0.25">
      <c r="B1547" s="624" t="s">
        <v>1669</v>
      </c>
      <c r="C1547" s="623">
        <v>95908</v>
      </c>
      <c r="D1547" s="624"/>
    </row>
    <row r="1548" spans="2:4" x14ac:dyDescent="0.25">
      <c r="B1548" s="624" t="s">
        <v>2390</v>
      </c>
      <c r="C1548" s="623">
        <v>99411</v>
      </c>
      <c r="D1548" s="624"/>
    </row>
    <row r="1549" spans="2:4" x14ac:dyDescent="0.25">
      <c r="B1549" s="624" t="s">
        <v>1989</v>
      </c>
      <c r="C1549" s="623">
        <v>99413</v>
      </c>
      <c r="D1549" s="624"/>
    </row>
    <row r="1550" spans="2:4" x14ac:dyDescent="0.25">
      <c r="B1550" s="624" t="s">
        <v>1808</v>
      </c>
      <c r="C1550" s="623">
        <v>97501</v>
      </c>
      <c r="D1550" s="624"/>
    </row>
    <row r="1551" spans="2:4" x14ac:dyDescent="0.25">
      <c r="B1551" s="624" t="s">
        <v>2391</v>
      </c>
      <c r="C1551" s="623">
        <v>90431</v>
      </c>
      <c r="D1551" s="624"/>
    </row>
    <row r="1552" spans="2:4" x14ac:dyDescent="0.25">
      <c r="B1552" s="624" t="s">
        <v>2392</v>
      </c>
      <c r="C1552" s="623">
        <v>95211</v>
      </c>
      <c r="D1552" s="624"/>
    </row>
    <row r="1553" spans="2:4" x14ac:dyDescent="0.25">
      <c r="B1553" s="624" t="s">
        <v>2393</v>
      </c>
      <c r="C1553" s="623">
        <v>95181</v>
      </c>
      <c r="D1553" s="624"/>
    </row>
    <row r="1554" spans="2:4" x14ac:dyDescent="0.25">
      <c r="B1554" s="624" t="s">
        <v>2394</v>
      </c>
      <c r="C1554" s="623">
        <v>93351</v>
      </c>
      <c r="D1554" s="624"/>
    </row>
    <row r="1555" spans="2:4" x14ac:dyDescent="0.25">
      <c r="B1555" s="624" t="s">
        <v>2395</v>
      </c>
      <c r="C1555" s="623">
        <v>94711</v>
      </c>
      <c r="D1555" s="624"/>
    </row>
    <row r="1556" spans="2:4" x14ac:dyDescent="0.25">
      <c r="B1556" s="624" t="s">
        <v>2396</v>
      </c>
      <c r="C1556" s="623">
        <v>99211</v>
      </c>
      <c r="D1556" s="624"/>
    </row>
    <row r="1557" spans="2:4" x14ac:dyDescent="0.25">
      <c r="B1557" s="624" t="s">
        <v>1969</v>
      </c>
      <c r="C1557" s="623">
        <v>99213</v>
      </c>
      <c r="D1557" s="624"/>
    </row>
    <row r="1558" spans="2:4" x14ac:dyDescent="0.25">
      <c r="B1558" s="624" t="s">
        <v>1970</v>
      </c>
      <c r="C1558" s="623">
        <v>99218</v>
      </c>
      <c r="D1558" s="624"/>
    </row>
    <row r="1559" spans="2:4" x14ac:dyDescent="0.25">
      <c r="B1559" s="624" t="s">
        <v>2397</v>
      </c>
      <c r="C1559" s="623">
        <v>97641</v>
      </c>
      <c r="D1559" s="624"/>
    </row>
    <row r="1560" spans="2:4" x14ac:dyDescent="0.25">
      <c r="B1560" s="624" t="s">
        <v>2398</v>
      </c>
      <c r="C1560" s="623">
        <v>97621</v>
      </c>
      <c r="D1560" s="624"/>
    </row>
    <row r="1561" spans="2:4" x14ac:dyDescent="0.25">
      <c r="B1561" s="624" t="s">
        <v>1818</v>
      </c>
      <c r="C1561" s="623">
        <v>97627</v>
      </c>
      <c r="D1561" s="624"/>
    </row>
    <row r="1562" spans="2:4" x14ac:dyDescent="0.25">
      <c r="B1562" s="624" t="s">
        <v>1817</v>
      </c>
      <c r="C1562" s="623">
        <v>97623</v>
      </c>
      <c r="D1562" s="624"/>
    </row>
    <row r="1563" spans="2:4" x14ac:dyDescent="0.25">
      <c r="B1563" s="624" t="s">
        <v>1812</v>
      </c>
      <c r="C1563" s="623">
        <v>97601</v>
      </c>
      <c r="D1563" s="624"/>
    </row>
    <row r="1564" spans="2:4" x14ac:dyDescent="0.25">
      <c r="B1564" s="624" t="s">
        <v>2399</v>
      </c>
      <c r="C1564" s="623">
        <v>93681</v>
      </c>
      <c r="D1564" s="624"/>
    </row>
    <row r="1565" spans="2:4" x14ac:dyDescent="0.25">
      <c r="B1565" s="624" t="s">
        <v>2400</v>
      </c>
      <c r="C1565" s="623">
        <v>97871</v>
      </c>
      <c r="D1565" s="624"/>
    </row>
    <row r="1566" spans="2:4" x14ac:dyDescent="0.25">
      <c r="B1566" s="624" t="s">
        <v>1850</v>
      </c>
      <c r="C1566" s="623">
        <v>97877</v>
      </c>
      <c r="D1566" s="624"/>
    </row>
    <row r="1567" spans="2:4" x14ac:dyDescent="0.25">
      <c r="B1567" s="624" t="s">
        <v>1993</v>
      </c>
      <c r="C1567" s="623">
        <v>99502</v>
      </c>
      <c r="D1567" s="624"/>
    </row>
    <row r="1568" spans="2:4" x14ac:dyDescent="0.25">
      <c r="B1568" s="624" t="s">
        <v>1451</v>
      </c>
      <c r="C1568" s="623">
        <v>93309</v>
      </c>
      <c r="D1568" s="624"/>
    </row>
    <row r="1569" spans="2:4" x14ac:dyDescent="0.25">
      <c r="B1569" s="624" t="s">
        <v>1391</v>
      </c>
      <c r="C1569" s="623">
        <v>92607</v>
      </c>
      <c r="D1569" s="624"/>
    </row>
    <row r="1570" spans="2:4" x14ac:dyDescent="0.25">
      <c r="B1570" s="624" t="s">
        <v>2401</v>
      </c>
      <c r="C1570" s="623">
        <v>97911</v>
      </c>
      <c r="D1570" s="624"/>
    </row>
    <row r="1571" spans="2:4" x14ac:dyDescent="0.25">
      <c r="B1571" s="624" t="s">
        <v>1854</v>
      </c>
      <c r="C1571" s="623">
        <v>97917</v>
      </c>
      <c r="D1571" s="624"/>
    </row>
    <row r="1572" spans="2:4" x14ac:dyDescent="0.25">
      <c r="B1572" s="624" t="s">
        <v>2402</v>
      </c>
      <c r="C1572" s="623">
        <v>96611</v>
      </c>
      <c r="D1572" s="624"/>
    </row>
    <row r="1573" spans="2:4" x14ac:dyDescent="0.25">
      <c r="B1573" s="624" t="s">
        <v>2403</v>
      </c>
      <c r="C1573" s="623">
        <v>96741</v>
      </c>
      <c r="D1573" s="624"/>
    </row>
    <row r="1574" spans="2:4" x14ac:dyDescent="0.25">
      <c r="B1574" s="624" t="s">
        <v>1824</v>
      </c>
      <c r="C1574" s="623">
        <v>97701</v>
      </c>
      <c r="D1574" s="624"/>
    </row>
    <row r="1575" spans="2:4" x14ac:dyDescent="0.25">
      <c r="B1575" s="624" t="s">
        <v>2404</v>
      </c>
      <c r="C1575" s="623">
        <v>92541</v>
      </c>
      <c r="D1575" s="624"/>
    </row>
    <row r="1576" spans="2:4" x14ac:dyDescent="0.25">
      <c r="B1576" s="624" t="s">
        <v>2405</v>
      </c>
      <c r="C1576" s="623">
        <v>94221</v>
      </c>
      <c r="D1576" s="624"/>
    </row>
    <row r="1577" spans="2:4" x14ac:dyDescent="0.25">
      <c r="B1577" s="624" t="s">
        <v>1543</v>
      </c>
      <c r="C1577" s="623">
        <v>94209</v>
      </c>
      <c r="D1577" s="624"/>
    </row>
    <row r="1578" spans="2:4" x14ac:dyDescent="0.25">
      <c r="B1578" s="624" t="s">
        <v>2406</v>
      </c>
      <c r="C1578" s="623">
        <v>96341</v>
      </c>
      <c r="D1578" s="624"/>
    </row>
    <row r="1579" spans="2:4" x14ac:dyDescent="0.25">
      <c r="B1579" s="624" t="s">
        <v>2407</v>
      </c>
      <c r="C1579" s="623">
        <v>93821</v>
      </c>
      <c r="D1579" s="624"/>
    </row>
    <row r="1580" spans="2:4" x14ac:dyDescent="0.25">
      <c r="B1580" s="624" t="s">
        <v>2408</v>
      </c>
      <c r="C1580" s="623">
        <v>95851</v>
      </c>
      <c r="D1580" s="624"/>
    </row>
    <row r="1581" spans="2:4" x14ac:dyDescent="0.25">
      <c r="B1581" s="624" t="s">
        <v>1667</v>
      </c>
      <c r="C1581" s="623">
        <v>95853</v>
      </c>
      <c r="D1581" s="624"/>
    </row>
    <row r="1582" spans="2:4" x14ac:dyDescent="0.25">
      <c r="B1582" s="624" t="s">
        <v>1832</v>
      </c>
      <c r="C1582" s="623">
        <v>97801</v>
      </c>
      <c r="D1582" s="624"/>
    </row>
    <row r="1583" spans="2:4" x14ac:dyDescent="0.25">
      <c r="B1583" s="624" t="s">
        <v>1834</v>
      </c>
      <c r="C1583" s="623">
        <v>97803</v>
      </c>
      <c r="D1583" s="624"/>
    </row>
    <row r="1584" spans="2:4" x14ac:dyDescent="0.25">
      <c r="B1584" s="624" t="s">
        <v>1835</v>
      </c>
      <c r="C1584" s="623">
        <v>97805</v>
      </c>
      <c r="D1584" s="624"/>
    </row>
    <row r="1585" spans="2:4" x14ac:dyDescent="0.25">
      <c r="B1585" s="624" t="s">
        <v>2409</v>
      </c>
      <c r="C1585" s="623">
        <v>97711</v>
      </c>
      <c r="D1585" s="624"/>
    </row>
    <row r="1586" spans="2:4" x14ac:dyDescent="0.25">
      <c r="B1586" s="624" t="s">
        <v>1830</v>
      </c>
      <c r="C1586" s="623">
        <v>97727</v>
      </c>
      <c r="D1586" s="624"/>
    </row>
    <row r="1587" spans="2:4" x14ac:dyDescent="0.25">
      <c r="B1587" s="624" t="s">
        <v>1851</v>
      </c>
      <c r="C1587" s="623">
        <v>97901</v>
      </c>
      <c r="D1587" s="624"/>
    </row>
    <row r="1588" spans="2:4" x14ac:dyDescent="0.25">
      <c r="B1588" s="624" t="s">
        <v>1827</v>
      </c>
      <c r="C1588" s="623">
        <v>97713</v>
      </c>
      <c r="D1588" s="624"/>
    </row>
    <row r="1589" spans="2:4" x14ac:dyDescent="0.25">
      <c r="B1589" s="624" t="s">
        <v>2410</v>
      </c>
      <c r="C1589" s="623">
        <v>98071</v>
      </c>
      <c r="D1589" s="624"/>
    </row>
    <row r="1590" spans="2:4" x14ac:dyDescent="0.25">
      <c r="B1590" s="624" t="s">
        <v>2411</v>
      </c>
      <c r="C1590" s="623">
        <v>93321</v>
      </c>
      <c r="D1590" s="624"/>
    </row>
    <row r="1591" spans="2:4" x14ac:dyDescent="0.25">
      <c r="B1591" s="624" t="s">
        <v>1457</v>
      </c>
      <c r="C1591" s="623">
        <v>93333</v>
      </c>
      <c r="D1591" s="624"/>
    </row>
    <row r="1592" spans="2:4" x14ac:dyDescent="0.25">
      <c r="B1592" s="624" t="s">
        <v>1455</v>
      </c>
      <c r="C1592" s="623">
        <v>93323</v>
      </c>
      <c r="D1592" s="624"/>
    </row>
    <row r="1593" spans="2:4" x14ac:dyDescent="0.25">
      <c r="B1593" s="624" t="s">
        <v>2412</v>
      </c>
      <c r="C1593" s="623">
        <v>99203</v>
      </c>
      <c r="D1593" s="624"/>
    </row>
    <row r="1594" spans="2:4" x14ac:dyDescent="0.25">
      <c r="B1594" s="624" t="s">
        <v>2413</v>
      </c>
      <c r="C1594" s="623">
        <v>99421</v>
      </c>
      <c r="D1594" s="624"/>
    </row>
    <row r="1595" spans="2:4" x14ac:dyDescent="0.25">
      <c r="B1595" s="624" t="s">
        <v>2414</v>
      </c>
      <c r="C1595" s="623">
        <v>93161</v>
      </c>
      <c r="D1595" s="624"/>
    </row>
    <row r="1596" spans="2:4" x14ac:dyDescent="0.25">
      <c r="B1596" s="624" t="s">
        <v>2415</v>
      </c>
      <c r="C1596" s="623">
        <v>98261</v>
      </c>
      <c r="D1596" s="624"/>
    </row>
    <row r="1597" spans="2:4" x14ac:dyDescent="0.25">
      <c r="B1597" s="624" t="s">
        <v>1896</v>
      </c>
      <c r="C1597" s="623">
        <v>98237</v>
      </c>
      <c r="D1597" s="624"/>
    </row>
    <row r="1598" spans="2:4" x14ac:dyDescent="0.25">
      <c r="B1598" s="624" t="s">
        <v>1862</v>
      </c>
      <c r="C1598" s="623">
        <v>98001</v>
      </c>
      <c r="D1598" s="624"/>
    </row>
    <row r="1599" spans="2:4" x14ac:dyDescent="0.25">
      <c r="B1599" s="624" t="s">
        <v>1865</v>
      </c>
      <c r="C1599" s="623">
        <v>98004</v>
      </c>
      <c r="D1599" s="624"/>
    </row>
    <row r="1600" spans="2:4" x14ac:dyDescent="0.25">
      <c r="B1600" s="624" t="s">
        <v>1864</v>
      </c>
      <c r="C1600" s="623">
        <v>98003</v>
      </c>
      <c r="D1600" s="624"/>
    </row>
    <row r="1601" spans="2:4" x14ac:dyDescent="0.25">
      <c r="B1601" s="624" t="s">
        <v>1863</v>
      </c>
      <c r="C1601" s="623">
        <v>98002</v>
      </c>
      <c r="D1601" s="624"/>
    </row>
    <row r="1602" spans="2:4" x14ac:dyDescent="0.25">
      <c r="B1602" s="624" t="s">
        <v>1866</v>
      </c>
      <c r="C1602" s="623">
        <v>98008</v>
      </c>
      <c r="D1602" s="624"/>
    </row>
    <row r="1603" spans="2:4" x14ac:dyDescent="0.25">
      <c r="B1603" s="624" t="s">
        <v>2416</v>
      </c>
      <c r="C1603" s="623">
        <v>97861</v>
      </c>
      <c r="D1603" s="624"/>
    </row>
    <row r="1604" spans="2:4" x14ac:dyDescent="0.25">
      <c r="B1604" s="624" t="s">
        <v>2417</v>
      </c>
      <c r="C1604" s="623">
        <v>97311</v>
      </c>
      <c r="D1604" s="624"/>
    </row>
    <row r="1605" spans="2:4" x14ac:dyDescent="0.25">
      <c r="B1605" s="624" t="s">
        <v>2418</v>
      </c>
      <c r="C1605" s="623">
        <v>93431</v>
      </c>
      <c r="D1605" s="624"/>
    </row>
    <row r="1606" spans="2:4" x14ac:dyDescent="0.25">
      <c r="B1606" s="624" t="s">
        <v>2419</v>
      </c>
      <c r="C1606" s="623">
        <v>91214</v>
      </c>
      <c r="D1606" s="624"/>
    </row>
    <row r="1607" spans="2:4" x14ac:dyDescent="0.25">
      <c r="B1607" s="624" t="s">
        <v>1878</v>
      </c>
      <c r="C1607" s="623">
        <v>98101</v>
      </c>
      <c r="D1607" s="624"/>
    </row>
    <row r="1608" spans="2:4" x14ac:dyDescent="0.25">
      <c r="B1608" s="624" t="s">
        <v>1880</v>
      </c>
      <c r="C1608" s="623">
        <v>98103</v>
      </c>
      <c r="D1608" s="624"/>
    </row>
    <row r="1609" spans="2:4" x14ac:dyDescent="0.25">
      <c r="B1609" s="624" t="s">
        <v>2420</v>
      </c>
      <c r="C1609" s="623">
        <v>98141</v>
      </c>
      <c r="D1609" s="624"/>
    </row>
    <row r="1610" spans="2:4" x14ac:dyDescent="0.25">
      <c r="B1610" s="624" t="s">
        <v>1888</v>
      </c>
      <c r="C1610" s="623">
        <v>98147</v>
      </c>
      <c r="D1610" s="624"/>
    </row>
    <row r="1611" spans="2:4" x14ac:dyDescent="0.25">
      <c r="B1611" s="624" t="s">
        <v>1842</v>
      </c>
      <c r="C1611" s="623">
        <v>97837</v>
      </c>
      <c r="D1611" s="624"/>
    </row>
    <row r="1612" spans="2:4" x14ac:dyDescent="0.25">
      <c r="B1612" s="624" t="s">
        <v>2421</v>
      </c>
      <c r="C1612" s="623">
        <v>98221</v>
      </c>
      <c r="D1612" s="624"/>
    </row>
    <row r="1613" spans="2:4" x14ac:dyDescent="0.25">
      <c r="B1613" s="624" t="s">
        <v>2422</v>
      </c>
      <c r="C1613" s="623">
        <v>98011</v>
      </c>
      <c r="D1613" s="624"/>
    </row>
    <row r="1614" spans="2:4" x14ac:dyDescent="0.25">
      <c r="B1614" s="624" t="s">
        <v>1868</v>
      </c>
      <c r="C1614" s="623">
        <v>98013</v>
      </c>
      <c r="D1614" s="624"/>
    </row>
    <row r="1615" spans="2:4" x14ac:dyDescent="0.25">
      <c r="B1615" s="624" t="s">
        <v>2423</v>
      </c>
      <c r="C1615" s="623">
        <v>97531</v>
      </c>
      <c r="D1615" s="624"/>
    </row>
    <row r="1616" spans="2:4" x14ac:dyDescent="0.25">
      <c r="B1616" s="624" t="s">
        <v>1890</v>
      </c>
      <c r="C1616" s="623">
        <v>98201</v>
      </c>
      <c r="D1616" s="624"/>
    </row>
    <row r="1617" spans="2:4" x14ac:dyDescent="0.25">
      <c r="B1617" s="624" t="s">
        <v>1825</v>
      </c>
      <c r="C1617" s="623">
        <v>97705</v>
      </c>
      <c r="D1617" s="624"/>
    </row>
    <row r="1618" spans="2:4" x14ac:dyDescent="0.25">
      <c r="B1618" s="624" t="s">
        <v>2424</v>
      </c>
      <c r="C1618" s="623">
        <v>95311</v>
      </c>
      <c r="D1618" s="624"/>
    </row>
    <row r="1619" spans="2:4" x14ac:dyDescent="0.25">
      <c r="B1619" s="624" t="s">
        <v>1634</v>
      </c>
      <c r="C1619" s="623">
        <v>95317</v>
      </c>
      <c r="D1619" s="624"/>
    </row>
    <row r="1620" spans="2:4" x14ac:dyDescent="0.25">
      <c r="B1620" s="624" t="s">
        <v>2425</v>
      </c>
      <c r="C1620" s="623">
        <v>91421</v>
      </c>
      <c r="D1620" s="624"/>
    </row>
    <row r="1621" spans="2:4" x14ac:dyDescent="0.25">
      <c r="B1621" s="624" t="s">
        <v>1901</v>
      </c>
      <c r="C1621" s="623">
        <v>98301</v>
      </c>
      <c r="D1621" s="624"/>
    </row>
    <row r="1622" spans="2:4" x14ac:dyDescent="0.25">
      <c r="B1622" s="624" t="s">
        <v>1902</v>
      </c>
      <c r="C1622" s="623">
        <v>98304</v>
      </c>
      <c r="D1622" s="624"/>
    </row>
    <row r="1623" spans="2:4" x14ac:dyDescent="0.25">
      <c r="B1623" s="624" t="s">
        <v>2426</v>
      </c>
      <c r="C1623" s="623">
        <v>94241</v>
      </c>
      <c r="D1623" s="624"/>
    </row>
    <row r="1624" spans="2:4" x14ac:dyDescent="0.25">
      <c r="B1624" s="624" t="s">
        <v>2427</v>
      </c>
      <c r="C1624" s="623">
        <v>96681</v>
      </c>
      <c r="D1624" s="624"/>
    </row>
    <row r="1625" spans="2:4" x14ac:dyDescent="0.25">
      <c r="B1625" s="624" t="s">
        <v>2428</v>
      </c>
      <c r="C1625" s="623">
        <v>95121</v>
      </c>
      <c r="D1625" s="624"/>
    </row>
    <row r="1626" spans="2:4" x14ac:dyDescent="0.25">
      <c r="B1626" s="624" t="s">
        <v>1619</v>
      </c>
      <c r="C1626" s="623">
        <v>95123</v>
      </c>
      <c r="D1626" s="624"/>
    </row>
    <row r="1627" spans="2:4" x14ac:dyDescent="0.25">
      <c r="B1627" s="624" t="s">
        <v>2429</v>
      </c>
      <c r="C1627" s="623">
        <v>99531</v>
      </c>
      <c r="D1627" s="624"/>
    </row>
    <row r="1628" spans="2:4" x14ac:dyDescent="0.25">
      <c r="B1628" s="624" t="s">
        <v>2430</v>
      </c>
      <c r="C1628" s="623">
        <v>96671</v>
      </c>
      <c r="D1628" s="624"/>
    </row>
    <row r="1629" spans="2:4" x14ac:dyDescent="0.25">
      <c r="B1629" s="624" t="s">
        <v>2431</v>
      </c>
      <c r="C1629" s="623">
        <v>91081</v>
      </c>
      <c r="D1629" s="624"/>
    </row>
    <row r="1630" spans="2:4" x14ac:dyDescent="0.25">
      <c r="B1630" s="624" t="s">
        <v>1240</v>
      </c>
      <c r="C1630" s="623">
        <v>91057</v>
      </c>
      <c r="D1630" s="624"/>
    </row>
    <row r="1631" spans="2:4" x14ac:dyDescent="0.25">
      <c r="B1631" s="624" t="s">
        <v>2432</v>
      </c>
      <c r="C1631" s="623">
        <v>96461</v>
      </c>
      <c r="D1631" s="624"/>
    </row>
    <row r="1632" spans="2:4" x14ac:dyDescent="0.25">
      <c r="B1632" s="624" t="s">
        <v>2433</v>
      </c>
      <c r="C1632" s="623">
        <v>92311</v>
      </c>
      <c r="D1632" s="624"/>
    </row>
    <row r="1633" spans="2:4" x14ac:dyDescent="0.25">
      <c r="B1633" s="624" t="s">
        <v>1355</v>
      </c>
      <c r="C1633" s="623">
        <v>92317</v>
      </c>
      <c r="D1633" s="624"/>
    </row>
    <row r="1634" spans="2:4" x14ac:dyDescent="0.25">
      <c r="B1634" s="624" t="s">
        <v>1793</v>
      </c>
      <c r="C1634" s="623">
        <v>97405</v>
      </c>
      <c r="D1634" s="624"/>
    </row>
    <row r="1635" spans="2:4" x14ac:dyDescent="0.25">
      <c r="B1635" s="624" t="s">
        <v>2434</v>
      </c>
      <c r="C1635" s="623">
        <v>91911</v>
      </c>
      <c r="D1635" s="624"/>
    </row>
    <row r="1636" spans="2:4" x14ac:dyDescent="0.25">
      <c r="B1636" s="624" t="s">
        <v>1339</v>
      </c>
      <c r="C1636" s="623">
        <v>91917</v>
      </c>
      <c r="D1636" s="624"/>
    </row>
    <row r="1637" spans="2:4" x14ac:dyDescent="0.25">
      <c r="B1637" s="624" t="s">
        <v>2435</v>
      </c>
      <c r="C1637" s="623">
        <v>97481</v>
      </c>
      <c r="D1637" s="624"/>
    </row>
    <row r="1638" spans="2:4" x14ac:dyDescent="0.25">
      <c r="B1638" s="624" t="s">
        <v>1259</v>
      </c>
      <c r="C1638" s="623">
        <v>91138</v>
      </c>
      <c r="D1638" s="624"/>
    </row>
    <row r="1639" spans="2:4" x14ac:dyDescent="0.25">
      <c r="B1639" s="624" t="s">
        <v>2436</v>
      </c>
      <c r="C1639" s="623">
        <v>95111</v>
      </c>
      <c r="D1639" s="624"/>
    </row>
    <row r="1640" spans="2:4" x14ac:dyDescent="0.25">
      <c r="B1640" s="624" t="s">
        <v>1616</v>
      </c>
      <c r="C1640" s="623">
        <v>95113</v>
      </c>
      <c r="D1640" s="624"/>
    </row>
    <row r="1641" spans="2:4" x14ac:dyDescent="0.25">
      <c r="B1641" s="624" t="s">
        <v>1606</v>
      </c>
      <c r="C1641" s="623">
        <v>95009</v>
      </c>
      <c r="D1641" s="624"/>
    </row>
    <row r="1642" spans="2:4" x14ac:dyDescent="0.25">
      <c r="B1642" s="624" t="s">
        <v>2437</v>
      </c>
      <c r="C1642" s="623">
        <v>94021</v>
      </c>
      <c r="D1642" s="624"/>
    </row>
    <row r="1643" spans="2:4" x14ac:dyDescent="0.25">
      <c r="B1643" s="624" t="s">
        <v>1510</v>
      </c>
      <c r="C1643" s="623">
        <v>93910</v>
      </c>
      <c r="D1643" s="624"/>
    </row>
    <row r="1644" spans="2:4" x14ac:dyDescent="0.25">
      <c r="B1644" s="624" t="s">
        <v>1213</v>
      </c>
      <c r="C1644" s="623">
        <v>90918</v>
      </c>
      <c r="D1644" s="624"/>
    </row>
    <row r="1645" spans="2:4" x14ac:dyDescent="0.25">
      <c r="B1645" s="624" t="s">
        <v>2438</v>
      </c>
      <c r="C1645" s="623">
        <v>96311</v>
      </c>
      <c r="D1645" s="624"/>
    </row>
    <row r="1646" spans="2:4" x14ac:dyDescent="0.25">
      <c r="B1646" s="624" t="s">
        <v>2439</v>
      </c>
      <c r="C1646" s="623">
        <v>92841</v>
      </c>
      <c r="D1646" s="624"/>
    </row>
    <row r="1647" spans="2:4" x14ac:dyDescent="0.25">
      <c r="B1647" s="624" t="s">
        <v>2004</v>
      </c>
      <c r="C1647" s="623">
        <v>99609</v>
      </c>
      <c r="D1647" s="624"/>
    </row>
    <row r="1648" spans="2:4" x14ac:dyDescent="0.25">
      <c r="B1648" s="624" t="s">
        <v>2440</v>
      </c>
      <c r="C1648" s="623">
        <v>91011</v>
      </c>
      <c r="D1648" s="624"/>
    </row>
    <row r="1649" spans="2:4" x14ac:dyDescent="0.25">
      <c r="B1649" s="624" t="s">
        <v>1229</v>
      </c>
      <c r="C1649" s="623">
        <v>91017</v>
      </c>
      <c r="D1649" s="624"/>
    </row>
    <row r="1650" spans="2:4" x14ac:dyDescent="0.25">
      <c r="B1650" s="624" t="s">
        <v>1605</v>
      </c>
      <c r="C1650" s="623">
        <v>95008</v>
      </c>
      <c r="D1650" s="624"/>
    </row>
    <row r="1651" spans="2:4" x14ac:dyDescent="0.25">
      <c r="B1651" s="624" t="s">
        <v>2441</v>
      </c>
      <c r="C1651" s="623">
        <v>72657</v>
      </c>
      <c r="D1651" s="624"/>
    </row>
    <row r="1652" spans="2:4" x14ac:dyDescent="0.25">
      <c r="B1652" s="624" t="s">
        <v>1171</v>
      </c>
      <c r="C1652" s="623">
        <v>90307</v>
      </c>
      <c r="D1652" s="624"/>
    </row>
    <row r="1653" spans="2:4" x14ac:dyDescent="0.25">
      <c r="B1653" s="624" t="s">
        <v>2442</v>
      </c>
      <c r="C1653" s="623">
        <v>98031</v>
      </c>
      <c r="D1653" s="624"/>
    </row>
    <row r="1654" spans="2:4" x14ac:dyDescent="0.25">
      <c r="B1654" s="624" t="s">
        <v>2443</v>
      </c>
      <c r="C1654" s="623">
        <v>98121</v>
      </c>
      <c r="D1654" s="624"/>
    </row>
    <row r="1655" spans="2:4" x14ac:dyDescent="0.25">
      <c r="B1655" s="624" t="s">
        <v>2444</v>
      </c>
      <c r="C1655" s="623">
        <v>96411</v>
      </c>
      <c r="D1655" s="624"/>
    </row>
    <row r="1656" spans="2:4" x14ac:dyDescent="0.25">
      <c r="B1656" s="624" t="s">
        <v>2445</v>
      </c>
      <c r="C1656" s="623">
        <v>92661</v>
      </c>
      <c r="D1656" s="624"/>
    </row>
    <row r="1657" spans="2:4" x14ac:dyDescent="0.25">
      <c r="B1657" s="624" t="s">
        <v>2446</v>
      </c>
      <c r="C1657" s="623">
        <v>96111</v>
      </c>
      <c r="D1657" s="624"/>
    </row>
    <row r="1658" spans="2:4" x14ac:dyDescent="0.25">
      <c r="B1658" s="624" t="s">
        <v>2447</v>
      </c>
      <c r="C1658" s="623">
        <v>91032</v>
      </c>
      <c r="D1658" s="624"/>
    </row>
    <row r="1659" spans="2:4" x14ac:dyDescent="0.25">
      <c r="B1659" s="624" t="s">
        <v>2448</v>
      </c>
      <c r="C1659" s="623">
        <v>97831</v>
      </c>
      <c r="D1659" s="624"/>
    </row>
    <row r="1660" spans="2:4" x14ac:dyDescent="0.25">
      <c r="B1660" s="624" t="s">
        <v>2449</v>
      </c>
      <c r="C1660" s="623">
        <v>96061</v>
      </c>
      <c r="D1660" s="624"/>
    </row>
    <row r="1661" spans="2:4" x14ac:dyDescent="0.25">
      <c r="B1661" s="624" t="s">
        <v>2450</v>
      </c>
      <c r="C1661" s="623">
        <v>98481</v>
      </c>
      <c r="D1661" s="624"/>
    </row>
    <row r="1662" spans="2:4" x14ac:dyDescent="0.25">
      <c r="B1662" s="624" t="s">
        <v>2451</v>
      </c>
      <c r="C1662" s="623">
        <v>93602</v>
      </c>
      <c r="D1662" s="624"/>
    </row>
    <row r="1663" spans="2:4" x14ac:dyDescent="0.25">
      <c r="B1663" s="624" t="s">
        <v>1908</v>
      </c>
      <c r="C1663" s="623">
        <v>98401</v>
      </c>
      <c r="D1663" s="624"/>
    </row>
    <row r="1664" spans="2:4" x14ac:dyDescent="0.25">
      <c r="B1664" s="624" t="s">
        <v>2452</v>
      </c>
      <c r="C1664" s="623">
        <v>99821</v>
      </c>
      <c r="D1664" s="624"/>
    </row>
    <row r="1665" spans="2:4" x14ac:dyDescent="0.25">
      <c r="B1665" s="624" t="s">
        <v>2453</v>
      </c>
      <c r="C1665" s="623">
        <v>96211</v>
      </c>
      <c r="D1665" s="624"/>
    </row>
    <row r="1666" spans="2:4" x14ac:dyDescent="0.25">
      <c r="B1666" s="624" t="s">
        <v>2454</v>
      </c>
      <c r="C1666" s="623">
        <v>94911</v>
      </c>
      <c r="D1666" s="624"/>
    </row>
    <row r="1667" spans="2:4" x14ac:dyDescent="0.25">
      <c r="B1667" s="624" t="s">
        <v>1596</v>
      </c>
      <c r="C1667" s="623">
        <v>94917</v>
      </c>
      <c r="D1667" s="624"/>
    </row>
    <row r="1668" spans="2:4" x14ac:dyDescent="0.25">
      <c r="B1668" s="624" t="s">
        <v>2455</v>
      </c>
      <c r="C1668" s="623">
        <v>92621</v>
      </c>
      <c r="D1668" s="624"/>
    </row>
    <row r="1669" spans="2:4" x14ac:dyDescent="0.25">
      <c r="B1669" s="624" t="s">
        <v>1917</v>
      </c>
      <c r="C1669" s="623">
        <v>98501</v>
      </c>
      <c r="D1669" s="624"/>
    </row>
    <row r="1670" spans="2:4" x14ac:dyDescent="0.25">
      <c r="B1670" s="624" t="s">
        <v>2456</v>
      </c>
      <c r="C1670" s="623">
        <v>97931</v>
      </c>
      <c r="D1670" s="624"/>
    </row>
    <row r="1671" spans="2:4" x14ac:dyDescent="0.25">
      <c r="B1671" s="624" t="s">
        <v>2457</v>
      </c>
      <c r="C1671" s="623">
        <v>93914</v>
      </c>
      <c r="D1671" s="624"/>
    </row>
    <row r="1672" spans="2:4" x14ac:dyDescent="0.25">
      <c r="B1672" s="624" t="s">
        <v>2458</v>
      </c>
      <c r="C1672" s="623">
        <v>90651</v>
      </c>
      <c r="D1672" s="624"/>
    </row>
    <row r="1673" spans="2:4" x14ac:dyDescent="0.25">
      <c r="B1673" s="624" t="s">
        <v>2459</v>
      </c>
      <c r="C1673" s="623">
        <v>94171</v>
      </c>
      <c r="D1673" s="624"/>
    </row>
    <row r="1674" spans="2:4" x14ac:dyDescent="0.25">
      <c r="B1674" s="624" t="s">
        <v>1539</v>
      </c>
      <c r="C1674" s="623">
        <v>94172</v>
      </c>
      <c r="D1674" s="624"/>
    </row>
    <row r="1675" spans="2:4" x14ac:dyDescent="0.25">
      <c r="B1675" s="624" t="s">
        <v>2460</v>
      </c>
      <c r="C1675" s="623">
        <v>91041</v>
      </c>
      <c r="D1675" s="624"/>
    </row>
    <row r="1676" spans="2:4" x14ac:dyDescent="0.25">
      <c r="B1676" s="624" t="s">
        <v>1238</v>
      </c>
      <c r="C1676" s="623">
        <v>91047</v>
      </c>
      <c r="D1676" s="624"/>
    </row>
    <row r="1677" spans="2:4" x14ac:dyDescent="0.25">
      <c r="B1677" s="624" t="s">
        <v>1781</v>
      </c>
      <c r="C1677" s="623">
        <v>97131</v>
      </c>
      <c r="D1677" s="624"/>
    </row>
    <row r="1678" spans="2:4" x14ac:dyDescent="0.25">
      <c r="B1678" s="624" t="s">
        <v>1921</v>
      </c>
      <c r="C1678" s="623">
        <v>98601</v>
      </c>
      <c r="D1678" s="624"/>
    </row>
    <row r="1679" spans="2:4" x14ac:dyDescent="0.25">
      <c r="B1679" s="624" t="s">
        <v>1931</v>
      </c>
      <c r="C1679" s="623">
        <v>98701</v>
      </c>
      <c r="D1679" s="624"/>
    </row>
    <row r="1680" spans="2:4" x14ac:dyDescent="0.25">
      <c r="B1680" s="624" t="s">
        <v>2461</v>
      </c>
      <c r="C1680" s="623">
        <v>96721</v>
      </c>
      <c r="D1680" s="624"/>
    </row>
    <row r="1681" spans="2:4" x14ac:dyDescent="0.25">
      <c r="B1681" s="624" t="s">
        <v>2462</v>
      </c>
      <c r="C1681" s="623">
        <v>95011</v>
      </c>
      <c r="D1681" s="624"/>
    </row>
    <row r="1682" spans="2:4" x14ac:dyDescent="0.25">
      <c r="B1682" s="624" t="s">
        <v>1608</v>
      </c>
      <c r="C1682" s="623">
        <v>95017</v>
      </c>
      <c r="D1682" s="624"/>
    </row>
    <row r="1683" spans="2:4" x14ac:dyDescent="0.25">
      <c r="B1683" s="624" t="s">
        <v>2463</v>
      </c>
      <c r="C1683" s="623">
        <v>92451</v>
      </c>
      <c r="D1683" s="624"/>
    </row>
    <row r="1684" spans="2:4" x14ac:dyDescent="0.25">
      <c r="B1684" s="624" t="s">
        <v>2464</v>
      </c>
      <c r="C1684" s="623">
        <v>93311</v>
      </c>
      <c r="D1684" s="624"/>
    </row>
    <row r="1685" spans="2:4" x14ac:dyDescent="0.25">
      <c r="B1685" s="624" t="s">
        <v>1453</v>
      </c>
      <c r="C1685" s="623">
        <v>93317</v>
      </c>
      <c r="D1685" s="624"/>
    </row>
    <row r="1686" spans="2:4" x14ac:dyDescent="0.25">
      <c r="B1686" s="624" t="s">
        <v>2465</v>
      </c>
      <c r="C1686" s="623">
        <v>90211</v>
      </c>
      <c r="D1686" s="624"/>
    </row>
    <row r="1687" spans="2:4" x14ac:dyDescent="0.25">
      <c r="B1687" s="624" t="s">
        <v>2466</v>
      </c>
      <c r="C1687" s="623">
        <v>96302</v>
      </c>
      <c r="D1687" s="624"/>
    </row>
    <row r="1688" spans="2:4" x14ac:dyDescent="0.25">
      <c r="B1688" s="624" t="s">
        <v>2467</v>
      </c>
      <c r="C1688" s="623">
        <v>93181</v>
      </c>
      <c r="D1688" s="624"/>
    </row>
    <row r="1689" spans="2:4" x14ac:dyDescent="0.25">
      <c r="B1689" s="624" t="s">
        <v>1350</v>
      </c>
      <c r="C1689" s="623">
        <v>92113</v>
      </c>
      <c r="D1689" s="624"/>
    </row>
    <row r="1690" spans="2:4" x14ac:dyDescent="0.25">
      <c r="B1690" s="624" t="s">
        <v>2468</v>
      </c>
      <c r="C1690" s="623">
        <v>92911</v>
      </c>
      <c r="D1690" s="624"/>
    </row>
    <row r="1691" spans="2:4" x14ac:dyDescent="0.25">
      <c r="B1691" s="624" t="s">
        <v>1416</v>
      </c>
      <c r="C1691" s="623">
        <v>92913</v>
      </c>
      <c r="D1691" s="624"/>
    </row>
    <row r="1692" spans="2:4" x14ac:dyDescent="0.25">
      <c r="B1692" s="624" t="s">
        <v>2469</v>
      </c>
      <c r="C1692" s="623">
        <v>93471</v>
      </c>
      <c r="D1692" s="624"/>
    </row>
    <row r="1693" spans="2:4" x14ac:dyDescent="0.25">
      <c r="B1693" s="624" t="s">
        <v>1153</v>
      </c>
      <c r="C1693" s="623">
        <v>90098</v>
      </c>
      <c r="D1693" s="624"/>
    </row>
    <row r="1694" spans="2:4" x14ac:dyDescent="0.25">
      <c r="B1694" s="624" t="s">
        <v>2470</v>
      </c>
      <c r="C1694" s="623">
        <v>97121</v>
      </c>
      <c r="D1694" s="624"/>
    </row>
    <row r="1695" spans="2:4" x14ac:dyDescent="0.25">
      <c r="B1695" s="624" t="s">
        <v>1844</v>
      </c>
      <c r="C1695" s="623">
        <v>97841</v>
      </c>
      <c r="D1695" s="624"/>
    </row>
    <row r="1696" spans="2:4" x14ac:dyDescent="0.25">
      <c r="B1696" s="624" t="s">
        <v>1934</v>
      </c>
      <c r="C1696" s="623">
        <v>98801</v>
      </c>
      <c r="D1696" s="624"/>
    </row>
    <row r="1697" spans="2:4" x14ac:dyDescent="0.25">
      <c r="B1697" s="624" t="s">
        <v>2471</v>
      </c>
      <c r="C1697" s="623">
        <v>92521</v>
      </c>
      <c r="D1697" s="624"/>
    </row>
    <row r="1698" spans="2:4" x14ac:dyDescent="0.25">
      <c r="B1698" s="624" t="s">
        <v>1447</v>
      </c>
      <c r="C1698" s="623">
        <v>93219</v>
      </c>
      <c r="D1698" s="624"/>
    </row>
    <row r="1699" spans="2:4" x14ac:dyDescent="0.25">
      <c r="B1699" s="624" t="s">
        <v>2472</v>
      </c>
      <c r="C1699" s="623">
        <v>97661</v>
      </c>
      <c r="D1699" s="624"/>
    </row>
    <row r="1700" spans="2:4" x14ac:dyDescent="0.25">
      <c r="B1700" s="624" t="s">
        <v>2473</v>
      </c>
      <c r="C1700" s="623">
        <v>94931</v>
      </c>
      <c r="D1700" s="624"/>
    </row>
    <row r="1701" spans="2:4" x14ac:dyDescent="0.25">
      <c r="B1701" s="624" t="s">
        <v>2474</v>
      </c>
      <c r="C1701" s="623">
        <v>96221</v>
      </c>
      <c r="D1701" s="624"/>
    </row>
    <row r="1702" spans="2:4" x14ac:dyDescent="0.25">
      <c r="B1702" s="624" t="s">
        <v>2475</v>
      </c>
      <c r="C1702" s="623">
        <v>97511</v>
      </c>
      <c r="D1702" s="624"/>
    </row>
    <row r="1703" spans="2:4" x14ac:dyDescent="0.25">
      <c r="B1703" s="624" t="s">
        <v>1603</v>
      </c>
      <c r="C1703" s="623">
        <v>95002</v>
      </c>
      <c r="D1703" s="624"/>
    </row>
    <row r="1704" spans="2:4" x14ac:dyDescent="0.25">
      <c r="B1704" s="624" t="s">
        <v>2476</v>
      </c>
      <c r="C1704" s="623">
        <v>98251</v>
      </c>
      <c r="D1704" s="624"/>
    </row>
    <row r="1705" spans="2:4" x14ac:dyDescent="0.25">
      <c r="B1705" s="624" t="s">
        <v>1937</v>
      </c>
      <c r="C1705" s="623">
        <v>98901</v>
      </c>
      <c r="D1705" s="624"/>
    </row>
    <row r="1706" spans="2:4" x14ac:dyDescent="0.25">
      <c r="B1706" s="624" t="s">
        <v>1938</v>
      </c>
      <c r="C1706" s="623">
        <v>98904</v>
      </c>
      <c r="D1706" s="624"/>
    </row>
    <row r="1707" spans="2:4" x14ac:dyDescent="0.25">
      <c r="B1707" s="624" t="s">
        <v>1940</v>
      </c>
      <c r="C1707" s="623">
        <v>99001</v>
      </c>
      <c r="D1707" s="624"/>
    </row>
    <row r="1708" spans="2:4" x14ac:dyDescent="0.25">
      <c r="B1708" s="624" t="s">
        <v>2477</v>
      </c>
      <c r="C1708" s="623">
        <v>99061</v>
      </c>
      <c r="D1708" s="624"/>
    </row>
    <row r="1709" spans="2:4" x14ac:dyDescent="0.25">
      <c r="B1709" s="624" t="s">
        <v>2478</v>
      </c>
      <c r="C1709" s="623">
        <v>91211</v>
      </c>
      <c r="D1709" s="624"/>
    </row>
    <row r="1710" spans="2:4" x14ac:dyDescent="0.25">
      <c r="B1710" s="624" t="s">
        <v>1272</v>
      </c>
      <c r="C1710" s="623">
        <v>91213</v>
      </c>
      <c r="D1710" s="624"/>
    </row>
    <row r="1711" spans="2:4" x14ac:dyDescent="0.25">
      <c r="B1711" s="624" t="s">
        <v>1954</v>
      </c>
      <c r="C1711" s="623">
        <v>99101</v>
      </c>
      <c r="D1711" s="624"/>
    </row>
    <row r="1712" spans="2:4" x14ac:dyDescent="0.25">
      <c r="B1712" s="624" t="s">
        <v>1955</v>
      </c>
      <c r="C1712" s="623">
        <v>99104</v>
      </c>
      <c r="D1712" s="624"/>
    </row>
    <row r="1713" spans="2:4" x14ac:dyDescent="0.25">
      <c r="B1713" s="624" t="s">
        <v>2479</v>
      </c>
      <c r="C1713" s="623">
        <v>92551</v>
      </c>
      <c r="D1713" s="624"/>
    </row>
    <row r="1714" spans="2:4" x14ac:dyDescent="0.25">
      <c r="B1714" s="624" t="s">
        <v>2480</v>
      </c>
      <c r="C1714" s="623">
        <v>96321</v>
      </c>
      <c r="D1714" s="624"/>
    </row>
    <row r="1715" spans="2:4" x14ac:dyDescent="0.25">
      <c r="B1715" s="624" t="s">
        <v>2481</v>
      </c>
      <c r="C1715" s="623">
        <v>92641</v>
      </c>
      <c r="D1715" s="624"/>
    </row>
    <row r="1716" spans="2:4" x14ac:dyDescent="0.25">
      <c r="B1716" s="624" t="s">
        <v>2482</v>
      </c>
      <c r="C1716" s="623">
        <v>90411</v>
      </c>
      <c r="D1716" s="624"/>
    </row>
    <row r="1717" spans="2:4" x14ac:dyDescent="0.25">
      <c r="B1717" s="624" t="s">
        <v>1175</v>
      </c>
      <c r="C1717" s="623">
        <v>90417</v>
      </c>
      <c r="D1717" s="624"/>
    </row>
    <row r="1718" spans="2:4" x14ac:dyDescent="0.25">
      <c r="B1718" s="624" t="s">
        <v>1174</v>
      </c>
      <c r="C1718" s="623">
        <v>90413</v>
      </c>
      <c r="D1718" s="624"/>
    </row>
    <row r="1719" spans="2:4" x14ac:dyDescent="0.25">
      <c r="B1719" s="624" t="s">
        <v>2483</v>
      </c>
      <c r="C1719" s="623">
        <v>98321</v>
      </c>
      <c r="D1719" s="624"/>
    </row>
    <row r="1720" spans="2:4" x14ac:dyDescent="0.25">
      <c r="B1720" s="624" t="s">
        <v>1959</v>
      </c>
      <c r="C1720" s="623">
        <v>99201</v>
      </c>
      <c r="D1720" s="624"/>
    </row>
    <row r="1721" spans="2:4" x14ac:dyDescent="0.25">
      <c r="B1721" s="624" t="s">
        <v>1962</v>
      </c>
      <c r="C1721" s="623">
        <v>99204</v>
      </c>
      <c r="D1721" s="624"/>
    </row>
    <row r="1722" spans="2:4" x14ac:dyDescent="0.25">
      <c r="B1722" s="624" t="s">
        <v>1964</v>
      </c>
      <c r="C1722" s="623">
        <v>99207</v>
      </c>
      <c r="D1722" s="624"/>
    </row>
    <row r="1723" spans="2:4" x14ac:dyDescent="0.25">
      <c r="B1723" s="624" t="s">
        <v>2484</v>
      </c>
      <c r="C1723" s="623">
        <v>99281</v>
      </c>
      <c r="D1723" s="624"/>
    </row>
    <row r="1724" spans="2:4" x14ac:dyDescent="0.25">
      <c r="B1724" s="624" t="s">
        <v>2485</v>
      </c>
      <c r="C1724" s="623">
        <v>93461</v>
      </c>
      <c r="D1724" s="624"/>
    </row>
    <row r="1725" spans="2:4" x14ac:dyDescent="0.25">
      <c r="B1725" s="624" t="s">
        <v>2486</v>
      </c>
      <c r="C1725" s="623">
        <v>93151</v>
      </c>
      <c r="D1725" s="624"/>
    </row>
    <row r="1726" spans="2:4" x14ac:dyDescent="0.25">
      <c r="B1726" s="624" t="s">
        <v>1436</v>
      </c>
      <c r="C1726" s="623">
        <v>93157</v>
      </c>
      <c r="D1726" s="624"/>
    </row>
    <row r="1727" spans="2:4" x14ac:dyDescent="0.25">
      <c r="B1727" s="624" t="s">
        <v>2487</v>
      </c>
      <c r="C1727" s="623">
        <v>98511</v>
      </c>
      <c r="D1727" s="624"/>
    </row>
    <row r="1728" spans="2:4" x14ac:dyDescent="0.25">
      <c r="B1728" s="624" t="s">
        <v>1919</v>
      </c>
      <c r="C1728" s="623">
        <v>98517</v>
      </c>
      <c r="D1728" s="624"/>
    </row>
    <row r="1729" spans="2:4" x14ac:dyDescent="0.25">
      <c r="B1729" s="624" t="s">
        <v>2488</v>
      </c>
      <c r="C1729" s="623">
        <v>99661</v>
      </c>
      <c r="D1729" s="624"/>
    </row>
    <row r="1730" spans="2:4" x14ac:dyDescent="0.25">
      <c r="B1730" s="624" t="s">
        <v>2489</v>
      </c>
      <c r="C1730" s="623">
        <v>94031</v>
      </c>
      <c r="D1730" s="624"/>
    </row>
    <row r="1731" spans="2:4" x14ac:dyDescent="0.25">
      <c r="B1731" s="624" t="s">
        <v>1981</v>
      </c>
      <c r="C1731" s="623">
        <v>99301</v>
      </c>
      <c r="D1731" s="624"/>
    </row>
    <row r="1732" spans="2:4" x14ac:dyDescent="0.25">
      <c r="B1732" s="624" t="s">
        <v>1982</v>
      </c>
      <c r="C1732" s="623">
        <v>99304</v>
      </c>
      <c r="D1732" s="624"/>
    </row>
    <row r="1733" spans="2:4" x14ac:dyDescent="0.25">
      <c r="B1733" s="624" t="s">
        <v>2490</v>
      </c>
      <c r="C1733" s="623">
        <v>99321</v>
      </c>
      <c r="D1733" s="624"/>
    </row>
    <row r="1734" spans="2:4" x14ac:dyDescent="0.25">
      <c r="B1734" s="624" t="s">
        <v>2491</v>
      </c>
      <c r="C1734" s="623">
        <v>93131</v>
      </c>
      <c r="D1734" s="624"/>
    </row>
    <row r="1735" spans="2:4" x14ac:dyDescent="0.25">
      <c r="B1735" s="624" t="s">
        <v>1433</v>
      </c>
      <c r="C1735" s="623">
        <v>93137</v>
      </c>
      <c r="D1735" s="624"/>
    </row>
    <row r="1736" spans="2:4" x14ac:dyDescent="0.25">
      <c r="B1736" s="624" t="s">
        <v>2492</v>
      </c>
      <c r="C1736" s="623">
        <v>90711</v>
      </c>
      <c r="D1736" s="624"/>
    </row>
    <row r="1737" spans="2:4" x14ac:dyDescent="0.25">
      <c r="B1737" s="624" t="s">
        <v>1985</v>
      </c>
      <c r="C1737" s="623">
        <v>99401</v>
      </c>
      <c r="D1737" s="624"/>
    </row>
    <row r="1738" spans="2:4" x14ac:dyDescent="0.25">
      <c r="B1738" s="624" t="s">
        <v>1986</v>
      </c>
      <c r="C1738" s="623">
        <v>99404</v>
      </c>
      <c r="D1738" s="624"/>
    </row>
    <row r="1739" spans="2:4" x14ac:dyDescent="0.25">
      <c r="B1739" s="624" t="s">
        <v>2493</v>
      </c>
      <c r="C1739" s="623">
        <v>90741</v>
      </c>
      <c r="D1739" s="624"/>
    </row>
    <row r="1740" spans="2:4" x14ac:dyDescent="0.25">
      <c r="B1740" s="624" t="s">
        <v>1992</v>
      </c>
      <c r="C1740" s="623">
        <v>99501</v>
      </c>
      <c r="D1740" s="624"/>
    </row>
    <row r="1741" spans="2:4" x14ac:dyDescent="0.25">
      <c r="B1741" s="624" t="s">
        <v>1995</v>
      </c>
      <c r="C1741" s="623">
        <v>99509</v>
      </c>
      <c r="D1741" s="624"/>
    </row>
    <row r="1742" spans="2:4" x14ac:dyDescent="0.25">
      <c r="B1742" s="624" t="s">
        <v>1282</v>
      </c>
      <c r="C1742" s="623">
        <v>91302</v>
      </c>
      <c r="D1742" s="624"/>
    </row>
    <row r="1743" spans="2:4" x14ac:dyDescent="0.25">
      <c r="B1743" s="624" t="s">
        <v>2494</v>
      </c>
      <c r="C1743" s="623">
        <v>99041</v>
      </c>
      <c r="D1743" s="624"/>
    </row>
    <row r="1744" spans="2:4" x14ac:dyDescent="0.25">
      <c r="B1744" s="624" t="s">
        <v>1948</v>
      </c>
      <c r="C1744" s="623">
        <v>99047</v>
      </c>
      <c r="D1744" s="624"/>
    </row>
    <row r="1745" spans="2:4" x14ac:dyDescent="0.25">
      <c r="B1745" s="624" t="s">
        <v>2000</v>
      </c>
      <c r="C1745" s="623">
        <v>99601</v>
      </c>
      <c r="D1745" s="624"/>
    </row>
    <row r="1746" spans="2:4" x14ac:dyDescent="0.25">
      <c r="B1746" s="624" t="s">
        <v>2003</v>
      </c>
      <c r="C1746" s="623">
        <v>99604</v>
      </c>
      <c r="D1746" s="624"/>
    </row>
    <row r="1747" spans="2:4" x14ac:dyDescent="0.25">
      <c r="B1747" s="624" t="s">
        <v>2495</v>
      </c>
      <c r="C1747" s="623">
        <v>94411</v>
      </c>
      <c r="D1747" s="624"/>
    </row>
    <row r="1748" spans="2:4" x14ac:dyDescent="0.25">
      <c r="B1748" s="624" t="s">
        <v>1563</v>
      </c>
      <c r="C1748" s="623">
        <v>94412</v>
      </c>
      <c r="D1748" s="624"/>
    </row>
    <row r="1749" spans="2:4" x14ac:dyDescent="0.25">
      <c r="B1749" s="624" t="s">
        <v>2496</v>
      </c>
      <c r="C1749" s="623">
        <v>91141</v>
      </c>
      <c r="D1749" s="624"/>
    </row>
    <row r="1750" spans="2:4" x14ac:dyDescent="0.25">
      <c r="B1750" s="624" t="s">
        <v>1261</v>
      </c>
      <c r="C1750" s="623">
        <v>91147</v>
      </c>
      <c r="D1750" s="624"/>
    </row>
    <row r="1751" spans="2:4" x14ac:dyDescent="0.25">
      <c r="B1751" s="624" t="s">
        <v>2497</v>
      </c>
      <c r="C1751" s="623">
        <v>99071</v>
      </c>
      <c r="D1751" s="624"/>
    </row>
    <row r="1752" spans="2:4" x14ac:dyDescent="0.25">
      <c r="B1752" s="624" t="s">
        <v>2498</v>
      </c>
      <c r="C1752" s="623">
        <v>94231</v>
      </c>
      <c r="D1752" s="624"/>
    </row>
    <row r="1753" spans="2:4" x14ac:dyDescent="0.25">
      <c r="B1753" s="624" t="s">
        <v>2499</v>
      </c>
      <c r="C1753" s="623">
        <v>99231</v>
      </c>
      <c r="D1753" s="624"/>
    </row>
    <row r="1754" spans="2:4" x14ac:dyDescent="0.25">
      <c r="B1754" s="624" t="s">
        <v>2500</v>
      </c>
      <c r="C1754" s="623">
        <v>99091</v>
      </c>
      <c r="D1754" s="624"/>
    </row>
    <row r="1755" spans="2:4" x14ac:dyDescent="0.25">
      <c r="B1755" s="624" t="s">
        <v>1255</v>
      </c>
      <c r="C1755" s="623">
        <v>91120</v>
      </c>
      <c r="D1755" s="624"/>
    </row>
    <row r="1756" spans="2:4" x14ac:dyDescent="0.25">
      <c r="B1756" s="624" t="s">
        <v>2501</v>
      </c>
      <c r="C1756" s="623">
        <v>90521</v>
      </c>
      <c r="D1756" s="624"/>
    </row>
    <row r="1757" spans="2:4" x14ac:dyDescent="0.25">
      <c r="B1757" s="624" t="s">
        <v>1182</v>
      </c>
      <c r="C1757" s="623">
        <v>90507</v>
      </c>
      <c r="D1757" s="624"/>
    </row>
    <row r="1758" spans="2:4" x14ac:dyDescent="0.25">
      <c r="B1758" s="624" t="s">
        <v>1389</v>
      </c>
      <c r="C1758" s="623">
        <v>92602</v>
      </c>
      <c r="D1758" s="624"/>
    </row>
    <row r="1759" spans="2:4" x14ac:dyDescent="0.25">
      <c r="B1759" s="624" t="s">
        <v>1305</v>
      </c>
      <c r="C1759" s="623">
        <v>91608</v>
      </c>
      <c r="D1759" s="624"/>
    </row>
    <row r="1760" spans="2:4" x14ac:dyDescent="0.25">
      <c r="B1760" s="624" t="s">
        <v>2502</v>
      </c>
      <c r="C1760" s="623">
        <v>91119</v>
      </c>
      <c r="D1760" s="624"/>
    </row>
    <row r="1761" spans="2:4" x14ac:dyDescent="0.25">
      <c r="B1761" s="624" t="s">
        <v>1250</v>
      </c>
      <c r="C1761" s="623">
        <v>91107</v>
      </c>
      <c r="D1761" s="624"/>
    </row>
    <row r="1762" spans="2:4" x14ac:dyDescent="0.25">
      <c r="B1762" s="624" t="s">
        <v>1325</v>
      </c>
      <c r="C1762" s="623">
        <v>91818</v>
      </c>
      <c r="D1762" s="624"/>
    </row>
    <row r="1763" spans="2:4" x14ac:dyDescent="0.25">
      <c r="B1763" s="624" t="s">
        <v>1326</v>
      </c>
      <c r="C1763" s="623">
        <v>91819</v>
      </c>
      <c r="D1763" s="624"/>
    </row>
    <row r="1764" spans="2:4" x14ac:dyDescent="0.25">
      <c r="B1764" s="624" t="s">
        <v>2503</v>
      </c>
      <c r="C1764" s="623">
        <v>96371</v>
      </c>
      <c r="D1764" s="624"/>
    </row>
    <row r="1765" spans="2:4" x14ac:dyDescent="0.25">
      <c r="B1765" s="624" t="s">
        <v>2504</v>
      </c>
      <c r="C1765" s="623">
        <v>96441</v>
      </c>
      <c r="D1765" s="624"/>
    </row>
    <row r="1766" spans="2:4" x14ac:dyDescent="0.25">
      <c r="B1766" s="624" t="s">
        <v>2505</v>
      </c>
      <c r="C1766" s="623">
        <v>90921</v>
      </c>
      <c r="D1766" s="624"/>
    </row>
    <row r="1767" spans="2:4" x14ac:dyDescent="0.25">
      <c r="B1767" s="624" t="s">
        <v>2506</v>
      </c>
      <c r="C1767" s="623">
        <v>92411</v>
      </c>
      <c r="D1767" s="624"/>
    </row>
    <row r="1768" spans="2:4" x14ac:dyDescent="0.25">
      <c r="B1768" s="624" t="s">
        <v>1365</v>
      </c>
      <c r="C1768" s="623">
        <v>92417</v>
      </c>
      <c r="D1768" s="624"/>
    </row>
    <row r="1769" spans="2:4" x14ac:dyDescent="0.25">
      <c r="B1769" s="624" t="s">
        <v>1362</v>
      </c>
      <c r="C1769" s="623">
        <v>92403</v>
      </c>
      <c r="D1769" s="624"/>
    </row>
    <row r="1770" spans="2:4" x14ac:dyDescent="0.25">
      <c r="B1770" s="624" t="s">
        <v>2013</v>
      </c>
      <c r="C1770" s="623">
        <v>99701</v>
      </c>
      <c r="D1770" s="624"/>
    </row>
    <row r="1771" spans="2:4" x14ac:dyDescent="0.25">
      <c r="B1771" s="624" t="s">
        <v>2507</v>
      </c>
      <c r="C1771" s="623">
        <v>99721</v>
      </c>
      <c r="D1771" s="624"/>
    </row>
    <row r="1772" spans="2:4" x14ac:dyDescent="0.25">
      <c r="B1772" s="624" t="s">
        <v>2018</v>
      </c>
      <c r="C1772" s="623">
        <v>99727</v>
      </c>
      <c r="D1772" s="624"/>
    </row>
    <row r="1773" spans="2:4" x14ac:dyDescent="0.25">
      <c r="B1773" s="624" t="s">
        <v>2508</v>
      </c>
      <c r="C1773" s="623">
        <v>95811</v>
      </c>
      <c r="D1773" s="624"/>
    </row>
    <row r="1774" spans="2:4" x14ac:dyDescent="0.25">
      <c r="B1774" s="624" t="s">
        <v>1662</v>
      </c>
      <c r="C1774" s="623">
        <v>95813</v>
      </c>
      <c r="D1774" s="624"/>
    </row>
    <row r="1775" spans="2:4" x14ac:dyDescent="0.25">
      <c r="B1775" s="624" t="s">
        <v>2509</v>
      </c>
      <c r="C1775" s="623">
        <v>96531</v>
      </c>
      <c r="D1775" s="624"/>
    </row>
    <row r="1776" spans="2:4" x14ac:dyDescent="0.25">
      <c r="B1776" s="624" t="s">
        <v>1726</v>
      </c>
      <c r="C1776" s="623">
        <v>96503</v>
      </c>
      <c r="D1776" s="624"/>
    </row>
    <row r="1777" spans="2:4" x14ac:dyDescent="0.25">
      <c r="B1777" s="624" t="s">
        <v>2510</v>
      </c>
      <c r="C1777" s="623">
        <v>99811</v>
      </c>
      <c r="D1777" s="624"/>
    </row>
    <row r="1778" spans="2:4" x14ac:dyDescent="0.25">
      <c r="B1778" s="624" t="s">
        <v>2019</v>
      </c>
      <c r="C1778" s="623">
        <v>99801</v>
      </c>
      <c r="D1778" s="624"/>
    </row>
    <row r="1779" spans="2:4" x14ac:dyDescent="0.25">
      <c r="B1779" s="624" t="s">
        <v>2021</v>
      </c>
      <c r="C1779" s="623">
        <v>99804</v>
      </c>
      <c r="D1779" s="624"/>
    </row>
    <row r="1780" spans="2:4" x14ac:dyDescent="0.25">
      <c r="B1780" s="624" t="s">
        <v>2020</v>
      </c>
      <c r="C1780" s="623">
        <v>99802</v>
      </c>
      <c r="D1780" s="624"/>
    </row>
    <row r="1781" spans="2:4" x14ac:dyDescent="0.25">
      <c r="B1781" s="624" t="s">
        <v>2023</v>
      </c>
      <c r="C1781" s="623">
        <v>99812</v>
      </c>
      <c r="D1781" s="624"/>
    </row>
    <row r="1782" spans="2:4" x14ac:dyDescent="0.25">
      <c r="B1782" s="624" t="s">
        <v>2511</v>
      </c>
      <c r="C1782" s="623">
        <v>95191</v>
      </c>
      <c r="D1782" s="624"/>
    </row>
    <row r="1783" spans="2:4" x14ac:dyDescent="0.25">
      <c r="B1783" s="624" t="s">
        <v>2512</v>
      </c>
      <c r="C1783" s="623">
        <v>90812</v>
      </c>
      <c r="D1783" s="624"/>
    </row>
    <row r="1784" spans="2:4" x14ac:dyDescent="0.25">
      <c r="B1784" s="624" t="s">
        <v>2513</v>
      </c>
      <c r="C1784" s="623">
        <v>97221</v>
      </c>
      <c r="D1784" s="624"/>
    </row>
    <row r="1785" spans="2:4" x14ac:dyDescent="0.25">
      <c r="B1785" s="624" t="s">
        <v>2514</v>
      </c>
      <c r="C1785" s="623">
        <v>99031</v>
      </c>
      <c r="D1785" s="624"/>
    </row>
    <row r="1786" spans="2:4" x14ac:dyDescent="0.25">
      <c r="B1786" s="624" t="s">
        <v>2515</v>
      </c>
      <c r="C1786" s="623">
        <v>93411</v>
      </c>
      <c r="D1786" s="624"/>
    </row>
    <row r="1787" spans="2:4" x14ac:dyDescent="0.25">
      <c r="B1787" s="624" t="s">
        <v>1466</v>
      </c>
      <c r="C1787" s="623">
        <v>93417</v>
      </c>
      <c r="D1787" s="624"/>
    </row>
    <row r="1788" spans="2:4" x14ac:dyDescent="0.25">
      <c r="B1788" s="624" t="s">
        <v>1465</v>
      </c>
      <c r="C1788" s="623">
        <v>93413</v>
      </c>
      <c r="D1788" s="624"/>
    </row>
    <row r="1789" spans="2:4" x14ac:dyDescent="0.25">
      <c r="B1789" s="624" t="s">
        <v>2516</v>
      </c>
      <c r="C1789" s="623">
        <v>97451</v>
      </c>
      <c r="D1789" s="624"/>
    </row>
    <row r="1790" spans="2:4" x14ac:dyDescent="0.25">
      <c r="B1790" s="624" t="s">
        <v>2517</v>
      </c>
      <c r="C1790" s="623">
        <v>94631</v>
      </c>
      <c r="D1790" s="624"/>
    </row>
    <row r="1791" spans="2:4" x14ac:dyDescent="0.25">
      <c r="B1791" s="624" t="s">
        <v>2518</v>
      </c>
      <c r="C1791" s="623">
        <v>91171</v>
      </c>
      <c r="D1791" s="624"/>
    </row>
    <row r="1792" spans="2:4" x14ac:dyDescent="0.25">
      <c r="B1792" s="624" t="s">
        <v>1249</v>
      </c>
      <c r="C1792" s="623">
        <v>91104</v>
      </c>
      <c r="D1792" s="624"/>
    </row>
    <row r="1793" spans="2:4" x14ac:dyDescent="0.25">
      <c r="B1793" s="624" t="s">
        <v>1252</v>
      </c>
      <c r="C1793" s="623">
        <v>91109</v>
      </c>
      <c r="D1793" s="624"/>
    </row>
    <row r="1794" spans="2:4" x14ac:dyDescent="0.25">
      <c r="B1794" s="624" t="s">
        <v>2519</v>
      </c>
      <c r="C1794" s="623">
        <v>96621</v>
      </c>
      <c r="D1794" s="624"/>
    </row>
    <row r="1795" spans="2:4" x14ac:dyDescent="0.25">
      <c r="B1795" s="624" t="s">
        <v>2520</v>
      </c>
      <c r="C1795" s="623">
        <v>96511</v>
      </c>
      <c r="D1795" s="624"/>
    </row>
    <row r="1796" spans="2:4" x14ac:dyDescent="0.25">
      <c r="B1796" s="624" t="s">
        <v>2029</v>
      </c>
      <c r="C1796" s="623">
        <v>99901</v>
      </c>
      <c r="D1796" s="624"/>
    </row>
    <row r="1797" spans="2:4" x14ac:dyDescent="0.25">
      <c r="B1797" s="624" t="s">
        <v>1923</v>
      </c>
      <c r="C1797" s="623">
        <v>98608</v>
      </c>
      <c r="D1797" s="624"/>
    </row>
    <row r="1798" spans="2:4" x14ac:dyDescent="0.25">
      <c r="B1798" s="624" t="s">
        <v>2521</v>
      </c>
      <c r="C1798" s="623">
        <v>99911</v>
      </c>
      <c r="D1798" s="624"/>
    </row>
    <row r="1799" spans="2:4" x14ac:dyDescent="0.25">
      <c r="B1799" s="624" t="s">
        <v>1148</v>
      </c>
      <c r="C1799" s="623">
        <v>90001</v>
      </c>
      <c r="D1799" s="624"/>
    </row>
    <row r="1800" spans="2:4" x14ac:dyDescent="0.25">
      <c r="B1800" s="624" t="s">
        <v>1149</v>
      </c>
      <c r="C1800" s="623">
        <v>90002</v>
      </c>
      <c r="D1800" s="624"/>
    </row>
    <row r="1801" spans="2:4" x14ac:dyDescent="0.25">
      <c r="B1801" s="624" t="s">
        <v>2522</v>
      </c>
      <c r="C1801" s="623">
        <v>91719</v>
      </c>
      <c r="D1801" s="624"/>
    </row>
    <row r="1802" spans="2:4" x14ac:dyDescent="0.25">
      <c r="B1802" s="624" t="s">
        <v>2523</v>
      </c>
      <c r="C1802" s="623">
        <v>93541</v>
      </c>
      <c r="D1802" s="624"/>
    </row>
    <row r="1803" spans="2:4" x14ac:dyDescent="0.25">
      <c r="B1803" s="624" t="s">
        <v>2524</v>
      </c>
      <c r="C1803" s="623">
        <v>99241</v>
      </c>
      <c r="D1803" s="624"/>
    </row>
    <row r="1804" spans="2:4" x14ac:dyDescent="0.25">
      <c r="B1804" s="619" t="s">
        <v>2525</v>
      </c>
      <c r="C1804" s="634" t="s">
        <v>2526</v>
      </c>
    </row>
  </sheetData>
  <conditionalFormatting sqref="V2:V3">
    <cfRule type="containsErrors" dxfId="10" priority="1">
      <formula>ISERROR(V2)</formula>
    </cfRule>
  </conditionalFormatting>
  <pageMargins left="0.25" right="0.25" top="0.5" bottom="0.5" header="0.3" footer="0.3"/>
  <pageSetup scale="46"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B400"/>
  <sheetViews>
    <sheetView workbookViewId="0">
      <pane xSplit="3" ySplit="5" topLeftCell="R32" activePane="bottomRight" state="frozen"/>
      <selection pane="topRight" activeCell="D1" sqref="D1"/>
      <selection pane="bottomLeft" activeCell="A6" sqref="A6"/>
      <selection pane="bottomRight" activeCell="C58" sqref="C58"/>
    </sheetView>
  </sheetViews>
  <sheetFormatPr defaultRowHeight="12.75" x14ac:dyDescent="0.2"/>
  <cols>
    <col min="1" max="1" width="1.7109375" customWidth="1"/>
    <col min="2" max="2" width="2.28515625" customWidth="1"/>
    <col min="3" max="3" width="42.7109375" customWidth="1"/>
    <col min="4" max="5" width="10.5703125" style="1" customWidth="1"/>
    <col min="6" max="6" width="11.28515625" style="1" customWidth="1"/>
    <col min="7" max="7" width="11.7109375" style="1" customWidth="1"/>
    <col min="8" max="8" width="10.5703125" style="5" customWidth="1"/>
    <col min="9" max="9" width="10.140625" style="5" customWidth="1"/>
    <col min="10" max="10" width="5.140625" style="5" customWidth="1"/>
    <col min="11" max="11" width="5.140625" customWidth="1"/>
    <col min="12" max="12" width="9.42578125" style="5" customWidth="1"/>
    <col min="13" max="13" width="9" style="5" customWidth="1"/>
    <col min="14" max="15" width="8" style="5" customWidth="1"/>
    <col min="16" max="16" width="11.5703125" style="47" customWidth="1"/>
    <col min="17" max="17" width="12.85546875" style="47" customWidth="1"/>
    <col min="18" max="23" width="5.140625" style="47" customWidth="1"/>
    <col min="24" max="25" width="5.140625" customWidth="1"/>
    <col min="26" max="27" width="3" customWidth="1"/>
    <col min="28" max="28" width="9" customWidth="1"/>
    <col min="29" max="29" width="12.140625" style="5" customWidth="1"/>
    <col min="30" max="30" width="10.5703125" style="5" customWidth="1"/>
    <col min="31" max="31" width="13" customWidth="1"/>
    <col min="32" max="32" width="16.28515625" customWidth="1"/>
    <col min="33" max="33" width="15.7109375" customWidth="1"/>
    <col min="34" max="34" width="11.28515625" style="5" customWidth="1"/>
    <col min="35" max="35" width="12" style="5" customWidth="1"/>
    <col min="36" max="36" width="4.7109375" style="226" customWidth="1"/>
    <col min="37" max="37" width="13.140625" style="47" customWidth="1"/>
    <col min="38" max="38" width="0.85546875" customWidth="1"/>
    <col min="39" max="39" width="4.7109375" style="226" customWidth="1"/>
    <col min="40" max="40" width="13.140625" style="47" customWidth="1"/>
    <col min="41" max="41" width="5.140625" style="226" customWidth="1"/>
    <col min="42" max="42" width="11.28515625" customWidth="1"/>
    <col min="43" max="43" width="0.85546875" customWidth="1"/>
    <col min="44" max="44" width="5.140625" style="226" customWidth="1"/>
    <col min="45" max="45" width="11.28515625" customWidth="1"/>
    <col min="46" max="46" width="9" customWidth="1"/>
    <col min="47" max="47" width="8.5703125" customWidth="1"/>
    <col min="48" max="48" width="14.28515625" style="96" customWidth="1"/>
    <col min="49" max="49" width="14.140625" style="96" customWidth="1"/>
    <col min="50" max="50" width="11.7109375" customWidth="1"/>
    <col min="51" max="51" width="11.28515625" customWidth="1"/>
    <col min="52" max="53" width="13.7109375" style="47" bestFit="1" customWidth="1"/>
  </cols>
  <sheetData>
    <row r="1" spans="1:53" ht="25.5" customHeight="1" x14ac:dyDescent="0.2">
      <c r="A1" s="44"/>
      <c r="B1" s="29"/>
      <c r="C1" s="42"/>
      <c r="D1" s="896" t="s">
        <v>715</v>
      </c>
      <c r="E1" s="897"/>
      <c r="F1" s="897"/>
      <c r="G1" s="897"/>
      <c r="H1" s="898"/>
      <c r="I1" s="898"/>
      <c r="J1" s="898"/>
      <c r="K1" s="899"/>
      <c r="L1" s="897" t="s">
        <v>715</v>
      </c>
      <c r="M1" s="897"/>
      <c r="N1" s="898"/>
      <c r="O1" s="898"/>
      <c r="P1" s="900"/>
      <c r="Q1" s="332"/>
      <c r="R1" s="332"/>
      <c r="S1" s="332"/>
      <c r="T1" s="332"/>
      <c r="U1" s="332"/>
      <c r="V1" s="332"/>
      <c r="W1" s="332"/>
      <c r="X1" s="315"/>
      <c r="Y1" s="315"/>
      <c r="Z1" s="315"/>
      <c r="AA1" s="315"/>
      <c r="AB1" s="938" t="s">
        <v>405</v>
      </c>
      <c r="AC1" s="939"/>
      <c r="AD1" s="921" t="s">
        <v>406</v>
      </c>
      <c r="AE1" s="922"/>
      <c r="AF1" s="930" t="s">
        <v>3930</v>
      </c>
      <c r="AG1" s="931"/>
      <c r="AH1" s="316" t="s">
        <v>716</v>
      </c>
      <c r="AI1" s="275"/>
      <c r="AJ1" s="917" t="s">
        <v>355</v>
      </c>
      <c r="AK1" s="918"/>
      <c r="AL1" s="918"/>
      <c r="AM1" s="918"/>
      <c r="AN1" s="918"/>
      <c r="AO1" s="948" t="s">
        <v>356</v>
      </c>
      <c r="AP1" s="945"/>
      <c r="AQ1" s="945"/>
      <c r="AR1" s="945"/>
      <c r="AS1" s="949"/>
      <c r="AT1" s="317" t="s">
        <v>132</v>
      </c>
      <c r="AU1" s="317"/>
      <c r="AV1" s="946" t="s">
        <v>927</v>
      </c>
      <c r="AW1" s="947"/>
      <c r="AX1" s="318"/>
      <c r="AY1" s="944" t="s">
        <v>926</v>
      </c>
      <c r="AZ1" s="945"/>
      <c r="BA1" s="319"/>
    </row>
    <row r="2" spans="1:53" ht="13.5" thickBot="1" x14ac:dyDescent="0.25">
      <c r="A2" s="39"/>
      <c r="C2" s="295" t="s">
        <v>131</v>
      </c>
      <c r="D2" s="298"/>
      <c r="E2" s="299"/>
      <c r="F2" s="299"/>
      <c r="G2" s="299"/>
      <c r="H2" s="300"/>
      <c r="I2" s="300"/>
      <c r="J2" s="300"/>
      <c r="K2" s="301"/>
      <c r="L2" s="149"/>
      <c r="M2" s="149"/>
      <c r="N2" s="149"/>
      <c r="O2" s="149"/>
      <c r="P2" s="73"/>
      <c r="Q2" s="73"/>
      <c r="R2" s="73"/>
      <c r="S2" s="73"/>
      <c r="T2" s="73"/>
      <c r="U2" s="73"/>
      <c r="V2" s="73"/>
      <c r="W2" s="73"/>
      <c r="X2" s="150"/>
      <c r="Y2" s="150"/>
      <c r="Z2" s="150"/>
      <c r="AA2" s="150"/>
      <c r="AB2" s="940" t="s">
        <v>407</v>
      </c>
      <c r="AC2" s="941"/>
      <c r="AD2" s="923"/>
      <c r="AE2" s="924"/>
      <c r="AF2" s="932"/>
      <c r="AG2" s="933"/>
      <c r="AH2" s="928" t="s">
        <v>452</v>
      </c>
      <c r="AI2" s="929"/>
      <c r="AJ2" s="919" t="s">
        <v>3929</v>
      </c>
      <c r="AK2" s="920"/>
      <c r="AL2" s="920"/>
      <c r="AM2" s="920"/>
      <c r="AN2" s="920"/>
      <c r="AO2" s="950" t="s">
        <v>238</v>
      </c>
      <c r="AP2" s="919"/>
      <c r="AQ2" s="919"/>
      <c r="AR2" s="919"/>
      <c r="AS2" s="951"/>
      <c r="AT2" s="303" t="s">
        <v>133</v>
      </c>
      <c r="AU2" s="303"/>
      <c r="AV2" s="305"/>
      <c r="AW2" s="302"/>
      <c r="AX2" s="79"/>
      <c r="AY2" s="79"/>
      <c r="AZ2" s="270"/>
      <c r="BA2" s="304"/>
    </row>
    <row r="3" spans="1:53" ht="17.25" customHeight="1" x14ac:dyDescent="0.2">
      <c r="A3" s="39"/>
      <c r="C3" s="295" t="s">
        <v>859</v>
      </c>
      <c r="D3" s="901" t="s">
        <v>122</v>
      </c>
      <c r="E3" s="901"/>
      <c r="F3" s="901"/>
      <c r="G3" s="901"/>
      <c r="H3" s="902"/>
      <c r="I3" s="902"/>
      <c r="J3" s="902"/>
      <c r="K3" s="903"/>
      <c r="L3" s="905" t="s">
        <v>885</v>
      </c>
      <c r="M3" s="902"/>
      <c r="N3" s="902"/>
      <c r="O3" s="902"/>
      <c r="P3" s="902"/>
      <c r="Q3" s="902"/>
      <c r="R3" s="902"/>
      <c r="S3" s="902"/>
      <c r="T3" s="333"/>
      <c r="U3" s="333"/>
      <c r="V3" s="333"/>
      <c r="W3" s="333"/>
      <c r="X3" s="335"/>
      <c r="Y3" s="335"/>
      <c r="Z3" s="335"/>
      <c r="AA3" s="334"/>
      <c r="AB3" s="273"/>
      <c r="AC3" s="153"/>
      <c r="AD3" s="909" t="s">
        <v>886</v>
      </c>
      <c r="AE3" s="910"/>
      <c r="AF3" s="953" t="s">
        <v>2541</v>
      </c>
      <c r="AG3" s="954"/>
      <c r="AH3" s="934" t="s">
        <v>504</v>
      </c>
      <c r="AI3" s="935"/>
      <c r="AJ3" s="253"/>
      <c r="AK3" s="249"/>
      <c r="AL3" s="153"/>
      <c r="AM3" s="250"/>
      <c r="AN3" s="245"/>
      <c r="AO3" s="915" t="s">
        <v>506</v>
      </c>
      <c r="AP3" s="927"/>
      <c r="AQ3" s="927"/>
      <c r="AR3" s="927"/>
      <c r="AS3" s="926"/>
      <c r="AT3" s="324" t="s">
        <v>4936</v>
      </c>
      <c r="AU3" s="325"/>
      <c r="AV3" s="411"/>
      <c r="AW3" s="411"/>
      <c r="AX3" s="909" t="s">
        <v>103</v>
      </c>
      <c r="AY3" s="925"/>
      <c r="AZ3" s="909" t="s">
        <v>103</v>
      </c>
      <c r="BA3" s="925"/>
    </row>
    <row r="4" spans="1:53" x14ac:dyDescent="0.2">
      <c r="A4" s="39"/>
      <c r="C4" s="296"/>
      <c r="D4" s="912" t="s">
        <v>108</v>
      </c>
      <c r="E4" s="894"/>
      <c r="F4" s="904" t="s">
        <v>110</v>
      </c>
      <c r="G4" s="904"/>
      <c r="H4" s="904" t="s">
        <v>298</v>
      </c>
      <c r="I4" s="904"/>
      <c r="J4" s="894" t="s">
        <v>1011</v>
      </c>
      <c r="K4" s="913"/>
      <c r="L4" s="914" t="s">
        <v>254</v>
      </c>
      <c r="M4" s="894"/>
      <c r="N4" s="894" t="s">
        <v>52</v>
      </c>
      <c r="O4" s="894"/>
      <c r="P4" s="894" t="s">
        <v>4872</v>
      </c>
      <c r="Q4" s="894"/>
      <c r="R4" s="894" t="s">
        <v>255</v>
      </c>
      <c r="S4" s="894"/>
      <c r="T4" s="894" t="s">
        <v>256</v>
      </c>
      <c r="U4" s="894"/>
      <c r="V4" s="894" t="s">
        <v>257</v>
      </c>
      <c r="W4" s="894"/>
      <c r="X4" s="894" t="s">
        <v>258</v>
      </c>
      <c r="Y4" s="894"/>
      <c r="Z4" s="894" t="s">
        <v>121</v>
      </c>
      <c r="AA4" s="913"/>
      <c r="AB4" s="915" t="s">
        <v>111</v>
      </c>
      <c r="AC4" s="916"/>
      <c r="AD4" s="915" t="s">
        <v>112</v>
      </c>
      <c r="AE4" s="952"/>
      <c r="AF4" s="953" t="s">
        <v>2542</v>
      </c>
      <c r="AG4" s="954"/>
      <c r="AH4" s="936" t="s">
        <v>505</v>
      </c>
      <c r="AI4" s="937"/>
      <c r="AJ4" s="915" t="s">
        <v>101</v>
      </c>
      <c r="AK4" s="927"/>
      <c r="AL4" s="927"/>
      <c r="AM4" s="927"/>
      <c r="AN4" s="926"/>
      <c r="AO4" s="915" t="s">
        <v>507</v>
      </c>
      <c r="AP4" s="927"/>
      <c r="AQ4" s="927"/>
      <c r="AR4" s="927"/>
      <c r="AS4" s="926"/>
      <c r="AT4" s="324" t="s">
        <v>134</v>
      </c>
      <c r="AU4" s="326"/>
      <c r="AV4" s="927" t="s">
        <v>933</v>
      </c>
      <c r="AW4" s="927"/>
      <c r="AX4" s="915" t="s">
        <v>104</v>
      </c>
      <c r="AY4" s="926"/>
      <c r="AZ4" s="915" t="s">
        <v>1106</v>
      </c>
      <c r="BA4" s="926"/>
    </row>
    <row r="5" spans="1:53" ht="13.5" thickBot="1" x14ac:dyDescent="0.25">
      <c r="A5" s="323"/>
      <c r="B5" s="8"/>
      <c r="C5" s="297" t="s">
        <v>183</v>
      </c>
      <c r="D5" s="12" t="s">
        <v>892</v>
      </c>
      <c r="E5" s="12" t="s">
        <v>893</v>
      </c>
      <c r="F5" s="13" t="s">
        <v>892</v>
      </c>
      <c r="G5" s="13" t="s">
        <v>893</v>
      </c>
      <c r="H5" s="13" t="s">
        <v>892</v>
      </c>
      <c r="I5" s="13" t="s">
        <v>893</v>
      </c>
      <c r="J5" s="13" t="s">
        <v>109</v>
      </c>
      <c r="K5" s="14" t="s">
        <v>893</v>
      </c>
      <c r="L5" s="15" t="s">
        <v>892</v>
      </c>
      <c r="M5" s="13" t="s">
        <v>893</v>
      </c>
      <c r="N5" s="340" t="s">
        <v>892</v>
      </c>
      <c r="O5" s="340" t="s">
        <v>893</v>
      </c>
      <c r="P5" s="341" t="s">
        <v>892</v>
      </c>
      <c r="Q5" s="341" t="s">
        <v>893</v>
      </c>
      <c r="R5" s="341" t="s">
        <v>892</v>
      </c>
      <c r="S5" s="341" t="s">
        <v>893</v>
      </c>
      <c r="T5" s="341" t="s">
        <v>892</v>
      </c>
      <c r="U5" s="341" t="s">
        <v>893</v>
      </c>
      <c r="V5" s="341" t="s">
        <v>892</v>
      </c>
      <c r="W5" s="341" t="s">
        <v>893</v>
      </c>
      <c r="X5" s="16" t="s">
        <v>892</v>
      </c>
      <c r="Y5" s="16" t="s">
        <v>893</v>
      </c>
      <c r="Z5" s="16" t="s">
        <v>892</v>
      </c>
      <c r="AA5" s="16" t="s">
        <v>893</v>
      </c>
      <c r="AB5" s="274" t="s">
        <v>892</v>
      </c>
      <c r="AC5" s="285" t="s">
        <v>893</v>
      </c>
      <c r="AD5" s="34" t="s">
        <v>892</v>
      </c>
      <c r="AE5" s="154" t="s">
        <v>893</v>
      </c>
      <c r="AF5" s="286" t="s">
        <v>892</v>
      </c>
      <c r="AG5" s="184" t="s">
        <v>893</v>
      </c>
      <c r="AH5" s="34" t="s">
        <v>892</v>
      </c>
      <c r="AI5" s="36" t="s">
        <v>893</v>
      </c>
      <c r="AJ5" s="207" t="s">
        <v>897</v>
      </c>
      <c r="AK5" s="242" t="s">
        <v>892</v>
      </c>
      <c r="AL5" s="35"/>
      <c r="AM5" s="208" t="s">
        <v>897</v>
      </c>
      <c r="AN5" s="246" t="s">
        <v>893</v>
      </c>
      <c r="AO5" s="207" t="s">
        <v>897</v>
      </c>
      <c r="AP5" s="35" t="s">
        <v>892</v>
      </c>
      <c r="AQ5" s="35"/>
      <c r="AR5" s="208" t="s">
        <v>897</v>
      </c>
      <c r="AS5" s="154" t="s">
        <v>893</v>
      </c>
      <c r="AT5" s="327" t="s">
        <v>892</v>
      </c>
      <c r="AU5" s="328" t="s">
        <v>893</v>
      </c>
      <c r="AV5" s="242" t="s">
        <v>892</v>
      </c>
      <c r="AW5" s="242" t="s">
        <v>893</v>
      </c>
      <c r="AX5" s="306" t="s">
        <v>892</v>
      </c>
      <c r="AY5" s="154" t="s">
        <v>893</v>
      </c>
      <c r="AZ5" s="307" t="s">
        <v>892</v>
      </c>
      <c r="BA5" s="246" t="s">
        <v>893</v>
      </c>
    </row>
    <row r="6" spans="1:53" ht="18" customHeight="1" x14ac:dyDescent="0.2">
      <c r="A6" s="314" t="s">
        <v>184</v>
      </c>
      <c r="B6" s="37"/>
      <c r="C6" s="38"/>
      <c r="D6" s="17"/>
      <c r="E6" s="18"/>
      <c r="F6" s="19"/>
      <c r="G6" s="19"/>
      <c r="H6" s="19"/>
      <c r="I6" s="19"/>
      <c r="J6" s="19"/>
      <c r="K6" s="29"/>
      <c r="L6" s="24"/>
      <c r="M6" s="19"/>
      <c r="N6" s="19"/>
      <c r="O6" s="19"/>
      <c r="P6" s="57"/>
      <c r="Q6" s="57"/>
      <c r="R6" s="247"/>
      <c r="S6" s="247"/>
      <c r="T6" s="57"/>
      <c r="U6" s="57"/>
      <c r="V6" s="57"/>
      <c r="W6" s="57"/>
      <c r="AB6" s="7"/>
      <c r="AD6" s="26"/>
      <c r="AE6" s="42"/>
      <c r="AF6" s="19"/>
      <c r="AG6" s="19"/>
      <c r="AH6" s="24"/>
      <c r="AI6" s="25"/>
      <c r="AJ6" s="251"/>
      <c r="AK6" s="247"/>
      <c r="AL6" s="19"/>
      <c r="AM6" s="251"/>
      <c r="AN6" s="247"/>
      <c r="AO6" s="394"/>
      <c r="AP6" s="247"/>
      <c r="AQ6" s="29"/>
      <c r="AR6" s="251"/>
      <c r="AS6" s="42"/>
      <c r="AT6" s="150"/>
      <c r="AU6" s="271"/>
      <c r="AV6" s="270"/>
      <c r="AW6" s="270"/>
      <c r="AX6" s="44"/>
      <c r="AY6" s="42"/>
      <c r="AZ6" s="292"/>
      <c r="BA6" s="279"/>
    </row>
    <row r="7" spans="1:53" ht="12.75" customHeight="1" x14ac:dyDescent="0.2">
      <c r="A7" s="321"/>
      <c r="B7" s="4" t="s">
        <v>680</v>
      </c>
      <c r="C7" s="55"/>
      <c r="D7" s="412"/>
      <c r="E7" s="413"/>
      <c r="F7" s="414"/>
      <c r="G7" s="414"/>
      <c r="H7" s="414"/>
      <c r="I7" s="414"/>
      <c r="J7" s="414"/>
      <c r="K7" s="415"/>
      <c r="L7" s="416"/>
      <c r="M7" s="414"/>
      <c r="N7" s="414"/>
      <c r="O7" s="414"/>
      <c r="P7" s="417"/>
      <c r="Q7" s="417"/>
      <c r="R7" s="417"/>
      <c r="S7" s="417"/>
      <c r="T7" s="417"/>
      <c r="U7" s="417"/>
      <c r="V7" s="417"/>
      <c r="W7" s="417"/>
      <c r="X7" s="415"/>
      <c r="Y7" s="415"/>
      <c r="Z7" s="415"/>
      <c r="AA7" s="415"/>
      <c r="AB7" s="7"/>
      <c r="AD7" s="26"/>
      <c r="AE7" s="33"/>
      <c r="AF7" s="414"/>
      <c r="AG7" s="414"/>
      <c r="AH7" s="26"/>
      <c r="AI7" s="21"/>
      <c r="AK7" s="57"/>
      <c r="AL7" s="5"/>
      <c r="AN7" s="57"/>
      <c r="AO7" s="230"/>
      <c r="AP7" s="57"/>
      <c r="AS7" s="209"/>
      <c r="AT7" s="434"/>
      <c r="AU7" s="435"/>
      <c r="AV7" s="270"/>
      <c r="AW7" s="270"/>
      <c r="AX7" s="39"/>
      <c r="AY7" s="33"/>
      <c r="AZ7" s="287"/>
      <c r="BA7" s="209"/>
    </row>
    <row r="8" spans="1:53" x14ac:dyDescent="0.2">
      <c r="A8" s="39"/>
      <c r="B8" t="s">
        <v>185</v>
      </c>
      <c r="C8" t="s">
        <v>349</v>
      </c>
      <c r="D8" s="418"/>
      <c r="E8" s="419"/>
      <c r="F8" s="414"/>
      <c r="G8" s="414"/>
      <c r="H8" s="414"/>
      <c r="I8" s="414"/>
      <c r="J8" s="414"/>
      <c r="K8" s="415"/>
      <c r="L8" s="416"/>
      <c r="M8" s="414"/>
      <c r="N8" s="414"/>
      <c r="O8" s="414"/>
      <c r="P8" s="420"/>
      <c r="Q8" s="420"/>
      <c r="R8" s="420"/>
      <c r="S8" s="420"/>
      <c r="T8" s="420"/>
      <c r="U8" s="420"/>
      <c r="V8" s="420"/>
      <c r="W8" s="420"/>
      <c r="X8" s="414"/>
      <c r="Y8" s="414"/>
      <c r="Z8" s="414"/>
      <c r="AA8" s="414"/>
      <c r="AB8" s="9">
        <f>L8+N8+P8+R8+T8+V8+X8+Z8</f>
        <v>0</v>
      </c>
      <c r="AC8" s="5">
        <f>M8+O8+Q8+S8+U8+W8+Y8+AA8</f>
        <v>0</v>
      </c>
      <c r="AD8" s="26">
        <f>D8+F8+H8+J8+AB8</f>
        <v>0</v>
      </c>
      <c r="AE8" s="21">
        <f>E8+G8+I8+K8+AC8</f>
        <v>0</v>
      </c>
      <c r="AF8" s="414"/>
      <c r="AG8" s="414"/>
      <c r="AH8" s="26"/>
      <c r="AI8" s="21"/>
      <c r="AK8" s="57"/>
      <c r="AL8" s="5"/>
      <c r="AN8" s="209"/>
      <c r="AO8" s="390" t="s">
        <v>671</v>
      </c>
      <c r="AP8" s="57">
        <f>'K.1  Int. Service Fd Allocation'!E162+'K.2  Int. Service Fd Alloca'!E156+'K.3 Int. Service Fd Alloca'!E156</f>
        <v>0</v>
      </c>
      <c r="AS8" s="209"/>
      <c r="AT8" s="434"/>
      <c r="AU8" s="435"/>
      <c r="AV8" s="270">
        <f t="shared" ref="AV8:AV46" si="0">AD8+AF8+AH8+AK8+AP8+AT8</f>
        <v>0</v>
      </c>
      <c r="AW8" s="270">
        <f t="shared" ref="AW8:AW46" si="1">AE8+AG8+AI8+AN8+AS8+AU8</f>
        <v>0</v>
      </c>
      <c r="AX8" s="39"/>
      <c r="AY8" s="33"/>
      <c r="AZ8" s="287" t="str">
        <f>IF(AV8-AW8&lt;=0," ",AV8-AW8)</f>
        <v xml:space="preserve"> </v>
      </c>
      <c r="BA8" s="209">
        <f>IF(AV8-AW8&gt;0," ",AW8-AV8)</f>
        <v>0</v>
      </c>
    </row>
    <row r="9" spans="1:53" x14ac:dyDescent="0.2">
      <c r="A9" s="39"/>
      <c r="C9" t="s">
        <v>730</v>
      </c>
      <c r="D9" s="421"/>
      <c r="E9" s="422"/>
      <c r="F9" s="414"/>
      <c r="G9" s="414"/>
      <c r="H9" s="414"/>
      <c r="I9" s="414"/>
      <c r="J9" s="414"/>
      <c r="K9" s="415"/>
      <c r="L9" s="416"/>
      <c r="M9" s="414"/>
      <c r="N9" s="414"/>
      <c r="O9" s="414"/>
      <c r="P9" s="420"/>
      <c r="Q9" s="420"/>
      <c r="R9" s="420"/>
      <c r="S9" s="420"/>
      <c r="T9" s="420"/>
      <c r="U9" s="420"/>
      <c r="V9" s="420"/>
      <c r="W9" s="420"/>
      <c r="X9" s="415"/>
      <c r="Y9" s="415"/>
      <c r="Z9" s="415"/>
      <c r="AA9" s="415"/>
      <c r="AB9" s="9">
        <f t="shared" ref="AB9:AB102" si="2">L9+N9+P9+R9+T9+V9+X9+Z9</f>
        <v>0</v>
      </c>
      <c r="AC9" s="5">
        <f t="shared" ref="AC9:AC102" si="3">M9+O9+Q9+S9+U9+W9+Y9+AA9</f>
        <v>0</v>
      </c>
      <c r="AD9" s="26">
        <f>D9+F9+H9+J9+AB9</f>
        <v>0</v>
      </c>
      <c r="AE9" s="21">
        <f t="shared" ref="AE9:AE105" si="4">E9+G9+I9+K9+AC9</f>
        <v>0</v>
      </c>
      <c r="AF9" s="414"/>
      <c r="AG9" s="414"/>
      <c r="AH9" s="26"/>
      <c r="AI9" s="21"/>
      <c r="AK9" s="56"/>
      <c r="AL9" s="5"/>
      <c r="AN9" s="210"/>
      <c r="AO9" s="231"/>
      <c r="AP9" s="56"/>
      <c r="AS9" s="210"/>
      <c r="AT9" s="434"/>
      <c r="AU9" s="435"/>
      <c r="AV9" s="270">
        <f t="shared" si="0"/>
        <v>0</v>
      </c>
      <c r="AW9" s="270">
        <f t="shared" si="1"/>
        <v>0</v>
      </c>
      <c r="AX9" s="39"/>
      <c r="AY9" s="33"/>
      <c r="AZ9" s="287" t="str">
        <f>IF(AV9-AW9&lt;=0," ",AV9-AW9)</f>
        <v xml:space="preserve"> </v>
      </c>
      <c r="BA9" s="209">
        <f>IF(AV9-AW9&gt;0," ",AW9-AV9)</f>
        <v>0</v>
      </c>
    </row>
    <row r="10" spans="1:53" x14ac:dyDescent="0.2">
      <c r="A10" s="39"/>
      <c r="C10" t="s">
        <v>833</v>
      </c>
      <c r="D10" s="421"/>
      <c r="E10" s="422"/>
      <c r="F10" s="414"/>
      <c r="G10" s="414"/>
      <c r="H10" s="414"/>
      <c r="I10" s="414"/>
      <c r="J10" s="414"/>
      <c r="K10" s="415"/>
      <c r="L10" s="416"/>
      <c r="M10" s="414"/>
      <c r="N10" s="414"/>
      <c r="O10" s="414"/>
      <c r="P10" s="420"/>
      <c r="Q10" s="420"/>
      <c r="R10" s="420"/>
      <c r="S10" s="420"/>
      <c r="T10" s="420"/>
      <c r="U10" s="420"/>
      <c r="V10" s="420"/>
      <c r="W10" s="420"/>
      <c r="X10" s="415"/>
      <c r="Y10" s="415"/>
      <c r="Z10" s="415"/>
      <c r="AA10" s="415"/>
      <c r="AB10" s="9">
        <f t="shared" si="2"/>
        <v>0</v>
      </c>
      <c r="AC10" s="5">
        <f t="shared" si="3"/>
        <v>0</v>
      </c>
      <c r="AD10" s="26">
        <f t="shared" ref="AD10:AD105" si="5">D10+F10+H10+J10+AB10</f>
        <v>0</v>
      </c>
      <c r="AE10" s="21">
        <f t="shared" si="4"/>
        <v>0</v>
      </c>
      <c r="AF10" s="414"/>
      <c r="AG10" s="414"/>
      <c r="AH10" s="26"/>
      <c r="AI10" s="21"/>
      <c r="AK10" s="56"/>
      <c r="AL10" s="5"/>
      <c r="AN10" s="210"/>
      <c r="AO10" s="390" t="s">
        <v>671</v>
      </c>
      <c r="AP10" s="57">
        <f>'K.1  Int. Service Fd Allocation'!E163+'K.2  Int. Service Fd Alloca'!E157+'K.3 Int. Service Fd Alloca'!E157</f>
        <v>0</v>
      </c>
      <c r="AS10" s="210"/>
      <c r="AT10" s="434"/>
      <c r="AU10" s="435"/>
      <c r="AV10" s="270">
        <f t="shared" si="0"/>
        <v>0</v>
      </c>
      <c r="AW10" s="270">
        <f t="shared" si="1"/>
        <v>0</v>
      </c>
      <c r="AX10" s="39"/>
      <c r="AY10" s="33"/>
      <c r="AZ10" s="287" t="str">
        <f>IF(AV10-AW10&lt;=0," ",AV10-AW10)</f>
        <v xml:space="preserve"> </v>
      </c>
      <c r="BA10" s="209">
        <f>IF(AV10-AW10&gt;0," ",AW10-AV10)</f>
        <v>0</v>
      </c>
    </row>
    <row r="11" spans="1:53" x14ac:dyDescent="0.2">
      <c r="A11" s="39"/>
      <c r="C11" t="s">
        <v>731</v>
      </c>
      <c r="D11" s="433"/>
      <c r="E11" s="419"/>
      <c r="F11" s="414"/>
      <c r="G11" s="414"/>
      <c r="H11" s="414"/>
      <c r="I11" s="414"/>
      <c r="J11" s="414"/>
      <c r="K11" s="415"/>
      <c r="L11" s="416"/>
      <c r="M11" s="414"/>
      <c r="N11" s="414"/>
      <c r="O11" s="414"/>
      <c r="P11" s="417"/>
      <c r="Q11" s="417"/>
      <c r="R11" s="417"/>
      <c r="S11" s="417"/>
      <c r="T11" s="417"/>
      <c r="U11" s="417"/>
      <c r="V11" s="417"/>
      <c r="W11" s="417"/>
      <c r="X11" s="415"/>
      <c r="Y11" s="415"/>
      <c r="Z11" s="415"/>
      <c r="AA11" s="415"/>
      <c r="AB11" s="9">
        <f t="shared" si="2"/>
        <v>0</v>
      </c>
      <c r="AC11" s="5">
        <f t="shared" si="3"/>
        <v>0</v>
      </c>
      <c r="AD11" s="26">
        <f t="shared" si="5"/>
        <v>0</v>
      </c>
      <c r="AE11" s="21">
        <f t="shared" si="4"/>
        <v>0</v>
      </c>
      <c r="AF11" s="414"/>
      <c r="AG11" s="414"/>
      <c r="AH11" s="26"/>
      <c r="AI11" s="21"/>
      <c r="AK11" s="57"/>
      <c r="AL11" s="5"/>
      <c r="AN11" s="57"/>
      <c r="AO11" s="231"/>
      <c r="AP11" s="57"/>
      <c r="AS11" s="209"/>
      <c r="AT11" s="434"/>
      <c r="AU11" s="435"/>
      <c r="AV11" s="270">
        <f t="shared" si="0"/>
        <v>0</v>
      </c>
      <c r="AW11" s="270">
        <f t="shared" si="1"/>
        <v>0</v>
      </c>
      <c r="AX11" s="39"/>
      <c r="AY11" s="33"/>
      <c r="AZ11" s="287" t="str">
        <f>IF(AV11-AW11&lt;=0," ",AV11-AW11)</f>
        <v xml:space="preserve"> </v>
      </c>
      <c r="BA11" s="209">
        <f>IF(AV11-AW11&gt;0," ",AW11-AV11)</f>
        <v>0</v>
      </c>
    </row>
    <row r="12" spans="1:53" x14ac:dyDescent="0.2">
      <c r="A12" s="39"/>
      <c r="C12" t="s">
        <v>889</v>
      </c>
      <c r="D12" s="421"/>
      <c r="E12" s="422"/>
      <c r="F12" s="414"/>
      <c r="G12" s="414"/>
      <c r="H12" s="414"/>
      <c r="I12" s="414"/>
      <c r="J12" s="414"/>
      <c r="K12" s="415"/>
      <c r="L12" s="416"/>
      <c r="M12" s="414"/>
      <c r="N12" s="414"/>
      <c r="O12" s="414"/>
      <c r="P12" s="420"/>
      <c r="Q12" s="420"/>
      <c r="R12" s="420"/>
      <c r="S12" s="420"/>
      <c r="T12" s="420"/>
      <c r="U12" s="420"/>
      <c r="V12" s="420"/>
      <c r="W12" s="420"/>
      <c r="X12" s="415"/>
      <c r="Y12" s="415"/>
      <c r="Z12" s="415"/>
      <c r="AA12" s="415"/>
      <c r="AB12" s="9">
        <f t="shared" si="2"/>
        <v>0</v>
      </c>
      <c r="AC12" s="5">
        <f t="shared" si="3"/>
        <v>0</v>
      </c>
      <c r="AD12" s="26">
        <f t="shared" si="5"/>
        <v>0</v>
      </c>
      <c r="AE12" s="21">
        <f t="shared" si="4"/>
        <v>0</v>
      </c>
      <c r="AF12" s="414"/>
      <c r="AG12" s="414"/>
      <c r="AH12" s="26"/>
      <c r="AI12" s="21"/>
      <c r="AK12" s="56"/>
      <c r="AL12" s="5"/>
      <c r="AN12" s="56"/>
      <c r="AO12" s="231"/>
      <c r="AP12" s="56"/>
      <c r="AS12" s="210"/>
      <c r="AT12" s="434"/>
      <c r="AU12" s="435"/>
      <c r="AV12" s="270">
        <f t="shared" si="0"/>
        <v>0</v>
      </c>
      <c r="AW12" s="270">
        <f t="shared" si="1"/>
        <v>0</v>
      </c>
      <c r="AX12" s="39"/>
      <c r="AY12" s="33"/>
      <c r="AZ12" s="287" t="str">
        <f>IF(AV12-AW12&lt;=0," ",AV12-AW12)</f>
        <v xml:space="preserve"> </v>
      </c>
      <c r="BA12" s="209">
        <f>IF(AV12-AW12&gt;0," ",AW12-AV12)</f>
        <v>0</v>
      </c>
    </row>
    <row r="13" spans="1:53" x14ac:dyDescent="0.2">
      <c r="A13" s="39"/>
      <c r="C13" s="258" t="s">
        <v>877</v>
      </c>
      <c r="D13" s="423"/>
      <c r="E13" s="424"/>
      <c r="F13" s="425"/>
      <c r="G13" s="425"/>
      <c r="H13" s="425"/>
      <c r="I13" s="425"/>
      <c r="J13" s="425"/>
      <c r="K13" s="426"/>
      <c r="L13" s="427"/>
      <c r="M13" s="425"/>
      <c r="N13" s="425"/>
      <c r="O13" s="425"/>
      <c r="P13" s="428"/>
      <c r="Q13" s="428"/>
      <c r="R13" s="428"/>
      <c r="S13" s="428"/>
      <c r="T13" s="428"/>
      <c r="U13" s="428"/>
      <c r="V13" s="428"/>
      <c r="W13" s="428"/>
      <c r="X13" s="426"/>
      <c r="Y13" s="426"/>
      <c r="Z13" s="426"/>
      <c r="AA13" s="426"/>
      <c r="AB13" s="261">
        <f t="shared" si="2"/>
        <v>0</v>
      </c>
      <c r="AC13" s="259">
        <f t="shared" si="3"/>
        <v>0</v>
      </c>
      <c r="AD13" s="260">
        <f t="shared" si="5"/>
        <v>0</v>
      </c>
      <c r="AE13" s="262">
        <f t="shared" si="4"/>
        <v>0</v>
      </c>
      <c r="AF13" s="425"/>
      <c r="AG13" s="425"/>
      <c r="AH13" s="260"/>
      <c r="AI13" s="262"/>
      <c r="AJ13" s="263" t="str">
        <f>'B.  Property Taxes'!A53</f>
        <v>B.1</v>
      </c>
      <c r="AK13" s="264">
        <f>'B.  Property Taxes'!J54</f>
        <v>0</v>
      </c>
      <c r="AL13" s="259"/>
      <c r="AM13" s="263"/>
      <c r="AN13" s="264"/>
      <c r="AO13" s="265"/>
      <c r="AP13" s="264"/>
      <c r="AQ13" s="258"/>
      <c r="AR13" s="263"/>
      <c r="AS13" s="266"/>
      <c r="AT13" s="434"/>
      <c r="AU13" s="435"/>
      <c r="AV13" s="264">
        <f t="shared" si="0"/>
        <v>0</v>
      </c>
      <c r="AW13" s="264">
        <f t="shared" si="1"/>
        <v>0</v>
      </c>
      <c r="AX13" s="256"/>
      <c r="AY13" s="257"/>
      <c r="AZ13" s="288">
        <f>IF((AV13+AV14+AV15)-(AW13+AW14+AW15)&lt;0," ",(AV13+AV14+AV15)-(AW13+AW14+AW15))</f>
        <v>0</v>
      </c>
      <c r="BA13" s="266">
        <f>IF((AV13+AV14+AV15)-(AW13+AW14+AW15)&gt;0," ",(AW13+AW14+AW15)-(AV13+AV14+AV15))</f>
        <v>0</v>
      </c>
    </row>
    <row r="14" spans="1:53" x14ac:dyDescent="0.2">
      <c r="A14" s="39"/>
      <c r="C14" s="267"/>
      <c r="D14" s="423"/>
      <c r="E14" s="424"/>
      <c r="F14" s="425"/>
      <c r="G14" s="425"/>
      <c r="H14" s="425"/>
      <c r="I14" s="425"/>
      <c r="J14" s="425"/>
      <c r="K14" s="426"/>
      <c r="L14" s="427"/>
      <c r="M14" s="425"/>
      <c r="N14" s="425"/>
      <c r="O14" s="425"/>
      <c r="P14" s="428"/>
      <c r="Q14" s="428"/>
      <c r="R14" s="428"/>
      <c r="S14" s="428"/>
      <c r="T14" s="428"/>
      <c r="U14" s="428"/>
      <c r="V14" s="428"/>
      <c r="W14" s="428"/>
      <c r="X14" s="426"/>
      <c r="Y14" s="426"/>
      <c r="Z14" s="426"/>
      <c r="AA14" s="426"/>
      <c r="AB14" s="261">
        <f t="shared" si="2"/>
        <v>0</v>
      </c>
      <c r="AC14" s="259">
        <f t="shared" si="3"/>
        <v>0</v>
      </c>
      <c r="AD14" s="260">
        <f t="shared" si="5"/>
        <v>0</v>
      </c>
      <c r="AE14" s="262">
        <f t="shared" si="4"/>
        <v>0</v>
      </c>
      <c r="AF14" s="425"/>
      <c r="AG14" s="425"/>
      <c r="AH14" s="260"/>
      <c r="AI14" s="262"/>
      <c r="AJ14" s="263" t="str">
        <f>'B.  Property Taxes'!A57</f>
        <v>B.2</v>
      </c>
      <c r="AK14" s="264">
        <f>'B.  Property Taxes'!J58</f>
        <v>0</v>
      </c>
      <c r="AL14" s="259"/>
      <c r="AM14" s="263" t="s">
        <v>711</v>
      </c>
      <c r="AN14" s="264">
        <f>'B.  Property Taxes'!L58</f>
        <v>0</v>
      </c>
      <c r="AO14" s="265"/>
      <c r="AP14" s="264"/>
      <c r="AQ14" s="258"/>
      <c r="AR14" s="263"/>
      <c r="AS14" s="266"/>
      <c r="AT14" s="434"/>
      <c r="AU14" s="435"/>
      <c r="AV14" s="264">
        <f t="shared" si="0"/>
        <v>0</v>
      </c>
      <c r="AW14" s="264">
        <f t="shared" si="1"/>
        <v>0</v>
      </c>
      <c r="AX14" s="256"/>
      <c r="AY14" s="257"/>
      <c r="AZ14" s="288"/>
      <c r="BA14" s="266"/>
    </row>
    <row r="15" spans="1:53" x14ac:dyDescent="0.2">
      <c r="A15" s="39"/>
      <c r="C15" s="258"/>
      <c r="D15" s="423"/>
      <c r="E15" s="424"/>
      <c r="F15" s="425"/>
      <c r="G15" s="425"/>
      <c r="H15" s="425"/>
      <c r="I15" s="425"/>
      <c r="J15" s="425"/>
      <c r="K15" s="426"/>
      <c r="L15" s="427"/>
      <c r="M15" s="425"/>
      <c r="N15" s="425"/>
      <c r="O15" s="425"/>
      <c r="P15" s="428"/>
      <c r="Q15" s="428"/>
      <c r="R15" s="428"/>
      <c r="S15" s="428"/>
      <c r="T15" s="428"/>
      <c r="U15" s="428"/>
      <c r="V15" s="428"/>
      <c r="W15" s="428"/>
      <c r="X15" s="426"/>
      <c r="Y15" s="426"/>
      <c r="Z15" s="426"/>
      <c r="AA15" s="426"/>
      <c r="AB15" s="261">
        <f t="shared" si="2"/>
        <v>0</v>
      </c>
      <c r="AC15" s="259">
        <f t="shared" si="3"/>
        <v>0</v>
      </c>
      <c r="AD15" s="260">
        <f t="shared" si="5"/>
        <v>0</v>
      </c>
      <c r="AE15" s="262">
        <f t="shared" si="4"/>
        <v>0</v>
      </c>
      <c r="AF15" s="425"/>
      <c r="AG15" s="425"/>
      <c r="AH15" s="260"/>
      <c r="AI15" s="262"/>
      <c r="AJ15" s="263" t="str">
        <f>'C. Other Revenues'!B205</f>
        <v>C.1</v>
      </c>
      <c r="AK15" s="264">
        <f>'C. Other Revenues'!K205</f>
        <v>0</v>
      </c>
      <c r="AL15" s="259"/>
      <c r="AM15" s="263"/>
      <c r="AN15" s="264"/>
      <c r="AO15" s="265"/>
      <c r="AP15" s="264"/>
      <c r="AQ15" s="258"/>
      <c r="AR15" s="263"/>
      <c r="AS15" s="266"/>
      <c r="AT15" s="434"/>
      <c r="AU15" s="435"/>
      <c r="AV15" s="264">
        <f t="shared" si="0"/>
        <v>0</v>
      </c>
      <c r="AW15" s="264">
        <f t="shared" si="1"/>
        <v>0</v>
      </c>
      <c r="AX15" s="256"/>
      <c r="AY15" s="257"/>
      <c r="AZ15" s="288"/>
      <c r="BA15" s="266"/>
    </row>
    <row r="16" spans="1:53" x14ac:dyDescent="0.2">
      <c r="A16" s="39"/>
      <c r="C16" t="s">
        <v>888</v>
      </c>
      <c r="D16" s="421"/>
      <c r="E16" s="422"/>
      <c r="F16" s="414"/>
      <c r="G16" s="414"/>
      <c r="H16" s="414"/>
      <c r="I16" s="414"/>
      <c r="J16" s="414"/>
      <c r="K16" s="415"/>
      <c r="L16" s="416"/>
      <c r="M16" s="414"/>
      <c r="N16" s="414"/>
      <c r="O16" s="414"/>
      <c r="P16" s="420"/>
      <c r="Q16" s="420"/>
      <c r="R16" s="420"/>
      <c r="S16" s="420"/>
      <c r="T16" s="420"/>
      <c r="U16" s="420"/>
      <c r="V16" s="420"/>
      <c r="W16" s="420"/>
      <c r="X16" s="415"/>
      <c r="Y16" s="415"/>
      <c r="Z16" s="415"/>
      <c r="AA16" s="415"/>
      <c r="AB16" s="9">
        <f t="shared" si="2"/>
        <v>0</v>
      </c>
      <c r="AC16" s="5">
        <f t="shared" si="3"/>
        <v>0</v>
      </c>
      <c r="AD16" s="26">
        <f t="shared" si="5"/>
        <v>0</v>
      </c>
      <c r="AE16" s="21">
        <f t="shared" si="4"/>
        <v>0</v>
      </c>
      <c r="AF16" s="414"/>
      <c r="AG16" s="414"/>
      <c r="AH16" s="26"/>
      <c r="AI16" s="21"/>
      <c r="AK16" s="56"/>
      <c r="AL16" s="5"/>
      <c r="AN16" s="56"/>
      <c r="AO16" s="231"/>
      <c r="AP16" s="56"/>
      <c r="AS16" s="210"/>
      <c r="AT16" s="434"/>
      <c r="AU16" s="435"/>
      <c r="AV16" s="270">
        <f t="shared" si="0"/>
        <v>0</v>
      </c>
      <c r="AW16" s="270">
        <f t="shared" si="1"/>
        <v>0</v>
      </c>
      <c r="AX16" s="39"/>
      <c r="AY16" s="33"/>
      <c r="AZ16" s="293" t="str">
        <f>IF(AV16-AW16&lt;=0," ",AV16-AW16)</f>
        <v xml:space="preserve"> </v>
      </c>
      <c r="BA16" s="209">
        <f t="shared" ref="BA16:BA21" si="6">IF(AV16-AW16&gt;0," ",AW16-AV16)</f>
        <v>0</v>
      </c>
    </row>
    <row r="17" spans="1:53" x14ac:dyDescent="0.2">
      <c r="A17" s="39"/>
      <c r="C17" t="s">
        <v>732</v>
      </c>
      <c r="D17" s="418"/>
      <c r="E17" s="419"/>
      <c r="F17" s="414"/>
      <c r="G17" s="414"/>
      <c r="H17" s="414"/>
      <c r="I17" s="414"/>
      <c r="J17" s="414"/>
      <c r="K17" s="415"/>
      <c r="L17" s="416"/>
      <c r="M17" s="414"/>
      <c r="N17" s="414"/>
      <c r="O17" s="414"/>
      <c r="P17" s="417"/>
      <c r="Q17" s="417"/>
      <c r="R17" s="417"/>
      <c r="S17" s="417"/>
      <c r="T17" s="417"/>
      <c r="U17" s="417"/>
      <c r="V17" s="417"/>
      <c r="W17" s="417"/>
      <c r="X17" s="415"/>
      <c r="Y17" s="415"/>
      <c r="Z17" s="415"/>
      <c r="AA17" s="415"/>
      <c r="AB17" s="9">
        <f t="shared" si="2"/>
        <v>0</v>
      </c>
      <c r="AC17" s="5">
        <f t="shared" si="3"/>
        <v>0</v>
      </c>
      <c r="AD17" s="26">
        <f t="shared" si="5"/>
        <v>0</v>
      </c>
      <c r="AE17" s="21">
        <f t="shared" si="4"/>
        <v>0</v>
      </c>
      <c r="AF17" s="414"/>
      <c r="AG17" s="414"/>
      <c r="AH17" s="26"/>
      <c r="AI17" s="21"/>
      <c r="AK17" s="57"/>
      <c r="AL17" s="5"/>
      <c r="AN17" s="57"/>
      <c r="AO17" s="231"/>
      <c r="AP17" s="57"/>
      <c r="AS17" s="209"/>
      <c r="AT17" s="434"/>
      <c r="AU17" s="435"/>
      <c r="AV17" s="270">
        <f t="shared" si="0"/>
        <v>0</v>
      </c>
      <c r="AW17" s="270">
        <f t="shared" si="1"/>
        <v>0</v>
      </c>
      <c r="AX17" s="39"/>
      <c r="AY17" s="33"/>
      <c r="AZ17" s="287" t="str">
        <f>IF(AV17-AW17&lt;=0," ",AV17-AW17)</f>
        <v xml:space="preserve"> </v>
      </c>
      <c r="BA17" s="209">
        <f t="shared" si="6"/>
        <v>0</v>
      </c>
    </row>
    <row r="18" spans="1:53" x14ac:dyDescent="0.2">
      <c r="A18" s="39"/>
      <c r="C18" t="s">
        <v>887</v>
      </c>
      <c r="D18" s="421"/>
      <c r="E18" s="422"/>
      <c r="F18" s="414"/>
      <c r="G18" s="414"/>
      <c r="H18" s="414"/>
      <c r="I18" s="414"/>
      <c r="J18" s="414"/>
      <c r="K18" s="415"/>
      <c r="L18" s="416"/>
      <c r="M18" s="414"/>
      <c r="N18" s="414"/>
      <c r="O18" s="414"/>
      <c r="P18" s="420"/>
      <c r="Q18" s="420"/>
      <c r="R18" s="420"/>
      <c r="S18" s="420"/>
      <c r="T18" s="420"/>
      <c r="U18" s="420"/>
      <c r="V18" s="420"/>
      <c r="W18" s="420"/>
      <c r="X18" s="415"/>
      <c r="Y18" s="415"/>
      <c r="Z18" s="415"/>
      <c r="AA18" s="415"/>
      <c r="AB18" s="9">
        <f t="shared" si="2"/>
        <v>0</v>
      </c>
      <c r="AC18" s="5">
        <f t="shared" si="3"/>
        <v>0</v>
      </c>
      <c r="AD18" s="26">
        <f t="shared" si="5"/>
        <v>0</v>
      </c>
      <c r="AE18" s="21">
        <f t="shared" si="4"/>
        <v>0</v>
      </c>
      <c r="AF18" s="414"/>
      <c r="AG18" s="414"/>
      <c r="AH18" s="26"/>
      <c r="AI18" s="21"/>
      <c r="AK18" s="56"/>
      <c r="AL18" s="5"/>
      <c r="AN18" s="56"/>
      <c r="AO18" s="231"/>
      <c r="AP18" s="56"/>
      <c r="AS18" s="210"/>
      <c r="AT18" s="434"/>
      <c r="AU18" s="435"/>
      <c r="AV18" s="270">
        <f t="shared" si="0"/>
        <v>0</v>
      </c>
      <c r="AW18" s="270">
        <f t="shared" si="1"/>
        <v>0</v>
      </c>
      <c r="AX18" s="39"/>
      <c r="AY18" s="33"/>
      <c r="AZ18" s="287" t="str">
        <f>IF(AV18-AW18&lt;=0," ",AV18-AW18)</f>
        <v xml:space="preserve"> </v>
      </c>
      <c r="BA18" s="209">
        <f t="shared" si="6"/>
        <v>0</v>
      </c>
    </row>
    <row r="19" spans="1:53" x14ac:dyDescent="0.2">
      <c r="A19" s="39"/>
      <c r="C19" t="s">
        <v>4852</v>
      </c>
      <c r="D19" s="421"/>
      <c r="E19" s="422"/>
      <c r="F19" s="414"/>
      <c r="G19" s="414"/>
      <c r="H19" s="414"/>
      <c r="I19" s="414"/>
      <c r="J19" s="414"/>
      <c r="K19" s="415"/>
      <c r="L19" s="416"/>
      <c r="M19" s="414"/>
      <c r="N19" s="414"/>
      <c r="O19" s="414"/>
      <c r="P19" s="420"/>
      <c r="Q19" s="420"/>
      <c r="R19" s="420"/>
      <c r="S19" s="420"/>
      <c r="T19" s="420"/>
      <c r="U19" s="420"/>
      <c r="V19" s="420"/>
      <c r="W19" s="420"/>
      <c r="X19" s="415"/>
      <c r="Y19" s="415"/>
      <c r="Z19" s="415"/>
      <c r="AA19" s="415"/>
      <c r="AB19" s="9">
        <f t="shared" ref="AB19" si="7">L19+N19+P19+R19+T19+V19+X19+Z19</f>
        <v>0</v>
      </c>
      <c r="AC19" s="5">
        <f t="shared" ref="AC19" si="8">M19+O19+Q19+S19+U19+W19+Y19+AA19</f>
        <v>0</v>
      </c>
      <c r="AD19" s="26">
        <f t="shared" ref="AD19:AD20" si="9">D19+F19+H19+J19+AB19</f>
        <v>0</v>
      </c>
      <c r="AE19" s="21">
        <f t="shared" ref="AE19:AE20" si="10">E19+G19+I19+K19+AC19</f>
        <v>0</v>
      </c>
      <c r="AF19" s="414"/>
      <c r="AG19" s="414"/>
      <c r="AH19" s="26"/>
      <c r="AI19" s="21"/>
      <c r="AK19" s="56"/>
      <c r="AL19" s="5"/>
      <c r="AN19" s="56"/>
      <c r="AO19" s="231"/>
      <c r="AP19" s="56"/>
      <c r="AS19" s="210"/>
      <c r="AT19" s="434"/>
      <c r="AU19" s="435"/>
      <c r="AV19" s="270">
        <f t="shared" ref="AV19:AV20" si="11">AD19+AF19+AH19+AK19+AP19+AT19</f>
        <v>0</v>
      </c>
      <c r="AW19" s="270">
        <f t="shared" ref="AW19:AW20" si="12">AE19+AG19+AI19+AN19+AS19+AU19</f>
        <v>0</v>
      </c>
      <c r="AX19" s="39"/>
      <c r="AY19" s="33"/>
      <c r="AZ19" s="287" t="str">
        <f>IF(AV19-AW19&lt;=0," ",AV19-AW19)</f>
        <v xml:space="preserve"> </v>
      </c>
      <c r="BA19" s="209">
        <f t="shared" si="6"/>
        <v>0</v>
      </c>
    </row>
    <row r="20" spans="1:53" x14ac:dyDescent="0.2">
      <c r="A20" s="39"/>
      <c r="C20" t="s">
        <v>4890</v>
      </c>
      <c r="D20" s="421"/>
      <c r="E20" s="422"/>
      <c r="F20" s="414"/>
      <c r="G20" s="414"/>
      <c r="H20" s="414"/>
      <c r="I20" s="414"/>
      <c r="J20" s="414"/>
      <c r="K20" s="415"/>
      <c r="L20" s="416"/>
      <c r="M20" s="414"/>
      <c r="N20" s="414"/>
      <c r="O20" s="414"/>
      <c r="P20" s="420"/>
      <c r="Q20" s="420"/>
      <c r="R20" s="420"/>
      <c r="S20" s="420"/>
      <c r="T20" s="420"/>
      <c r="U20" s="420"/>
      <c r="V20" s="420"/>
      <c r="W20" s="420"/>
      <c r="X20" s="415"/>
      <c r="Y20" s="415"/>
      <c r="Z20" s="415"/>
      <c r="AA20" s="415"/>
      <c r="AB20" s="9">
        <f t="shared" ref="AB20" si="13">L20+N20+P20+R20+T20+V20+X20+Z20</f>
        <v>0</v>
      </c>
      <c r="AC20" s="5">
        <f t="shared" ref="AC20" si="14">M20+O20+Q20+S20+U20+W20+Y20+AA20</f>
        <v>0</v>
      </c>
      <c r="AD20" s="26">
        <f t="shared" si="9"/>
        <v>0</v>
      </c>
      <c r="AE20" s="21">
        <f t="shared" si="10"/>
        <v>0</v>
      </c>
      <c r="AF20" s="414"/>
      <c r="AG20" s="414"/>
      <c r="AH20" s="26"/>
      <c r="AI20" s="21"/>
      <c r="AK20" s="56"/>
      <c r="AL20" s="5"/>
      <c r="AN20" s="56"/>
      <c r="AO20" s="231"/>
      <c r="AP20" s="56"/>
      <c r="AS20" s="210"/>
      <c r="AT20" s="434"/>
      <c r="AU20" s="435"/>
      <c r="AV20" s="270">
        <f t="shared" si="11"/>
        <v>0</v>
      </c>
      <c r="AW20" s="270">
        <f t="shared" si="12"/>
        <v>0</v>
      </c>
      <c r="AX20" s="39"/>
      <c r="AY20" s="33"/>
      <c r="AZ20" s="287" t="str">
        <f t="shared" ref="AZ20" si="15">IF(AV20-AW20&lt;=0," ",AV20-AW20)</f>
        <v xml:space="preserve"> </v>
      </c>
      <c r="BA20" s="209">
        <f t="shared" si="6"/>
        <v>0</v>
      </c>
    </row>
    <row r="21" spans="1:53" x14ac:dyDescent="0.2">
      <c r="A21" s="39"/>
      <c r="C21" t="s">
        <v>394</v>
      </c>
      <c r="D21" s="421"/>
      <c r="E21" s="422"/>
      <c r="F21" s="414"/>
      <c r="G21" s="414"/>
      <c r="H21" s="414"/>
      <c r="I21" s="414"/>
      <c r="J21" s="414"/>
      <c r="K21" s="415"/>
      <c r="L21" s="416"/>
      <c r="M21" s="414"/>
      <c r="N21" s="414"/>
      <c r="O21" s="414"/>
      <c r="P21" s="420"/>
      <c r="Q21" s="420"/>
      <c r="R21" s="420"/>
      <c r="S21" s="420"/>
      <c r="T21" s="420"/>
      <c r="U21" s="420"/>
      <c r="V21" s="420"/>
      <c r="W21" s="420"/>
      <c r="X21" s="415"/>
      <c r="Y21" s="415"/>
      <c r="Z21" s="415"/>
      <c r="AA21" s="415"/>
      <c r="AB21" s="9">
        <f t="shared" si="2"/>
        <v>0</v>
      </c>
      <c r="AC21" s="5">
        <f t="shared" si="3"/>
        <v>0</v>
      </c>
      <c r="AD21" s="26">
        <f t="shared" si="5"/>
        <v>0</v>
      </c>
      <c r="AE21" s="21">
        <f t="shared" si="4"/>
        <v>0</v>
      </c>
      <c r="AF21" s="414"/>
      <c r="AG21" s="414"/>
      <c r="AH21" s="26"/>
      <c r="AI21" s="21"/>
      <c r="AK21" s="56"/>
      <c r="AL21" s="5"/>
      <c r="AN21" s="56"/>
      <c r="AO21" s="231"/>
      <c r="AP21" s="56"/>
      <c r="AS21" s="210"/>
      <c r="AT21" s="434"/>
      <c r="AU21" s="435"/>
      <c r="AV21" s="270">
        <f t="shared" si="0"/>
        <v>0</v>
      </c>
      <c r="AW21" s="270">
        <f t="shared" si="1"/>
        <v>0</v>
      </c>
      <c r="AX21" s="39"/>
      <c r="AY21" s="33"/>
      <c r="AZ21" s="287" t="str">
        <f>IF(AV21-AW21&lt;=0," ",AV21-AW21)</f>
        <v xml:space="preserve"> </v>
      </c>
      <c r="BA21" s="209">
        <f t="shared" si="6"/>
        <v>0</v>
      </c>
    </row>
    <row r="22" spans="1:53" x14ac:dyDescent="0.2">
      <c r="A22" s="39"/>
      <c r="C22" s="258" t="s">
        <v>733</v>
      </c>
      <c r="D22" s="423"/>
      <c r="E22" s="424"/>
      <c r="F22" s="425"/>
      <c r="G22" s="425"/>
      <c r="H22" s="425"/>
      <c r="I22" s="425"/>
      <c r="J22" s="425"/>
      <c r="K22" s="426"/>
      <c r="L22" s="427"/>
      <c r="M22" s="425"/>
      <c r="N22" s="425"/>
      <c r="O22" s="425"/>
      <c r="P22" s="428"/>
      <c r="Q22" s="428"/>
      <c r="R22" s="428"/>
      <c r="S22" s="428"/>
      <c r="T22" s="428"/>
      <c r="U22" s="428"/>
      <c r="V22" s="428"/>
      <c r="W22" s="428"/>
      <c r="X22" s="426"/>
      <c r="Y22" s="426"/>
      <c r="Z22" s="426"/>
      <c r="AA22" s="426"/>
      <c r="AB22" s="261">
        <f t="shared" si="2"/>
        <v>0</v>
      </c>
      <c r="AC22" s="259">
        <f t="shared" si="3"/>
        <v>0</v>
      </c>
      <c r="AD22" s="260">
        <f t="shared" si="5"/>
        <v>0</v>
      </c>
      <c r="AE22" s="262">
        <f t="shared" si="4"/>
        <v>0</v>
      </c>
      <c r="AF22" s="425"/>
      <c r="AG22" s="425"/>
      <c r="AH22" s="260"/>
      <c r="AI22" s="262"/>
      <c r="AJ22" s="263"/>
      <c r="AK22" s="264"/>
      <c r="AL22" s="259"/>
      <c r="AM22" s="263"/>
      <c r="AN22" s="264"/>
      <c r="AO22" s="391" t="s">
        <v>671</v>
      </c>
      <c r="AP22" s="264">
        <f>'K.1  Int. Service Fd Allocation'!E164+'K.2  Int. Service Fd Alloca'!E158+'K.3 Int. Service Fd Alloca'!E158</f>
        <v>0</v>
      </c>
      <c r="AQ22" s="258"/>
      <c r="AR22" s="263" t="str">
        <f>'L. Eliminations-Consolidations'!A203</f>
        <v>L.2</v>
      </c>
      <c r="AS22" s="266">
        <f>'L. Eliminations-Consolidations'!L205</f>
        <v>0</v>
      </c>
      <c r="AT22" s="434"/>
      <c r="AU22" s="435"/>
      <c r="AV22" s="264">
        <f t="shared" si="0"/>
        <v>0</v>
      </c>
      <c r="AW22" s="264">
        <f t="shared" si="1"/>
        <v>0</v>
      </c>
      <c r="AX22" s="256"/>
      <c r="AY22" s="257"/>
      <c r="AZ22" s="861" t="str">
        <f>IF((AV22+AV23+AV24)-(AW22+AW23+AW24)&lt;=0," ",(AV22+AV23+AV24)-(AW22+AW23+AW24))</f>
        <v xml:space="preserve"> </v>
      </c>
      <c r="BA22" s="266">
        <f>IF((AV22+AV23+AV24)-(AW22+AW23+AW24)&gt;0," ",(AW22+AW23+AW24)-(AV22+AV23+AV24))</f>
        <v>0</v>
      </c>
    </row>
    <row r="23" spans="1:53" x14ac:dyDescent="0.2">
      <c r="A23" s="39"/>
      <c r="C23" s="258"/>
      <c r="D23" s="423"/>
      <c r="E23" s="424"/>
      <c r="F23" s="425"/>
      <c r="G23" s="425"/>
      <c r="H23" s="425"/>
      <c r="I23" s="425"/>
      <c r="J23" s="425"/>
      <c r="K23" s="426"/>
      <c r="L23" s="427"/>
      <c r="M23" s="425"/>
      <c r="N23" s="425"/>
      <c r="O23" s="425"/>
      <c r="P23" s="428"/>
      <c r="Q23" s="428"/>
      <c r="R23" s="428"/>
      <c r="S23" s="428"/>
      <c r="T23" s="428"/>
      <c r="U23" s="428"/>
      <c r="V23" s="428"/>
      <c r="W23" s="428"/>
      <c r="X23" s="426"/>
      <c r="Y23" s="426"/>
      <c r="Z23" s="426"/>
      <c r="AA23" s="426"/>
      <c r="AB23" s="261">
        <f t="shared" si="2"/>
        <v>0</v>
      </c>
      <c r="AC23" s="259">
        <f t="shared" si="3"/>
        <v>0</v>
      </c>
      <c r="AD23" s="260">
        <f t="shared" si="5"/>
        <v>0</v>
      </c>
      <c r="AE23" s="262">
        <f t="shared" si="4"/>
        <v>0</v>
      </c>
      <c r="AF23" s="425"/>
      <c r="AG23" s="425"/>
      <c r="AH23" s="260"/>
      <c r="AI23" s="262"/>
      <c r="AJ23" s="263"/>
      <c r="AK23" s="264"/>
      <c r="AL23" s="259"/>
      <c r="AM23" s="263"/>
      <c r="AN23" s="264"/>
      <c r="AO23" s="265"/>
      <c r="AP23" s="264"/>
      <c r="AQ23" s="258"/>
      <c r="AR23" s="263" t="str">
        <f>'L. Eliminations-Consolidations'!A208</f>
        <v>L.3</v>
      </c>
      <c r="AS23" s="266">
        <f>'L. Eliminations-Consolidations'!L212</f>
        <v>0</v>
      </c>
      <c r="AT23" s="434"/>
      <c r="AU23" s="435"/>
      <c r="AV23" s="264">
        <f t="shared" si="0"/>
        <v>0</v>
      </c>
      <c r="AW23" s="264">
        <f t="shared" si="1"/>
        <v>0</v>
      </c>
      <c r="AX23" s="256"/>
      <c r="AY23" s="257"/>
      <c r="AZ23" s="288"/>
      <c r="BA23" s="266"/>
    </row>
    <row r="24" spans="1:53" x14ac:dyDescent="0.2">
      <c r="A24" s="39"/>
      <c r="C24" s="258"/>
      <c r="D24" s="423"/>
      <c r="E24" s="424"/>
      <c r="F24" s="425"/>
      <c r="G24" s="425"/>
      <c r="H24" s="425"/>
      <c r="I24" s="425"/>
      <c r="J24" s="425"/>
      <c r="K24" s="426"/>
      <c r="L24" s="427"/>
      <c r="M24" s="425"/>
      <c r="N24" s="425"/>
      <c r="O24" s="425"/>
      <c r="P24" s="428"/>
      <c r="Q24" s="428"/>
      <c r="R24" s="428"/>
      <c r="S24" s="428"/>
      <c r="T24" s="428"/>
      <c r="U24" s="428"/>
      <c r="V24" s="428"/>
      <c r="W24" s="428"/>
      <c r="X24" s="426"/>
      <c r="Y24" s="426"/>
      <c r="Z24" s="426"/>
      <c r="AA24" s="426"/>
      <c r="AB24" s="261">
        <f t="shared" si="2"/>
        <v>0</v>
      </c>
      <c r="AC24" s="259">
        <f t="shared" si="3"/>
        <v>0</v>
      </c>
      <c r="AD24" s="260">
        <f t="shared" si="5"/>
        <v>0</v>
      </c>
      <c r="AE24" s="262">
        <f t="shared" si="4"/>
        <v>0</v>
      </c>
      <c r="AF24" s="425"/>
      <c r="AG24" s="425"/>
      <c r="AH24" s="260"/>
      <c r="AI24" s="262"/>
      <c r="AJ24" s="263"/>
      <c r="AK24" s="264"/>
      <c r="AL24" s="259"/>
      <c r="AM24" s="263"/>
      <c r="AN24" s="264"/>
      <c r="AO24" s="265"/>
      <c r="AP24" s="264"/>
      <c r="AQ24" s="258"/>
      <c r="AR24" s="263" t="str">
        <f>'L. Eliminations-Consolidations'!A214</f>
        <v>L.4</v>
      </c>
      <c r="AS24" s="266">
        <f>'L. Eliminations-Consolidations'!L215</f>
        <v>0</v>
      </c>
      <c r="AT24" s="434"/>
      <c r="AU24" s="435"/>
      <c r="AV24" s="264">
        <f t="shared" si="0"/>
        <v>0</v>
      </c>
      <c r="AW24" s="264">
        <f t="shared" si="1"/>
        <v>0</v>
      </c>
      <c r="AX24" s="256"/>
      <c r="AY24" s="257"/>
      <c r="AZ24" s="288"/>
      <c r="BA24" s="266"/>
    </row>
    <row r="25" spans="1:53" x14ac:dyDescent="0.2">
      <c r="A25" s="39"/>
      <c r="C25" t="s">
        <v>117</v>
      </c>
      <c r="D25" s="421"/>
      <c r="E25" s="422"/>
      <c r="F25" s="414"/>
      <c r="G25" s="414"/>
      <c r="H25" s="414"/>
      <c r="I25" s="414"/>
      <c r="J25" s="414"/>
      <c r="K25" s="415"/>
      <c r="L25" s="416"/>
      <c r="M25" s="414"/>
      <c r="N25" s="414"/>
      <c r="O25" s="414"/>
      <c r="P25" s="420"/>
      <c r="Q25" s="420"/>
      <c r="R25" s="420"/>
      <c r="S25" s="420"/>
      <c r="T25" s="420"/>
      <c r="U25" s="420"/>
      <c r="V25" s="420"/>
      <c r="W25" s="420"/>
      <c r="X25" s="415"/>
      <c r="Y25" s="415"/>
      <c r="Z25" s="415"/>
      <c r="AA25" s="415"/>
      <c r="AB25" s="9">
        <f t="shared" si="2"/>
        <v>0</v>
      </c>
      <c r="AC25" s="5">
        <f t="shared" si="3"/>
        <v>0</v>
      </c>
      <c r="AD25" s="26">
        <f t="shared" si="5"/>
        <v>0</v>
      </c>
      <c r="AE25" s="21">
        <f t="shared" si="4"/>
        <v>0</v>
      </c>
      <c r="AF25" s="414"/>
      <c r="AG25" s="414"/>
      <c r="AH25" s="26"/>
      <c r="AI25" s="21"/>
      <c r="AK25" s="56"/>
      <c r="AL25" s="5"/>
      <c r="AN25" s="56"/>
      <c r="AO25" s="231" t="str">
        <f>'L. Eliminations-Consolidations'!A214</f>
        <v>L.4</v>
      </c>
      <c r="AP25" s="56">
        <f>'L. Eliminations-Consolidations'!J214</f>
        <v>0</v>
      </c>
      <c r="AS25" s="210"/>
      <c r="AT25" s="434"/>
      <c r="AU25" s="435"/>
      <c r="AV25" s="270">
        <f t="shared" si="0"/>
        <v>0</v>
      </c>
      <c r="AW25" s="270">
        <f t="shared" si="1"/>
        <v>0</v>
      </c>
      <c r="AX25" s="39"/>
      <c r="AY25" s="33"/>
      <c r="AZ25" s="287" t="str">
        <f>IF(AV25-AW25&lt;=0," ",AV25-AW25)</f>
        <v xml:space="preserve"> </v>
      </c>
      <c r="BA25" s="209">
        <f>IF(AV25-AW25&gt;0," ",AW25-AV25)</f>
        <v>0</v>
      </c>
    </row>
    <row r="26" spans="1:53" x14ac:dyDescent="0.2">
      <c r="A26" s="39"/>
      <c r="C26" t="s">
        <v>734</v>
      </c>
      <c r="D26" s="421"/>
      <c r="E26" s="422"/>
      <c r="F26" s="414"/>
      <c r="G26" s="414"/>
      <c r="H26" s="414"/>
      <c r="I26" s="414"/>
      <c r="J26" s="414"/>
      <c r="K26" s="415"/>
      <c r="L26" s="416"/>
      <c r="M26" s="414"/>
      <c r="N26" s="414"/>
      <c r="O26" s="414"/>
      <c r="P26" s="420"/>
      <c r="Q26" s="420"/>
      <c r="R26" s="420"/>
      <c r="S26" s="420"/>
      <c r="T26" s="420"/>
      <c r="U26" s="420"/>
      <c r="V26" s="420"/>
      <c r="W26" s="420"/>
      <c r="X26" s="415"/>
      <c r="Y26" s="415"/>
      <c r="Z26" s="415"/>
      <c r="AA26" s="415"/>
      <c r="AB26" s="9">
        <f t="shared" si="2"/>
        <v>0</v>
      </c>
      <c r="AC26" s="5">
        <f t="shared" si="3"/>
        <v>0</v>
      </c>
      <c r="AD26" s="26">
        <f t="shared" si="5"/>
        <v>0</v>
      </c>
      <c r="AE26" s="21">
        <f t="shared" si="4"/>
        <v>0</v>
      </c>
      <c r="AF26" s="414"/>
      <c r="AG26" s="414"/>
      <c r="AH26" s="26"/>
      <c r="AI26" s="21"/>
      <c r="AK26" s="56"/>
      <c r="AL26" s="5"/>
      <c r="AN26" s="56"/>
      <c r="AO26" s="231"/>
      <c r="AP26" s="56"/>
      <c r="AS26" s="210"/>
      <c r="AT26" s="434"/>
      <c r="AU26" s="435"/>
      <c r="AV26" s="270">
        <f t="shared" si="0"/>
        <v>0</v>
      </c>
      <c r="AW26" s="270">
        <f t="shared" si="1"/>
        <v>0</v>
      </c>
      <c r="AX26" s="39"/>
      <c r="AY26" s="33"/>
      <c r="AZ26" s="287" t="str">
        <f>IF(AV26-AW26&lt;=0," ",AV26-AW26)</f>
        <v xml:space="preserve"> </v>
      </c>
      <c r="BA26" s="209">
        <f>IF(AV26-AW26&gt;0," ",AW26-AV26)</f>
        <v>0</v>
      </c>
    </row>
    <row r="27" spans="1:53" x14ac:dyDescent="0.2">
      <c r="A27" s="39"/>
      <c r="C27" t="s">
        <v>735</v>
      </c>
      <c r="D27" s="418"/>
      <c r="E27" s="419"/>
      <c r="F27" s="414"/>
      <c r="G27" s="414"/>
      <c r="H27" s="414"/>
      <c r="I27" s="414"/>
      <c r="J27" s="414"/>
      <c r="K27" s="415"/>
      <c r="L27" s="416"/>
      <c r="M27" s="414"/>
      <c r="N27" s="414"/>
      <c r="O27" s="414"/>
      <c r="P27" s="417"/>
      <c r="Q27" s="417"/>
      <c r="R27" s="417"/>
      <c r="S27" s="417"/>
      <c r="T27" s="417"/>
      <c r="U27" s="417"/>
      <c r="V27" s="417"/>
      <c r="W27" s="417"/>
      <c r="X27" s="415"/>
      <c r="Y27" s="415"/>
      <c r="Z27" s="415"/>
      <c r="AA27" s="415"/>
      <c r="AB27" s="9">
        <f t="shared" si="2"/>
        <v>0</v>
      </c>
      <c r="AC27" s="5">
        <f t="shared" si="3"/>
        <v>0</v>
      </c>
      <c r="AD27" s="26">
        <f t="shared" si="5"/>
        <v>0</v>
      </c>
      <c r="AE27" s="21">
        <f t="shared" si="4"/>
        <v>0</v>
      </c>
      <c r="AF27" s="414"/>
      <c r="AG27" s="414"/>
      <c r="AH27" s="26"/>
      <c r="AI27" s="21"/>
      <c r="AK27" s="57"/>
      <c r="AL27" s="5"/>
      <c r="AN27" s="57"/>
      <c r="AO27" s="231"/>
      <c r="AP27" s="57"/>
      <c r="AS27" s="209"/>
      <c r="AT27" s="434"/>
      <c r="AU27" s="435"/>
      <c r="AV27" s="270">
        <f t="shared" si="0"/>
        <v>0</v>
      </c>
      <c r="AW27" s="270">
        <f t="shared" si="1"/>
        <v>0</v>
      </c>
      <c r="AX27" s="39"/>
      <c r="AY27" s="33"/>
      <c r="AZ27" s="287" t="str">
        <f>IF(AV27-AW27&lt;=0," ",AV27-AW27)</f>
        <v xml:space="preserve"> </v>
      </c>
      <c r="BA27" s="209">
        <f>IF(AV27-AW27&gt;0," ",AW27-AV27)</f>
        <v>0</v>
      </c>
    </row>
    <row r="28" spans="1:53" x14ac:dyDescent="0.2">
      <c r="A28" s="39"/>
      <c r="C28" s="258" t="s">
        <v>581</v>
      </c>
      <c r="D28" s="423"/>
      <c r="E28" s="424"/>
      <c r="F28" s="425"/>
      <c r="G28" s="425"/>
      <c r="H28" s="425"/>
      <c r="I28" s="425"/>
      <c r="J28" s="425"/>
      <c r="K28" s="426"/>
      <c r="L28" s="427"/>
      <c r="M28" s="425"/>
      <c r="N28" s="425"/>
      <c r="O28" s="425"/>
      <c r="P28" s="428"/>
      <c r="Q28" s="428"/>
      <c r="R28" s="428"/>
      <c r="S28" s="428"/>
      <c r="T28" s="428"/>
      <c r="U28" s="428"/>
      <c r="V28" s="428"/>
      <c r="W28" s="428"/>
      <c r="X28" s="426"/>
      <c r="Y28" s="426"/>
      <c r="Z28" s="426"/>
      <c r="AA28" s="426"/>
      <c r="AB28" s="261">
        <f t="shared" si="2"/>
        <v>0</v>
      </c>
      <c r="AC28" s="259">
        <f t="shared" si="3"/>
        <v>0</v>
      </c>
      <c r="AD28" s="260">
        <f t="shared" si="5"/>
        <v>0</v>
      </c>
      <c r="AE28" s="262">
        <f t="shared" si="4"/>
        <v>0</v>
      </c>
      <c r="AF28" s="425"/>
      <c r="AG28" s="425"/>
      <c r="AH28" s="260"/>
      <c r="AI28" s="262"/>
      <c r="AJ28" s="263"/>
      <c r="AK28" s="264"/>
      <c r="AL28" s="259"/>
      <c r="AM28" s="263"/>
      <c r="AN28" s="264"/>
      <c r="AO28" s="265" t="str">
        <f>'L. Eliminations-Consolidations'!A208</f>
        <v>L.3</v>
      </c>
      <c r="AP28" s="264">
        <f>'L. Eliminations-Consolidations'!J210</f>
        <v>0</v>
      </c>
      <c r="AQ28" s="258"/>
      <c r="AR28" s="395" t="s">
        <v>671</v>
      </c>
      <c r="AS28" s="266">
        <f>'K.1  Int. Service Fd Allocation'!G215+'K.2  Int. Service Fd Alloca'!G208+'K.3 Int. Service Fd Alloca'!G208</f>
        <v>0</v>
      </c>
      <c r="AT28" s="434"/>
      <c r="AU28" s="435"/>
      <c r="AV28" s="264">
        <f t="shared" si="0"/>
        <v>0</v>
      </c>
      <c r="AW28" s="264">
        <f t="shared" si="1"/>
        <v>0</v>
      </c>
      <c r="AX28" s="256"/>
      <c r="AY28" s="257"/>
      <c r="AZ28" s="861" t="str">
        <f>IF((AV28+AV29)-(AW28+AW29)&lt;=0," ",(AV28+AV29)-(AW28+AW29))</f>
        <v xml:space="preserve"> </v>
      </c>
      <c r="BA28" s="266">
        <f>IF((AV28+AV29)-(AW28+AW29)&gt;0," ",(AW28+AW29)-(AV28+AV29))</f>
        <v>0</v>
      </c>
    </row>
    <row r="29" spans="1:53" x14ac:dyDescent="0.2">
      <c r="A29" s="39"/>
      <c r="C29" s="258"/>
      <c r="D29" s="423"/>
      <c r="E29" s="424"/>
      <c r="F29" s="425"/>
      <c r="G29" s="425"/>
      <c r="H29" s="425"/>
      <c r="I29" s="425"/>
      <c r="J29" s="425"/>
      <c r="K29" s="426"/>
      <c r="L29" s="427"/>
      <c r="M29" s="425"/>
      <c r="N29" s="425"/>
      <c r="O29" s="425"/>
      <c r="P29" s="428"/>
      <c r="Q29" s="428"/>
      <c r="R29" s="428"/>
      <c r="S29" s="428"/>
      <c r="T29" s="428"/>
      <c r="U29" s="428"/>
      <c r="V29" s="428"/>
      <c r="W29" s="428"/>
      <c r="X29" s="426"/>
      <c r="Y29" s="426"/>
      <c r="Z29" s="426"/>
      <c r="AA29" s="426"/>
      <c r="AB29" s="261">
        <f t="shared" si="2"/>
        <v>0</v>
      </c>
      <c r="AC29" s="259">
        <f t="shared" si="3"/>
        <v>0</v>
      </c>
      <c r="AD29" s="260">
        <f t="shared" si="5"/>
        <v>0</v>
      </c>
      <c r="AE29" s="262">
        <f t="shared" si="4"/>
        <v>0</v>
      </c>
      <c r="AF29" s="425"/>
      <c r="AG29" s="425"/>
      <c r="AH29" s="260"/>
      <c r="AI29" s="262"/>
      <c r="AJ29" s="263"/>
      <c r="AK29" s="264"/>
      <c r="AL29" s="259"/>
      <c r="AM29" s="263"/>
      <c r="AN29" s="264"/>
      <c r="AO29" s="265" t="str">
        <f>'L. Eliminations-Consolidations'!B270</f>
        <v>L.8</v>
      </c>
      <c r="AP29" s="264">
        <f>'L. Eliminations-Consolidations'!J270</f>
        <v>0</v>
      </c>
      <c r="AQ29" s="258"/>
      <c r="AR29" s="263" t="str">
        <f>'L. Eliminations-Consolidations'!B270</f>
        <v>L.8</v>
      </c>
      <c r="AS29" s="266">
        <f>'L. Eliminations-Consolidations'!L270</f>
        <v>0</v>
      </c>
      <c r="AT29" s="434"/>
      <c r="AU29" s="435"/>
      <c r="AV29" s="264">
        <f t="shared" si="0"/>
        <v>0</v>
      </c>
      <c r="AW29" s="264">
        <f t="shared" si="1"/>
        <v>0</v>
      </c>
      <c r="AX29" s="256"/>
      <c r="AY29" s="257"/>
      <c r="AZ29" s="288"/>
      <c r="BA29" s="266"/>
    </row>
    <row r="30" spans="1:53" x14ac:dyDescent="0.2">
      <c r="A30" s="39"/>
      <c r="C30" t="s">
        <v>736</v>
      </c>
      <c r="D30" s="421"/>
      <c r="E30" s="422"/>
      <c r="F30" s="414"/>
      <c r="G30" s="414"/>
      <c r="H30" s="414"/>
      <c r="I30" s="414"/>
      <c r="J30" s="414"/>
      <c r="K30" s="415"/>
      <c r="L30" s="416"/>
      <c r="M30" s="414"/>
      <c r="N30" s="414"/>
      <c r="O30" s="414"/>
      <c r="P30" s="420"/>
      <c r="Q30" s="420"/>
      <c r="R30" s="420"/>
      <c r="S30" s="420"/>
      <c r="T30" s="420"/>
      <c r="U30" s="420"/>
      <c r="V30" s="420"/>
      <c r="W30" s="420"/>
      <c r="X30" s="415"/>
      <c r="Y30" s="415"/>
      <c r="Z30" s="415"/>
      <c r="AA30" s="415"/>
      <c r="AB30" s="9">
        <f t="shared" si="2"/>
        <v>0</v>
      </c>
      <c r="AC30" s="5">
        <f t="shared" si="3"/>
        <v>0</v>
      </c>
      <c r="AD30" s="26">
        <f t="shared" si="5"/>
        <v>0</v>
      </c>
      <c r="AE30" s="21">
        <f t="shared" si="4"/>
        <v>0</v>
      </c>
      <c r="AF30" s="414"/>
      <c r="AG30" s="414"/>
      <c r="AH30" s="26"/>
      <c r="AI30" s="21"/>
      <c r="AJ30" s="252"/>
      <c r="AK30" s="56"/>
      <c r="AL30" s="5"/>
      <c r="AN30" s="21"/>
      <c r="AO30" s="252" t="s">
        <v>671</v>
      </c>
      <c r="AP30" s="57">
        <f>'K.1  Int. Service Fd Allocation'!E166+'K.2  Int. Service Fd Alloca'!E160+'K.3 Int. Service Fd Alloca'!E160</f>
        <v>0</v>
      </c>
      <c r="AS30" s="210"/>
      <c r="AT30" s="434"/>
      <c r="AU30" s="435"/>
      <c r="AV30" s="270">
        <f t="shared" si="0"/>
        <v>0</v>
      </c>
      <c r="AW30" s="270">
        <f t="shared" si="1"/>
        <v>0</v>
      </c>
      <c r="AX30" s="39"/>
      <c r="AY30" s="33"/>
      <c r="AZ30" s="287" t="str">
        <f>IF(AV30-AW30&lt;=0," ",AV30-AW30)</f>
        <v xml:space="preserve"> </v>
      </c>
      <c r="BA30" s="209">
        <f>IF(AV30-AW30&gt;0," ",AW30-AV30)</f>
        <v>0</v>
      </c>
    </row>
    <row r="31" spans="1:53" x14ac:dyDescent="0.2">
      <c r="A31" s="39"/>
      <c r="C31" t="s">
        <v>737</v>
      </c>
      <c r="D31" s="418"/>
      <c r="E31" s="419"/>
      <c r="F31" s="414"/>
      <c r="G31" s="414"/>
      <c r="H31" s="414"/>
      <c r="I31" s="414"/>
      <c r="J31" s="414"/>
      <c r="K31" s="415"/>
      <c r="L31" s="416"/>
      <c r="M31" s="414"/>
      <c r="N31" s="414"/>
      <c r="O31" s="414"/>
      <c r="P31" s="417"/>
      <c r="Q31" s="417"/>
      <c r="R31" s="417"/>
      <c r="S31" s="417"/>
      <c r="T31" s="417"/>
      <c r="U31" s="417"/>
      <c r="V31" s="417"/>
      <c r="W31" s="417"/>
      <c r="X31" s="415"/>
      <c r="Y31" s="415"/>
      <c r="Z31" s="415"/>
      <c r="AA31" s="415"/>
      <c r="AB31" s="9">
        <f t="shared" si="2"/>
        <v>0</v>
      </c>
      <c r="AC31" s="5">
        <f t="shared" si="3"/>
        <v>0</v>
      </c>
      <c r="AD31" s="26">
        <f t="shared" si="5"/>
        <v>0</v>
      </c>
      <c r="AE31" s="21">
        <f t="shared" si="4"/>
        <v>0</v>
      </c>
      <c r="AF31" s="414"/>
      <c r="AG31" s="414"/>
      <c r="AH31" s="26"/>
      <c r="AI31" s="21"/>
      <c r="AJ31" s="252"/>
      <c r="AK31" s="57"/>
      <c r="AL31" s="5"/>
      <c r="AN31" s="21"/>
      <c r="AO31" s="252" t="s">
        <v>671</v>
      </c>
      <c r="AP31" s="57">
        <f>'K.1  Int. Service Fd Allocation'!E167+'K.2  Int. Service Fd Alloca'!E161+'K.3 Int. Service Fd Alloca'!E161</f>
        <v>0</v>
      </c>
      <c r="AS31" s="209"/>
      <c r="AT31" s="434"/>
      <c r="AU31" s="435"/>
      <c r="AV31" s="270">
        <f t="shared" si="0"/>
        <v>0</v>
      </c>
      <c r="AW31" s="270">
        <f t="shared" si="1"/>
        <v>0</v>
      </c>
      <c r="AX31" s="39"/>
      <c r="AY31" s="33"/>
      <c r="AZ31" s="287" t="str">
        <f>IF(AV31-AW31&lt;=0," ",AV31-AW31)</f>
        <v xml:space="preserve"> </v>
      </c>
      <c r="BA31" s="209">
        <f>IF(AV31-AW31&gt;0," ",AW31-AV31)</f>
        <v>0</v>
      </c>
    </row>
    <row r="32" spans="1:53" x14ac:dyDescent="0.2">
      <c r="A32" s="39"/>
      <c r="C32" t="s">
        <v>2047</v>
      </c>
      <c r="D32" s="418"/>
      <c r="E32" s="419"/>
      <c r="F32" s="414"/>
      <c r="G32" s="414"/>
      <c r="H32" s="414"/>
      <c r="I32" s="414"/>
      <c r="J32" s="414"/>
      <c r="K32" s="415"/>
      <c r="L32" s="416"/>
      <c r="M32" s="414"/>
      <c r="N32" s="414"/>
      <c r="O32" s="414"/>
      <c r="P32" s="417"/>
      <c r="Q32" s="417"/>
      <c r="R32" s="417"/>
      <c r="S32" s="417"/>
      <c r="T32" s="417"/>
      <c r="U32" s="417"/>
      <c r="V32" s="417"/>
      <c r="W32" s="417"/>
      <c r="X32" s="415"/>
      <c r="Y32" s="415"/>
      <c r="Z32" s="415"/>
      <c r="AA32" s="415"/>
      <c r="AB32" s="9">
        <f>L32+N32+P32+R32+T32+V32+X32+Z32</f>
        <v>0</v>
      </c>
      <c r="AC32" s="5">
        <f>M32+O32+Q32+S32+U32+W32+Y32+AA32</f>
        <v>0</v>
      </c>
      <c r="AD32" s="26">
        <f>D32+F32+H32+J32+AB32</f>
        <v>0</v>
      </c>
      <c r="AE32" s="21">
        <f>E32+G32+I32+K32+AC32</f>
        <v>0</v>
      </c>
      <c r="AF32" s="414"/>
      <c r="AG32" s="414"/>
      <c r="AH32" s="26"/>
      <c r="AI32" s="21"/>
      <c r="AJ32" s="226" t="s">
        <v>2048</v>
      </c>
      <c r="AK32" s="57">
        <f>'N.1 GASB 68 LGERS'!C95</f>
        <v>0</v>
      </c>
      <c r="AL32" s="5"/>
      <c r="AM32" s="226" t="s">
        <v>2048</v>
      </c>
      <c r="AN32" s="21">
        <f>'N.1 GASB 68 LGERS'!D95</f>
        <v>0</v>
      </c>
      <c r="AO32" s="252" t="s">
        <v>671</v>
      </c>
      <c r="AP32" s="57">
        <f>'K.1  Int. Service Fd Allocation'!E168</f>
        <v>0</v>
      </c>
      <c r="AS32" s="209"/>
      <c r="AT32" s="434"/>
      <c r="AU32" s="435"/>
      <c r="AV32" s="270">
        <f>AD32+AF32+AH32+AK32+AP32+AT32</f>
        <v>0</v>
      </c>
      <c r="AW32" s="270">
        <f>AE32+AG32+AI32+AN32+AS32+AU32</f>
        <v>0</v>
      </c>
      <c r="AX32" s="39"/>
      <c r="AY32" s="33"/>
      <c r="AZ32" s="287" t="str">
        <f>IF(AV32-AW32&lt;=0," ",AV32-AW32)</f>
        <v xml:space="preserve"> </v>
      </c>
      <c r="BA32" s="209">
        <f>IF(AV32-AW32&gt;0," ",AW32-AV32)</f>
        <v>0</v>
      </c>
    </row>
    <row r="33" spans="1:53" x14ac:dyDescent="0.2">
      <c r="A33" s="39"/>
      <c r="C33" s="258" t="s">
        <v>194</v>
      </c>
      <c r="D33" s="423"/>
      <c r="E33" s="424"/>
      <c r="F33" s="425"/>
      <c r="G33" s="425"/>
      <c r="H33" s="425"/>
      <c r="I33" s="425"/>
      <c r="J33" s="425"/>
      <c r="K33" s="426"/>
      <c r="L33" s="427"/>
      <c r="M33" s="425"/>
      <c r="N33" s="425"/>
      <c r="O33" s="425"/>
      <c r="P33" s="428"/>
      <c r="Q33" s="428"/>
      <c r="R33" s="428"/>
      <c r="S33" s="428"/>
      <c r="T33" s="428"/>
      <c r="U33" s="428"/>
      <c r="V33" s="428"/>
      <c r="W33" s="428"/>
      <c r="X33" s="426"/>
      <c r="Y33" s="426"/>
      <c r="Z33" s="426"/>
      <c r="AA33" s="426"/>
      <c r="AB33" s="261">
        <f t="shared" si="2"/>
        <v>0</v>
      </c>
      <c r="AC33" s="259">
        <f t="shared" si="3"/>
        <v>0</v>
      </c>
      <c r="AD33" s="260">
        <f t="shared" si="5"/>
        <v>0</v>
      </c>
      <c r="AE33" s="262">
        <f t="shared" si="4"/>
        <v>0</v>
      </c>
      <c r="AF33" s="425"/>
      <c r="AG33" s="425"/>
      <c r="AH33" s="260"/>
      <c r="AI33" s="262"/>
      <c r="AJ33" s="263"/>
      <c r="AK33" s="264"/>
      <c r="AL33" s="259"/>
      <c r="AM33" s="263"/>
      <c r="AN33" s="264"/>
      <c r="AO33" s="391" t="s">
        <v>671</v>
      </c>
      <c r="AP33" s="264">
        <f>'K.1  Int. Service Fd Allocation'!E165+'K.2  Int. Service Fd Alloca'!E159+'K.3 Int. Service Fd Alloca'!E159</f>
        <v>0</v>
      </c>
      <c r="AQ33" s="258"/>
      <c r="AR33" s="263" t="str">
        <f>'L. Eliminations-Consolidations'!A203</f>
        <v>L.2</v>
      </c>
      <c r="AS33" s="266">
        <f>'L. Eliminations-Consolidations'!L206</f>
        <v>0</v>
      </c>
      <c r="AT33" s="434"/>
      <c r="AU33" s="435"/>
      <c r="AV33" s="264">
        <f t="shared" si="0"/>
        <v>0</v>
      </c>
      <c r="AW33" s="264">
        <f t="shared" si="1"/>
        <v>0</v>
      </c>
      <c r="AX33" s="256"/>
      <c r="AY33" s="257"/>
      <c r="AZ33" s="861" t="str">
        <f>IF((AV33+AV34)-(AW33+AW34)&lt;=0," ",(AV33+AV34)-(AW33+AW34))</f>
        <v xml:space="preserve"> </v>
      </c>
      <c r="BA33" s="266">
        <f>IF((AV33+AV34)-(AW33+AW34)&gt;0," ",(AW33+AW34)-(AV33+AV34))</f>
        <v>0</v>
      </c>
    </row>
    <row r="34" spans="1:53" x14ac:dyDescent="0.2">
      <c r="A34" s="39"/>
      <c r="C34" s="258"/>
      <c r="D34" s="423"/>
      <c r="E34" s="424"/>
      <c r="F34" s="425"/>
      <c r="G34" s="425"/>
      <c r="H34" s="425"/>
      <c r="I34" s="425"/>
      <c r="J34" s="425"/>
      <c r="K34" s="426"/>
      <c r="L34" s="427"/>
      <c r="M34" s="425"/>
      <c r="N34" s="425"/>
      <c r="O34" s="425"/>
      <c r="P34" s="428"/>
      <c r="Q34" s="428"/>
      <c r="R34" s="428"/>
      <c r="S34" s="428"/>
      <c r="T34" s="428"/>
      <c r="U34" s="428"/>
      <c r="V34" s="428"/>
      <c r="W34" s="428"/>
      <c r="X34" s="426"/>
      <c r="Y34" s="426"/>
      <c r="Z34" s="426"/>
      <c r="AA34" s="426"/>
      <c r="AB34" s="261">
        <f t="shared" si="2"/>
        <v>0</v>
      </c>
      <c r="AC34" s="259">
        <f t="shared" si="3"/>
        <v>0</v>
      </c>
      <c r="AD34" s="260">
        <f t="shared" si="5"/>
        <v>0</v>
      </c>
      <c r="AE34" s="262">
        <f t="shared" si="4"/>
        <v>0</v>
      </c>
      <c r="AF34" s="425"/>
      <c r="AG34" s="425"/>
      <c r="AH34" s="260"/>
      <c r="AI34" s="262"/>
      <c r="AJ34" s="263"/>
      <c r="AK34" s="264"/>
      <c r="AL34" s="259"/>
      <c r="AM34" s="263"/>
      <c r="AN34" s="264"/>
      <c r="AO34" s="265"/>
      <c r="AP34" s="264"/>
      <c r="AQ34" s="258"/>
      <c r="AR34" s="263" t="str">
        <f>'L. Eliminations-Consolidations'!A208</f>
        <v>L.3</v>
      </c>
      <c r="AS34" s="266">
        <f>'L. Eliminations-Consolidations'!L211</f>
        <v>0</v>
      </c>
      <c r="AT34" s="434"/>
      <c r="AU34" s="435"/>
      <c r="AV34" s="264">
        <f t="shared" si="0"/>
        <v>0</v>
      </c>
      <c r="AW34" s="264">
        <f t="shared" si="1"/>
        <v>0</v>
      </c>
      <c r="AX34" s="256"/>
      <c r="AY34" s="257"/>
      <c r="AZ34" s="288"/>
      <c r="BA34" s="266"/>
    </row>
    <row r="35" spans="1:53" ht="25.5" x14ac:dyDescent="0.2">
      <c r="A35" s="39"/>
      <c r="C35" s="46" t="s">
        <v>350</v>
      </c>
      <c r="D35" s="418"/>
      <c r="E35" s="419"/>
      <c r="F35" s="414"/>
      <c r="G35" s="414"/>
      <c r="H35" s="414"/>
      <c r="I35" s="414"/>
      <c r="J35" s="414"/>
      <c r="K35" s="415"/>
      <c r="L35" s="416"/>
      <c r="M35" s="414"/>
      <c r="N35" s="414"/>
      <c r="O35" s="414"/>
      <c r="P35" s="417"/>
      <c r="Q35" s="417"/>
      <c r="R35" s="417"/>
      <c r="S35" s="417"/>
      <c r="T35" s="417"/>
      <c r="U35" s="417"/>
      <c r="V35" s="417"/>
      <c r="W35" s="417"/>
      <c r="X35" s="415"/>
      <c r="Y35" s="415"/>
      <c r="Z35" s="415"/>
      <c r="AA35" s="415"/>
      <c r="AB35" s="9">
        <f t="shared" si="2"/>
        <v>0</v>
      </c>
      <c r="AC35" s="5">
        <f t="shared" si="3"/>
        <v>0</v>
      </c>
      <c r="AD35" s="26">
        <f t="shared" si="5"/>
        <v>0</v>
      </c>
      <c r="AE35" s="21">
        <f t="shared" si="4"/>
        <v>0</v>
      </c>
      <c r="AF35" s="414"/>
      <c r="AG35" s="414"/>
      <c r="AH35" s="26"/>
      <c r="AI35" s="21"/>
      <c r="AJ35" s="226" t="str">
        <f>'I.  Other Asset Entries'!B105</f>
        <v>I.1</v>
      </c>
      <c r="AK35" s="57">
        <f>'I.  Other Asset Entries'!L109</f>
        <v>0</v>
      </c>
      <c r="AL35" s="5"/>
      <c r="AN35" s="57"/>
      <c r="AO35" s="231"/>
      <c r="AP35" s="57"/>
      <c r="AS35" s="209"/>
      <c r="AT35" s="434"/>
      <c r="AU35" s="435"/>
      <c r="AV35" s="270">
        <f t="shared" si="0"/>
        <v>0</v>
      </c>
      <c r="AW35" s="270">
        <f t="shared" si="1"/>
        <v>0</v>
      </c>
      <c r="AX35" s="39"/>
      <c r="AY35" s="33"/>
      <c r="AZ35" s="287" t="str">
        <f>IF(AV35-AW35&lt;=0," ",AV35-AW35)</f>
        <v xml:space="preserve"> </v>
      </c>
      <c r="BA35" s="209">
        <f>IF(AV35-AW35&gt;0," ",AW35-AV35)</f>
        <v>0</v>
      </c>
    </row>
    <row r="36" spans="1:53" x14ac:dyDescent="0.2">
      <c r="A36" s="39"/>
      <c r="C36" t="s">
        <v>1108</v>
      </c>
      <c r="D36" s="418"/>
      <c r="E36" s="419"/>
      <c r="F36" s="414"/>
      <c r="G36" s="414"/>
      <c r="H36" s="414"/>
      <c r="I36" s="414"/>
      <c r="J36" s="414"/>
      <c r="K36" s="415"/>
      <c r="L36" s="416"/>
      <c r="M36" s="414"/>
      <c r="N36" s="414"/>
      <c r="O36" s="414"/>
      <c r="P36" s="417"/>
      <c r="Q36" s="417"/>
      <c r="R36" s="417"/>
      <c r="S36" s="417"/>
      <c r="T36" s="417"/>
      <c r="U36" s="417"/>
      <c r="V36" s="417"/>
      <c r="W36" s="417"/>
      <c r="X36" s="415"/>
      <c r="Y36" s="415"/>
      <c r="Z36" s="415"/>
      <c r="AA36" s="415"/>
      <c r="AB36" s="9">
        <f t="shared" si="2"/>
        <v>0</v>
      </c>
      <c r="AC36" s="5">
        <f t="shared" si="3"/>
        <v>0</v>
      </c>
      <c r="AD36" s="26">
        <f t="shared" si="5"/>
        <v>0</v>
      </c>
      <c r="AE36" s="21">
        <f t="shared" si="4"/>
        <v>0</v>
      </c>
      <c r="AF36" s="414"/>
      <c r="AG36" s="414"/>
      <c r="AH36" s="26"/>
      <c r="AI36" s="21"/>
      <c r="AJ36" s="226" t="str">
        <f>'H. Debt Issues'!D77</f>
        <v>H.1</v>
      </c>
      <c r="AK36" s="57">
        <f>'H. Debt Issues'!L83</f>
        <v>0</v>
      </c>
      <c r="AL36" s="5"/>
      <c r="AM36" s="226" t="str">
        <f>'H. Debt Issues'!D77</f>
        <v>H.1</v>
      </c>
      <c r="AN36" s="57">
        <f>'H. Debt Issues'!N83</f>
        <v>0</v>
      </c>
      <c r="AO36" s="231"/>
      <c r="AP36" s="57"/>
      <c r="AS36" s="209"/>
      <c r="AT36" s="434"/>
      <c r="AU36" s="435"/>
      <c r="AV36" s="270">
        <f t="shared" si="0"/>
        <v>0</v>
      </c>
      <c r="AW36" s="270">
        <f t="shared" si="1"/>
        <v>0</v>
      </c>
      <c r="AX36" s="39"/>
      <c r="AY36" s="33"/>
      <c r="AZ36" s="287" t="str">
        <f>IF(AV36-AW36&lt;=0," ",AV36-AW36)</f>
        <v xml:space="preserve"> </v>
      </c>
      <c r="BA36" s="209">
        <f>IF(AV36-AW36&gt;0," ",AW36-AV36)</f>
        <v>0</v>
      </c>
    </row>
    <row r="37" spans="1:53" x14ac:dyDescent="0.2">
      <c r="C37" t="s">
        <v>4859</v>
      </c>
      <c r="D37" s="418"/>
      <c r="E37" s="419"/>
      <c r="F37" s="414"/>
      <c r="G37" s="414"/>
      <c r="H37" s="414"/>
      <c r="I37" s="414"/>
      <c r="J37" s="414"/>
      <c r="K37" s="415"/>
      <c r="L37" s="416"/>
      <c r="M37" s="414"/>
      <c r="N37" s="414"/>
      <c r="O37" s="414"/>
      <c r="P37" s="417"/>
      <c r="Q37" s="417"/>
      <c r="R37" s="417"/>
      <c r="S37" s="417"/>
      <c r="T37" s="417"/>
      <c r="U37" s="417"/>
      <c r="V37" s="417"/>
      <c r="W37" s="417"/>
      <c r="X37" s="415"/>
      <c r="Y37" s="415"/>
      <c r="Z37" s="415"/>
      <c r="AA37" s="415"/>
      <c r="AB37" s="9">
        <f t="shared" ref="AB37:AB38" si="16">L37+N37+P37+R37+T37+V37+X37+Z37</f>
        <v>0</v>
      </c>
      <c r="AC37" s="5">
        <f t="shared" ref="AC37:AC38" si="17">M37+O37+Q37+S37+U37+W37+Y37+AA37</f>
        <v>0</v>
      </c>
      <c r="AD37" s="26">
        <f t="shared" ref="AD37:AD38" si="18">D37+F37+H37+J37+AB37</f>
        <v>0</v>
      </c>
      <c r="AE37" s="21">
        <f t="shared" ref="AE37:AE38" si="19">E37+G37+I37+K37+AC37</f>
        <v>0</v>
      </c>
      <c r="AF37" s="414"/>
      <c r="AG37" s="414"/>
      <c r="AH37" s="26"/>
      <c r="AI37" s="21"/>
      <c r="AJ37" s="226" t="s">
        <v>4858</v>
      </c>
      <c r="AK37" s="57">
        <f>'Q. GASB 87 Lease Entries'!M31</f>
        <v>0</v>
      </c>
      <c r="AL37" s="5"/>
      <c r="AN37" s="57"/>
      <c r="AO37" s="231"/>
      <c r="AP37" s="57"/>
      <c r="AS37" s="209"/>
      <c r="AT37" s="434"/>
      <c r="AU37" s="435"/>
      <c r="AV37" s="270">
        <f t="shared" si="0"/>
        <v>0</v>
      </c>
      <c r="AW37" s="270">
        <f t="shared" si="1"/>
        <v>0</v>
      </c>
      <c r="AX37" s="39"/>
      <c r="AY37" s="33"/>
      <c r="AZ37" s="287" t="str">
        <f t="shared" ref="AZ37:AZ40" si="20">IF(AV37-AW37&lt;=0," ",AV37-AW37)</f>
        <v xml:space="preserve"> </v>
      </c>
      <c r="BA37" s="209">
        <f t="shared" ref="BA37:BA39" si="21">IF(AV37-AW37&gt;0," ",AW37-AV37)</f>
        <v>0</v>
      </c>
    </row>
    <row r="38" spans="1:53" x14ac:dyDescent="0.2">
      <c r="C38" s="571" t="s">
        <v>4868</v>
      </c>
      <c r="D38" s="418"/>
      <c r="E38" s="419"/>
      <c r="F38" s="414"/>
      <c r="G38" s="414"/>
      <c r="H38" s="414"/>
      <c r="I38" s="414"/>
      <c r="J38" s="414"/>
      <c r="K38" s="415"/>
      <c r="L38" s="416"/>
      <c r="M38" s="414"/>
      <c r="N38" s="414"/>
      <c r="O38" s="414"/>
      <c r="P38" s="417"/>
      <c r="Q38" s="417"/>
      <c r="R38" s="417"/>
      <c r="S38" s="417"/>
      <c r="T38" s="417"/>
      <c r="U38" s="417"/>
      <c r="V38" s="417"/>
      <c r="W38" s="417"/>
      <c r="X38" s="415"/>
      <c r="Y38" s="415"/>
      <c r="Z38" s="415"/>
      <c r="AA38" s="415"/>
      <c r="AB38" s="9">
        <f t="shared" si="16"/>
        <v>0</v>
      </c>
      <c r="AC38" s="5">
        <f t="shared" si="17"/>
        <v>0</v>
      </c>
      <c r="AD38" s="26">
        <f t="shared" si="18"/>
        <v>0</v>
      </c>
      <c r="AE38" s="21">
        <f t="shared" si="19"/>
        <v>0</v>
      </c>
      <c r="AF38" s="414"/>
      <c r="AG38" s="414"/>
      <c r="AH38" s="26"/>
      <c r="AI38" s="21"/>
      <c r="AK38" s="57"/>
      <c r="AL38" s="5"/>
      <c r="AM38" s="226" t="s">
        <v>4867</v>
      </c>
      <c r="AN38" s="57">
        <f>'Q. GASB 87 Lease Entries'!O77</f>
        <v>0</v>
      </c>
      <c r="AO38" s="231"/>
      <c r="AP38" s="57"/>
      <c r="AS38" s="209"/>
      <c r="AT38" s="434"/>
      <c r="AU38" s="435"/>
      <c r="AV38" s="270">
        <f t="shared" si="0"/>
        <v>0</v>
      </c>
      <c r="AW38" s="270">
        <f t="shared" si="1"/>
        <v>0</v>
      </c>
      <c r="AX38" s="39"/>
      <c r="AY38" s="33"/>
      <c r="AZ38" s="287" t="str">
        <f t="shared" si="20"/>
        <v xml:space="preserve"> </v>
      </c>
      <c r="BA38" s="209">
        <f t="shared" si="21"/>
        <v>0</v>
      </c>
    </row>
    <row r="39" spans="1:53" x14ac:dyDescent="0.2">
      <c r="C39" s="571" t="s">
        <v>4891</v>
      </c>
      <c r="D39" s="418"/>
      <c r="E39" s="419"/>
      <c r="F39" s="414"/>
      <c r="G39" s="414"/>
      <c r="H39" s="414"/>
      <c r="I39" s="414"/>
      <c r="J39" s="414"/>
      <c r="K39" s="415"/>
      <c r="L39" s="416"/>
      <c r="M39" s="414"/>
      <c r="N39" s="414"/>
      <c r="O39" s="414"/>
      <c r="P39" s="417"/>
      <c r="Q39" s="417"/>
      <c r="R39" s="417"/>
      <c r="S39" s="417"/>
      <c r="T39" s="417"/>
      <c r="U39" s="417"/>
      <c r="V39" s="417"/>
      <c r="W39" s="417"/>
      <c r="X39" s="415"/>
      <c r="Y39" s="415"/>
      <c r="Z39" s="415"/>
      <c r="AA39" s="415"/>
      <c r="AB39" s="9">
        <f t="shared" ref="AB39:AB40" si="22">L39+N39+P39+R39+T39+V39+X39+Z39</f>
        <v>0</v>
      </c>
      <c r="AC39" s="5">
        <f t="shared" ref="AC39:AC40" si="23">M39+O39+Q39+S39+U39+W39+Y39+AA39</f>
        <v>0</v>
      </c>
      <c r="AD39" s="26">
        <f t="shared" ref="AD39:AD40" si="24">D39+F39+H39+J39+AB39</f>
        <v>0</v>
      </c>
      <c r="AE39" s="21">
        <f t="shared" ref="AE39:AE40" si="25">E39+G39+I39+K39+AC39</f>
        <v>0</v>
      </c>
      <c r="AF39" s="414"/>
      <c r="AG39" s="414"/>
      <c r="AH39" s="26"/>
      <c r="AI39" s="21"/>
      <c r="AJ39" s="226" t="s">
        <v>4892</v>
      </c>
      <c r="AK39" s="57">
        <f>'R. GASB 96 Subscription Entries'!M31</f>
        <v>0</v>
      </c>
      <c r="AL39" s="5"/>
      <c r="AN39" s="56"/>
      <c r="AO39" s="231"/>
      <c r="AP39" s="57"/>
      <c r="AS39" s="209"/>
      <c r="AT39" s="434"/>
      <c r="AU39" s="435"/>
      <c r="AV39" s="270">
        <f t="shared" si="0"/>
        <v>0</v>
      </c>
      <c r="AW39" s="270">
        <f t="shared" si="1"/>
        <v>0</v>
      </c>
      <c r="AX39" s="39"/>
      <c r="AY39" s="33"/>
      <c r="AZ39" s="293" t="str">
        <f t="shared" si="20"/>
        <v xml:space="preserve"> </v>
      </c>
      <c r="BA39" s="209">
        <f t="shared" si="21"/>
        <v>0</v>
      </c>
    </row>
    <row r="40" spans="1:53" x14ac:dyDescent="0.2">
      <c r="C40" s="571" t="s">
        <v>4893</v>
      </c>
      <c r="D40" s="418"/>
      <c r="L40" s="416"/>
      <c r="M40" s="414"/>
      <c r="N40" s="414"/>
      <c r="O40" s="414"/>
      <c r="P40" s="417"/>
      <c r="Q40" s="417"/>
      <c r="R40" s="417"/>
      <c r="S40" s="417"/>
      <c r="T40" s="417"/>
      <c r="U40" s="417"/>
      <c r="V40" s="417"/>
      <c r="W40" s="417"/>
      <c r="X40" s="415"/>
      <c r="Y40" s="415"/>
      <c r="Z40" s="415"/>
      <c r="AA40" s="415"/>
      <c r="AB40" s="9">
        <f t="shared" si="22"/>
        <v>0</v>
      </c>
      <c r="AC40" s="5">
        <f t="shared" si="23"/>
        <v>0</v>
      </c>
      <c r="AD40" s="26">
        <f t="shared" si="24"/>
        <v>0</v>
      </c>
      <c r="AE40" s="21">
        <f t="shared" si="25"/>
        <v>0</v>
      </c>
      <c r="AF40" s="414"/>
      <c r="AG40" s="414">
        <v>0</v>
      </c>
      <c r="AH40" s="26"/>
      <c r="AI40" s="21"/>
      <c r="AK40" s="56"/>
      <c r="AL40" s="5"/>
      <c r="AM40" s="226" t="s">
        <v>4894</v>
      </c>
      <c r="AN40" s="57">
        <f>'R. GASB 96 Subscription Entries'!O77</f>
        <v>0</v>
      </c>
      <c r="AO40" s="231"/>
      <c r="AP40" s="57"/>
      <c r="AS40" s="209"/>
      <c r="AT40" s="434"/>
      <c r="AU40" s="435"/>
      <c r="AV40" s="270">
        <f t="shared" si="0"/>
        <v>0</v>
      </c>
      <c r="AW40" s="270">
        <f t="shared" ref="AW40" si="26">AE40+AG40+AI40+AN40+AS40+AU40</f>
        <v>0</v>
      </c>
      <c r="AX40" s="39"/>
      <c r="AY40" s="33"/>
      <c r="AZ40" s="293" t="str">
        <f t="shared" si="20"/>
        <v xml:space="preserve"> </v>
      </c>
      <c r="BA40" s="210">
        <f t="shared" ref="BA40" si="27">IF(AV40-AW40&gt;0," ",AW40-AV40)</f>
        <v>0</v>
      </c>
    </row>
    <row r="41" spans="1:53" x14ac:dyDescent="0.2">
      <c r="A41" s="39"/>
      <c r="B41" s="2"/>
      <c r="C41" s="258" t="s">
        <v>469</v>
      </c>
      <c r="D41" s="423"/>
      <c r="E41" s="424"/>
      <c r="F41" s="425"/>
      <c r="G41" s="425"/>
      <c r="H41" s="425"/>
      <c r="I41" s="425"/>
      <c r="J41" s="425"/>
      <c r="K41" s="425"/>
      <c r="L41" s="427"/>
      <c r="M41" s="425"/>
      <c r="N41" s="425"/>
      <c r="O41" s="425"/>
      <c r="P41" s="428"/>
      <c r="Q41" s="428"/>
      <c r="R41" s="428"/>
      <c r="S41" s="428"/>
      <c r="T41" s="428"/>
      <c r="U41" s="428"/>
      <c r="V41" s="428"/>
      <c r="W41" s="428"/>
      <c r="X41" s="426"/>
      <c r="Y41" s="426"/>
      <c r="Z41" s="426"/>
      <c r="AA41" s="426"/>
      <c r="AB41" s="261">
        <f t="shared" si="2"/>
        <v>0</v>
      </c>
      <c r="AC41" s="259">
        <f t="shared" si="3"/>
        <v>0</v>
      </c>
      <c r="AD41" s="260">
        <f t="shared" si="5"/>
        <v>0</v>
      </c>
      <c r="AE41" s="262">
        <f t="shared" si="4"/>
        <v>0</v>
      </c>
      <c r="AF41" s="425"/>
      <c r="AG41" s="425"/>
      <c r="AH41" s="260"/>
      <c r="AI41" s="262"/>
      <c r="AJ41" s="263" t="str">
        <f>'E. Capital Outlay'!D53</f>
        <v>E.1</v>
      </c>
      <c r="AK41" s="264">
        <f>'E. Capital Outlay'!L53</f>
        <v>0</v>
      </c>
      <c r="AL41" s="259"/>
      <c r="AM41" s="263" t="str">
        <f>'F.  Other Cap Asset Entries'!D214</f>
        <v>F.1</v>
      </c>
      <c r="AN41" s="264">
        <f>'F.  Other Cap Asset Entries'!O227</f>
        <v>0</v>
      </c>
      <c r="AO41" s="391" t="s">
        <v>671</v>
      </c>
      <c r="AP41" s="264">
        <f>'K.1  Int. Service Fd Allocation'!E169+'K.2  Int. Service Fd Alloca'!E162+'K.3 Int. Service Fd Alloca'!E162</f>
        <v>0</v>
      </c>
      <c r="AQ41" s="258"/>
      <c r="AR41" s="263"/>
      <c r="AS41" s="266"/>
      <c r="AT41" s="434"/>
      <c r="AU41" s="435"/>
      <c r="AV41" s="264">
        <f t="shared" si="0"/>
        <v>0</v>
      </c>
      <c r="AW41" s="264">
        <f t="shared" si="1"/>
        <v>0</v>
      </c>
      <c r="AX41" s="256"/>
      <c r="AY41" s="257"/>
      <c r="AZ41" s="861" t="str">
        <f>IF((AV41+AV42+AV43+AV44)-(AW41+AW42+AW43+AW44)&lt;=0," ",(AV41+AV42+AV43+AV44)-(AW41+AW42+AW43+AW44))</f>
        <v xml:space="preserve"> </v>
      </c>
      <c r="BA41" s="266">
        <f>IF((AV41+AV42+AV43)-(AW41+AW42+AW43)&gt;0," ",(AW41+AW42+AW43)-(AV41+AV42+AV43))</f>
        <v>0</v>
      </c>
    </row>
    <row r="42" spans="1:53" x14ac:dyDescent="0.2">
      <c r="A42" s="39"/>
      <c r="B42" s="2"/>
      <c r="C42" s="258"/>
      <c r="D42" s="423"/>
      <c r="E42" s="424"/>
      <c r="F42" s="425"/>
      <c r="G42" s="425"/>
      <c r="H42" s="425"/>
      <c r="I42" s="425"/>
      <c r="J42" s="425"/>
      <c r="K42" s="425"/>
      <c r="L42" s="427"/>
      <c r="M42" s="425"/>
      <c r="N42" s="425"/>
      <c r="O42" s="425"/>
      <c r="P42" s="428"/>
      <c r="Q42" s="428"/>
      <c r="R42" s="428"/>
      <c r="S42" s="428"/>
      <c r="T42" s="428"/>
      <c r="U42" s="428"/>
      <c r="V42" s="428"/>
      <c r="W42" s="428"/>
      <c r="X42" s="426"/>
      <c r="Y42" s="426"/>
      <c r="Z42" s="426"/>
      <c r="AA42" s="426"/>
      <c r="AB42" s="261">
        <f t="shared" si="2"/>
        <v>0</v>
      </c>
      <c r="AC42" s="259">
        <f t="shared" si="3"/>
        <v>0</v>
      </c>
      <c r="AD42" s="260">
        <f t="shared" si="5"/>
        <v>0</v>
      </c>
      <c r="AE42" s="262">
        <f t="shared" si="4"/>
        <v>0</v>
      </c>
      <c r="AF42" s="425"/>
      <c r="AG42" s="425"/>
      <c r="AH42" s="260"/>
      <c r="AI42" s="262"/>
      <c r="AJ42" s="263" t="str">
        <f>'F.  Other Cap Asset Entries'!D214</f>
        <v>F.1</v>
      </c>
      <c r="AK42" s="264">
        <f>'F.  Other Cap Asset Entries'!M227</f>
        <v>0</v>
      </c>
      <c r="AL42" s="259"/>
      <c r="AM42" s="263" t="s">
        <v>951</v>
      </c>
      <c r="AN42" s="268">
        <f>'F.  Other Cap Asset Entries'!O264</f>
        <v>0</v>
      </c>
      <c r="AO42" s="265"/>
      <c r="AP42" s="264"/>
      <c r="AQ42" s="258"/>
      <c r="AR42" s="263"/>
      <c r="AS42" s="266"/>
      <c r="AT42" s="434"/>
      <c r="AU42" s="435"/>
      <c r="AV42" s="264">
        <f t="shared" si="0"/>
        <v>0</v>
      </c>
      <c r="AW42" s="264">
        <f t="shared" si="1"/>
        <v>0</v>
      </c>
      <c r="AX42" s="256"/>
      <c r="AY42" s="257"/>
      <c r="AZ42" s="288"/>
      <c r="BA42" s="266"/>
    </row>
    <row r="43" spans="1:53" x14ac:dyDescent="0.2">
      <c r="A43" s="39"/>
      <c r="B43" s="2"/>
      <c r="C43" s="258"/>
      <c r="D43" s="423"/>
      <c r="E43" s="424"/>
      <c r="F43" s="425"/>
      <c r="G43" s="425"/>
      <c r="H43" s="425"/>
      <c r="I43" s="425"/>
      <c r="J43" s="425"/>
      <c r="K43" s="425"/>
      <c r="L43" s="427"/>
      <c r="M43" s="425"/>
      <c r="N43" s="425"/>
      <c r="O43" s="425"/>
      <c r="P43" s="428"/>
      <c r="Q43" s="428"/>
      <c r="R43" s="428"/>
      <c r="S43" s="428"/>
      <c r="T43" s="428"/>
      <c r="U43" s="428"/>
      <c r="V43" s="428"/>
      <c r="W43" s="428"/>
      <c r="X43" s="426"/>
      <c r="Y43" s="426"/>
      <c r="Z43" s="426"/>
      <c r="AA43" s="426"/>
      <c r="AB43" s="261">
        <f t="shared" si="2"/>
        <v>0</v>
      </c>
      <c r="AC43" s="259">
        <f t="shared" si="3"/>
        <v>0</v>
      </c>
      <c r="AD43" s="260">
        <f t="shared" si="5"/>
        <v>0</v>
      </c>
      <c r="AE43" s="262">
        <f t="shared" si="4"/>
        <v>0</v>
      </c>
      <c r="AF43" s="425"/>
      <c r="AG43" s="425"/>
      <c r="AH43" s="260"/>
      <c r="AI43" s="262"/>
      <c r="AJ43" s="263" t="str">
        <f>'F.  Other Cap Asset Entries'!D240</f>
        <v>F.2</v>
      </c>
      <c r="AK43" s="264">
        <f>'F.  Other Cap Asset Entries'!M240</f>
        <v>0</v>
      </c>
      <c r="AL43" s="259"/>
      <c r="AM43" s="263"/>
      <c r="AN43" s="268"/>
      <c r="AO43" s="265"/>
      <c r="AP43" s="264"/>
      <c r="AQ43" s="258"/>
      <c r="AR43" s="263"/>
      <c r="AS43" s="266"/>
      <c r="AT43" s="434"/>
      <c r="AU43" s="435"/>
      <c r="AV43" s="264">
        <f t="shared" si="0"/>
        <v>0</v>
      </c>
      <c r="AW43" s="264">
        <f t="shared" si="1"/>
        <v>0</v>
      </c>
      <c r="AX43" s="256"/>
      <c r="AY43" s="257"/>
      <c r="AZ43" s="288"/>
      <c r="BA43" s="266"/>
    </row>
    <row r="44" spans="1:53" x14ac:dyDescent="0.2">
      <c r="A44" s="39"/>
      <c r="B44" s="2"/>
      <c r="C44" s="258"/>
      <c r="D44" s="423"/>
      <c r="E44" s="424"/>
      <c r="F44" s="425"/>
      <c r="G44" s="425"/>
      <c r="H44" s="425"/>
      <c r="I44" s="425"/>
      <c r="J44" s="425"/>
      <c r="K44" s="425"/>
      <c r="L44" s="427"/>
      <c r="M44" s="425"/>
      <c r="N44" s="425"/>
      <c r="O44" s="425"/>
      <c r="P44" s="428"/>
      <c r="Q44" s="428"/>
      <c r="R44" s="428"/>
      <c r="S44" s="428"/>
      <c r="T44" s="428"/>
      <c r="U44" s="428"/>
      <c r="V44" s="428"/>
      <c r="W44" s="428"/>
      <c r="X44" s="426"/>
      <c r="Y44" s="426"/>
      <c r="Z44" s="426"/>
      <c r="AA44" s="426"/>
      <c r="AB44" s="261"/>
      <c r="AC44" s="259"/>
      <c r="AD44" s="260"/>
      <c r="AE44" s="262"/>
      <c r="AF44" s="425"/>
      <c r="AG44" s="425"/>
      <c r="AH44" s="260"/>
      <c r="AI44" s="262"/>
      <c r="AJ44" s="263" t="s">
        <v>951</v>
      </c>
      <c r="AK44" s="264">
        <f>'F.  Other Cap Asset Entries'!M264</f>
        <v>0</v>
      </c>
      <c r="AL44" s="259"/>
      <c r="AM44" s="263"/>
      <c r="AN44" s="268"/>
      <c r="AO44" s="265"/>
      <c r="AP44" s="264"/>
      <c r="AQ44" s="258"/>
      <c r="AR44" s="263"/>
      <c r="AS44" s="266"/>
      <c r="AT44" s="434"/>
      <c r="AU44" s="435"/>
      <c r="AV44" s="264">
        <f t="shared" si="0"/>
        <v>0</v>
      </c>
      <c r="AW44" s="264">
        <f t="shared" si="1"/>
        <v>0</v>
      </c>
      <c r="AX44" s="256"/>
      <c r="AY44" s="257"/>
      <c r="AZ44" s="288"/>
      <c r="BA44" s="266"/>
    </row>
    <row r="45" spans="1:53" x14ac:dyDescent="0.2">
      <c r="A45" s="39"/>
      <c r="B45" s="2"/>
      <c r="C45" t="s">
        <v>0</v>
      </c>
      <c r="D45" s="421"/>
      <c r="E45" s="422"/>
      <c r="F45" s="414"/>
      <c r="G45" s="414"/>
      <c r="H45" s="414"/>
      <c r="I45" s="414"/>
      <c r="J45" s="414"/>
      <c r="K45" s="414"/>
      <c r="L45" s="416"/>
      <c r="M45" s="414"/>
      <c r="N45" s="414"/>
      <c r="O45" s="414"/>
      <c r="P45" s="420"/>
      <c r="Q45" s="420"/>
      <c r="R45" s="420"/>
      <c r="S45" s="420"/>
      <c r="T45" s="420"/>
      <c r="U45" s="420"/>
      <c r="V45" s="420"/>
      <c r="W45" s="420"/>
      <c r="X45" s="415"/>
      <c r="Y45" s="415"/>
      <c r="Z45" s="415"/>
      <c r="AA45" s="415"/>
      <c r="AB45" s="9">
        <f t="shared" si="2"/>
        <v>0</v>
      </c>
      <c r="AC45" s="5">
        <f t="shared" si="3"/>
        <v>0</v>
      </c>
      <c r="AD45" s="26">
        <f t="shared" si="5"/>
        <v>0</v>
      </c>
      <c r="AE45" s="21">
        <f t="shared" si="4"/>
        <v>0</v>
      </c>
      <c r="AF45" s="414"/>
      <c r="AG45" s="414"/>
      <c r="AH45" s="26"/>
      <c r="AI45" s="21"/>
      <c r="AJ45" s="226" t="str">
        <f>'E. Capital Outlay'!D53</f>
        <v>E.1</v>
      </c>
      <c r="AK45" s="56">
        <f>'E. Capital Outlay'!L54</f>
        <v>0</v>
      </c>
      <c r="AL45" s="5"/>
      <c r="AN45" s="56"/>
      <c r="AO45" s="231"/>
      <c r="AP45" s="56"/>
      <c r="AS45" s="210"/>
      <c r="AT45" s="434"/>
      <c r="AU45" s="435"/>
      <c r="AV45" s="270">
        <f t="shared" si="0"/>
        <v>0</v>
      </c>
      <c r="AW45" s="270">
        <f t="shared" si="1"/>
        <v>0</v>
      </c>
      <c r="AX45" s="39"/>
      <c r="AY45" s="33"/>
      <c r="AZ45" s="293" t="str">
        <f t="shared" ref="AZ45:AZ50" si="28">IF(AV45-AW45&lt;=0," ",AV45-AW45)</f>
        <v xml:space="preserve"> </v>
      </c>
      <c r="BA45" s="209">
        <f>IF(AV45-AW45&gt;0," ",AW45-AV45)</f>
        <v>0</v>
      </c>
    </row>
    <row r="46" spans="1:53" x14ac:dyDescent="0.2">
      <c r="A46" s="39"/>
      <c r="B46" s="2"/>
      <c r="C46" t="s">
        <v>249</v>
      </c>
      <c r="D46" s="421"/>
      <c r="E46" s="422"/>
      <c r="F46" s="414"/>
      <c r="G46" s="414"/>
      <c r="H46" s="414"/>
      <c r="I46" s="414"/>
      <c r="J46" s="414"/>
      <c r="K46" s="414"/>
      <c r="L46" s="416"/>
      <c r="M46" s="414"/>
      <c r="N46" s="414"/>
      <c r="O46" s="414"/>
      <c r="P46" s="420"/>
      <c r="Q46" s="420"/>
      <c r="R46" s="420"/>
      <c r="S46" s="420"/>
      <c r="T46" s="420"/>
      <c r="U46" s="420"/>
      <c r="V46" s="420"/>
      <c r="W46" s="420"/>
      <c r="X46" s="415"/>
      <c r="Y46" s="415"/>
      <c r="Z46" s="415"/>
      <c r="AA46" s="415"/>
      <c r="AB46" s="9">
        <f t="shared" si="2"/>
        <v>0</v>
      </c>
      <c r="AC46" s="5">
        <f t="shared" si="3"/>
        <v>0</v>
      </c>
      <c r="AD46" s="26">
        <f t="shared" si="5"/>
        <v>0</v>
      </c>
      <c r="AE46" s="21">
        <f t="shared" si="4"/>
        <v>0</v>
      </c>
      <c r="AF46" s="414"/>
      <c r="AG46" s="414"/>
      <c r="AH46" s="26"/>
      <c r="AI46" s="21"/>
      <c r="AK46" s="56"/>
      <c r="AL46" s="5"/>
      <c r="AN46" s="56"/>
      <c r="AO46" s="231"/>
      <c r="AP46" s="56"/>
      <c r="AS46" s="210"/>
      <c r="AT46" s="434"/>
      <c r="AU46" s="435"/>
      <c r="AV46" s="270">
        <f t="shared" si="0"/>
        <v>0</v>
      </c>
      <c r="AW46" s="270">
        <f t="shared" si="1"/>
        <v>0</v>
      </c>
      <c r="AX46" s="39"/>
      <c r="AY46" s="33"/>
      <c r="AZ46" s="287" t="str">
        <f t="shared" si="28"/>
        <v xml:space="preserve"> </v>
      </c>
      <c r="BA46" s="209">
        <f>IF(AV46-AW46&gt;0," ",AW46-AV46)</f>
        <v>0</v>
      </c>
    </row>
    <row r="47" spans="1:53" x14ac:dyDescent="0.2">
      <c r="A47" s="39"/>
      <c r="B47" s="2"/>
      <c r="C47" s="258" t="s">
        <v>470</v>
      </c>
      <c r="D47" s="423"/>
      <c r="E47" s="424"/>
      <c r="F47" s="425"/>
      <c r="G47" s="425"/>
      <c r="H47" s="425"/>
      <c r="I47" s="425"/>
      <c r="J47" s="425"/>
      <c r="K47" s="425"/>
      <c r="L47" s="427"/>
      <c r="M47" s="425"/>
      <c r="N47" s="425"/>
      <c r="O47" s="425"/>
      <c r="P47" s="428"/>
      <c r="Q47" s="428"/>
      <c r="R47" s="428"/>
      <c r="S47" s="428"/>
      <c r="T47" s="428"/>
      <c r="U47" s="428"/>
      <c r="V47" s="428"/>
      <c r="W47" s="428"/>
      <c r="X47" s="426"/>
      <c r="Y47" s="426"/>
      <c r="Z47" s="426"/>
      <c r="AA47" s="426"/>
      <c r="AB47" s="261">
        <f t="shared" si="2"/>
        <v>0</v>
      </c>
      <c r="AC47" s="259">
        <f t="shared" si="3"/>
        <v>0</v>
      </c>
      <c r="AD47" s="260">
        <f t="shared" si="5"/>
        <v>0</v>
      </c>
      <c r="AE47" s="262">
        <f t="shared" si="4"/>
        <v>0</v>
      </c>
      <c r="AF47" s="425"/>
      <c r="AG47" s="425"/>
      <c r="AH47" s="260"/>
      <c r="AI47" s="262"/>
      <c r="AJ47" s="263" t="str">
        <f>'E. Capital Outlay'!D53</f>
        <v>E.1</v>
      </c>
      <c r="AK47" s="264">
        <f>'E. Capital Outlay'!L55</f>
        <v>0</v>
      </c>
      <c r="AL47" s="259"/>
      <c r="AM47" s="263" t="str">
        <f>'F.  Other Cap Asset Entries'!D214</f>
        <v>F.1</v>
      </c>
      <c r="AN47" s="264">
        <f>'F.  Other Cap Asset Entries'!O228</f>
        <v>0</v>
      </c>
      <c r="AO47" s="391" t="s">
        <v>671</v>
      </c>
      <c r="AP47" s="264">
        <f>'K.1  Int. Service Fd Allocation'!E170+'K.2  Int. Service Fd Alloca'!E163+'K.3 Int. Service Fd Alloca'!E163</f>
        <v>0</v>
      </c>
      <c r="AQ47" s="258"/>
      <c r="AR47" s="263"/>
      <c r="AS47" s="266"/>
      <c r="AT47" s="434"/>
      <c r="AU47" s="435"/>
      <c r="AV47" s="264">
        <f t="shared" ref="AV47:AV101" si="29">AD47+AF47+AH47+AK47+AP47+AT47</f>
        <v>0</v>
      </c>
      <c r="AW47" s="264">
        <f t="shared" ref="AW47:AW101" si="30">AE47+AG47+AI47+AN47+AS47+AU47</f>
        <v>0</v>
      </c>
      <c r="AX47" s="256"/>
      <c r="AY47" s="257"/>
      <c r="AZ47" s="861" t="str">
        <f>IF((AV47+AV48+AV49)-(AW47+AW48+AW49)&lt;=0," ",(AV47+AV48+AV49)-(AW47+AW48+AW49))</f>
        <v xml:space="preserve"> </v>
      </c>
      <c r="BA47" s="266">
        <f>IF((AV47+AV48+AV49)-(AW47+AW48+AW49)&gt;0," ",(AW47+AW48+AW49)-(AV47+AV48+AV49))</f>
        <v>0</v>
      </c>
    </row>
    <row r="48" spans="1:53" x14ac:dyDescent="0.2">
      <c r="A48" s="39"/>
      <c r="B48" s="2"/>
      <c r="C48" s="258"/>
      <c r="D48" s="423"/>
      <c r="E48" s="424"/>
      <c r="F48" s="425"/>
      <c r="G48" s="425"/>
      <c r="H48" s="425"/>
      <c r="I48" s="425"/>
      <c r="J48" s="425"/>
      <c r="K48" s="425"/>
      <c r="L48" s="427"/>
      <c r="M48" s="425"/>
      <c r="N48" s="425"/>
      <c r="O48" s="425"/>
      <c r="P48" s="428"/>
      <c r="Q48" s="428"/>
      <c r="R48" s="428"/>
      <c r="S48" s="428"/>
      <c r="T48" s="428"/>
      <c r="U48" s="428"/>
      <c r="V48" s="428"/>
      <c r="W48" s="428"/>
      <c r="X48" s="426"/>
      <c r="Y48" s="426"/>
      <c r="Z48" s="426"/>
      <c r="AA48" s="426"/>
      <c r="AB48" s="261">
        <f t="shared" si="2"/>
        <v>0</v>
      </c>
      <c r="AC48" s="259">
        <f t="shared" si="3"/>
        <v>0</v>
      </c>
      <c r="AD48" s="260">
        <f t="shared" si="5"/>
        <v>0</v>
      </c>
      <c r="AE48" s="262">
        <f t="shared" si="4"/>
        <v>0</v>
      </c>
      <c r="AF48" s="425"/>
      <c r="AG48" s="425"/>
      <c r="AH48" s="260"/>
      <c r="AI48" s="262"/>
      <c r="AJ48" s="263" t="str">
        <f>'F.  Other Cap Asset Entries'!D214</f>
        <v>F.1</v>
      </c>
      <c r="AK48" s="264">
        <f>'F.  Other Cap Asset Entries'!M228</f>
        <v>0</v>
      </c>
      <c r="AL48" s="259"/>
      <c r="AM48" s="263" t="s">
        <v>951</v>
      </c>
      <c r="AN48" s="264">
        <f>'F.  Other Cap Asset Entries'!O265</f>
        <v>0</v>
      </c>
      <c r="AO48" s="265"/>
      <c r="AP48" s="264"/>
      <c r="AQ48" s="258"/>
      <c r="AR48" s="263"/>
      <c r="AS48" s="266"/>
      <c r="AT48" s="434"/>
      <c r="AU48" s="435"/>
      <c r="AV48" s="264">
        <f t="shared" si="29"/>
        <v>0</v>
      </c>
      <c r="AW48" s="264">
        <f t="shared" si="30"/>
        <v>0</v>
      </c>
      <c r="AX48" s="256"/>
      <c r="AY48" s="257"/>
      <c r="AZ48" s="288"/>
      <c r="BA48" s="266"/>
    </row>
    <row r="49" spans="1:53" x14ac:dyDescent="0.2">
      <c r="A49" s="39"/>
      <c r="B49" s="2"/>
      <c r="C49" s="258"/>
      <c r="D49" s="423"/>
      <c r="E49" s="424"/>
      <c r="F49" s="425"/>
      <c r="G49" s="425"/>
      <c r="H49" s="425"/>
      <c r="I49" s="425"/>
      <c r="J49" s="425"/>
      <c r="K49" s="425"/>
      <c r="L49" s="427"/>
      <c r="M49" s="425"/>
      <c r="N49" s="425"/>
      <c r="O49" s="425"/>
      <c r="P49" s="428"/>
      <c r="Q49" s="428"/>
      <c r="R49" s="428"/>
      <c r="S49" s="428"/>
      <c r="T49" s="428"/>
      <c r="U49" s="428"/>
      <c r="V49" s="428"/>
      <c r="W49" s="428"/>
      <c r="X49" s="426"/>
      <c r="Y49" s="426"/>
      <c r="Z49" s="426"/>
      <c r="AA49" s="426"/>
      <c r="AB49" s="261">
        <f t="shared" si="2"/>
        <v>0</v>
      </c>
      <c r="AC49" s="259">
        <f t="shared" si="3"/>
        <v>0</v>
      </c>
      <c r="AD49" s="260">
        <f t="shared" si="5"/>
        <v>0</v>
      </c>
      <c r="AE49" s="262">
        <f t="shared" si="4"/>
        <v>0</v>
      </c>
      <c r="AF49" s="425"/>
      <c r="AG49" s="425"/>
      <c r="AH49" s="260"/>
      <c r="AI49" s="262"/>
      <c r="AJ49" s="263" t="str">
        <f>'F.  Other Cap Asset Entries'!D240</f>
        <v>F.2</v>
      </c>
      <c r="AK49" s="264">
        <f>'F.  Other Cap Asset Entries'!M241</f>
        <v>0</v>
      </c>
      <c r="AL49" s="259"/>
      <c r="AM49" s="263"/>
      <c r="AN49" s="264"/>
      <c r="AO49" s="265"/>
      <c r="AP49" s="264"/>
      <c r="AQ49" s="258"/>
      <c r="AR49" s="263"/>
      <c r="AS49" s="266"/>
      <c r="AT49" s="434"/>
      <c r="AU49" s="435"/>
      <c r="AV49" s="264">
        <f t="shared" si="29"/>
        <v>0</v>
      </c>
      <c r="AW49" s="264">
        <f t="shared" si="30"/>
        <v>0</v>
      </c>
      <c r="AX49" s="256"/>
      <c r="AY49" s="257"/>
      <c r="AZ49" s="288"/>
      <c r="BA49" s="266"/>
    </row>
    <row r="50" spans="1:53" x14ac:dyDescent="0.2">
      <c r="A50" s="39"/>
      <c r="B50" s="2"/>
      <c r="C50" s="33" t="s">
        <v>567</v>
      </c>
      <c r="D50" s="421"/>
      <c r="E50" s="422"/>
      <c r="F50" s="414"/>
      <c r="G50" s="414"/>
      <c r="H50" s="414"/>
      <c r="I50" s="414"/>
      <c r="J50" s="414"/>
      <c r="K50" s="414"/>
      <c r="L50" s="416"/>
      <c r="M50" s="414"/>
      <c r="N50" s="414"/>
      <c r="O50" s="414"/>
      <c r="P50" s="420"/>
      <c r="Q50" s="420"/>
      <c r="R50" s="420"/>
      <c r="S50" s="420"/>
      <c r="T50" s="420"/>
      <c r="U50" s="420"/>
      <c r="V50" s="420"/>
      <c r="W50" s="420"/>
      <c r="X50" s="415"/>
      <c r="Y50" s="415"/>
      <c r="Z50" s="415"/>
      <c r="AA50" s="415"/>
      <c r="AB50" s="9">
        <f t="shared" si="2"/>
        <v>0</v>
      </c>
      <c r="AC50" s="5">
        <f t="shared" si="3"/>
        <v>0</v>
      </c>
      <c r="AD50" s="26">
        <f t="shared" si="5"/>
        <v>0</v>
      </c>
      <c r="AE50" s="21">
        <f t="shared" si="4"/>
        <v>0</v>
      </c>
      <c r="AF50" s="414"/>
      <c r="AG50" s="414"/>
      <c r="AH50" s="26"/>
      <c r="AI50" s="21"/>
      <c r="AJ50" s="226" t="str">
        <f>'F.  Other Cap Asset Entries'!D214</f>
        <v>F.1</v>
      </c>
      <c r="AK50" s="56">
        <f>'F.  Other Cap Asset Entries'!M214</f>
        <v>0</v>
      </c>
      <c r="AL50" s="5"/>
      <c r="AM50" s="226" t="str">
        <f>'D. Depreciation'!A55</f>
        <v>D.1</v>
      </c>
      <c r="AN50" s="56">
        <f>'D. Depreciation'!L64</f>
        <v>0</v>
      </c>
      <c r="AO50" s="231"/>
      <c r="AP50" s="56"/>
      <c r="AR50" s="393" t="s">
        <v>671</v>
      </c>
      <c r="AS50" s="210">
        <f>'K.1  Int. Service Fd Allocation'!G181+'K.2  Int. Service Fd Alloca'!G174+'K.3 Int. Service Fd Alloca'!G174</f>
        <v>0</v>
      </c>
      <c r="AT50" s="434"/>
      <c r="AU50" s="435"/>
      <c r="AV50" s="270">
        <f t="shared" si="29"/>
        <v>0</v>
      </c>
      <c r="AW50" s="270">
        <f t="shared" si="30"/>
        <v>0</v>
      </c>
      <c r="AX50" s="39"/>
      <c r="AY50" s="33"/>
      <c r="AZ50" s="287" t="str">
        <f t="shared" si="28"/>
        <v xml:space="preserve"> </v>
      </c>
      <c r="BA50" s="210">
        <f>IF(AV50-AW50&gt;0," ",AW50-AV50)</f>
        <v>0</v>
      </c>
    </row>
    <row r="51" spans="1:53" x14ac:dyDescent="0.2">
      <c r="A51" s="39"/>
      <c r="B51" s="2"/>
      <c r="C51" s="258" t="s">
        <v>602</v>
      </c>
      <c r="D51" s="423"/>
      <c r="E51" s="424"/>
      <c r="F51" s="425"/>
      <c r="G51" s="425"/>
      <c r="H51" s="425"/>
      <c r="I51" s="425"/>
      <c r="J51" s="425"/>
      <c r="K51" s="425"/>
      <c r="L51" s="427"/>
      <c r="M51" s="425"/>
      <c r="N51" s="425"/>
      <c r="O51" s="425"/>
      <c r="P51" s="428"/>
      <c r="Q51" s="428"/>
      <c r="R51" s="428"/>
      <c r="S51" s="428"/>
      <c r="T51" s="428"/>
      <c r="U51" s="428"/>
      <c r="V51" s="428"/>
      <c r="W51" s="428"/>
      <c r="X51" s="426"/>
      <c r="Y51" s="426"/>
      <c r="Z51" s="426"/>
      <c r="AA51" s="426"/>
      <c r="AB51" s="261">
        <f t="shared" si="2"/>
        <v>0</v>
      </c>
      <c r="AC51" s="259">
        <f t="shared" si="3"/>
        <v>0</v>
      </c>
      <c r="AD51" s="260">
        <f t="shared" si="5"/>
        <v>0</v>
      </c>
      <c r="AE51" s="262">
        <f t="shared" si="4"/>
        <v>0</v>
      </c>
      <c r="AF51" s="425"/>
      <c r="AG51" s="425"/>
      <c r="AH51" s="260"/>
      <c r="AI51" s="262"/>
      <c r="AJ51" s="263" t="str">
        <f>'E. Capital Outlay'!D53</f>
        <v>E.1</v>
      </c>
      <c r="AK51" s="264">
        <f>'E. Capital Outlay'!L56</f>
        <v>0</v>
      </c>
      <c r="AL51" s="259"/>
      <c r="AM51" s="263" t="str">
        <f>'F.  Other Cap Asset Entries'!D214</f>
        <v>F.1</v>
      </c>
      <c r="AN51" s="264">
        <f>'F.  Other Cap Asset Entries'!O229</f>
        <v>0</v>
      </c>
      <c r="AO51" s="265"/>
      <c r="AP51" s="264"/>
      <c r="AQ51" s="258"/>
      <c r="AR51" s="263"/>
      <c r="AS51" s="266"/>
      <c r="AT51" s="434"/>
      <c r="AU51" s="435"/>
      <c r="AV51" s="264">
        <f t="shared" si="29"/>
        <v>0</v>
      </c>
      <c r="AW51" s="264">
        <f t="shared" si="30"/>
        <v>0</v>
      </c>
      <c r="AX51" s="256"/>
      <c r="AY51" s="257"/>
      <c r="AZ51" s="861" t="str">
        <f>IF((AV51+AV52+AV53)-(AW51+AW52+AW53)&lt;=0," ",(AV51+AV52+AV53)-(AW51+AW52+AW53))</f>
        <v xml:space="preserve"> </v>
      </c>
      <c r="BA51" s="266">
        <f>IF((AV51+AV52+AV53)-(AW51+AW52+AW53)&gt;0," ",(AW51+AW52+AW53)-(AV51+AV52+AV53))</f>
        <v>0</v>
      </c>
    </row>
    <row r="52" spans="1:53" x14ac:dyDescent="0.2">
      <c r="A52" s="39"/>
      <c r="C52" s="258"/>
      <c r="D52" s="423"/>
      <c r="E52" s="424"/>
      <c r="F52" s="425"/>
      <c r="G52" s="425"/>
      <c r="H52" s="425"/>
      <c r="I52" s="425"/>
      <c r="J52" s="425"/>
      <c r="K52" s="425"/>
      <c r="L52" s="427"/>
      <c r="M52" s="425"/>
      <c r="N52" s="425"/>
      <c r="O52" s="425"/>
      <c r="P52" s="428"/>
      <c r="Q52" s="428"/>
      <c r="R52" s="428"/>
      <c r="S52" s="428"/>
      <c r="T52" s="428"/>
      <c r="U52" s="428"/>
      <c r="V52" s="428"/>
      <c r="W52" s="428"/>
      <c r="X52" s="426"/>
      <c r="Y52" s="426"/>
      <c r="Z52" s="426"/>
      <c r="AA52" s="426"/>
      <c r="AB52" s="261">
        <f t="shared" si="2"/>
        <v>0</v>
      </c>
      <c r="AC52" s="259">
        <f t="shared" si="3"/>
        <v>0</v>
      </c>
      <c r="AD52" s="260">
        <f t="shared" si="5"/>
        <v>0</v>
      </c>
      <c r="AE52" s="262">
        <f t="shared" si="4"/>
        <v>0</v>
      </c>
      <c r="AF52" s="425"/>
      <c r="AG52" s="425"/>
      <c r="AH52" s="260"/>
      <c r="AI52" s="262"/>
      <c r="AJ52" s="263" t="str">
        <f>'F.  Other Cap Asset Entries'!D214</f>
        <v>F.1</v>
      </c>
      <c r="AK52" s="264">
        <f>'F.  Other Cap Asset Entries'!M229</f>
        <v>0</v>
      </c>
      <c r="AL52" s="259"/>
      <c r="AM52" s="263" t="s">
        <v>951</v>
      </c>
      <c r="AN52" s="264">
        <f>'F.  Other Cap Asset Entries'!O266</f>
        <v>0</v>
      </c>
      <c r="AO52" s="265"/>
      <c r="AP52" s="264"/>
      <c r="AQ52" s="258"/>
      <c r="AR52" s="263"/>
      <c r="AS52" s="266"/>
      <c r="AT52" s="434"/>
      <c r="AU52" s="435"/>
      <c r="AV52" s="264">
        <f t="shared" si="29"/>
        <v>0</v>
      </c>
      <c r="AW52" s="264">
        <f t="shared" si="30"/>
        <v>0</v>
      </c>
      <c r="AX52" s="256"/>
      <c r="AY52" s="257"/>
      <c r="AZ52" s="288"/>
      <c r="BA52" s="266"/>
    </row>
    <row r="53" spans="1:53" x14ac:dyDescent="0.2">
      <c r="A53" s="39"/>
      <c r="C53" s="258"/>
      <c r="D53" s="423"/>
      <c r="E53" s="424"/>
      <c r="F53" s="425"/>
      <c r="G53" s="425"/>
      <c r="H53" s="425"/>
      <c r="I53" s="425"/>
      <c r="J53" s="425"/>
      <c r="K53" s="425"/>
      <c r="L53" s="427"/>
      <c r="M53" s="425"/>
      <c r="N53" s="425"/>
      <c r="O53" s="425"/>
      <c r="P53" s="428"/>
      <c r="Q53" s="428"/>
      <c r="R53" s="428"/>
      <c r="S53" s="428"/>
      <c r="T53" s="428"/>
      <c r="U53" s="428"/>
      <c r="V53" s="428"/>
      <c r="W53" s="428"/>
      <c r="X53" s="426"/>
      <c r="Y53" s="426"/>
      <c r="Z53" s="426"/>
      <c r="AA53" s="426"/>
      <c r="AB53" s="261">
        <f t="shared" si="2"/>
        <v>0</v>
      </c>
      <c r="AC53" s="259">
        <f t="shared" si="3"/>
        <v>0</v>
      </c>
      <c r="AD53" s="260">
        <f t="shared" si="5"/>
        <v>0</v>
      </c>
      <c r="AE53" s="262">
        <f t="shared" si="4"/>
        <v>0</v>
      </c>
      <c r="AF53" s="425"/>
      <c r="AG53" s="425"/>
      <c r="AH53" s="260"/>
      <c r="AI53" s="262"/>
      <c r="AJ53" s="263" t="str">
        <f>'F.  Other Cap Asset Entries'!D240</f>
        <v>F.2</v>
      </c>
      <c r="AK53" s="264">
        <f>'F.  Other Cap Asset Entries'!M242</f>
        <v>0</v>
      </c>
      <c r="AL53" s="259"/>
      <c r="AM53" s="263"/>
      <c r="AN53" s="264"/>
      <c r="AO53" s="265"/>
      <c r="AP53" s="264"/>
      <c r="AQ53" s="258"/>
      <c r="AR53" s="263"/>
      <c r="AS53" s="266"/>
      <c r="AT53" s="434"/>
      <c r="AU53" s="435"/>
      <c r="AV53" s="264">
        <f t="shared" si="29"/>
        <v>0</v>
      </c>
      <c r="AW53" s="264">
        <f t="shared" si="30"/>
        <v>0</v>
      </c>
      <c r="AX53" s="256"/>
      <c r="AY53" s="257"/>
      <c r="AZ53" s="288"/>
      <c r="BA53" s="266"/>
    </row>
    <row r="54" spans="1:53" x14ac:dyDescent="0.2">
      <c r="A54" s="39"/>
      <c r="B54" s="2"/>
      <c r="C54" t="s">
        <v>894</v>
      </c>
      <c r="D54" s="421"/>
      <c r="E54" s="422"/>
      <c r="F54" s="414"/>
      <c r="G54" s="414"/>
      <c r="H54" s="414"/>
      <c r="I54" s="414"/>
      <c r="J54" s="414"/>
      <c r="K54" s="414"/>
      <c r="L54" s="416"/>
      <c r="M54" s="414"/>
      <c r="N54" s="414"/>
      <c r="O54" s="414"/>
      <c r="P54" s="420"/>
      <c r="Q54" s="420"/>
      <c r="R54" s="420"/>
      <c r="S54" s="420"/>
      <c r="T54" s="420"/>
      <c r="U54" s="420"/>
      <c r="V54" s="420"/>
      <c r="W54" s="420"/>
      <c r="X54" s="415"/>
      <c r="Y54" s="415"/>
      <c r="Z54" s="415"/>
      <c r="AA54" s="415"/>
      <c r="AB54" s="9">
        <f t="shared" si="2"/>
        <v>0</v>
      </c>
      <c r="AC54" s="5">
        <f t="shared" si="3"/>
        <v>0</v>
      </c>
      <c r="AD54" s="26">
        <f t="shared" si="5"/>
        <v>0</v>
      </c>
      <c r="AE54" s="21">
        <f t="shared" si="4"/>
        <v>0</v>
      </c>
      <c r="AF54" s="414"/>
      <c r="AG54" s="414"/>
      <c r="AH54" s="26"/>
      <c r="AI54" s="21"/>
      <c r="AJ54" s="226" t="str">
        <f>'F.  Other Cap Asset Entries'!D214</f>
        <v>F.1</v>
      </c>
      <c r="AK54" s="56">
        <f>'F.  Other Cap Asset Entries'!M215</f>
        <v>0</v>
      </c>
      <c r="AL54" s="5"/>
      <c r="AM54" s="226" t="str">
        <f>'D. Depreciation'!A55</f>
        <v>D.1</v>
      </c>
      <c r="AN54" s="56">
        <f>'D. Depreciation'!L65</f>
        <v>0</v>
      </c>
      <c r="AO54" s="231"/>
      <c r="AP54" s="56"/>
      <c r="AS54" s="210"/>
      <c r="AT54" s="434"/>
      <c r="AU54" s="435"/>
      <c r="AV54" s="270">
        <f t="shared" si="29"/>
        <v>0</v>
      </c>
      <c r="AW54" s="270">
        <f t="shared" si="30"/>
        <v>0</v>
      </c>
      <c r="AX54" s="39"/>
      <c r="AY54" s="33"/>
      <c r="AZ54" s="287" t="str">
        <f>IF(AV54-AW54&lt;=0," ",AV54-AW54)</f>
        <v xml:space="preserve"> </v>
      </c>
      <c r="BA54" s="210">
        <f>IF(AV54-AW54&gt;0," ",AW54-AV54)</f>
        <v>0</v>
      </c>
    </row>
    <row r="55" spans="1:53" x14ac:dyDescent="0.2">
      <c r="A55" s="39"/>
      <c r="B55" s="2"/>
      <c r="C55" s="258" t="s">
        <v>467</v>
      </c>
      <c r="D55" s="423"/>
      <c r="E55" s="424"/>
      <c r="F55" s="425"/>
      <c r="G55" s="425"/>
      <c r="H55" s="425"/>
      <c r="I55" s="425"/>
      <c r="J55" s="425"/>
      <c r="K55" s="425"/>
      <c r="L55" s="427"/>
      <c r="M55" s="425"/>
      <c r="N55" s="425"/>
      <c r="O55" s="425"/>
      <c r="P55" s="428"/>
      <c r="Q55" s="428"/>
      <c r="R55" s="428"/>
      <c r="S55" s="428"/>
      <c r="T55" s="428"/>
      <c r="U55" s="428"/>
      <c r="V55" s="428"/>
      <c r="W55" s="428"/>
      <c r="X55" s="426"/>
      <c r="Y55" s="426"/>
      <c r="Z55" s="426"/>
      <c r="AA55" s="426"/>
      <c r="AB55" s="261">
        <f t="shared" si="2"/>
        <v>0</v>
      </c>
      <c r="AC55" s="259">
        <f t="shared" si="3"/>
        <v>0</v>
      </c>
      <c r="AD55" s="260">
        <f t="shared" si="5"/>
        <v>0</v>
      </c>
      <c r="AE55" s="262">
        <f t="shared" si="4"/>
        <v>0</v>
      </c>
      <c r="AF55" s="425"/>
      <c r="AG55" s="425"/>
      <c r="AH55" s="260"/>
      <c r="AI55" s="262"/>
      <c r="AJ55" s="263" t="str">
        <f>'E. Capital Outlay'!D53</f>
        <v>E.1</v>
      </c>
      <c r="AK55" s="264">
        <f>'E. Capital Outlay'!L57</f>
        <v>0</v>
      </c>
      <c r="AL55" s="259"/>
      <c r="AM55" s="263" t="str">
        <f>'F.  Other Cap Asset Entries'!D214</f>
        <v>F.1</v>
      </c>
      <c r="AN55" s="264">
        <f>'F.  Other Cap Asset Entries'!O230</f>
        <v>0</v>
      </c>
      <c r="AO55" s="391" t="s">
        <v>671</v>
      </c>
      <c r="AP55" s="264">
        <f>'K.1  Int. Service Fd Allocation'!E171+'K.2  Int. Service Fd Alloca'!E164+'K.3 Int. Service Fd Alloca'!E164</f>
        <v>0</v>
      </c>
      <c r="AQ55" s="258"/>
      <c r="AR55" s="263"/>
      <c r="AS55" s="266"/>
      <c r="AT55" s="434"/>
      <c r="AU55" s="435"/>
      <c r="AV55" s="264">
        <f t="shared" si="29"/>
        <v>0</v>
      </c>
      <c r="AW55" s="264">
        <f t="shared" si="30"/>
        <v>0</v>
      </c>
      <c r="AX55" s="256"/>
      <c r="AY55" s="257"/>
      <c r="AZ55" s="861" t="str">
        <f>IF((AV55+AV56+AV57)-(AW55+AW56+AW57)&lt;=0," ",(AV55+AV56+AV57)-(AW55+AW56+AW57))</f>
        <v xml:space="preserve"> </v>
      </c>
      <c r="BA55" s="266">
        <f>IF((AV55+AV56+AV57)-(AW55+AW56+AW57)&gt;0," ",(AW55+AW56+AW57)-(AV55+AV56+AV57))</f>
        <v>0</v>
      </c>
    </row>
    <row r="56" spans="1:53" x14ac:dyDescent="0.2">
      <c r="A56" s="39"/>
      <c r="B56" s="2"/>
      <c r="C56" s="258"/>
      <c r="D56" s="423"/>
      <c r="E56" s="424"/>
      <c r="F56" s="425"/>
      <c r="G56" s="425"/>
      <c r="H56" s="425"/>
      <c r="I56" s="425"/>
      <c r="J56" s="425"/>
      <c r="K56" s="425"/>
      <c r="L56" s="427"/>
      <c r="M56" s="425"/>
      <c r="N56" s="425"/>
      <c r="O56" s="425"/>
      <c r="P56" s="428"/>
      <c r="Q56" s="428"/>
      <c r="R56" s="428"/>
      <c r="S56" s="428"/>
      <c r="T56" s="428"/>
      <c r="U56" s="428"/>
      <c r="V56" s="428"/>
      <c r="W56" s="428"/>
      <c r="X56" s="426"/>
      <c r="Y56" s="426"/>
      <c r="Z56" s="426"/>
      <c r="AA56" s="426"/>
      <c r="AB56" s="261">
        <f t="shared" si="2"/>
        <v>0</v>
      </c>
      <c r="AC56" s="259">
        <f t="shared" si="3"/>
        <v>0</v>
      </c>
      <c r="AD56" s="260">
        <f t="shared" si="5"/>
        <v>0</v>
      </c>
      <c r="AE56" s="262">
        <f t="shared" si="4"/>
        <v>0</v>
      </c>
      <c r="AF56" s="425"/>
      <c r="AG56" s="425"/>
      <c r="AH56" s="260"/>
      <c r="AI56" s="262"/>
      <c r="AJ56" s="263" t="str">
        <f>'F.  Other Cap Asset Entries'!D214</f>
        <v>F.1</v>
      </c>
      <c r="AK56" s="264">
        <f>'F.  Other Cap Asset Entries'!M230</f>
        <v>0</v>
      </c>
      <c r="AL56" s="259"/>
      <c r="AM56" s="263" t="s">
        <v>951</v>
      </c>
      <c r="AN56" s="264">
        <f>'F.  Other Cap Asset Entries'!O267</f>
        <v>0</v>
      </c>
      <c r="AO56" s="265"/>
      <c r="AP56" s="264"/>
      <c r="AQ56" s="258"/>
      <c r="AR56" s="263"/>
      <c r="AS56" s="266"/>
      <c r="AT56" s="434"/>
      <c r="AU56" s="435"/>
      <c r="AV56" s="264">
        <f t="shared" si="29"/>
        <v>0</v>
      </c>
      <c r="AW56" s="264">
        <f t="shared" si="30"/>
        <v>0</v>
      </c>
      <c r="AX56" s="256"/>
      <c r="AY56" s="257"/>
      <c r="AZ56" s="288"/>
      <c r="BA56" s="266"/>
    </row>
    <row r="57" spans="1:53" x14ac:dyDescent="0.2">
      <c r="A57" s="39"/>
      <c r="B57" s="2"/>
      <c r="C57" s="258"/>
      <c r="D57" s="423"/>
      <c r="E57" s="424"/>
      <c r="F57" s="425"/>
      <c r="G57" s="425"/>
      <c r="H57" s="425"/>
      <c r="I57" s="425"/>
      <c r="J57" s="425"/>
      <c r="K57" s="425"/>
      <c r="L57" s="427"/>
      <c r="M57" s="425"/>
      <c r="N57" s="425"/>
      <c r="O57" s="425"/>
      <c r="P57" s="428"/>
      <c r="Q57" s="428"/>
      <c r="R57" s="428"/>
      <c r="S57" s="428"/>
      <c r="T57" s="428"/>
      <c r="U57" s="428"/>
      <c r="V57" s="428"/>
      <c r="W57" s="428"/>
      <c r="X57" s="426"/>
      <c r="Y57" s="426"/>
      <c r="Z57" s="426"/>
      <c r="AA57" s="426"/>
      <c r="AB57" s="261">
        <f t="shared" si="2"/>
        <v>0</v>
      </c>
      <c r="AC57" s="259">
        <f t="shared" si="3"/>
        <v>0</v>
      </c>
      <c r="AD57" s="260">
        <f t="shared" si="5"/>
        <v>0</v>
      </c>
      <c r="AE57" s="262">
        <f t="shared" si="4"/>
        <v>0</v>
      </c>
      <c r="AF57" s="425"/>
      <c r="AG57" s="425"/>
      <c r="AH57" s="260"/>
      <c r="AI57" s="262"/>
      <c r="AJ57" s="263" t="str">
        <f>'F.  Other Cap Asset Entries'!D240</f>
        <v>F.2</v>
      </c>
      <c r="AK57" s="264">
        <f>'F.  Other Cap Asset Entries'!M243</f>
        <v>0</v>
      </c>
      <c r="AL57" s="259"/>
      <c r="AM57" s="263"/>
      <c r="AN57" s="264"/>
      <c r="AO57" s="265"/>
      <c r="AP57" s="264"/>
      <c r="AQ57" s="258"/>
      <c r="AR57" s="263"/>
      <c r="AS57" s="266"/>
      <c r="AT57" s="434"/>
      <c r="AU57" s="435"/>
      <c r="AV57" s="264">
        <f t="shared" si="29"/>
        <v>0</v>
      </c>
      <c r="AW57" s="264">
        <f t="shared" si="30"/>
        <v>0</v>
      </c>
      <c r="AX57" s="256"/>
      <c r="AY57" s="257"/>
      <c r="AZ57" s="288"/>
      <c r="BA57" s="266"/>
    </row>
    <row r="58" spans="1:53" x14ac:dyDescent="0.2">
      <c r="A58" s="39"/>
      <c r="B58" s="2"/>
      <c r="C58" t="s">
        <v>895</v>
      </c>
      <c r="D58" s="421"/>
      <c r="E58" s="422"/>
      <c r="F58" s="414"/>
      <c r="G58" s="414"/>
      <c r="H58" s="414"/>
      <c r="I58" s="414"/>
      <c r="J58" s="414"/>
      <c r="K58" s="414"/>
      <c r="L58" s="416"/>
      <c r="M58" s="414"/>
      <c r="N58" s="414"/>
      <c r="O58" s="414"/>
      <c r="P58" s="420"/>
      <c r="Q58" s="420"/>
      <c r="R58" s="420"/>
      <c r="S58" s="420"/>
      <c r="T58" s="420"/>
      <c r="U58" s="420"/>
      <c r="V58" s="420"/>
      <c r="W58" s="420"/>
      <c r="X58" s="415"/>
      <c r="Y58" s="415"/>
      <c r="Z58" s="415"/>
      <c r="AA58" s="415"/>
      <c r="AB58" s="9">
        <f t="shared" si="2"/>
        <v>0</v>
      </c>
      <c r="AC58" s="5">
        <f t="shared" si="3"/>
        <v>0</v>
      </c>
      <c r="AD58" s="26">
        <f t="shared" si="5"/>
        <v>0</v>
      </c>
      <c r="AE58" s="21">
        <f t="shared" si="4"/>
        <v>0</v>
      </c>
      <c r="AF58" s="414"/>
      <c r="AG58" s="414"/>
      <c r="AH58" s="26"/>
      <c r="AI58" s="21"/>
      <c r="AJ58" s="226" t="str">
        <f>'F.  Other Cap Asset Entries'!D214</f>
        <v>F.1</v>
      </c>
      <c r="AK58" s="56">
        <f>'F.  Other Cap Asset Entries'!M216</f>
        <v>0</v>
      </c>
      <c r="AL58" s="5"/>
      <c r="AM58" s="226" t="str">
        <f>'D. Depreciation'!A55</f>
        <v>D.1</v>
      </c>
      <c r="AN58" s="56">
        <f>'D. Depreciation'!L66</f>
        <v>0</v>
      </c>
      <c r="AO58" s="231"/>
      <c r="AP58" s="56"/>
      <c r="AQ58" s="392"/>
      <c r="AR58" s="393" t="s">
        <v>671</v>
      </c>
      <c r="AS58" s="210">
        <f>'K.1  Int. Service Fd Allocation'!G182+'K.2  Int. Service Fd Alloca'!G175+'K.3 Int. Service Fd Alloca'!G175</f>
        <v>0</v>
      </c>
      <c r="AT58" s="434"/>
      <c r="AU58" s="435"/>
      <c r="AV58" s="270">
        <f t="shared" si="29"/>
        <v>0</v>
      </c>
      <c r="AW58" s="270">
        <f t="shared" si="30"/>
        <v>0</v>
      </c>
      <c r="AX58" s="39"/>
      <c r="AY58" s="33"/>
      <c r="AZ58" s="287" t="str">
        <f>IF(AV58-AW58&lt;=0," ",AV58-AW58)</f>
        <v xml:space="preserve"> </v>
      </c>
      <c r="BA58" s="210">
        <f>IF(AV58-AW58&gt;0," ",AW58-AV58)</f>
        <v>0</v>
      </c>
    </row>
    <row r="59" spans="1:53" x14ac:dyDescent="0.2">
      <c r="A59" s="39"/>
      <c r="B59" s="2"/>
      <c r="C59" s="258" t="s">
        <v>479</v>
      </c>
      <c r="D59" s="423"/>
      <c r="E59" s="424"/>
      <c r="F59" s="425"/>
      <c r="G59" s="425"/>
      <c r="H59" s="425"/>
      <c r="I59" s="425"/>
      <c r="J59" s="425"/>
      <c r="K59" s="425"/>
      <c r="L59" s="427"/>
      <c r="M59" s="425"/>
      <c r="N59" s="425"/>
      <c r="O59" s="425"/>
      <c r="P59" s="428"/>
      <c r="Q59" s="428"/>
      <c r="R59" s="428"/>
      <c r="S59" s="428"/>
      <c r="T59" s="428"/>
      <c r="U59" s="428"/>
      <c r="V59" s="428"/>
      <c r="W59" s="428"/>
      <c r="X59" s="426"/>
      <c r="Y59" s="426"/>
      <c r="Z59" s="426"/>
      <c r="AA59" s="426"/>
      <c r="AB59" s="261">
        <f t="shared" si="2"/>
        <v>0</v>
      </c>
      <c r="AC59" s="259">
        <f t="shared" si="3"/>
        <v>0</v>
      </c>
      <c r="AD59" s="260">
        <f t="shared" si="5"/>
        <v>0</v>
      </c>
      <c r="AE59" s="262">
        <f t="shared" si="4"/>
        <v>0</v>
      </c>
      <c r="AF59" s="425"/>
      <c r="AG59" s="425"/>
      <c r="AH59" s="260"/>
      <c r="AI59" s="262"/>
      <c r="AJ59" s="263" t="str">
        <f>'E. Capital Outlay'!D53</f>
        <v>E.1</v>
      </c>
      <c r="AK59" s="264">
        <f>'E. Capital Outlay'!L58</f>
        <v>0</v>
      </c>
      <c r="AL59" s="259"/>
      <c r="AM59" s="263" t="str">
        <f>'F.  Other Cap Asset Entries'!D214</f>
        <v>F.1</v>
      </c>
      <c r="AN59" s="264">
        <f>'F.  Other Cap Asset Entries'!O231</f>
        <v>0</v>
      </c>
      <c r="AO59" s="265" t="s">
        <v>671</v>
      </c>
      <c r="AP59" s="264">
        <f>'K.1  Int. Service Fd Allocation'!E172+'K.2  Int. Service Fd Alloca'!E165+'K.3 Int. Service Fd Alloca'!E165</f>
        <v>0</v>
      </c>
      <c r="AQ59" s="258"/>
      <c r="AR59" s="263"/>
      <c r="AS59" s="266"/>
      <c r="AT59" s="434"/>
      <c r="AU59" s="435"/>
      <c r="AV59" s="264">
        <f t="shared" si="29"/>
        <v>0</v>
      </c>
      <c r="AW59" s="264">
        <f t="shared" si="30"/>
        <v>0</v>
      </c>
      <c r="AX59" s="256"/>
      <c r="AY59" s="257"/>
      <c r="AZ59" s="861" t="str">
        <f>IF((AV59+AV60+AV61)-(AW59+AW60+AW61)&lt;=0," ",(AV59+AV60+AV61)-(AW59+AW60+AW61))</f>
        <v xml:space="preserve"> </v>
      </c>
      <c r="BA59" s="266">
        <f>IF((AV59+AV60+AV61)-(AW59+AW60+AW61)&gt;0," ",(AW59+AW60+AW61)-(AV59+AV60+AV61))</f>
        <v>0</v>
      </c>
    </row>
    <row r="60" spans="1:53" x14ac:dyDescent="0.2">
      <c r="A60" s="39"/>
      <c r="B60" s="2"/>
      <c r="C60" s="258"/>
      <c r="D60" s="423"/>
      <c r="E60" s="424"/>
      <c r="F60" s="425"/>
      <c r="G60" s="425"/>
      <c r="H60" s="425"/>
      <c r="I60" s="425"/>
      <c r="J60" s="425"/>
      <c r="K60" s="425"/>
      <c r="L60" s="427"/>
      <c r="M60" s="425"/>
      <c r="N60" s="425"/>
      <c r="O60" s="425"/>
      <c r="P60" s="428"/>
      <c r="Q60" s="428"/>
      <c r="R60" s="428"/>
      <c r="S60" s="428"/>
      <c r="T60" s="428"/>
      <c r="U60" s="428"/>
      <c r="V60" s="428"/>
      <c r="W60" s="428"/>
      <c r="X60" s="426"/>
      <c r="Y60" s="426"/>
      <c r="Z60" s="426"/>
      <c r="AA60" s="426"/>
      <c r="AB60" s="261">
        <f t="shared" si="2"/>
        <v>0</v>
      </c>
      <c r="AC60" s="259">
        <f t="shared" si="3"/>
        <v>0</v>
      </c>
      <c r="AD60" s="260">
        <f t="shared" si="5"/>
        <v>0</v>
      </c>
      <c r="AE60" s="262">
        <f t="shared" si="4"/>
        <v>0</v>
      </c>
      <c r="AF60" s="425"/>
      <c r="AG60" s="425"/>
      <c r="AH60" s="260"/>
      <c r="AI60" s="262"/>
      <c r="AJ60" s="263" t="str">
        <f>'F.  Other Cap Asset Entries'!D214</f>
        <v>F.1</v>
      </c>
      <c r="AK60" s="264">
        <f>'F.  Other Cap Asset Entries'!M231</f>
        <v>0</v>
      </c>
      <c r="AL60" s="259"/>
      <c r="AM60" s="263" t="s">
        <v>951</v>
      </c>
      <c r="AN60" s="264">
        <f>'F.  Other Cap Asset Entries'!O268</f>
        <v>0</v>
      </c>
      <c r="AO60" s="265"/>
      <c r="AP60" s="264"/>
      <c r="AQ60" s="258"/>
      <c r="AR60" s="263"/>
      <c r="AS60" s="266"/>
      <c r="AT60" s="434"/>
      <c r="AU60" s="435"/>
      <c r="AV60" s="264">
        <f t="shared" si="29"/>
        <v>0</v>
      </c>
      <c r="AW60" s="264">
        <f t="shared" si="30"/>
        <v>0</v>
      </c>
      <c r="AX60" s="256"/>
      <c r="AY60" s="257"/>
      <c r="AZ60" s="288"/>
      <c r="BA60" s="266"/>
    </row>
    <row r="61" spans="1:53" x14ac:dyDescent="0.2">
      <c r="A61" s="39"/>
      <c r="B61" s="2"/>
      <c r="C61" s="258"/>
      <c r="D61" s="423"/>
      <c r="E61" s="424"/>
      <c r="F61" s="425"/>
      <c r="G61" s="425"/>
      <c r="H61" s="425"/>
      <c r="I61" s="425"/>
      <c r="J61" s="425"/>
      <c r="K61" s="425"/>
      <c r="L61" s="427"/>
      <c r="M61" s="425"/>
      <c r="N61" s="425"/>
      <c r="O61" s="425"/>
      <c r="P61" s="428"/>
      <c r="Q61" s="428"/>
      <c r="R61" s="428"/>
      <c r="S61" s="428"/>
      <c r="T61" s="428"/>
      <c r="U61" s="428"/>
      <c r="V61" s="428"/>
      <c r="W61" s="428"/>
      <c r="X61" s="426"/>
      <c r="Y61" s="426"/>
      <c r="Z61" s="426"/>
      <c r="AA61" s="426"/>
      <c r="AB61" s="261">
        <f t="shared" si="2"/>
        <v>0</v>
      </c>
      <c r="AC61" s="259">
        <f t="shared" si="3"/>
        <v>0</v>
      </c>
      <c r="AD61" s="260">
        <f t="shared" si="5"/>
        <v>0</v>
      </c>
      <c r="AE61" s="262">
        <f t="shared" si="4"/>
        <v>0</v>
      </c>
      <c r="AF61" s="425"/>
      <c r="AG61" s="425"/>
      <c r="AH61" s="260"/>
      <c r="AI61" s="262"/>
      <c r="AJ61" s="263" t="str">
        <f>'F.  Other Cap Asset Entries'!D240</f>
        <v>F.2</v>
      </c>
      <c r="AK61" s="264">
        <f>'F.  Other Cap Asset Entries'!M244</f>
        <v>0</v>
      </c>
      <c r="AL61" s="259"/>
      <c r="AM61" s="263"/>
      <c r="AN61" s="264"/>
      <c r="AO61" s="265"/>
      <c r="AP61" s="264"/>
      <c r="AQ61" s="258"/>
      <c r="AR61" s="263"/>
      <c r="AS61" s="266"/>
      <c r="AT61" s="434"/>
      <c r="AU61" s="435"/>
      <c r="AV61" s="264">
        <f t="shared" si="29"/>
        <v>0</v>
      </c>
      <c r="AW61" s="264">
        <f t="shared" si="30"/>
        <v>0</v>
      </c>
      <c r="AX61" s="256"/>
      <c r="AY61" s="257"/>
      <c r="AZ61" s="288"/>
      <c r="BA61" s="266"/>
    </row>
    <row r="62" spans="1:53" x14ac:dyDescent="0.2">
      <c r="A62" s="39"/>
      <c r="B62" s="2"/>
      <c r="C62" t="s">
        <v>113</v>
      </c>
      <c r="D62" s="421"/>
      <c r="E62" s="422"/>
      <c r="F62" s="414"/>
      <c r="G62" s="414"/>
      <c r="H62" s="414"/>
      <c r="I62" s="414"/>
      <c r="J62" s="414"/>
      <c r="K62" s="414"/>
      <c r="L62" s="416"/>
      <c r="M62" s="414"/>
      <c r="N62" s="414"/>
      <c r="O62" s="414"/>
      <c r="P62" s="420"/>
      <c r="Q62" s="420"/>
      <c r="R62" s="420"/>
      <c r="S62" s="420"/>
      <c r="T62" s="420"/>
      <c r="U62" s="420"/>
      <c r="V62" s="420"/>
      <c r="W62" s="420"/>
      <c r="X62" s="415"/>
      <c r="Y62" s="415"/>
      <c r="Z62" s="415"/>
      <c r="AA62" s="415"/>
      <c r="AB62" s="9">
        <f t="shared" si="2"/>
        <v>0</v>
      </c>
      <c r="AC62" s="5">
        <f t="shared" si="3"/>
        <v>0</v>
      </c>
      <c r="AD62" s="26">
        <f t="shared" si="5"/>
        <v>0</v>
      </c>
      <c r="AE62" s="21">
        <f t="shared" si="4"/>
        <v>0</v>
      </c>
      <c r="AF62" s="414"/>
      <c r="AG62" s="414"/>
      <c r="AH62" s="26"/>
      <c r="AI62" s="21"/>
      <c r="AJ62" s="226" t="str">
        <f>'F.  Other Cap Asset Entries'!D214</f>
        <v>F.1</v>
      </c>
      <c r="AK62" s="56">
        <f>'F.  Other Cap Asset Entries'!M217</f>
        <v>0</v>
      </c>
      <c r="AL62" s="5"/>
      <c r="AM62" s="226" t="str">
        <f>'D. Depreciation'!A55</f>
        <v>D.1</v>
      </c>
      <c r="AN62" s="56">
        <f>'D. Depreciation'!L67</f>
        <v>0</v>
      </c>
      <c r="AO62" s="231"/>
      <c r="AP62" s="56"/>
      <c r="AR62" s="393" t="s">
        <v>671</v>
      </c>
      <c r="AS62" s="210">
        <f>'K.1  Int. Service Fd Allocation'!G183+'K.2  Int. Service Fd Alloca'!G176+'K.3 Int. Service Fd Alloca'!G176</f>
        <v>0</v>
      </c>
      <c r="AT62" s="434"/>
      <c r="AU62" s="435"/>
      <c r="AV62" s="270">
        <f t="shared" si="29"/>
        <v>0</v>
      </c>
      <c r="AW62" s="270">
        <f t="shared" si="30"/>
        <v>0</v>
      </c>
      <c r="AX62" s="39"/>
      <c r="AY62" s="33"/>
      <c r="AZ62" s="287" t="str">
        <f>IF(AV62-AW62&lt;=0," ",AV62-AW62)</f>
        <v xml:space="preserve"> </v>
      </c>
      <c r="BA62" s="210">
        <f>IF(AV62-AW62&gt;0," ",AW62-AV62)</f>
        <v>0</v>
      </c>
    </row>
    <row r="63" spans="1:53" x14ac:dyDescent="0.2">
      <c r="A63" s="39"/>
      <c r="C63" s="258" t="s">
        <v>468</v>
      </c>
      <c r="D63" s="423"/>
      <c r="E63" s="424"/>
      <c r="F63" s="425"/>
      <c r="G63" s="425"/>
      <c r="H63" s="425"/>
      <c r="I63" s="425"/>
      <c r="J63" s="425"/>
      <c r="K63" s="425"/>
      <c r="L63" s="427"/>
      <c r="M63" s="425"/>
      <c r="N63" s="425"/>
      <c r="O63" s="425"/>
      <c r="P63" s="428"/>
      <c r="Q63" s="428"/>
      <c r="R63" s="428"/>
      <c r="S63" s="428"/>
      <c r="T63" s="428"/>
      <c r="U63" s="428"/>
      <c r="V63" s="428"/>
      <c r="W63" s="428"/>
      <c r="X63" s="426"/>
      <c r="Y63" s="426"/>
      <c r="Z63" s="426"/>
      <c r="AA63" s="426"/>
      <c r="AB63" s="261">
        <f t="shared" si="2"/>
        <v>0</v>
      </c>
      <c r="AC63" s="259">
        <f t="shared" si="3"/>
        <v>0</v>
      </c>
      <c r="AD63" s="260">
        <f t="shared" si="5"/>
        <v>0</v>
      </c>
      <c r="AE63" s="262">
        <f t="shared" si="4"/>
        <v>0</v>
      </c>
      <c r="AF63" s="425"/>
      <c r="AG63" s="425"/>
      <c r="AH63" s="260"/>
      <c r="AI63" s="262"/>
      <c r="AJ63" s="263" t="str">
        <f>'E. Capital Outlay'!D53</f>
        <v>E.1</v>
      </c>
      <c r="AK63" s="264">
        <f>'E. Capital Outlay'!L59</f>
        <v>0</v>
      </c>
      <c r="AL63" s="259"/>
      <c r="AM63" s="263" t="str">
        <f>'F.  Other Cap Asset Entries'!D214</f>
        <v>F.1</v>
      </c>
      <c r="AN63" s="264">
        <f>'F.  Other Cap Asset Entries'!O232</f>
        <v>0</v>
      </c>
      <c r="AO63" s="265"/>
      <c r="AP63" s="264"/>
      <c r="AQ63" s="258"/>
      <c r="AR63" s="263"/>
      <c r="AS63" s="266"/>
      <c r="AT63" s="434"/>
      <c r="AU63" s="435"/>
      <c r="AV63" s="264">
        <f t="shared" si="29"/>
        <v>0</v>
      </c>
      <c r="AW63" s="264">
        <f t="shared" si="30"/>
        <v>0</v>
      </c>
      <c r="AX63" s="256"/>
      <c r="AY63" s="257"/>
      <c r="AZ63" s="861" t="str">
        <f>IF((AV63+AV64+AV65)-(AW63+AW64+AW65)&lt;=0," ",(AV63+AV64+AV65)-(AW63+AW64+AW65))</f>
        <v xml:space="preserve"> </v>
      </c>
      <c r="BA63" s="266">
        <f>IF((AV63+AV64+AV65)-(AW63+AW64+AW65)&gt;0," ",(AW63+AW64+AW65)-(AV63+AV64+AV65))</f>
        <v>0</v>
      </c>
    </row>
    <row r="64" spans="1:53" x14ac:dyDescent="0.2">
      <c r="A64" s="39"/>
      <c r="C64" s="258"/>
      <c r="D64" s="423"/>
      <c r="E64" s="424"/>
      <c r="F64" s="425"/>
      <c r="G64" s="425"/>
      <c r="H64" s="425"/>
      <c r="I64" s="425"/>
      <c r="J64" s="425"/>
      <c r="K64" s="425"/>
      <c r="L64" s="427"/>
      <c r="M64" s="425"/>
      <c r="N64" s="425"/>
      <c r="O64" s="425"/>
      <c r="P64" s="428"/>
      <c r="Q64" s="428"/>
      <c r="R64" s="428"/>
      <c r="S64" s="428"/>
      <c r="T64" s="428"/>
      <c r="U64" s="428"/>
      <c r="V64" s="428"/>
      <c r="W64" s="428"/>
      <c r="X64" s="426"/>
      <c r="Y64" s="426"/>
      <c r="Z64" s="426"/>
      <c r="AA64" s="426"/>
      <c r="AB64" s="261">
        <f t="shared" si="2"/>
        <v>0</v>
      </c>
      <c r="AC64" s="259">
        <f t="shared" si="3"/>
        <v>0</v>
      </c>
      <c r="AD64" s="260">
        <f t="shared" si="5"/>
        <v>0</v>
      </c>
      <c r="AE64" s="262">
        <f t="shared" si="4"/>
        <v>0</v>
      </c>
      <c r="AF64" s="425"/>
      <c r="AG64" s="425"/>
      <c r="AH64" s="260"/>
      <c r="AI64" s="262"/>
      <c r="AJ64" s="263" t="str">
        <f>'F.  Other Cap Asset Entries'!D214</f>
        <v>F.1</v>
      </c>
      <c r="AK64" s="264">
        <f>'F.  Other Cap Asset Entries'!M232</f>
        <v>0</v>
      </c>
      <c r="AL64" s="259"/>
      <c r="AM64" s="263" t="s">
        <v>951</v>
      </c>
      <c r="AN64" s="264">
        <f>'F.  Other Cap Asset Entries'!O269</f>
        <v>0</v>
      </c>
      <c r="AO64" s="265"/>
      <c r="AP64" s="264"/>
      <c r="AQ64" s="258"/>
      <c r="AR64" s="263"/>
      <c r="AS64" s="266"/>
      <c r="AT64" s="434"/>
      <c r="AU64" s="435"/>
      <c r="AV64" s="264">
        <f t="shared" si="29"/>
        <v>0</v>
      </c>
      <c r="AW64" s="264">
        <f t="shared" si="30"/>
        <v>0</v>
      </c>
      <c r="AX64" s="256"/>
      <c r="AY64" s="257"/>
      <c r="AZ64" s="288"/>
      <c r="BA64" s="266"/>
    </row>
    <row r="65" spans="1:53" x14ac:dyDescent="0.2">
      <c r="A65" s="39"/>
      <c r="C65" s="258"/>
      <c r="D65" s="423"/>
      <c r="E65" s="424"/>
      <c r="F65" s="425"/>
      <c r="G65" s="425"/>
      <c r="H65" s="425"/>
      <c r="I65" s="425"/>
      <c r="J65" s="425"/>
      <c r="K65" s="425"/>
      <c r="L65" s="427"/>
      <c r="M65" s="425"/>
      <c r="N65" s="425"/>
      <c r="O65" s="425"/>
      <c r="P65" s="428"/>
      <c r="Q65" s="428"/>
      <c r="R65" s="428"/>
      <c r="S65" s="428"/>
      <c r="T65" s="428"/>
      <c r="U65" s="428"/>
      <c r="V65" s="428"/>
      <c r="W65" s="428"/>
      <c r="X65" s="426"/>
      <c r="Y65" s="426"/>
      <c r="Z65" s="426"/>
      <c r="AA65" s="426"/>
      <c r="AB65" s="261">
        <f t="shared" si="2"/>
        <v>0</v>
      </c>
      <c r="AC65" s="259">
        <f t="shared" si="3"/>
        <v>0</v>
      </c>
      <c r="AD65" s="260">
        <f t="shared" si="5"/>
        <v>0</v>
      </c>
      <c r="AE65" s="262">
        <f t="shared" si="4"/>
        <v>0</v>
      </c>
      <c r="AF65" s="425"/>
      <c r="AG65" s="425"/>
      <c r="AH65" s="260"/>
      <c r="AI65" s="262"/>
      <c r="AJ65" s="263" t="str">
        <f>'F.  Other Cap Asset Entries'!D240</f>
        <v>F.2</v>
      </c>
      <c r="AK65" s="264">
        <f>'F.  Other Cap Asset Entries'!M245</f>
        <v>0</v>
      </c>
      <c r="AL65" s="259"/>
      <c r="AM65" s="263"/>
      <c r="AN65" s="264"/>
      <c r="AO65" s="265"/>
      <c r="AP65" s="264"/>
      <c r="AQ65" s="258"/>
      <c r="AR65" s="263"/>
      <c r="AS65" s="266"/>
      <c r="AT65" s="434"/>
      <c r="AU65" s="435"/>
      <c r="AV65" s="264">
        <f t="shared" si="29"/>
        <v>0</v>
      </c>
      <c r="AW65" s="264">
        <f t="shared" si="30"/>
        <v>0</v>
      </c>
      <c r="AX65" s="256"/>
      <c r="AY65" s="257"/>
      <c r="AZ65" s="288"/>
      <c r="BA65" s="266"/>
    </row>
    <row r="66" spans="1:53" x14ac:dyDescent="0.2">
      <c r="A66" s="39"/>
      <c r="C66" t="s">
        <v>896</v>
      </c>
      <c r="D66" s="418"/>
      <c r="E66" s="419"/>
      <c r="F66" s="414"/>
      <c r="G66" s="414"/>
      <c r="H66" s="414"/>
      <c r="I66" s="414"/>
      <c r="J66" s="414"/>
      <c r="K66" s="414"/>
      <c r="L66" s="416"/>
      <c r="M66" s="414"/>
      <c r="N66" s="414"/>
      <c r="O66" s="414"/>
      <c r="P66" s="417"/>
      <c r="Q66" s="417"/>
      <c r="R66" s="417"/>
      <c r="S66" s="417"/>
      <c r="T66" s="417"/>
      <c r="U66" s="417"/>
      <c r="V66" s="417"/>
      <c r="W66" s="417"/>
      <c r="X66" s="415"/>
      <c r="Y66" s="415"/>
      <c r="Z66" s="415"/>
      <c r="AA66" s="415"/>
      <c r="AB66" s="9">
        <f t="shared" si="2"/>
        <v>0</v>
      </c>
      <c r="AC66" s="5">
        <f t="shared" si="3"/>
        <v>0</v>
      </c>
      <c r="AD66" s="26">
        <f t="shared" si="5"/>
        <v>0</v>
      </c>
      <c r="AE66" s="21">
        <f t="shared" si="4"/>
        <v>0</v>
      </c>
      <c r="AF66" s="414"/>
      <c r="AG66" s="414"/>
      <c r="AH66" s="26"/>
      <c r="AI66" s="21"/>
      <c r="AJ66" s="226" t="str">
        <f>'F.  Other Cap Asset Entries'!D214</f>
        <v>F.1</v>
      </c>
      <c r="AK66" s="57">
        <f>'F.  Other Cap Asset Entries'!M222</f>
        <v>0</v>
      </c>
      <c r="AL66" s="5"/>
      <c r="AM66" s="226" t="str">
        <f>'D. Depreciation'!A55</f>
        <v>D.1</v>
      </c>
      <c r="AN66" s="57">
        <f>'D. Depreciation'!L68</f>
        <v>0</v>
      </c>
      <c r="AO66" s="231"/>
      <c r="AP66" s="57"/>
      <c r="AS66" s="209"/>
      <c r="AT66" s="434"/>
      <c r="AU66" s="435"/>
      <c r="AV66" s="270">
        <f t="shared" si="29"/>
        <v>0</v>
      </c>
      <c r="AW66" s="270">
        <f t="shared" si="30"/>
        <v>0</v>
      </c>
      <c r="AX66" s="39"/>
      <c r="AY66" s="33"/>
      <c r="AZ66" s="287" t="str">
        <f>IF(AV66-AW66&lt;=0," ",AV66-AW66)</f>
        <v xml:space="preserve"> </v>
      </c>
      <c r="BA66" s="210">
        <f>IF(AV66-AW66&gt;0," ",AW66-AV66)</f>
        <v>0</v>
      </c>
    </row>
    <row r="67" spans="1:53" x14ac:dyDescent="0.2">
      <c r="A67" s="39"/>
      <c r="C67" s="535" t="s">
        <v>1025</v>
      </c>
      <c r="D67" s="423"/>
      <c r="E67" s="424"/>
      <c r="F67" s="425"/>
      <c r="G67" s="425"/>
      <c r="H67" s="425"/>
      <c r="I67" s="425"/>
      <c r="J67" s="425"/>
      <c r="K67" s="425"/>
      <c r="L67" s="427"/>
      <c r="M67" s="425"/>
      <c r="N67" s="425"/>
      <c r="O67" s="425"/>
      <c r="P67" s="428"/>
      <c r="Q67" s="428"/>
      <c r="R67" s="428"/>
      <c r="S67" s="428"/>
      <c r="T67" s="428"/>
      <c r="U67" s="428"/>
      <c r="V67" s="428"/>
      <c r="W67" s="428"/>
      <c r="X67" s="426"/>
      <c r="Y67" s="426"/>
      <c r="Z67" s="426"/>
      <c r="AA67" s="426"/>
      <c r="AB67" s="261">
        <f t="shared" si="2"/>
        <v>0</v>
      </c>
      <c r="AC67" s="259">
        <f t="shared" si="3"/>
        <v>0</v>
      </c>
      <c r="AD67" s="260">
        <f t="shared" si="5"/>
        <v>0</v>
      </c>
      <c r="AE67" s="262">
        <f t="shared" si="4"/>
        <v>0</v>
      </c>
      <c r="AF67" s="425"/>
      <c r="AG67" s="425"/>
      <c r="AH67" s="260"/>
      <c r="AI67" s="262"/>
      <c r="AJ67" s="263" t="str">
        <f>'E. Capital Outlay'!D53</f>
        <v>E.1</v>
      </c>
      <c r="AK67" s="264">
        <f>'E. Capital Outlay'!L60</f>
        <v>0</v>
      </c>
      <c r="AL67" s="259"/>
      <c r="AM67" s="263" t="str">
        <f>'F.  Other Cap Asset Entries'!D214</f>
        <v>F.1</v>
      </c>
      <c r="AN67" s="264">
        <f>'F.  Other Cap Asset Entries'!O235</f>
        <v>0</v>
      </c>
      <c r="AO67" s="265"/>
      <c r="AP67" s="264"/>
      <c r="AQ67" s="258"/>
      <c r="AR67" s="263"/>
      <c r="AS67" s="266"/>
      <c r="AT67" s="434"/>
      <c r="AU67" s="435"/>
      <c r="AV67" s="264">
        <f t="shared" si="29"/>
        <v>0</v>
      </c>
      <c r="AW67" s="264">
        <f t="shared" si="30"/>
        <v>0</v>
      </c>
      <c r="AX67" s="256"/>
      <c r="AY67" s="257"/>
      <c r="AZ67" s="861" t="str">
        <f>IF((AV67+AV68+AV69)-(AW67+AW68+AW69)&lt;=0," ",(AV67+AV68+AV69)-(AW67+AW68+AW69))</f>
        <v xml:space="preserve"> </v>
      </c>
      <c r="BA67" s="266">
        <f>IF((AV67+AV68+AV69)-(AW67+AW68+AW69)&gt;0," ",(AW67+AW68+AW69)-(AV67+AV68+AV69))</f>
        <v>0</v>
      </c>
    </row>
    <row r="68" spans="1:53" x14ac:dyDescent="0.2">
      <c r="A68" s="39"/>
      <c r="C68" s="258"/>
      <c r="D68" s="423"/>
      <c r="E68" s="424"/>
      <c r="F68" s="425"/>
      <c r="G68" s="425"/>
      <c r="H68" s="425"/>
      <c r="I68" s="425"/>
      <c r="J68" s="425"/>
      <c r="K68" s="425"/>
      <c r="L68" s="427"/>
      <c r="M68" s="425"/>
      <c r="N68" s="425"/>
      <c r="O68" s="425"/>
      <c r="P68" s="428"/>
      <c r="Q68" s="428"/>
      <c r="R68" s="428"/>
      <c r="S68" s="428"/>
      <c r="T68" s="428"/>
      <c r="U68" s="428"/>
      <c r="V68" s="428"/>
      <c r="W68" s="428"/>
      <c r="X68" s="426"/>
      <c r="Y68" s="426"/>
      <c r="Z68" s="426"/>
      <c r="AA68" s="426"/>
      <c r="AB68" s="261">
        <f t="shared" si="2"/>
        <v>0</v>
      </c>
      <c r="AC68" s="259">
        <f t="shared" si="3"/>
        <v>0</v>
      </c>
      <c r="AD68" s="260">
        <f t="shared" si="5"/>
        <v>0</v>
      </c>
      <c r="AE68" s="262">
        <f t="shared" si="4"/>
        <v>0</v>
      </c>
      <c r="AF68" s="425"/>
      <c r="AG68" s="425"/>
      <c r="AH68" s="260"/>
      <c r="AI68" s="262"/>
      <c r="AJ68" s="263" t="str">
        <f>'F.  Other Cap Asset Entries'!D214</f>
        <v>F.1</v>
      </c>
      <c r="AK68" s="264">
        <f>'F.  Other Cap Asset Entries'!M235</f>
        <v>0</v>
      </c>
      <c r="AL68" s="259"/>
      <c r="AM68" s="263" t="s">
        <v>951</v>
      </c>
      <c r="AN68" s="264">
        <f>'F.  Other Cap Asset Entries'!O272</f>
        <v>0</v>
      </c>
      <c r="AO68" s="265"/>
      <c r="AP68" s="264"/>
      <c r="AQ68" s="258"/>
      <c r="AR68" s="263"/>
      <c r="AS68" s="266"/>
      <c r="AT68" s="434"/>
      <c r="AU68" s="435"/>
      <c r="AV68" s="264">
        <f t="shared" si="29"/>
        <v>0</v>
      </c>
      <c r="AW68" s="264">
        <f t="shared" si="30"/>
        <v>0</v>
      </c>
      <c r="AX68" s="256"/>
      <c r="AY68" s="257"/>
      <c r="AZ68" s="288"/>
      <c r="BA68" s="266"/>
    </row>
    <row r="69" spans="1:53" x14ac:dyDescent="0.2">
      <c r="A69" s="39"/>
      <c r="C69" s="258"/>
      <c r="D69" s="423"/>
      <c r="E69" s="424"/>
      <c r="F69" s="425"/>
      <c r="G69" s="425"/>
      <c r="H69" s="425"/>
      <c r="I69" s="425"/>
      <c r="J69" s="425"/>
      <c r="K69" s="425"/>
      <c r="L69" s="427"/>
      <c r="M69" s="425"/>
      <c r="N69" s="425"/>
      <c r="O69" s="425"/>
      <c r="P69" s="428"/>
      <c r="Q69" s="428"/>
      <c r="R69" s="428"/>
      <c r="S69" s="428"/>
      <c r="T69" s="428"/>
      <c r="U69" s="428"/>
      <c r="V69" s="428"/>
      <c r="W69" s="428"/>
      <c r="X69" s="426"/>
      <c r="Y69" s="426"/>
      <c r="Z69" s="426"/>
      <c r="AA69" s="426"/>
      <c r="AB69" s="261">
        <f t="shared" si="2"/>
        <v>0</v>
      </c>
      <c r="AC69" s="259">
        <f t="shared" si="3"/>
        <v>0</v>
      </c>
      <c r="AD69" s="260">
        <f t="shared" si="5"/>
        <v>0</v>
      </c>
      <c r="AE69" s="262">
        <f t="shared" si="4"/>
        <v>0</v>
      </c>
      <c r="AF69" s="425"/>
      <c r="AG69" s="425"/>
      <c r="AH69" s="260"/>
      <c r="AI69" s="262"/>
      <c r="AJ69" s="263" t="str">
        <f>'F.  Other Cap Asset Entries'!D240</f>
        <v>F.2</v>
      </c>
      <c r="AK69" s="264">
        <f>'F.  Other Cap Asset Entries'!M248</f>
        <v>0</v>
      </c>
      <c r="AL69" s="259"/>
      <c r="AM69" s="263"/>
      <c r="AN69" s="264"/>
      <c r="AO69" s="265"/>
      <c r="AP69" s="264"/>
      <c r="AQ69" s="258"/>
      <c r="AR69" s="263"/>
      <c r="AS69" s="266"/>
      <c r="AT69" s="434"/>
      <c r="AU69" s="435"/>
      <c r="AV69" s="264">
        <f t="shared" si="29"/>
        <v>0</v>
      </c>
      <c r="AW69" s="264">
        <f t="shared" si="30"/>
        <v>0</v>
      </c>
      <c r="AX69" s="256"/>
      <c r="AY69" s="257"/>
      <c r="AZ69" s="288"/>
      <c r="BA69" s="266"/>
    </row>
    <row r="70" spans="1:53" x14ac:dyDescent="0.2">
      <c r="A70" s="39"/>
      <c r="C70" s="876" t="s">
        <v>4908</v>
      </c>
      <c r="D70" s="418"/>
      <c r="E70" s="419"/>
      <c r="F70" s="414"/>
      <c r="G70" s="414"/>
      <c r="H70" s="414"/>
      <c r="I70" s="414"/>
      <c r="J70" s="414"/>
      <c r="K70" s="414"/>
      <c r="L70" s="416"/>
      <c r="M70" s="414"/>
      <c r="N70" s="414"/>
      <c r="O70" s="414"/>
      <c r="P70" s="417"/>
      <c r="Q70" s="417"/>
      <c r="R70" s="417"/>
      <c r="S70" s="417"/>
      <c r="T70" s="417"/>
      <c r="U70" s="417"/>
      <c r="V70" s="417"/>
      <c r="W70" s="417"/>
      <c r="X70" s="415"/>
      <c r="Y70" s="415"/>
      <c r="Z70" s="415"/>
      <c r="AA70" s="415"/>
      <c r="AB70" s="9">
        <f t="shared" si="2"/>
        <v>0</v>
      </c>
      <c r="AC70" s="5">
        <f t="shared" si="3"/>
        <v>0</v>
      </c>
      <c r="AD70" s="26">
        <f t="shared" si="5"/>
        <v>0</v>
      </c>
      <c r="AE70" s="21">
        <f t="shared" si="4"/>
        <v>0</v>
      </c>
      <c r="AF70" s="414"/>
      <c r="AG70" s="414"/>
      <c r="AH70" s="26"/>
      <c r="AI70" s="21"/>
      <c r="AJ70" s="226" t="str">
        <f>'F.  Other Cap Asset Entries'!D214</f>
        <v>F.1</v>
      </c>
      <c r="AK70" s="57">
        <f>'F.  Other Cap Asset Entries'!M218</f>
        <v>0</v>
      </c>
      <c r="AL70" s="5"/>
      <c r="AM70" s="226" t="str">
        <f>'D. Depreciation'!A55</f>
        <v>D.1</v>
      </c>
      <c r="AN70" s="57">
        <f>'D. Depreciation'!L69</f>
        <v>0</v>
      </c>
      <c r="AO70" s="231"/>
      <c r="AP70" s="57"/>
      <c r="AS70" s="209"/>
      <c r="AT70" s="434"/>
      <c r="AU70" s="435"/>
      <c r="AV70" s="270">
        <f t="shared" si="29"/>
        <v>0</v>
      </c>
      <c r="AW70" s="270">
        <f t="shared" si="30"/>
        <v>0</v>
      </c>
      <c r="AX70" s="39"/>
      <c r="AY70" s="33"/>
      <c r="AZ70" s="287" t="str">
        <f>IF(AV70-AW70&lt;=0," ",AV70-AW70)</f>
        <v xml:space="preserve"> </v>
      </c>
      <c r="BA70" s="210">
        <f>IF(AV70-AW70&gt;0," ",AW70-AV70)</f>
        <v>0</v>
      </c>
    </row>
    <row r="71" spans="1:53" x14ac:dyDescent="0.2">
      <c r="A71" s="39"/>
      <c r="C71" s="426" t="s">
        <v>4906</v>
      </c>
      <c r="D71" s="423"/>
      <c r="E71" s="424"/>
      <c r="F71" s="425"/>
      <c r="G71" s="425"/>
      <c r="H71" s="425"/>
      <c r="I71" s="425"/>
      <c r="J71" s="425"/>
      <c r="K71" s="425"/>
      <c r="L71" s="427"/>
      <c r="M71" s="425"/>
      <c r="N71" s="425"/>
      <c r="O71" s="425"/>
      <c r="P71" s="428"/>
      <c r="Q71" s="428"/>
      <c r="R71" s="428"/>
      <c r="S71" s="428"/>
      <c r="T71" s="428"/>
      <c r="U71" s="428"/>
      <c r="V71" s="428"/>
      <c r="W71" s="428"/>
      <c r="X71" s="426"/>
      <c r="Y71" s="426"/>
      <c r="Z71" s="426"/>
      <c r="AA71" s="426"/>
      <c r="AB71" s="261">
        <f t="shared" si="2"/>
        <v>0</v>
      </c>
      <c r="AC71" s="259">
        <f t="shared" si="3"/>
        <v>0</v>
      </c>
      <c r="AD71" s="260">
        <f t="shared" si="5"/>
        <v>0</v>
      </c>
      <c r="AE71" s="262">
        <f t="shared" si="4"/>
        <v>0</v>
      </c>
      <c r="AF71" s="425"/>
      <c r="AG71" s="425"/>
      <c r="AH71" s="260"/>
      <c r="AI71" s="262"/>
      <c r="AJ71" s="263" t="str">
        <f>'[3]E. Capital Outlay'!D51</f>
        <v>E.1</v>
      </c>
      <c r="AK71" s="264">
        <f>'E. Capital Outlay'!L61</f>
        <v>0</v>
      </c>
      <c r="AL71" s="259"/>
      <c r="AM71" s="263" t="str">
        <f>'[3]F.  Other Cap Asset Entries'!D214</f>
        <v>F.1</v>
      </c>
      <c r="AN71" s="264">
        <f>'F.  Other Cap Asset Entries'!O234</f>
        <v>0</v>
      </c>
      <c r="AO71" s="265"/>
      <c r="AP71" s="264"/>
      <c r="AQ71" s="258"/>
      <c r="AR71" s="263"/>
      <c r="AS71" s="266"/>
      <c r="AT71" s="434"/>
      <c r="AU71" s="435"/>
      <c r="AV71" s="264">
        <f t="shared" si="29"/>
        <v>0</v>
      </c>
      <c r="AW71" s="264">
        <f t="shared" si="30"/>
        <v>0</v>
      </c>
      <c r="AX71" s="256"/>
      <c r="AY71" s="257"/>
      <c r="AZ71" s="266">
        <f>IF(AU71-AV71&gt;0," ",AV71-AU71)</f>
        <v>0</v>
      </c>
      <c r="BA71" s="266">
        <f>IF((AV71+AV72+AV77)-(AW71+AW72+AW77)&gt;0," ",(AW71+AW72+AW77)-(AV71+AV72+AV77))</f>
        <v>0</v>
      </c>
    </row>
    <row r="72" spans="1:53" x14ac:dyDescent="0.2">
      <c r="A72" s="39"/>
      <c r="C72" t="s">
        <v>4910</v>
      </c>
      <c r="D72" s="421"/>
      <c r="E72" s="422"/>
      <c r="F72" s="414"/>
      <c r="G72" s="414"/>
      <c r="H72" s="414"/>
      <c r="I72" s="414"/>
      <c r="J72" s="414"/>
      <c r="K72" s="414"/>
      <c r="L72" s="416"/>
      <c r="M72" s="414"/>
      <c r="N72" s="414"/>
      <c r="O72" s="414"/>
      <c r="P72" s="420"/>
      <c r="Q72" s="420"/>
      <c r="R72" s="420"/>
      <c r="S72" s="420"/>
      <c r="T72" s="420"/>
      <c r="U72" s="420"/>
      <c r="V72" s="420"/>
      <c r="W72" s="420"/>
      <c r="X72" s="415"/>
      <c r="Y72" s="415"/>
      <c r="Z72" s="415"/>
      <c r="AA72" s="415"/>
      <c r="AB72" s="9">
        <f t="shared" si="2"/>
        <v>0</v>
      </c>
      <c r="AC72" s="5">
        <f t="shared" si="3"/>
        <v>0</v>
      </c>
      <c r="AD72" s="26">
        <f t="shared" si="5"/>
        <v>0</v>
      </c>
      <c r="AE72" s="21">
        <f t="shared" si="4"/>
        <v>0</v>
      </c>
      <c r="AF72" s="414"/>
      <c r="AG72" s="414"/>
      <c r="AH72" s="26"/>
      <c r="AI72" s="21"/>
      <c r="AJ72" s="226" t="str">
        <f>'[3]F.  Other Cap Asset Entries'!D214</f>
        <v>F.1</v>
      </c>
      <c r="AK72" s="56">
        <f>'F.  Other Cap Asset Entries'!M219</f>
        <v>0</v>
      </c>
      <c r="AL72" s="5"/>
      <c r="AM72" s="226" t="str">
        <f>'[3]D. Depreciation'!A53</f>
        <v>D.1</v>
      </c>
      <c r="AN72" s="57">
        <f>'D. Depreciation'!L70</f>
        <v>0</v>
      </c>
      <c r="AO72" s="231"/>
      <c r="AP72" s="56"/>
      <c r="AS72" s="210"/>
      <c r="AT72" s="420"/>
      <c r="AU72" s="877"/>
      <c r="AV72" s="56">
        <f t="shared" si="29"/>
        <v>0</v>
      </c>
      <c r="AW72" s="56">
        <f>AE72+AG72+AI72+AN72+AS72+AU72</f>
        <v>0</v>
      </c>
      <c r="AX72" s="39"/>
      <c r="AY72" s="33"/>
      <c r="AZ72" s="293"/>
      <c r="BA72" s="210">
        <f>IF(AV72-AW72&gt;0," ",AW72-AV72)</f>
        <v>0</v>
      </c>
    </row>
    <row r="73" spans="1:53" x14ac:dyDescent="0.2">
      <c r="A73" s="39"/>
      <c r="C73" s="426" t="s">
        <v>358</v>
      </c>
      <c r="D73" s="423"/>
      <c r="E73" s="424"/>
      <c r="F73" s="425"/>
      <c r="G73" s="425"/>
      <c r="H73" s="425"/>
      <c r="I73" s="425"/>
      <c r="J73" s="425"/>
      <c r="K73" s="425"/>
      <c r="L73" s="427"/>
      <c r="M73" s="425"/>
      <c r="N73" s="425"/>
      <c r="O73" s="425"/>
      <c r="P73" s="428"/>
      <c r="Q73" s="428"/>
      <c r="R73" s="428"/>
      <c r="S73" s="428"/>
      <c r="T73" s="428"/>
      <c r="U73" s="428"/>
      <c r="V73" s="428"/>
      <c r="W73" s="428"/>
      <c r="X73" s="426"/>
      <c r="Y73" s="426"/>
      <c r="Z73" s="426"/>
      <c r="AA73" s="426"/>
      <c r="AB73" s="261">
        <f t="shared" ref="AB73:AB76" si="31">L73+N73+P73+R73+T73+V73+X73+Z73</f>
        <v>0</v>
      </c>
      <c r="AC73" s="259">
        <f t="shared" ref="AC73:AC76" si="32">M73+O73+Q73+S73+U73+W73+Y73+AA73</f>
        <v>0</v>
      </c>
      <c r="AD73" s="260">
        <f t="shared" ref="AD73:AD76" si="33">D73+F73+H73+J73+AB73</f>
        <v>0</v>
      </c>
      <c r="AE73" s="262">
        <f t="shared" ref="AE73:AE76" si="34">E73+G73+I73+K73+AC73</f>
        <v>0</v>
      </c>
      <c r="AF73" s="425"/>
      <c r="AG73" s="425"/>
      <c r="AH73" s="260"/>
      <c r="AI73" s="262"/>
      <c r="AJ73" s="263" t="s">
        <v>576</v>
      </c>
      <c r="AK73" s="264">
        <f>'E. Capital Outlay'!L62</f>
        <v>0</v>
      </c>
      <c r="AL73" s="259"/>
      <c r="AM73" s="263">
        <f>'F.  Other Cap Asset Entries'!D210</f>
        <v>0</v>
      </c>
      <c r="AN73" s="264">
        <f>'F.  Other Cap Asset Entries'!O230</f>
        <v>0</v>
      </c>
      <c r="AO73" s="265"/>
      <c r="AP73" s="264"/>
      <c r="AQ73" s="258"/>
      <c r="AR73" s="263"/>
      <c r="AS73" s="266"/>
      <c r="AT73" s="434"/>
      <c r="AU73" s="435"/>
      <c r="AV73" s="264">
        <f t="shared" ref="AV73:AV76" si="35">AD73+AF73+AH73+AK73+AP73+AT73</f>
        <v>0</v>
      </c>
      <c r="AW73" s="264">
        <f t="shared" ref="AW73:AW76" si="36">AE73+AG73+AI73+AN73+AS73+AU73</f>
        <v>0</v>
      </c>
      <c r="AX73" s="256"/>
      <c r="AY73" s="257"/>
      <c r="AZ73" s="288" t="str">
        <f>IF((AV73+AV74+AV75)-(AW73+AW74+AW75)&lt;=0," ",(AV73+AV74+AV75)-(AW73+AW74+AW75))</f>
        <v xml:space="preserve"> </v>
      </c>
      <c r="BA73" s="266">
        <f>IF((AV73+AV74+AV75)-(AW73+AW74+AW75)&gt;0," ",(AW73+AW74+AW75)-(AV73+AV74+AV75))</f>
        <v>0</v>
      </c>
    </row>
    <row r="74" spans="1:53" x14ac:dyDescent="0.2">
      <c r="A74" s="39"/>
      <c r="C74" s="258"/>
      <c r="D74" s="423"/>
      <c r="E74" s="424"/>
      <c r="F74" s="425"/>
      <c r="G74" s="425"/>
      <c r="H74" s="425"/>
      <c r="I74" s="425"/>
      <c r="J74" s="425"/>
      <c r="K74" s="425"/>
      <c r="L74" s="427"/>
      <c r="M74" s="425"/>
      <c r="N74" s="425"/>
      <c r="O74" s="425"/>
      <c r="P74" s="428"/>
      <c r="Q74" s="428"/>
      <c r="R74" s="428"/>
      <c r="S74" s="428"/>
      <c r="T74" s="428"/>
      <c r="U74" s="428"/>
      <c r="V74" s="428"/>
      <c r="W74" s="428"/>
      <c r="X74" s="426"/>
      <c r="Y74" s="426"/>
      <c r="Z74" s="426"/>
      <c r="AA74" s="426"/>
      <c r="AB74" s="261">
        <f t="shared" si="31"/>
        <v>0</v>
      </c>
      <c r="AC74" s="259">
        <f t="shared" si="32"/>
        <v>0</v>
      </c>
      <c r="AD74" s="260">
        <f t="shared" si="33"/>
        <v>0</v>
      </c>
      <c r="AE74" s="262">
        <f t="shared" si="34"/>
        <v>0</v>
      </c>
      <c r="AF74" s="425"/>
      <c r="AG74" s="425"/>
      <c r="AH74" s="260"/>
      <c r="AI74" s="262"/>
      <c r="AJ74" s="263">
        <f>'F.  Other Cap Asset Entries'!D210</f>
        <v>0</v>
      </c>
      <c r="AK74" s="264">
        <f>'F.  Other Cap Asset Entries'!M230</f>
        <v>0</v>
      </c>
      <c r="AL74" s="259"/>
      <c r="AM74" s="263" t="s">
        <v>951</v>
      </c>
      <c r="AN74" s="264">
        <f>'F.  Other Cap Asset Entries'!O267</f>
        <v>0</v>
      </c>
      <c r="AO74" s="265"/>
      <c r="AP74" s="264"/>
      <c r="AQ74" s="258"/>
      <c r="AR74" s="263"/>
      <c r="AS74" s="266"/>
      <c r="AT74" s="434"/>
      <c r="AU74" s="435"/>
      <c r="AV74" s="264">
        <f t="shared" si="35"/>
        <v>0</v>
      </c>
      <c r="AW74" s="264">
        <f t="shared" si="36"/>
        <v>0</v>
      </c>
      <c r="AX74" s="256"/>
      <c r="AY74" s="257"/>
      <c r="AZ74" s="288"/>
      <c r="BA74" s="266"/>
    </row>
    <row r="75" spans="1:53" x14ac:dyDescent="0.2">
      <c r="A75" s="39"/>
      <c r="C75" s="258"/>
      <c r="D75" s="423"/>
      <c r="E75" s="424"/>
      <c r="F75" s="425"/>
      <c r="G75" s="425"/>
      <c r="H75" s="425"/>
      <c r="I75" s="425"/>
      <c r="J75" s="425"/>
      <c r="K75" s="425"/>
      <c r="L75" s="427"/>
      <c r="M75" s="425"/>
      <c r="N75" s="425"/>
      <c r="O75" s="425"/>
      <c r="P75" s="428"/>
      <c r="Q75" s="428"/>
      <c r="R75" s="428"/>
      <c r="S75" s="428"/>
      <c r="T75" s="428"/>
      <c r="U75" s="428"/>
      <c r="V75" s="428"/>
      <c r="W75" s="428"/>
      <c r="X75" s="426"/>
      <c r="Y75" s="426"/>
      <c r="Z75" s="426"/>
      <c r="AA75" s="426"/>
      <c r="AB75" s="261">
        <f t="shared" si="31"/>
        <v>0</v>
      </c>
      <c r="AC75" s="259">
        <f t="shared" si="32"/>
        <v>0</v>
      </c>
      <c r="AD75" s="260">
        <f t="shared" si="33"/>
        <v>0</v>
      </c>
      <c r="AE75" s="262">
        <f t="shared" si="34"/>
        <v>0</v>
      </c>
      <c r="AF75" s="425"/>
      <c r="AG75" s="425"/>
      <c r="AH75" s="260"/>
      <c r="AI75" s="262"/>
      <c r="AJ75" s="263">
        <f>'F.  Other Cap Asset Entries'!D236</f>
        <v>0</v>
      </c>
      <c r="AK75" s="264">
        <f>'F.  Other Cap Asset Entries'!M243</f>
        <v>0</v>
      </c>
      <c r="AL75" s="259"/>
      <c r="AM75" s="263"/>
      <c r="AN75" s="264"/>
      <c r="AO75" s="265"/>
      <c r="AP75" s="264"/>
      <c r="AQ75" s="258"/>
      <c r="AR75" s="263"/>
      <c r="AS75" s="266"/>
      <c r="AT75" s="434"/>
      <c r="AU75" s="435"/>
      <c r="AV75" s="264">
        <f t="shared" si="35"/>
        <v>0</v>
      </c>
      <c r="AW75" s="264">
        <f t="shared" si="36"/>
        <v>0</v>
      </c>
      <c r="AX75" s="256"/>
      <c r="AY75" s="257"/>
      <c r="AZ75" s="288"/>
      <c r="BA75" s="266"/>
    </row>
    <row r="76" spans="1:53" x14ac:dyDescent="0.2">
      <c r="A76" s="39"/>
      <c r="C76" s="415" t="s">
        <v>4909</v>
      </c>
      <c r="D76" s="418"/>
      <c r="E76" s="419"/>
      <c r="F76" s="414"/>
      <c r="G76" s="414"/>
      <c r="H76" s="414"/>
      <c r="I76" s="414"/>
      <c r="J76" s="414"/>
      <c r="K76" s="414"/>
      <c r="L76" s="416"/>
      <c r="M76" s="414"/>
      <c r="N76" s="414"/>
      <c r="O76" s="414"/>
      <c r="P76" s="417"/>
      <c r="Q76" s="417"/>
      <c r="R76" s="417"/>
      <c r="S76" s="417"/>
      <c r="T76" s="417"/>
      <c r="U76" s="417"/>
      <c r="V76" s="417"/>
      <c r="W76" s="417"/>
      <c r="X76" s="415"/>
      <c r="Y76" s="415"/>
      <c r="Z76" s="415"/>
      <c r="AA76" s="415"/>
      <c r="AB76" s="9">
        <f t="shared" si="31"/>
        <v>0</v>
      </c>
      <c r="AC76" s="5">
        <f t="shared" si="32"/>
        <v>0</v>
      </c>
      <c r="AD76" s="26">
        <f t="shared" si="33"/>
        <v>0</v>
      </c>
      <c r="AE76" s="21">
        <f t="shared" si="34"/>
        <v>0</v>
      </c>
      <c r="AF76" s="414"/>
      <c r="AG76" s="414"/>
      <c r="AH76" s="26"/>
      <c r="AI76" s="21"/>
      <c r="AJ76" s="226">
        <f>'F.  Other Cap Asset Entries'!D210</f>
        <v>0</v>
      </c>
      <c r="AK76" s="57">
        <f>'F.  Other Cap Asset Entries'!M215</f>
        <v>0</v>
      </c>
      <c r="AL76" s="5"/>
      <c r="AM76" s="226" t="s">
        <v>713</v>
      </c>
      <c r="AN76" s="57">
        <f>'D. Depreciation'!L66</f>
        <v>0</v>
      </c>
      <c r="AO76" s="231"/>
      <c r="AP76" s="57"/>
      <c r="AS76" s="209"/>
      <c r="AT76" s="434"/>
      <c r="AU76" s="435"/>
      <c r="AV76" s="270">
        <f t="shared" si="35"/>
        <v>0</v>
      </c>
      <c r="AW76" s="270">
        <f t="shared" si="36"/>
        <v>0</v>
      </c>
      <c r="AX76" s="39"/>
      <c r="AY76" s="33"/>
      <c r="AZ76" s="287" t="str">
        <f>IF(AV76-AW76&lt;=0," ",AV76-AW76)</f>
        <v xml:space="preserve"> </v>
      </c>
      <c r="BA76" s="209">
        <f>IF(AV76-AW76&gt;0," ",AW76-AV76)</f>
        <v>0</v>
      </c>
    </row>
    <row r="77" spans="1:53" x14ac:dyDescent="0.2">
      <c r="A77" s="39"/>
      <c r="C77" s="426" t="s">
        <v>359</v>
      </c>
      <c r="D77" s="423"/>
      <c r="E77" s="424"/>
      <c r="F77" s="425"/>
      <c r="G77" s="425"/>
      <c r="H77" s="425"/>
      <c r="I77" s="425"/>
      <c r="J77" s="425"/>
      <c r="K77" s="425"/>
      <c r="L77" s="427"/>
      <c r="M77" s="425"/>
      <c r="N77" s="425"/>
      <c r="O77" s="425"/>
      <c r="P77" s="428"/>
      <c r="Q77" s="428"/>
      <c r="R77" s="428"/>
      <c r="S77" s="428"/>
      <c r="T77" s="428"/>
      <c r="U77" s="428"/>
      <c r="V77" s="428"/>
      <c r="W77" s="428"/>
      <c r="X77" s="426"/>
      <c r="Y77" s="426"/>
      <c r="Z77" s="426"/>
      <c r="AA77" s="426"/>
      <c r="AB77" s="261">
        <f t="shared" si="2"/>
        <v>0</v>
      </c>
      <c r="AC77" s="259">
        <f t="shared" si="3"/>
        <v>0</v>
      </c>
      <c r="AD77" s="260">
        <f t="shared" si="5"/>
        <v>0</v>
      </c>
      <c r="AE77" s="262">
        <f t="shared" si="4"/>
        <v>0</v>
      </c>
      <c r="AF77" s="425"/>
      <c r="AG77" s="425"/>
      <c r="AH77" s="260"/>
      <c r="AI77" s="262"/>
      <c r="AJ77" s="263" t="str">
        <f>'E. Capital Outlay'!D53</f>
        <v>E.1</v>
      </c>
      <c r="AK77" s="264">
        <f>'E. Capital Outlay'!L63</f>
        <v>0</v>
      </c>
      <c r="AL77" s="259"/>
      <c r="AM77" s="263" t="str">
        <f>'F.  Other Cap Asset Entries'!D214</f>
        <v>F.1</v>
      </c>
      <c r="AN77" s="264">
        <f>'F.  Other Cap Asset Entries'!O236</f>
        <v>0</v>
      </c>
      <c r="AO77" s="265"/>
      <c r="AP77" s="264"/>
      <c r="AQ77" s="258"/>
      <c r="AR77" s="263"/>
      <c r="AS77" s="266"/>
      <c r="AT77" s="434"/>
      <c r="AU77" s="435"/>
      <c r="AV77" s="264">
        <f t="shared" si="29"/>
        <v>0</v>
      </c>
      <c r="AW77" s="264">
        <f t="shared" si="30"/>
        <v>0</v>
      </c>
      <c r="AX77" s="256"/>
      <c r="AY77" s="257"/>
      <c r="AZ77" s="288" t="str">
        <f>IF((AV77+AV78+AV79)-(AW77+AW78+AW79)&lt;=0," ",(AV77+AV78+AV79)-(AW77+AW78+AW79))</f>
        <v xml:space="preserve"> </v>
      </c>
      <c r="BA77" s="266">
        <f>IF((AV77+AV78+AV79)-(AW77+AW78+AW79)&gt;0," ",(AW77+AW78+AW79)-(AV77+AV78+AV79))</f>
        <v>0</v>
      </c>
    </row>
    <row r="78" spans="1:53" x14ac:dyDescent="0.2">
      <c r="A78" s="39"/>
      <c r="C78" s="258"/>
      <c r="D78" s="423"/>
      <c r="E78" s="424"/>
      <c r="F78" s="425"/>
      <c r="G78" s="425"/>
      <c r="H78" s="425"/>
      <c r="I78" s="425"/>
      <c r="J78" s="425"/>
      <c r="K78" s="425"/>
      <c r="L78" s="427"/>
      <c r="M78" s="425"/>
      <c r="N78" s="425"/>
      <c r="O78" s="425"/>
      <c r="P78" s="428"/>
      <c r="Q78" s="428"/>
      <c r="R78" s="428"/>
      <c r="S78" s="428"/>
      <c r="T78" s="428"/>
      <c r="U78" s="428"/>
      <c r="V78" s="428"/>
      <c r="W78" s="428"/>
      <c r="X78" s="426"/>
      <c r="Y78" s="426"/>
      <c r="Z78" s="426"/>
      <c r="AA78" s="426"/>
      <c r="AB78" s="261">
        <f t="shared" si="2"/>
        <v>0</v>
      </c>
      <c r="AC78" s="259">
        <f t="shared" si="3"/>
        <v>0</v>
      </c>
      <c r="AD78" s="260">
        <f t="shared" si="5"/>
        <v>0</v>
      </c>
      <c r="AE78" s="262">
        <f t="shared" si="4"/>
        <v>0</v>
      </c>
      <c r="AF78" s="425"/>
      <c r="AG78" s="425"/>
      <c r="AH78" s="260"/>
      <c r="AI78" s="262"/>
      <c r="AJ78" s="263" t="str">
        <f>'F.  Other Cap Asset Entries'!D214</f>
        <v>F.1</v>
      </c>
      <c r="AK78" s="264">
        <f>'F.  Other Cap Asset Entries'!M236</f>
        <v>0</v>
      </c>
      <c r="AL78" s="259"/>
      <c r="AM78" s="263" t="s">
        <v>951</v>
      </c>
      <c r="AN78" s="264">
        <f>'F.  Other Cap Asset Entries'!O273</f>
        <v>0</v>
      </c>
      <c r="AO78" s="265"/>
      <c r="AP78" s="264"/>
      <c r="AQ78" s="258"/>
      <c r="AR78" s="263"/>
      <c r="AS78" s="266"/>
      <c r="AT78" s="434"/>
      <c r="AU78" s="435"/>
      <c r="AV78" s="264">
        <f t="shared" si="29"/>
        <v>0</v>
      </c>
      <c r="AW78" s="264">
        <f t="shared" si="30"/>
        <v>0</v>
      </c>
      <c r="AX78" s="256"/>
      <c r="AY78" s="257"/>
      <c r="AZ78" s="288"/>
      <c r="BA78" s="266"/>
    </row>
    <row r="79" spans="1:53" x14ac:dyDescent="0.2">
      <c r="A79" s="39"/>
      <c r="C79" s="258"/>
      <c r="D79" s="423"/>
      <c r="E79" s="424"/>
      <c r="F79" s="425"/>
      <c r="G79" s="425"/>
      <c r="H79" s="425"/>
      <c r="I79" s="425"/>
      <c r="J79" s="425"/>
      <c r="K79" s="425"/>
      <c r="L79" s="427"/>
      <c r="M79" s="425"/>
      <c r="N79" s="425"/>
      <c r="O79" s="425"/>
      <c r="P79" s="428"/>
      <c r="Q79" s="428"/>
      <c r="R79" s="428"/>
      <c r="S79" s="428"/>
      <c r="T79" s="428"/>
      <c r="U79" s="428"/>
      <c r="V79" s="428"/>
      <c r="W79" s="428"/>
      <c r="X79" s="426"/>
      <c r="Y79" s="426"/>
      <c r="Z79" s="426"/>
      <c r="AA79" s="426"/>
      <c r="AB79" s="261">
        <f t="shared" si="2"/>
        <v>0</v>
      </c>
      <c r="AC79" s="259">
        <f t="shared" si="3"/>
        <v>0</v>
      </c>
      <c r="AD79" s="260">
        <f t="shared" si="5"/>
        <v>0</v>
      </c>
      <c r="AE79" s="262">
        <f t="shared" si="4"/>
        <v>0</v>
      </c>
      <c r="AF79" s="425"/>
      <c r="AG79" s="425"/>
      <c r="AH79" s="260"/>
      <c r="AI79" s="262"/>
      <c r="AJ79" s="263" t="str">
        <f>'F.  Other Cap Asset Entries'!D240</f>
        <v>F.2</v>
      </c>
      <c r="AK79" s="264">
        <f>'F.  Other Cap Asset Entries'!M249</f>
        <v>0</v>
      </c>
      <c r="AL79" s="259"/>
      <c r="AM79" s="263"/>
      <c r="AN79" s="264"/>
      <c r="AO79" s="265"/>
      <c r="AP79" s="264"/>
      <c r="AQ79" s="258"/>
      <c r="AR79" s="263"/>
      <c r="AS79" s="266"/>
      <c r="AT79" s="434"/>
      <c r="AU79" s="435"/>
      <c r="AV79" s="264">
        <f t="shared" si="29"/>
        <v>0</v>
      </c>
      <c r="AW79" s="264">
        <f t="shared" si="30"/>
        <v>0</v>
      </c>
      <c r="AX79" s="256"/>
      <c r="AY79" s="257"/>
      <c r="AZ79" s="288"/>
      <c r="BA79" s="266"/>
    </row>
    <row r="80" spans="1:53" x14ac:dyDescent="0.2">
      <c r="A80" s="39"/>
      <c r="C80" s="415" t="s">
        <v>408</v>
      </c>
      <c r="D80" s="418"/>
      <c r="E80" s="419"/>
      <c r="F80" s="414"/>
      <c r="G80" s="414"/>
      <c r="H80" s="414"/>
      <c r="I80" s="414"/>
      <c r="J80" s="414"/>
      <c r="K80" s="414"/>
      <c r="L80" s="416"/>
      <c r="M80" s="414"/>
      <c r="N80" s="414"/>
      <c r="O80" s="414"/>
      <c r="P80" s="417"/>
      <c r="Q80" s="417"/>
      <c r="R80" s="417"/>
      <c r="S80" s="417"/>
      <c r="T80" s="417"/>
      <c r="U80" s="417"/>
      <c r="V80" s="417"/>
      <c r="W80" s="417"/>
      <c r="X80" s="415"/>
      <c r="Y80" s="415"/>
      <c r="Z80" s="415"/>
      <c r="AA80" s="415"/>
      <c r="AB80" s="9">
        <f t="shared" si="2"/>
        <v>0</v>
      </c>
      <c r="AC80" s="5">
        <f t="shared" si="3"/>
        <v>0</v>
      </c>
      <c r="AD80" s="26">
        <f t="shared" si="5"/>
        <v>0</v>
      </c>
      <c r="AE80" s="21">
        <f t="shared" si="4"/>
        <v>0</v>
      </c>
      <c r="AF80" s="414"/>
      <c r="AG80" s="414"/>
      <c r="AH80" s="26"/>
      <c r="AI80" s="21"/>
      <c r="AJ80" s="226" t="str">
        <f>'F.  Other Cap Asset Entries'!D214</f>
        <v>F.1</v>
      </c>
      <c r="AK80" s="57">
        <f>'F.  Other Cap Asset Entries'!M221</f>
        <v>0</v>
      </c>
      <c r="AL80" s="5"/>
      <c r="AM80" s="226" t="str">
        <f>'D. Depreciation'!A55</f>
        <v>D.1</v>
      </c>
      <c r="AN80" s="57">
        <f>'D. Depreciation'!L72</f>
        <v>0</v>
      </c>
      <c r="AO80" s="231"/>
      <c r="AP80" s="57"/>
      <c r="AS80" s="209"/>
      <c r="AT80" s="434"/>
      <c r="AU80" s="435"/>
      <c r="AV80" s="270">
        <f t="shared" si="29"/>
        <v>0</v>
      </c>
      <c r="AW80" s="270">
        <f t="shared" si="30"/>
        <v>0</v>
      </c>
      <c r="AX80" s="39"/>
      <c r="AY80" s="33"/>
      <c r="AZ80" s="287" t="str">
        <f>IF(AV80-AW80&lt;=0," ",AV80-AW80)</f>
        <v xml:space="preserve"> </v>
      </c>
      <c r="BA80" s="209">
        <f>IF(AV80-AW80&gt;0," ",AW80-AV80)</f>
        <v>0</v>
      </c>
    </row>
    <row r="81" spans="1:53" x14ac:dyDescent="0.2">
      <c r="A81" s="39"/>
      <c r="C81" t="s">
        <v>912</v>
      </c>
      <c r="D81" s="418"/>
      <c r="E81" s="419"/>
      <c r="F81" s="414"/>
      <c r="G81" s="414"/>
      <c r="H81" s="414"/>
      <c r="I81" s="414"/>
      <c r="J81" s="414"/>
      <c r="K81" s="414"/>
      <c r="L81" s="416"/>
      <c r="M81" s="414"/>
      <c r="N81" s="414"/>
      <c r="O81" s="414"/>
      <c r="P81" s="417"/>
      <c r="Q81" s="417"/>
      <c r="R81" s="417"/>
      <c r="S81" s="417"/>
      <c r="T81" s="417"/>
      <c r="U81" s="417"/>
      <c r="V81" s="417"/>
      <c r="W81" s="417"/>
      <c r="X81" s="415"/>
      <c r="Y81" s="415"/>
      <c r="Z81" s="415"/>
      <c r="AA81" s="415"/>
      <c r="AB81" s="9">
        <f t="shared" si="2"/>
        <v>0</v>
      </c>
      <c r="AC81" s="5">
        <f t="shared" si="3"/>
        <v>0</v>
      </c>
      <c r="AD81" s="26">
        <f t="shared" si="5"/>
        <v>0</v>
      </c>
      <c r="AE81" s="21">
        <f t="shared" si="4"/>
        <v>0</v>
      </c>
      <c r="AF81" s="414"/>
      <c r="AG81" s="414"/>
      <c r="AH81" s="26"/>
      <c r="AI81" s="21"/>
      <c r="AJ81" s="226" t="str">
        <f>'I.  Other Asset Entries'!B105</f>
        <v>I.1</v>
      </c>
      <c r="AK81" s="57">
        <f>'I.  Other Asset Entries'!L105</f>
        <v>0</v>
      </c>
      <c r="AL81" s="5"/>
      <c r="AN81" s="57"/>
      <c r="AO81" s="231"/>
      <c r="AP81" s="57"/>
      <c r="AS81" s="209"/>
      <c r="AT81" s="434"/>
      <c r="AU81" s="435"/>
      <c r="AV81" s="270">
        <f t="shared" si="29"/>
        <v>0</v>
      </c>
      <c r="AW81" s="270">
        <f t="shared" si="30"/>
        <v>0</v>
      </c>
      <c r="AX81" s="39"/>
      <c r="AY81" s="33"/>
      <c r="AZ81" s="287" t="str">
        <f>IF(AV81-AW81&lt;=0," ",AV81-AW81)</f>
        <v xml:space="preserve"> </v>
      </c>
      <c r="BA81" s="209">
        <f>IF(AV81-AW81&gt;0," ",AW81-AV81)</f>
        <v>0</v>
      </c>
    </row>
    <row r="82" spans="1:53" ht="5.25" customHeight="1" x14ac:dyDescent="0.2">
      <c r="A82" s="39"/>
      <c r="D82" s="418"/>
      <c r="E82" s="419"/>
      <c r="F82" s="414"/>
      <c r="G82" s="414"/>
      <c r="H82" s="414"/>
      <c r="I82" s="414"/>
      <c r="J82" s="414"/>
      <c r="K82" s="414"/>
      <c r="L82" s="416"/>
      <c r="M82" s="414"/>
      <c r="N82" s="414"/>
      <c r="O82" s="414"/>
      <c r="P82" s="417"/>
      <c r="Q82" s="417"/>
      <c r="R82" s="417"/>
      <c r="S82" s="417"/>
      <c r="T82" s="417"/>
      <c r="U82" s="417"/>
      <c r="V82" s="417"/>
      <c r="W82" s="417"/>
      <c r="X82" s="415"/>
      <c r="Y82" s="415"/>
      <c r="Z82" s="415"/>
      <c r="AA82" s="415"/>
      <c r="AB82" s="9">
        <f t="shared" si="2"/>
        <v>0</v>
      </c>
      <c r="AC82" s="5">
        <f t="shared" si="3"/>
        <v>0</v>
      </c>
      <c r="AD82" s="26">
        <f t="shared" si="5"/>
        <v>0</v>
      </c>
      <c r="AE82" s="21">
        <f t="shared" si="4"/>
        <v>0</v>
      </c>
      <c r="AF82" s="414"/>
      <c r="AG82" s="414"/>
      <c r="AH82" s="26"/>
      <c r="AI82" s="21"/>
      <c r="AK82" s="57"/>
      <c r="AL82" s="5"/>
      <c r="AN82" s="57"/>
      <c r="AO82" s="231"/>
      <c r="AP82" s="57"/>
      <c r="AS82" s="209"/>
      <c r="AT82" s="434"/>
      <c r="AU82" s="435"/>
      <c r="AV82" s="270">
        <f t="shared" si="29"/>
        <v>0</v>
      </c>
      <c r="AW82" s="270">
        <f t="shared" si="30"/>
        <v>0</v>
      </c>
      <c r="AX82" s="39"/>
      <c r="AY82" s="33"/>
      <c r="AZ82" s="287" t="str">
        <f>IF(AV82-AW82&lt;=0," ",AV82-AW82)</f>
        <v xml:space="preserve"> </v>
      </c>
      <c r="BA82" s="209">
        <f>IF(AV82-AW82&gt;0," ",AW82-AV82)</f>
        <v>0</v>
      </c>
    </row>
    <row r="83" spans="1:53" x14ac:dyDescent="0.2">
      <c r="A83" s="39"/>
      <c r="B83" s="4" t="s">
        <v>1109</v>
      </c>
      <c r="D83" s="418"/>
      <c r="E83" s="419"/>
      <c r="F83" s="414"/>
      <c r="G83" s="414"/>
      <c r="H83" s="414"/>
      <c r="I83" s="414"/>
      <c r="J83" s="414"/>
      <c r="K83" s="415"/>
      <c r="L83" s="416"/>
      <c r="M83" s="414"/>
      <c r="N83" s="414"/>
      <c r="O83" s="414"/>
      <c r="P83" s="417"/>
      <c r="Q83" s="417"/>
      <c r="R83" s="417"/>
      <c r="S83" s="417"/>
      <c r="T83" s="417"/>
      <c r="U83" s="417"/>
      <c r="V83" s="417"/>
      <c r="W83" s="417"/>
      <c r="X83" s="415"/>
      <c r="Y83" s="415"/>
      <c r="Z83" s="415"/>
      <c r="AA83" s="415"/>
      <c r="AB83" s="9"/>
      <c r="AD83" s="26"/>
      <c r="AE83" s="21"/>
      <c r="AF83" s="414"/>
      <c r="AG83" s="414"/>
      <c r="AH83" s="26"/>
      <c r="AI83" s="21"/>
      <c r="AK83" s="57"/>
      <c r="AL83" s="5"/>
      <c r="AN83" s="57"/>
      <c r="AO83" s="231"/>
      <c r="AP83" s="57"/>
      <c r="AR83" s="393"/>
      <c r="AS83" s="210"/>
      <c r="AT83" s="434"/>
      <c r="AU83" s="435"/>
      <c r="AV83" s="270"/>
      <c r="AW83" s="270"/>
      <c r="AX83" s="39"/>
      <c r="AY83" s="33"/>
      <c r="AZ83" s="287"/>
      <c r="BA83" s="209"/>
    </row>
    <row r="84" spans="1:53" x14ac:dyDescent="0.2">
      <c r="A84" s="39"/>
      <c r="C84" t="s">
        <v>826</v>
      </c>
      <c r="D84" s="418"/>
      <c r="E84" s="419"/>
      <c r="F84" s="414"/>
      <c r="G84" s="414"/>
      <c r="H84" s="414"/>
      <c r="I84" s="414"/>
      <c r="J84" s="414"/>
      <c r="K84" s="415"/>
      <c r="L84" s="416"/>
      <c r="M84" s="414"/>
      <c r="N84" s="414"/>
      <c r="O84" s="414"/>
      <c r="P84" s="417"/>
      <c r="Q84" s="417"/>
      <c r="R84" s="417"/>
      <c r="S84" s="417"/>
      <c r="T84" s="417"/>
      <c r="U84" s="417"/>
      <c r="V84" s="417"/>
      <c r="W84" s="417"/>
      <c r="X84" s="415"/>
      <c r="Y84" s="415"/>
      <c r="Z84" s="415"/>
      <c r="AA84" s="415"/>
      <c r="AB84" s="9">
        <f>L84+N84+P84+R84+T84+V84+X84+Z84</f>
        <v>0</v>
      </c>
      <c r="AC84" s="5">
        <f>M84+O84+Q84+S84+U84+W84+Y84+AA84</f>
        <v>0</v>
      </c>
      <c r="AD84" s="26">
        <f>D84+F84+H84+J84+AB84</f>
        <v>0</v>
      </c>
      <c r="AE84" s="21">
        <f>E84+G84+I84+K84+AC84</f>
        <v>0</v>
      </c>
      <c r="AF84" s="414"/>
      <c r="AG84" s="414"/>
      <c r="AH84" s="26"/>
      <c r="AI84" s="21"/>
      <c r="AJ84" s="226" t="str">
        <f>'H. Debt Issues'!D77</f>
        <v>H.1</v>
      </c>
      <c r="AK84" s="57">
        <f>'H. Debt Issues'!L84</f>
        <v>0</v>
      </c>
      <c r="AL84" s="5"/>
      <c r="AM84" s="226" t="str">
        <f>'H. Debt Issues'!D77</f>
        <v>H.1</v>
      </c>
      <c r="AN84" s="57">
        <f>'H. Debt Issues'!N84</f>
        <v>0</v>
      </c>
      <c r="AO84" s="231"/>
      <c r="AP84" s="57"/>
      <c r="AS84" s="209"/>
      <c r="AT84" s="434"/>
      <c r="AU84" s="435"/>
      <c r="AV84" s="270">
        <f>AD84+AF84+AH84+AK84+AP84+AT84</f>
        <v>0</v>
      </c>
      <c r="AW84" s="270">
        <f>AE84+AG84+AI84+AN84+AS84+AU84</f>
        <v>0</v>
      </c>
      <c r="AX84" s="39"/>
      <c r="AY84" s="33"/>
      <c r="AZ84" s="287" t="str">
        <f>IF(AV84-AW84&lt;=0," ",AV84-AW84)</f>
        <v xml:space="preserve"> </v>
      </c>
      <c r="BA84" s="209">
        <f>IF(AV84-AW84&gt;0," ",AW84-AV84)</f>
        <v>0</v>
      </c>
    </row>
    <row r="85" spans="1:53" ht="25.5" x14ac:dyDescent="0.2">
      <c r="A85" s="39"/>
      <c r="C85" s="46" t="s">
        <v>3526</v>
      </c>
      <c r="D85" s="418"/>
      <c r="E85" s="419"/>
      <c r="F85" s="414"/>
      <c r="G85" s="414"/>
      <c r="H85" s="414"/>
      <c r="I85" s="414"/>
      <c r="J85" s="414"/>
      <c r="K85" s="415"/>
      <c r="L85" s="416"/>
      <c r="M85" s="414"/>
      <c r="N85" s="414"/>
      <c r="O85" s="414"/>
      <c r="P85" s="417"/>
      <c r="Q85" s="417"/>
      <c r="R85" s="417"/>
      <c r="S85" s="417"/>
      <c r="T85" s="417"/>
      <c r="U85" s="417"/>
      <c r="V85" s="417"/>
      <c r="W85" s="417"/>
      <c r="X85" s="415"/>
      <c r="Y85" s="415"/>
      <c r="Z85" s="415"/>
      <c r="AA85" s="415"/>
      <c r="AB85" s="9">
        <f t="shared" ref="AB85:AB92" si="37">L85+N85+P85+R85+T85+V85+X85+Z85</f>
        <v>0</v>
      </c>
      <c r="AC85" s="5">
        <f t="shared" ref="AC85:AC92" si="38">M85+O85+Q85+S85+U85+W85+Y85+AA85</f>
        <v>0</v>
      </c>
      <c r="AD85" s="26">
        <f t="shared" ref="AD85:AD92" si="39">D85+F85+H85+J85+AB85</f>
        <v>0</v>
      </c>
      <c r="AE85" s="21">
        <f t="shared" ref="AE85:AE92" si="40">E85+G85+I85+K85+AC85</f>
        <v>0</v>
      </c>
      <c r="AF85" s="414">
        <f>'N.1 GASB 68 LGERS'!C75*'N.1 GASB 68 LGERS'!C17</f>
        <v>0</v>
      </c>
      <c r="AG85" s="414"/>
      <c r="AH85" s="26"/>
      <c r="AI85" s="21"/>
      <c r="AJ85" s="226" t="s">
        <v>849</v>
      </c>
      <c r="AK85" s="57">
        <f>'J. Other Liability &amp; Expenses'!L196</f>
        <v>0</v>
      </c>
      <c r="AL85" s="5"/>
      <c r="AM85" s="226" t="s">
        <v>2048</v>
      </c>
      <c r="AN85" s="57">
        <f>'N.1 GASB 68 LGERS'!D113</f>
        <v>0</v>
      </c>
      <c r="AO85" s="231" t="s">
        <v>671</v>
      </c>
      <c r="AP85" s="57">
        <f>'K.1  Int. Service Fd Allocation'!E173+'K.2  Int. Service Fd Alloca'!E166+'K.3 Int. Service Fd Alloca'!E166</f>
        <v>0</v>
      </c>
      <c r="AS85" s="209"/>
      <c r="AT85" s="434"/>
      <c r="AU85" s="435"/>
      <c r="AV85" s="270">
        <f>AD85+AF85+AH85+AK85+AP85+AT85+AD86+AF86+AH86+AK86+AP86+AT86</f>
        <v>0</v>
      </c>
      <c r="AW85" s="270">
        <f>AE85+AG85+AI85+AN85+AS85+AU85+AE86+AG86+AI86+AN86+AS86+AU86</f>
        <v>0</v>
      </c>
      <c r="AX85" s="39"/>
      <c r="AY85" s="33"/>
      <c r="AZ85" s="293" t="str">
        <f>IF((AV85)-(AW85)&lt;=0," ",(AV85)-(AW85))</f>
        <v xml:space="preserve"> </v>
      </c>
      <c r="BA85" s="209">
        <f t="shared" ref="BA85:BA92" si="41">IF(AV85-AW85&gt;0," ",AW85-AV85)</f>
        <v>0</v>
      </c>
    </row>
    <row r="86" spans="1:53" x14ac:dyDescent="0.2">
      <c r="A86" s="39"/>
      <c r="C86" s="46"/>
      <c r="D86" s="418"/>
      <c r="E86" s="419"/>
      <c r="F86" s="414"/>
      <c r="G86" s="414"/>
      <c r="H86" s="414"/>
      <c r="I86" s="414"/>
      <c r="J86" s="414"/>
      <c r="K86" s="415"/>
      <c r="L86" s="416"/>
      <c r="M86" s="414"/>
      <c r="N86" s="414"/>
      <c r="O86" s="414"/>
      <c r="P86" s="417"/>
      <c r="Q86" s="417"/>
      <c r="R86" s="417"/>
      <c r="S86" s="417"/>
      <c r="T86" s="417"/>
      <c r="U86" s="417"/>
      <c r="V86" s="417"/>
      <c r="W86" s="417"/>
      <c r="X86" s="415"/>
      <c r="Y86" s="415"/>
      <c r="Z86" s="415"/>
      <c r="AA86" s="415"/>
      <c r="AB86" s="9"/>
      <c r="AD86" s="26"/>
      <c r="AE86" s="21"/>
      <c r="AF86" s="414">
        <f>'O. GASB 73 LEO Entries'!C7+'O. GASB 73 LEO Entries'!C13</f>
        <v>0</v>
      </c>
      <c r="AG86" s="414"/>
      <c r="AH86" s="26"/>
      <c r="AI86" s="21"/>
      <c r="AJ86" s="226" t="s">
        <v>3525</v>
      </c>
      <c r="AK86" s="57">
        <f>'O. GASB 73 LEO Entries'!C74</f>
        <v>0</v>
      </c>
      <c r="AL86" s="5"/>
      <c r="AM86" s="226" t="s">
        <v>3525</v>
      </c>
      <c r="AN86" s="56"/>
      <c r="AO86" s="231"/>
      <c r="AP86" s="57"/>
      <c r="AS86" s="209"/>
      <c r="AT86" s="434"/>
      <c r="AU86" s="435"/>
      <c r="AV86" s="270"/>
      <c r="AW86" s="270"/>
      <c r="AX86" s="39"/>
      <c r="AY86" s="33"/>
      <c r="AZ86" s="293"/>
      <c r="BA86" s="209"/>
    </row>
    <row r="87" spans="1:53" ht="38.25" x14ac:dyDescent="0.2">
      <c r="A87" s="39"/>
      <c r="C87" s="572" t="s">
        <v>3496</v>
      </c>
      <c r="D87" s="418"/>
      <c r="E87" s="419"/>
      <c r="F87" s="414"/>
      <c r="G87" s="414"/>
      <c r="H87" s="414"/>
      <c r="I87" s="414"/>
      <c r="J87" s="414"/>
      <c r="K87" s="415"/>
      <c r="L87" s="416"/>
      <c r="M87" s="414"/>
      <c r="N87" s="414"/>
      <c r="O87" s="414"/>
      <c r="P87" s="417"/>
      <c r="Q87" s="417"/>
      <c r="R87" s="417"/>
      <c r="S87" s="417"/>
      <c r="T87" s="417"/>
      <c r="U87" s="417"/>
      <c r="V87" s="417"/>
      <c r="W87" s="417"/>
      <c r="X87" s="415"/>
      <c r="Y87" s="415"/>
      <c r="Z87" s="415"/>
      <c r="AA87" s="415"/>
      <c r="AB87" s="9">
        <f t="shared" si="37"/>
        <v>0</v>
      </c>
      <c r="AC87" s="5">
        <f t="shared" si="38"/>
        <v>0</v>
      </c>
      <c r="AD87" s="26">
        <f t="shared" si="39"/>
        <v>0</v>
      </c>
      <c r="AE87" s="21">
        <f t="shared" si="40"/>
        <v>0</v>
      </c>
      <c r="AF87" s="414" t="e">
        <f>'N.1 GASB 68 LGERS'!C75*'N.1 GASB 68 LGERS'!M39</f>
        <v>#VALUE!</v>
      </c>
      <c r="AG87" s="414"/>
      <c r="AH87" s="26"/>
      <c r="AI87" s="21"/>
      <c r="AJ87" s="226" t="s">
        <v>2048</v>
      </c>
      <c r="AK87" s="57" t="e">
        <f>'N.1 GASB 68 LGERS'!C108</f>
        <v>#VALUE!</v>
      </c>
      <c r="AL87" s="5"/>
      <c r="AM87" s="226" t="s">
        <v>2048</v>
      </c>
      <c r="AN87" s="57" t="e">
        <f>'N.1 GASB 68 LGERS'!D108</f>
        <v>#VALUE!</v>
      </c>
      <c r="AO87" s="231" t="s">
        <v>2082</v>
      </c>
      <c r="AP87" s="57">
        <f>'K.1  Int. Service Fd Allocation'!E177+'K.2  Int. Service Fd Alloca'!E170+'K.3 Int. Service Fd Alloca'!E170</f>
        <v>0</v>
      </c>
      <c r="AS87" s="209"/>
      <c r="AT87" s="434"/>
      <c r="AU87" s="435"/>
      <c r="AV87" s="270" t="e">
        <f>AD87+AF87+AH87+AK87+AP87+AT87</f>
        <v>#VALUE!</v>
      </c>
      <c r="AW87" s="270" t="e">
        <f>AE87+AG87+AI87+AN87+AS87+AU87</f>
        <v>#VALUE!</v>
      </c>
      <c r="AX87" s="39"/>
      <c r="AY87" s="33"/>
      <c r="AZ87" s="293" t="e">
        <f t="shared" ref="AZ87:AZ92" si="42">IF((AV87)-(AW87)&lt;=0," ",(AV87)-(AW87))</f>
        <v>#VALUE!</v>
      </c>
      <c r="BA87" s="209" t="e">
        <f t="shared" si="41"/>
        <v>#VALUE!</v>
      </c>
    </row>
    <row r="88" spans="1:53" ht="25.5" x14ac:dyDescent="0.2">
      <c r="A88" s="39"/>
      <c r="C88" s="572" t="s">
        <v>3497</v>
      </c>
      <c r="D88" s="418"/>
      <c r="E88" s="419"/>
      <c r="F88" s="414"/>
      <c r="G88" s="414"/>
      <c r="H88" s="414"/>
      <c r="I88" s="414"/>
      <c r="J88" s="414"/>
      <c r="K88" s="415"/>
      <c r="L88" s="416"/>
      <c r="M88" s="414"/>
      <c r="N88" s="414"/>
      <c r="O88" s="414"/>
      <c r="P88" s="417"/>
      <c r="Q88" s="417"/>
      <c r="R88" s="417"/>
      <c r="S88" s="417"/>
      <c r="T88" s="417"/>
      <c r="U88" s="417"/>
      <c r="V88" s="417"/>
      <c r="W88" s="417"/>
      <c r="X88" s="415"/>
      <c r="Y88" s="415"/>
      <c r="Z88" s="415"/>
      <c r="AA88" s="415"/>
      <c r="AB88" s="9">
        <f t="shared" si="37"/>
        <v>0</v>
      </c>
      <c r="AC88" s="5">
        <f t="shared" si="38"/>
        <v>0</v>
      </c>
      <c r="AD88" s="26">
        <f t="shared" si="39"/>
        <v>0</v>
      </c>
      <c r="AE88" s="21">
        <f t="shared" si="40"/>
        <v>0</v>
      </c>
      <c r="AF88" s="414" t="e">
        <f>'N.1 GASB 68 LGERS'!C75*'N.1 GASB 68 LGERS'!J39</f>
        <v>#VALUE!</v>
      </c>
      <c r="AG88" s="414"/>
      <c r="AH88" s="26"/>
      <c r="AI88" s="21"/>
      <c r="AJ88" s="226" t="s">
        <v>2048</v>
      </c>
      <c r="AK88" s="57" t="e">
        <f>'N.1 GASB 68 LGERS'!C105</f>
        <v>#VALUE!</v>
      </c>
      <c r="AL88" s="5"/>
      <c r="AM88" s="226" t="s">
        <v>2048</v>
      </c>
      <c r="AN88" s="57" t="e">
        <f>'N.1 GASB 68 LGERS'!D105</f>
        <v>#VALUE!</v>
      </c>
      <c r="AO88" s="231" t="s">
        <v>2082</v>
      </c>
      <c r="AP88" s="57">
        <f>'K.1  Int. Service Fd Allocation'!E176+'K.2  Int. Service Fd Alloca'!E169+'K.3 Int. Service Fd Alloca'!E169</f>
        <v>0</v>
      </c>
      <c r="AS88" s="209"/>
      <c r="AT88" s="434"/>
      <c r="AU88" s="435"/>
      <c r="AV88" s="270" t="e">
        <f>AD88+AF88+AH88+AK88+AP88+AT88+AD89+AF89+AH89+AK89+AP89+AT89</f>
        <v>#VALUE!</v>
      </c>
      <c r="AW88" s="270" t="e">
        <f>AE88+AG88+AI88+AN88+AS88+AU88+AE89+AG89+AI89+AN89+AS89+AU89</f>
        <v>#VALUE!</v>
      </c>
      <c r="AX88" s="39"/>
      <c r="AY88" s="33"/>
      <c r="AZ88" s="293" t="e">
        <f>IF((AV88)-(AW88)&lt;=0," ",(AV88)-(AW88))</f>
        <v>#VALUE!</v>
      </c>
      <c r="BA88" s="209" t="e">
        <f t="shared" si="41"/>
        <v>#VALUE!</v>
      </c>
    </row>
    <row r="89" spans="1:53" x14ac:dyDescent="0.2">
      <c r="A89" s="39"/>
      <c r="C89" s="572"/>
      <c r="D89" s="418"/>
      <c r="E89" s="419"/>
      <c r="F89" s="414"/>
      <c r="G89" s="414"/>
      <c r="H89" s="414"/>
      <c r="I89" s="414"/>
      <c r="J89" s="414"/>
      <c r="K89" s="415"/>
      <c r="L89" s="416"/>
      <c r="M89" s="414"/>
      <c r="N89" s="414"/>
      <c r="O89" s="414"/>
      <c r="P89" s="417"/>
      <c r="Q89" s="417"/>
      <c r="R89" s="417"/>
      <c r="S89" s="417"/>
      <c r="T89" s="417"/>
      <c r="U89" s="417"/>
      <c r="V89" s="417"/>
      <c r="W89" s="417"/>
      <c r="X89" s="415"/>
      <c r="Y89" s="415"/>
      <c r="Z89" s="415"/>
      <c r="AA89" s="415"/>
      <c r="AB89" s="9"/>
      <c r="AD89" s="26"/>
      <c r="AE89" s="21"/>
      <c r="AF89" s="414">
        <f>'O. GASB 73 LEO Entries'!D32</f>
        <v>0</v>
      </c>
      <c r="AG89" s="414"/>
      <c r="AH89" s="26"/>
      <c r="AI89" s="21"/>
      <c r="AJ89" s="226" t="s">
        <v>3525</v>
      </c>
      <c r="AK89" s="57">
        <f>'O. GASB 73 LEO Entries'!C69</f>
        <v>0</v>
      </c>
      <c r="AL89" s="5"/>
      <c r="AM89" s="226" t="s">
        <v>3525</v>
      </c>
      <c r="AN89" s="57">
        <f>'O. GASB 73 LEO Entries'!D69</f>
        <v>0</v>
      </c>
      <c r="AO89" s="231"/>
      <c r="AP89" s="57"/>
      <c r="AS89" s="209"/>
      <c r="AT89" s="434"/>
      <c r="AU89" s="435"/>
      <c r="AV89" s="270"/>
      <c r="AW89" s="270"/>
      <c r="AX89" s="39"/>
      <c r="AY89" s="33"/>
      <c r="AZ89" s="293"/>
      <c r="BA89" s="209"/>
    </row>
    <row r="90" spans="1:53" x14ac:dyDescent="0.2">
      <c r="A90" s="39"/>
      <c r="C90" s="571" t="s">
        <v>3498</v>
      </c>
      <c r="D90" s="418"/>
      <c r="E90" s="419"/>
      <c r="F90" s="414"/>
      <c r="G90" s="414"/>
      <c r="H90" s="414"/>
      <c r="I90" s="414"/>
      <c r="J90" s="414"/>
      <c r="K90" s="415"/>
      <c r="L90" s="416"/>
      <c r="M90" s="414"/>
      <c r="N90" s="414"/>
      <c r="O90" s="414"/>
      <c r="P90" s="417"/>
      <c r="Q90" s="417"/>
      <c r="R90" s="417"/>
      <c r="S90" s="417"/>
      <c r="T90" s="417"/>
      <c r="U90" s="417"/>
      <c r="V90" s="417"/>
      <c r="W90" s="417"/>
      <c r="X90" s="415"/>
      <c r="Y90" s="415"/>
      <c r="Z90" s="415"/>
      <c r="AA90" s="415"/>
      <c r="AB90" s="9">
        <f t="shared" si="37"/>
        <v>0</v>
      </c>
      <c r="AC90" s="5">
        <f t="shared" si="38"/>
        <v>0</v>
      </c>
      <c r="AD90" s="26">
        <f t="shared" si="39"/>
        <v>0</v>
      </c>
      <c r="AE90" s="21">
        <f t="shared" si="40"/>
        <v>0</v>
      </c>
      <c r="AF90" s="414" t="e">
        <f>'N.1 GASB 68 LGERS'!C75*'N.1 GASB 68 LGERS'!L39</f>
        <v>#VALUE!</v>
      </c>
      <c r="AG90" s="414"/>
      <c r="AH90" s="26"/>
      <c r="AI90" s="21"/>
      <c r="AJ90" s="226" t="s">
        <v>2048</v>
      </c>
      <c r="AK90" s="57" t="e">
        <f>'N.1 GASB 68 LGERS'!C107</f>
        <v>#VALUE!</v>
      </c>
      <c r="AL90" s="5"/>
      <c r="AM90" s="226" t="s">
        <v>2048</v>
      </c>
      <c r="AN90" s="57" t="e">
        <f>'N.1 GASB 68 LGERS'!D107</f>
        <v>#VALUE!</v>
      </c>
      <c r="AO90" s="231" t="s">
        <v>2082</v>
      </c>
      <c r="AP90" s="57">
        <f>'K.1  Int. Service Fd Allocation'!E174+'K.2  Int. Service Fd Alloca'!E167+'K.3 Int. Service Fd Alloca'!E167</f>
        <v>0</v>
      </c>
      <c r="AS90" s="209"/>
      <c r="AT90" s="434"/>
      <c r="AU90" s="435"/>
      <c r="AV90" s="270" t="e">
        <f>AD90+AF90+AH90+AK90+AP90+AT90+AD91+AF91+AH91+AK91+AP91+AT91</f>
        <v>#VALUE!</v>
      </c>
      <c r="AW90" s="270" t="e">
        <f>AE90+AG90+AI90+AN90+AS90+AU90+AE91+AG91+AI91+AN91+AS91+AU91</f>
        <v>#VALUE!</v>
      </c>
      <c r="AX90" s="39"/>
      <c r="AY90" s="33"/>
      <c r="AZ90" s="293" t="e">
        <f t="shared" si="42"/>
        <v>#VALUE!</v>
      </c>
      <c r="BA90" s="209" t="e">
        <f t="shared" si="41"/>
        <v>#VALUE!</v>
      </c>
    </row>
    <row r="91" spans="1:53" x14ac:dyDescent="0.2">
      <c r="A91" s="39"/>
      <c r="C91" s="571"/>
      <c r="D91" s="418"/>
      <c r="E91" s="419"/>
      <c r="F91" s="414"/>
      <c r="G91" s="414"/>
      <c r="H91" s="414"/>
      <c r="I91" s="414"/>
      <c r="J91" s="414"/>
      <c r="K91" s="415"/>
      <c r="L91" s="416"/>
      <c r="M91" s="414"/>
      <c r="N91" s="414"/>
      <c r="O91" s="414"/>
      <c r="P91" s="417"/>
      <c r="Q91" s="417"/>
      <c r="R91" s="417"/>
      <c r="S91" s="417"/>
      <c r="T91" s="417"/>
      <c r="U91" s="417"/>
      <c r="V91" s="417"/>
      <c r="W91" s="417"/>
      <c r="X91" s="415"/>
      <c r="Y91" s="415"/>
      <c r="Z91" s="415"/>
      <c r="AA91" s="415"/>
      <c r="AB91" s="9"/>
      <c r="AD91" s="26"/>
      <c r="AE91" s="21"/>
      <c r="AF91" s="414"/>
      <c r="AG91" s="414"/>
      <c r="AH91" s="26"/>
      <c r="AI91" s="21"/>
      <c r="AJ91" s="226" t="s">
        <v>3525</v>
      </c>
      <c r="AK91" s="57">
        <f>'O. GASB 73 LEO Entries'!C70</f>
        <v>0</v>
      </c>
      <c r="AL91" s="5"/>
      <c r="AM91" s="226" t="s">
        <v>3525</v>
      </c>
      <c r="AN91" s="57">
        <f>'O. GASB 73 LEO Entries'!D70</f>
        <v>0</v>
      </c>
      <c r="AO91" s="231"/>
      <c r="AP91" s="57"/>
      <c r="AS91" s="209"/>
      <c r="AT91" s="434"/>
      <c r="AU91" s="435"/>
      <c r="AV91" s="270"/>
      <c r="AW91" s="270"/>
      <c r="AX91" s="39"/>
      <c r="AY91" s="33"/>
      <c r="AZ91" s="293"/>
      <c r="BA91" s="209"/>
    </row>
    <row r="92" spans="1:53" ht="38.25" x14ac:dyDescent="0.2">
      <c r="A92" s="39"/>
      <c r="C92" s="572" t="s">
        <v>2538</v>
      </c>
      <c r="D92" s="418"/>
      <c r="E92" s="419"/>
      <c r="F92" s="414"/>
      <c r="G92" s="414"/>
      <c r="H92" s="414"/>
      <c r="I92" s="414"/>
      <c r="J92" s="414"/>
      <c r="K92" s="415"/>
      <c r="L92" s="416"/>
      <c r="M92" s="414"/>
      <c r="N92" s="414"/>
      <c r="O92" s="414"/>
      <c r="P92" s="417"/>
      <c r="Q92" s="417"/>
      <c r="R92" s="417"/>
      <c r="S92" s="417"/>
      <c r="T92" s="417"/>
      <c r="U92" s="417"/>
      <c r="V92" s="417"/>
      <c r="W92" s="417"/>
      <c r="X92" s="415"/>
      <c r="Y92" s="415"/>
      <c r="Z92" s="415"/>
      <c r="AA92" s="415"/>
      <c r="AB92" s="9">
        <f t="shared" si="37"/>
        <v>0</v>
      </c>
      <c r="AC92" s="5">
        <f t="shared" si="38"/>
        <v>0</v>
      </c>
      <c r="AD92" s="26">
        <f t="shared" si="39"/>
        <v>0</v>
      </c>
      <c r="AE92" s="21">
        <f t="shared" si="40"/>
        <v>0</v>
      </c>
      <c r="AF92" s="414" t="e">
        <f>IF(('N.1 GASB 68 LGERS'!K39-'N.1 GASB 68 LGERS'!P39)&gt;0,('N.1 GASB 68 LGERS'!K39-'N.1 GASB 68 LGERS'!P39)*'N.1 GASB 68 LGERS'!C75,0)</f>
        <v>#VALUE!</v>
      </c>
      <c r="AG92" s="414"/>
      <c r="AH92" s="26"/>
      <c r="AI92" s="21"/>
      <c r="AJ92" s="226" t="s">
        <v>2048</v>
      </c>
      <c r="AK92" s="57" t="e">
        <f>'N.1 GASB 68 LGERS'!C106</f>
        <v>#VALUE!</v>
      </c>
      <c r="AL92" s="5"/>
      <c r="AM92" s="226" t="s">
        <v>2048</v>
      </c>
      <c r="AN92" s="57" t="e">
        <f>'N.1 GASB 68 LGERS'!D106</f>
        <v>#VALUE!</v>
      </c>
      <c r="AO92" s="231" t="s">
        <v>2082</v>
      </c>
      <c r="AP92" s="57">
        <f>'K.1  Int. Service Fd Allocation'!E175+'K.2  Int. Service Fd Alloca'!E168+'K.3 Int. Service Fd Alloca'!E168</f>
        <v>0</v>
      </c>
      <c r="AS92" s="209"/>
      <c r="AT92" s="434"/>
      <c r="AU92" s="435"/>
      <c r="AV92" s="270" t="e">
        <f>AD92+AF92+AH92+AK92+AP92+AT92</f>
        <v>#VALUE!</v>
      </c>
      <c r="AW92" s="270" t="e">
        <f>AE92+AG92+AI92+AN92+AS92+AU92</f>
        <v>#VALUE!</v>
      </c>
      <c r="AX92" s="39"/>
      <c r="AY92" s="33"/>
      <c r="AZ92" s="293" t="e">
        <f t="shared" si="42"/>
        <v>#VALUE!</v>
      </c>
      <c r="BA92" s="209" t="e">
        <f t="shared" si="41"/>
        <v>#VALUE!</v>
      </c>
    </row>
    <row r="93" spans="1:53" x14ac:dyDescent="0.2">
      <c r="A93" s="39"/>
      <c r="C93" s="572" t="s">
        <v>3850</v>
      </c>
      <c r="D93" s="418"/>
      <c r="E93" s="419"/>
      <c r="F93" s="414"/>
      <c r="G93" s="414"/>
      <c r="H93" s="414"/>
      <c r="I93" s="414"/>
      <c r="J93" s="414"/>
      <c r="K93" s="415"/>
      <c r="L93" s="416"/>
      <c r="M93" s="414"/>
      <c r="N93" s="414"/>
      <c r="O93" s="414"/>
      <c r="P93" s="417"/>
      <c r="Q93" s="417"/>
      <c r="R93" s="417"/>
      <c r="S93" s="417"/>
      <c r="T93" s="417"/>
      <c r="U93" s="417"/>
      <c r="V93" s="417"/>
      <c r="W93" s="417"/>
      <c r="X93" s="415"/>
      <c r="Y93" s="415"/>
      <c r="Z93" s="415"/>
      <c r="AA93" s="415"/>
      <c r="AB93" s="9"/>
      <c r="AD93" s="26"/>
      <c r="AE93" s="21"/>
      <c r="AF93" s="414"/>
      <c r="AG93" s="414"/>
      <c r="AH93" s="26"/>
      <c r="AI93" s="21"/>
      <c r="AJ93" s="226" t="s">
        <v>3525</v>
      </c>
      <c r="AK93" s="57"/>
      <c r="AL93" s="5"/>
      <c r="AM93" s="226" t="s">
        <v>3525</v>
      </c>
      <c r="AN93" s="57"/>
      <c r="AO93" s="231"/>
      <c r="AP93" s="57"/>
      <c r="AS93" s="209"/>
      <c r="AT93" s="434"/>
      <c r="AU93" s="435"/>
      <c r="AV93" s="270">
        <f>AD93+AF93+AH93+AK93+AP93+AT93</f>
        <v>0</v>
      </c>
      <c r="AW93" s="270">
        <f>AE93+AG93+AI93+AN93+AS93+AU93</f>
        <v>0</v>
      </c>
      <c r="AX93" s="39"/>
      <c r="AY93" s="33"/>
      <c r="AZ93" s="293" t="str">
        <f>IF((AV93)-(AW93)&lt;=0," ",(AV93)-(AW93))</f>
        <v xml:space="preserve"> </v>
      </c>
      <c r="BA93" s="209">
        <f>IF(AV93-AW93&gt;0," ",AW93-AV93)</f>
        <v>0</v>
      </c>
    </row>
    <row r="94" spans="1:53" ht="25.5" x14ac:dyDescent="0.2">
      <c r="A94" s="39"/>
      <c r="C94" s="46" t="s">
        <v>3868</v>
      </c>
      <c r="D94" s="418"/>
      <c r="E94" s="419"/>
      <c r="F94" s="414"/>
      <c r="G94" s="414"/>
      <c r="H94" s="414"/>
      <c r="I94" s="414"/>
      <c r="J94" s="414"/>
      <c r="K94" s="415"/>
      <c r="L94" s="416"/>
      <c r="M94" s="414"/>
      <c r="N94" s="414"/>
      <c r="O94" s="414"/>
      <c r="P94" s="417"/>
      <c r="Q94" s="417"/>
      <c r="R94" s="417"/>
      <c r="S94" s="417"/>
      <c r="T94" s="417"/>
      <c r="U94" s="417"/>
      <c r="V94" s="417"/>
      <c r="W94" s="417"/>
      <c r="X94" s="415"/>
      <c r="Y94" s="415"/>
      <c r="Z94" s="415"/>
      <c r="AA94" s="415"/>
      <c r="AB94" s="9"/>
      <c r="AD94" s="26"/>
      <c r="AE94" s="21"/>
      <c r="AF94" s="414"/>
      <c r="AG94" s="414"/>
      <c r="AH94" s="26"/>
      <c r="AI94" s="21"/>
      <c r="AJ94" s="226" t="s">
        <v>3893</v>
      </c>
      <c r="AK94" s="57">
        <f>'P. GASB 75 OPEB 1 Entries'!C71+'P. GASB 75 OPEB 2 Entries '!C71+'P. GASB 75 3 OPEB Entries '!C71</f>
        <v>0</v>
      </c>
      <c r="AL94" s="5"/>
      <c r="AN94" s="209"/>
      <c r="AO94" s="227" t="s">
        <v>2082</v>
      </c>
      <c r="AP94" s="57">
        <f>'K.1  Int. Service Fd Allocation'!E178+'K.2  Int. Service Fd Alloca'!E171+'K.3 Int. Service Fd Alloca'!E171</f>
        <v>0</v>
      </c>
      <c r="AS94" s="209"/>
      <c r="AT94" s="434"/>
      <c r="AU94" s="435"/>
      <c r="AV94" s="270">
        <f t="shared" ref="AV94:AV99" si="43">AD94+AF94+AH94+AK94+AP94+AT94</f>
        <v>0</v>
      </c>
      <c r="AW94" s="270">
        <f t="shared" ref="AW94:AW99" si="44">AE94+AG94+AI94+AN94+AS94+AU94</f>
        <v>0</v>
      </c>
      <c r="AX94" s="39"/>
      <c r="AY94" s="33"/>
      <c r="AZ94" s="293" t="str">
        <f t="shared" ref="AZ94:AZ99" si="45">IF((AV94)-(AW94)&lt;=0," ",(AV94)-(AW94))</f>
        <v xml:space="preserve"> </v>
      </c>
      <c r="BA94" s="209">
        <f t="shared" ref="BA94:BA99" si="46">IF(AV94-AW94&gt;0," ",AW94-AV94)</f>
        <v>0</v>
      </c>
    </row>
    <row r="95" spans="1:53" x14ac:dyDescent="0.2">
      <c r="A95" s="39"/>
      <c r="C95" s="46"/>
      <c r="D95" s="418"/>
      <c r="E95" s="419"/>
      <c r="F95" s="414"/>
      <c r="G95" s="414"/>
      <c r="H95" s="414"/>
      <c r="I95" s="414"/>
      <c r="J95" s="414"/>
      <c r="K95" s="415"/>
      <c r="L95" s="416"/>
      <c r="M95" s="414"/>
      <c r="N95" s="414"/>
      <c r="O95" s="414"/>
      <c r="P95" s="417"/>
      <c r="Q95" s="417"/>
      <c r="R95" s="417"/>
      <c r="S95" s="417"/>
      <c r="T95" s="417"/>
      <c r="U95" s="417"/>
      <c r="V95" s="417"/>
      <c r="W95" s="417"/>
      <c r="X95" s="415"/>
      <c r="Y95" s="415"/>
      <c r="Z95" s="415"/>
      <c r="AA95" s="415"/>
      <c r="AB95" s="9"/>
      <c r="AD95" s="26"/>
      <c r="AE95" s="21"/>
      <c r="AF95" s="414"/>
      <c r="AG95" s="414"/>
      <c r="AH95" s="26"/>
      <c r="AI95" s="21"/>
      <c r="AK95" s="57"/>
      <c r="AL95" s="5"/>
      <c r="AN95" s="209"/>
      <c r="AO95" s="227"/>
      <c r="AP95" s="57"/>
      <c r="AS95" s="209"/>
      <c r="AT95" s="434"/>
      <c r="AU95" s="435"/>
      <c r="AV95" s="270">
        <f t="shared" si="43"/>
        <v>0</v>
      </c>
      <c r="AW95" s="270">
        <f t="shared" si="44"/>
        <v>0</v>
      </c>
      <c r="AX95" s="39"/>
      <c r="AY95" s="33"/>
      <c r="AZ95" s="293" t="str">
        <f t="shared" si="45"/>
        <v xml:space="preserve"> </v>
      </c>
      <c r="BA95" s="209">
        <f t="shared" si="46"/>
        <v>0</v>
      </c>
    </row>
    <row r="96" spans="1:53" ht="25.5" x14ac:dyDescent="0.2">
      <c r="A96" s="39"/>
      <c r="C96" s="572" t="s">
        <v>3864</v>
      </c>
      <c r="D96" s="418"/>
      <c r="E96" s="419"/>
      <c r="F96" s="414"/>
      <c r="G96" s="414"/>
      <c r="H96" s="414"/>
      <c r="I96" s="414"/>
      <c r="J96" s="414"/>
      <c r="K96" s="415"/>
      <c r="L96" s="416"/>
      <c r="M96" s="414"/>
      <c r="N96" s="414"/>
      <c r="O96" s="414"/>
      <c r="P96" s="417"/>
      <c r="Q96" s="417"/>
      <c r="R96" s="417"/>
      <c r="S96" s="417"/>
      <c r="T96" s="417"/>
      <c r="U96" s="417"/>
      <c r="V96" s="417"/>
      <c r="W96" s="417"/>
      <c r="X96" s="415"/>
      <c r="Y96" s="415"/>
      <c r="Z96" s="415"/>
      <c r="AA96" s="415"/>
      <c r="AB96" s="9"/>
      <c r="AD96" s="26"/>
      <c r="AE96" s="21"/>
      <c r="AF96" s="414"/>
      <c r="AG96" s="414"/>
      <c r="AH96" s="26"/>
      <c r="AI96" s="21"/>
      <c r="AJ96" s="226" t="s">
        <v>3893</v>
      </c>
      <c r="AK96" s="57">
        <f>'P. GASB 75 OPEB 1 Entries'!C66+'P. GASB 75 OPEB 2 Entries '!C66+'P. GASB 75 3 OPEB Entries '!C66</f>
        <v>0</v>
      </c>
      <c r="AL96" s="5"/>
      <c r="AN96" s="209"/>
      <c r="AO96" s="227" t="s">
        <v>2082</v>
      </c>
      <c r="AP96" s="57">
        <f>'K.1  Int. Service Fd Allocation'!E180+'K.2  Int. Service Fd Alloca'!E173+'K.3 Int. Service Fd Alloca'!E173</f>
        <v>0</v>
      </c>
      <c r="AS96" s="209"/>
      <c r="AT96" s="434"/>
      <c r="AU96" s="435"/>
      <c r="AV96" s="270">
        <f t="shared" si="43"/>
        <v>0</v>
      </c>
      <c r="AW96" s="270">
        <f t="shared" si="44"/>
        <v>0</v>
      </c>
      <c r="AX96" s="39"/>
      <c r="AY96" s="33"/>
      <c r="AZ96" s="293" t="str">
        <f t="shared" si="45"/>
        <v xml:space="preserve"> </v>
      </c>
      <c r="BA96" s="209">
        <f t="shared" si="46"/>
        <v>0</v>
      </c>
    </row>
    <row r="97" spans="1:53" x14ac:dyDescent="0.2">
      <c r="A97" s="39"/>
      <c r="C97" s="572"/>
      <c r="D97" s="418"/>
      <c r="E97" s="419"/>
      <c r="F97" s="414"/>
      <c r="G97" s="414"/>
      <c r="H97" s="414"/>
      <c r="I97" s="414"/>
      <c r="J97" s="414"/>
      <c r="K97" s="415"/>
      <c r="L97" s="416"/>
      <c r="M97" s="414"/>
      <c r="N97" s="414"/>
      <c r="O97" s="414"/>
      <c r="P97" s="417"/>
      <c r="Q97" s="417"/>
      <c r="R97" s="417"/>
      <c r="S97" s="417"/>
      <c r="T97" s="417"/>
      <c r="U97" s="417"/>
      <c r="V97" s="417"/>
      <c r="W97" s="417"/>
      <c r="X97" s="415"/>
      <c r="Y97" s="415"/>
      <c r="Z97" s="415"/>
      <c r="AA97" s="415"/>
      <c r="AB97" s="9"/>
      <c r="AD97" s="26"/>
      <c r="AE97" s="21"/>
      <c r="AF97" s="414"/>
      <c r="AG97" s="414"/>
      <c r="AH97" s="26"/>
      <c r="AI97" s="21"/>
      <c r="AK97" s="57"/>
      <c r="AL97" s="5"/>
      <c r="AN97" s="209"/>
      <c r="AO97" s="227"/>
      <c r="AP97" s="57"/>
      <c r="AS97" s="209"/>
      <c r="AT97" s="434"/>
      <c r="AU97" s="435"/>
      <c r="AV97" s="270">
        <f t="shared" si="43"/>
        <v>0</v>
      </c>
      <c r="AW97" s="270">
        <f t="shared" si="44"/>
        <v>0</v>
      </c>
      <c r="AX97" s="39"/>
      <c r="AY97" s="33"/>
      <c r="AZ97" s="287" t="str">
        <f t="shared" si="45"/>
        <v xml:space="preserve"> </v>
      </c>
      <c r="BA97" s="209">
        <f t="shared" si="46"/>
        <v>0</v>
      </c>
    </row>
    <row r="98" spans="1:53" x14ac:dyDescent="0.2">
      <c r="A98" s="39"/>
      <c r="C98" s="571" t="s">
        <v>3865</v>
      </c>
      <c r="D98" s="418"/>
      <c r="E98" s="419"/>
      <c r="F98" s="414"/>
      <c r="G98" s="414"/>
      <c r="H98" s="414"/>
      <c r="I98" s="414"/>
      <c r="J98" s="414"/>
      <c r="K98" s="415"/>
      <c r="L98" s="416"/>
      <c r="M98" s="414"/>
      <c r="N98" s="414"/>
      <c r="O98" s="414"/>
      <c r="P98" s="417"/>
      <c r="Q98" s="417"/>
      <c r="R98" s="417"/>
      <c r="S98" s="417"/>
      <c r="T98" s="417"/>
      <c r="U98" s="417"/>
      <c r="V98" s="417"/>
      <c r="W98" s="417"/>
      <c r="X98" s="415"/>
      <c r="Y98" s="415"/>
      <c r="Z98" s="415"/>
      <c r="AA98" s="415"/>
      <c r="AB98" s="9"/>
      <c r="AD98" s="26"/>
      <c r="AE98" s="21"/>
      <c r="AF98" s="414"/>
      <c r="AG98" s="414"/>
      <c r="AH98" s="26"/>
      <c r="AI98" s="21"/>
      <c r="AJ98" s="226" t="s">
        <v>3893</v>
      </c>
      <c r="AK98" s="57">
        <f>'P. GASB 75 OPEB 1 Entries'!C67+'P. GASB 75 OPEB 2 Entries '!C67+'P. GASB 75 3 OPEB Entries '!C67</f>
        <v>0</v>
      </c>
      <c r="AL98" s="5"/>
      <c r="AN98" s="209"/>
      <c r="AO98" s="227" t="s">
        <v>2082</v>
      </c>
      <c r="AP98" s="57">
        <f>'K.1  Int. Service Fd Allocation'!E179+'K.2  Int. Service Fd Alloca'!E172+'K.3 Int. Service Fd Alloca'!E172</f>
        <v>0</v>
      </c>
      <c r="AS98" s="209"/>
      <c r="AT98" s="434"/>
      <c r="AU98" s="435"/>
      <c r="AV98" s="270">
        <f t="shared" si="43"/>
        <v>0</v>
      </c>
      <c r="AW98" s="270">
        <f t="shared" si="44"/>
        <v>0</v>
      </c>
      <c r="AX98" s="39"/>
      <c r="AY98" s="33"/>
      <c r="AZ98" s="287" t="str">
        <f t="shared" si="45"/>
        <v xml:space="preserve"> </v>
      </c>
      <c r="BA98" s="209">
        <f t="shared" si="46"/>
        <v>0</v>
      </c>
    </row>
    <row r="99" spans="1:53" x14ac:dyDescent="0.2">
      <c r="A99" s="39"/>
      <c r="C99" s="571"/>
      <c r="D99" s="418"/>
      <c r="E99" s="419"/>
      <c r="F99" s="414"/>
      <c r="G99" s="414"/>
      <c r="H99" s="414"/>
      <c r="I99" s="414"/>
      <c r="J99" s="414"/>
      <c r="K99" s="415"/>
      <c r="L99" s="416"/>
      <c r="M99" s="414"/>
      <c r="N99" s="414"/>
      <c r="O99" s="414"/>
      <c r="P99" s="417"/>
      <c r="Q99" s="417"/>
      <c r="R99" s="417"/>
      <c r="S99" s="417"/>
      <c r="T99" s="417"/>
      <c r="U99" s="417"/>
      <c r="V99" s="417"/>
      <c r="W99" s="417"/>
      <c r="X99" s="415"/>
      <c r="Y99" s="415"/>
      <c r="Z99" s="415"/>
      <c r="AA99" s="415"/>
      <c r="AB99" s="9"/>
      <c r="AD99" s="26"/>
      <c r="AE99" s="21"/>
      <c r="AF99" s="414"/>
      <c r="AG99" s="414"/>
      <c r="AH99" s="26"/>
      <c r="AI99" s="21"/>
      <c r="AK99" s="57"/>
      <c r="AL99" s="5"/>
      <c r="AN99" s="209"/>
      <c r="AO99" s="227"/>
      <c r="AP99" s="57"/>
      <c r="AS99" s="209"/>
      <c r="AT99" s="434"/>
      <c r="AU99" s="435"/>
      <c r="AV99" s="270">
        <f t="shared" si="43"/>
        <v>0</v>
      </c>
      <c r="AW99" s="270">
        <f t="shared" si="44"/>
        <v>0</v>
      </c>
      <c r="AX99" s="39"/>
      <c r="AY99" s="33"/>
      <c r="AZ99" s="287" t="str">
        <f t="shared" si="45"/>
        <v xml:space="preserve"> </v>
      </c>
      <c r="BA99" s="209">
        <f t="shared" si="46"/>
        <v>0</v>
      </c>
    </row>
    <row r="100" spans="1:53" ht="12.75" customHeight="1" x14ac:dyDescent="0.2">
      <c r="A100" s="39"/>
      <c r="B100" s="4" t="s">
        <v>681</v>
      </c>
      <c r="D100" s="418"/>
      <c r="E100" s="419"/>
      <c r="F100" s="414"/>
      <c r="G100" s="414"/>
      <c r="H100" s="414"/>
      <c r="I100" s="414"/>
      <c r="J100" s="414"/>
      <c r="K100" s="414"/>
      <c r="L100" s="416"/>
      <c r="M100" s="414"/>
      <c r="N100" s="414"/>
      <c r="O100" s="414"/>
      <c r="P100" s="417"/>
      <c r="Q100" s="417"/>
      <c r="R100" s="417"/>
      <c r="S100" s="417"/>
      <c r="T100" s="417"/>
      <c r="U100" s="417"/>
      <c r="V100" s="417"/>
      <c r="W100" s="417"/>
      <c r="X100" s="415"/>
      <c r="Y100" s="415"/>
      <c r="Z100" s="415"/>
      <c r="AA100" s="415"/>
      <c r="AB100" s="9">
        <f t="shared" si="2"/>
        <v>0</v>
      </c>
      <c r="AC100" s="5">
        <f t="shared" si="3"/>
        <v>0</v>
      </c>
      <c r="AD100" s="26">
        <f t="shared" si="5"/>
        <v>0</v>
      </c>
      <c r="AE100" s="21">
        <f t="shared" si="4"/>
        <v>0</v>
      </c>
      <c r="AF100" s="414"/>
      <c r="AG100" s="414"/>
      <c r="AH100" s="26"/>
      <c r="AI100" s="21"/>
      <c r="AK100" s="57"/>
      <c r="AL100" s="5"/>
      <c r="AN100" s="57"/>
      <c r="AO100" s="231"/>
      <c r="AP100" s="57"/>
      <c r="AS100" s="209"/>
      <c r="AT100" s="434"/>
      <c r="AU100" s="435"/>
      <c r="AV100" s="270">
        <f t="shared" si="29"/>
        <v>0</v>
      </c>
      <c r="AW100" s="270">
        <f t="shared" si="30"/>
        <v>0</v>
      </c>
      <c r="AX100" s="39"/>
      <c r="AY100" s="33"/>
      <c r="AZ100" s="287" t="str">
        <f>IF(AV100-AW100&lt;=0," ",AV100-AW100)</f>
        <v xml:space="preserve"> </v>
      </c>
      <c r="BA100" s="209">
        <f>IF(AV100-AW100&gt;0," ",AW100-AV100)</f>
        <v>0</v>
      </c>
    </row>
    <row r="101" spans="1:53" x14ac:dyDescent="0.2">
      <c r="A101" s="39"/>
      <c r="C101" t="s">
        <v>621</v>
      </c>
      <c r="D101" s="418"/>
      <c r="E101" s="419"/>
      <c r="F101" s="414"/>
      <c r="G101" s="414"/>
      <c r="H101" s="414"/>
      <c r="I101" s="414"/>
      <c r="J101" s="414"/>
      <c r="K101" s="415"/>
      <c r="L101" s="416"/>
      <c r="M101" s="414"/>
      <c r="N101" s="414"/>
      <c r="O101" s="414"/>
      <c r="P101" s="417"/>
      <c r="Q101" s="417"/>
      <c r="R101" s="417"/>
      <c r="S101" s="417"/>
      <c r="T101" s="417"/>
      <c r="U101" s="417"/>
      <c r="V101" s="417"/>
      <c r="W101" s="417"/>
      <c r="X101" s="415"/>
      <c r="Y101" s="415"/>
      <c r="Z101" s="415"/>
      <c r="AA101" s="415"/>
      <c r="AB101" s="9">
        <f t="shared" si="2"/>
        <v>0</v>
      </c>
      <c r="AC101" s="5">
        <f t="shared" si="3"/>
        <v>0</v>
      </c>
      <c r="AD101" s="26">
        <f t="shared" si="5"/>
        <v>0</v>
      </c>
      <c r="AE101" s="21">
        <f t="shared" si="4"/>
        <v>0</v>
      </c>
      <c r="AF101" s="414"/>
      <c r="AG101" s="414"/>
      <c r="AH101" s="26"/>
      <c r="AI101" s="21"/>
      <c r="AK101" s="57"/>
      <c r="AL101" s="5"/>
      <c r="AN101" s="57"/>
      <c r="AO101" s="231"/>
      <c r="AP101" s="57"/>
      <c r="AR101" s="393" t="s">
        <v>671</v>
      </c>
      <c r="AS101" s="210">
        <f>'K.1  Int. Service Fd Allocation'!G184+'K.2  Int. Service Fd Alloca'!G177+'K.3 Int. Service Fd Alloca'!G177</f>
        <v>0</v>
      </c>
      <c r="AT101" s="434"/>
      <c r="AU101" s="435"/>
      <c r="AV101" s="270">
        <f t="shared" si="29"/>
        <v>0</v>
      </c>
      <c r="AW101" s="270">
        <f t="shared" si="30"/>
        <v>0</v>
      </c>
      <c r="AX101" s="39"/>
      <c r="AY101" s="33"/>
      <c r="AZ101" s="287" t="str">
        <f>IF(AV101-AW101&lt;=0," ",AV101-AW101)</f>
        <v xml:space="preserve"> </v>
      </c>
      <c r="BA101" s="209">
        <f>IF(AV101-AW101&gt;0," ",AW101-AV101)</f>
        <v>0</v>
      </c>
    </row>
    <row r="102" spans="1:53" x14ac:dyDescent="0.2">
      <c r="A102" s="39"/>
      <c r="C102" s="33" t="s">
        <v>395</v>
      </c>
      <c r="D102" s="419"/>
      <c r="E102" s="419"/>
      <c r="F102" s="414"/>
      <c r="G102" s="414"/>
      <c r="H102" s="414"/>
      <c r="I102" s="414"/>
      <c r="J102" s="414"/>
      <c r="K102" s="415"/>
      <c r="L102" s="416"/>
      <c r="M102" s="414"/>
      <c r="N102" s="414"/>
      <c r="O102" s="414"/>
      <c r="P102" s="417"/>
      <c r="Q102" s="417"/>
      <c r="R102" s="417"/>
      <c r="S102" s="417"/>
      <c r="T102" s="417"/>
      <c r="U102" s="417"/>
      <c r="V102" s="417"/>
      <c r="W102" s="417"/>
      <c r="X102" s="415"/>
      <c r="Y102" s="415"/>
      <c r="Z102" s="415"/>
      <c r="AA102" s="415"/>
      <c r="AB102" s="9">
        <f t="shared" si="2"/>
        <v>0</v>
      </c>
      <c r="AC102" s="5">
        <f t="shared" si="3"/>
        <v>0</v>
      </c>
      <c r="AD102" s="26">
        <f t="shared" si="5"/>
        <v>0</v>
      </c>
      <c r="AE102" s="21">
        <f t="shared" si="4"/>
        <v>0</v>
      </c>
      <c r="AF102" s="414"/>
      <c r="AG102" s="414"/>
      <c r="AH102" s="26"/>
      <c r="AI102" s="21"/>
      <c r="AK102" s="57"/>
      <c r="AL102" s="5"/>
      <c r="AN102" s="57"/>
      <c r="AO102" s="231"/>
      <c r="AP102" s="57"/>
      <c r="AS102" s="209"/>
      <c r="AT102" s="434"/>
      <c r="AU102" s="435"/>
      <c r="AV102" s="270">
        <f t="shared" ref="AV102:AV117" si="47">AD102+AF102+AH102+AK102+AP102+AT102</f>
        <v>0</v>
      </c>
      <c r="AW102" s="270">
        <f t="shared" ref="AW102:AW117" si="48">AE102+AG102+AI102+AN102+AS102+AU102</f>
        <v>0</v>
      </c>
      <c r="AX102" s="39"/>
      <c r="AY102" s="33"/>
      <c r="AZ102" s="287" t="str">
        <f>IF(AV102-AW102&lt;=0," ",AV102-AW102)</f>
        <v xml:space="preserve"> </v>
      </c>
      <c r="BA102" s="209">
        <f>IF(AV102-AW102&gt;0," ",AW102-AV102)</f>
        <v>0</v>
      </c>
    </row>
    <row r="103" spans="1:53" x14ac:dyDescent="0.2">
      <c r="A103" s="39"/>
      <c r="C103" s="33" t="s">
        <v>620</v>
      </c>
      <c r="D103" s="419"/>
      <c r="E103" s="419"/>
      <c r="F103" s="414"/>
      <c r="G103" s="414"/>
      <c r="H103" s="414"/>
      <c r="I103" s="414"/>
      <c r="J103" s="414"/>
      <c r="K103" s="415"/>
      <c r="L103" s="416"/>
      <c r="M103" s="414"/>
      <c r="N103" s="414"/>
      <c r="O103" s="414"/>
      <c r="P103" s="417"/>
      <c r="Q103" s="417"/>
      <c r="R103" s="417"/>
      <c r="S103" s="417"/>
      <c r="T103" s="417"/>
      <c r="U103" s="417"/>
      <c r="V103" s="417"/>
      <c r="W103" s="417"/>
      <c r="X103" s="415"/>
      <c r="Y103" s="415"/>
      <c r="Z103" s="415"/>
      <c r="AA103" s="415"/>
      <c r="AB103" s="9">
        <f t="shared" ref="AB103:AB196" si="49">L103+N103+P103+R103+T103+V103+X103+Z103</f>
        <v>0</v>
      </c>
      <c r="AC103" s="5">
        <f t="shared" ref="AC103:AC196" si="50">M103+O103+Q103+S103+U103+W103+Y103+AA103</f>
        <v>0</v>
      </c>
      <c r="AD103" s="26">
        <f t="shared" si="5"/>
        <v>0</v>
      </c>
      <c r="AE103" s="21">
        <f t="shared" si="4"/>
        <v>0</v>
      </c>
      <c r="AF103" s="414"/>
      <c r="AG103" s="414"/>
      <c r="AH103" s="26"/>
      <c r="AI103" s="21"/>
      <c r="AK103" s="57"/>
      <c r="AL103" s="5"/>
      <c r="AN103" s="57"/>
      <c r="AO103" s="231"/>
      <c r="AP103" s="57"/>
      <c r="AS103" s="209"/>
      <c r="AT103" s="434"/>
      <c r="AU103" s="435"/>
      <c r="AV103" s="270">
        <f t="shared" si="47"/>
        <v>0</v>
      </c>
      <c r="AW103" s="270">
        <f t="shared" si="48"/>
        <v>0</v>
      </c>
      <c r="AX103" s="39"/>
      <c r="AY103" s="33"/>
      <c r="AZ103" s="287" t="str">
        <f>IF(AV103-AW103&lt;=0," ",AV103-AW103)</f>
        <v xml:space="preserve"> </v>
      </c>
      <c r="BA103" s="209">
        <f>IF(AV103-AW103&gt;0," ",AW103-AV103)</f>
        <v>0</v>
      </c>
    </row>
    <row r="104" spans="1:53" x14ac:dyDescent="0.2">
      <c r="A104" s="39"/>
      <c r="C104" s="257" t="s">
        <v>738</v>
      </c>
      <c r="D104" s="424"/>
      <c r="E104" s="424"/>
      <c r="F104" s="425"/>
      <c r="G104" s="425"/>
      <c r="H104" s="425"/>
      <c r="I104" s="425"/>
      <c r="J104" s="425"/>
      <c r="K104" s="426"/>
      <c r="L104" s="427"/>
      <c r="M104" s="425"/>
      <c r="N104" s="425"/>
      <c r="O104" s="425"/>
      <c r="P104" s="428"/>
      <c r="Q104" s="428"/>
      <c r="R104" s="428"/>
      <c r="S104" s="428"/>
      <c r="T104" s="428"/>
      <c r="U104" s="428"/>
      <c r="V104" s="428"/>
      <c r="W104" s="428"/>
      <c r="X104" s="426"/>
      <c r="Y104" s="426"/>
      <c r="Z104" s="426"/>
      <c r="AA104" s="426"/>
      <c r="AB104" s="261">
        <f t="shared" si="49"/>
        <v>0</v>
      </c>
      <c r="AC104" s="259">
        <f t="shared" si="50"/>
        <v>0</v>
      </c>
      <c r="AD104" s="260">
        <f t="shared" si="5"/>
        <v>0</v>
      </c>
      <c r="AE104" s="262">
        <f t="shared" si="4"/>
        <v>0</v>
      </c>
      <c r="AF104" s="425"/>
      <c r="AG104" s="425"/>
      <c r="AH104" s="260"/>
      <c r="AI104" s="262"/>
      <c r="AJ104" s="263"/>
      <c r="AK104" s="264"/>
      <c r="AL104" s="259"/>
      <c r="AM104" s="263"/>
      <c r="AN104" s="264"/>
      <c r="AO104" s="265" t="str">
        <f>'L. Eliminations-Consolidations'!A203</f>
        <v>L.2</v>
      </c>
      <c r="AP104" s="264">
        <f>'L. Eliminations-Consolidations'!J203</f>
        <v>0</v>
      </c>
      <c r="AQ104" s="258"/>
      <c r="AR104" s="395" t="s">
        <v>671</v>
      </c>
      <c r="AS104" s="266">
        <f>'K.1  Int. Service Fd Allocation'!G185+'K.2  Int. Service Fd Alloca'!G178+'K.3 Int. Service Fd Alloca'!G178</f>
        <v>0</v>
      </c>
      <c r="AT104" s="434"/>
      <c r="AU104" s="435"/>
      <c r="AV104" s="264">
        <f t="shared" si="47"/>
        <v>0</v>
      </c>
      <c r="AW104" s="264">
        <f t="shared" si="48"/>
        <v>0</v>
      </c>
      <c r="AX104" s="256"/>
      <c r="AY104" s="257"/>
      <c r="AZ104" s="288" t="str">
        <f>IF((AV104+AV105+AV106)-(AW104+AW105+AW106)&lt;=0," ",(AV104+AV105+AV106)-(AW104+AW105+AW106))</f>
        <v xml:space="preserve"> </v>
      </c>
      <c r="BA104" s="266">
        <f>IF((AV104+AV105+AV106)-(AW104+AW105+AW106)&gt;0," ",(AW104+AW105+AW106)-(AV104+AV105+AV106))</f>
        <v>0</v>
      </c>
    </row>
    <row r="105" spans="1:53" x14ac:dyDescent="0.2">
      <c r="A105" s="39"/>
      <c r="C105" s="257"/>
      <c r="D105" s="424"/>
      <c r="E105" s="424"/>
      <c r="F105" s="425"/>
      <c r="G105" s="425"/>
      <c r="H105" s="425"/>
      <c r="I105" s="425"/>
      <c r="J105" s="425"/>
      <c r="K105" s="426"/>
      <c r="L105" s="427"/>
      <c r="M105" s="425"/>
      <c r="N105" s="425"/>
      <c r="O105" s="425"/>
      <c r="P105" s="428"/>
      <c r="Q105" s="428"/>
      <c r="R105" s="428"/>
      <c r="S105" s="428"/>
      <c r="T105" s="428"/>
      <c r="U105" s="428"/>
      <c r="V105" s="428"/>
      <c r="W105" s="428"/>
      <c r="X105" s="426"/>
      <c r="Y105" s="426"/>
      <c r="Z105" s="426"/>
      <c r="AA105" s="426"/>
      <c r="AB105" s="261">
        <f t="shared" si="49"/>
        <v>0</v>
      </c>
      <c r="AC105" s="259">
        <f t="shared" si="50"/>
        <v>0</v>
      </c>
      <c r="AD105" s="260">
        <f t="shared" si="5"/>
        <v>0</v>
      </c>
      <c r="AE105" s="262">
        <f t="shared" si="4"/>
        <v>0</v>
      </c>
      <c r="AF105" s="425"/>
      <c r="AG105" s="425"/>
      <c r="AH105" s="260"/>
      <c r="AI105" s="262"/>
      <c r="AJ105" s="263"/>
      <c r="AK105" s="264"/>
      <c r="AL105" s="259"/>
      <c r="AM105" s="263"/>
      <c r="AN105" s="264"/>
      <c r="AO105" s="265" t="str">
        <f>'L. Eliminations-Consolidations'!A208</f>
        <v>L.3</v>
      </c>
      <c r="AP105" s="264">
        <f>'L. Eliminations-Consolidations'!J209</f>
        <v>0</v>
      </c>
      <c r="AQ105" s="258"/>
      <c r="AR105" s="263"/>
      <c r="AS105" s="266"/>
      <c r="AT105" s="434"/>
      <c r="AU105" s="435"/>
      <c r="AV105" s="264">
        <f t="shared" si="47"/>
        <v>0</v>
      </c>
      <c r="AW105" s="264">
        <f t="shared" si="48"/>
        <v>0</v>
      </c>
      <c r="AX105" s="256"/>
      <c r="AY105" s="257"/>
      <c r="AZ105" s="288"/>
      <c r="BA105" s="266"/>
    </row>
    <row r="106" spans="1:53" x14ac:dyDescent="0.2">
      <c r="A106" s="39"/>
      <c r="C106" s="257"/>
      <c r="D106" s="424"/>
      <c r="E106" s="424"/>
      <c r="F106" s="425"/>
      <c r="G106" s="425"/>
      <c r="H106" s="425"/>
      <c r="I106" s="425"/>
      <c r="J106" s="425"/>
      <c r="K106" s="426"/>
      <c r="L106" s="427"/>
      <c r="M106" s="425"/>
      <c r="N106" s="425"/>
      <c r="O106" s="425"/>
      <c r="P106" s="428"/>
      <c r="Q106" s="428"/>
      <c r="R106" s="428"/>
      <c r="S106" s="428"/>
      <c r="T106" s="428"/>
      <c r="U106" s="428"/>
      <c r="V106" s="428"/>
      <c r="W106" s="428"/>
      <c r="X106" s="426"/>
      <c r="Y106" s="426"/>
      <c r="Z106" s="426"/>
      <c r="AA106" s="426"/>
      <c r="AB106" s="261">
        <f t="shared" si="49"/>
        <v>0</v>
      </c>
      <c r="AC106" s="259">
        <f t="shared" si="50"/>
        <v>0</v>
      </c>
      <c r="AD106" s="260">
        <f t="shared" ref="AD106:AD200" si="51">D106+F106+H106+J106+AB106</f>
        <v>0</v>
      </c>
      <c r="AE106" s="262">
        <f t="shared" ref="AE106:AE200" si="52">E106+G106+I106+K106+AC106</f>
        <v>0</v>
      </c>
      <c r="AF106" s="425"/>
      <c r="AG106" s="425"/>
      <c r="AH106" s="260"/>
      <c r="AI106" s="262"/>
      <c r="AJ106" s="263"/>
      <c r="AK106" s="264"/>
      <c r="AL106" s="259"/>
      <c r="AM106" s="263"/>
      <c r="AN106" s="264"/>
      <c r="AO106" s="265" t="str">
        <f>'L. Eliminations-Consolidations'!A214</f>
        <v>L.4</v>
      </c>
      <c r="AP106" s="264">
        <f>'L. Eliminations-Consolidations'!J216</f>
        <v>0</v>
      </c>
      <c r="AQ106" s="258"/>
      <c r="AR106" s="263"/>
      <c r="AS106" s="266"/>
      <c r="AT106" s="434"/>
      <c r="AU106" s="435"/>
      <c r="AV106" s="264">
        <f t="shared" si="47"/>
        <v>0</v>
      </c>
      <c r="AW106" s="264">
        <f t="shared" si="48"/>
        <v>0</v>
      </c>
      <c r="AX106" s="256"/>
      <c r="AY106" s="257"/>
      <c r="AZ106" s="288"/>
      <c r="BA106" s="266"/>
    </row>
    <row r="107" spans="1:53" x14ac:dyDescent="0.2">
      <c r="A107" s="39"/>
      <c r="C107" s="33" t="s">
        <v>85</v>
      </c>
      <c r="D107" s="419"/>
      <c r="E107" s="419"/>
      <c r="F107" s="414"/>
      <c r="G107" s="414"/>
      <c r="H107" s="414"/>
      <c r="I107" s="414"/>
      <c r="J107" s="414"/>
      <c r="K107" s="415"/>
      <c r="L107" s="416"/>
      <c r="M107" s="414"/>
      <c r="N107" s="414"/>
      <c r="O107" s="414"/>
      <c r="P107" s="417"/>
      <c r="Q107" s="417"/>
      <c r="R107" s="417"/>
      <c r="S107" s="417"/>
      <c r="T107" s="417"/>
      <c r="U107" s="417"/>
      <c r="V107" s="417"/>
      <c r="W107" s="417"/>
      <c r="X107" s="415"/>
      <c r="Y107" s="415"/>
      <c r="Z107" s="415"/>
      <c r="AA107" s="415"/>
      <c r="AB107" s="9">
        <f t="shared" si="49"/>
        <v>0</v>
      </c>
      <c r="AC107" s="5">
        <f t="shared" si="50"/>
        <v>0</v>
      </c>
      <c r="AD107" s="26">
        <f t="shared" si="51"/>
        <v>0</v>
      </c>
      <c r="AE107" s="21">
        <f t="shared" si="52"/>
        <v>0</v>
      </c>
      <c r="AF107" s="414"/>
      <c r="AG107" s="414"/>
      <c r="AH107" s="26"/>
      <c r="AI107" s="21"/>
      <c r="AK107" s="57"/>
      <c r="AL107" s="5"/>
      <c r="AN107" s="57"/>
      <c r="AO107" s="231"/>
      <c r="AP107" s="57"/>
      <c r="AS107" s="209"/>
      <c r="AT107" s="434"/>
      <c r="AU107" s="435"/>
      <c r="AV107" s="270">
        <f t="shared" si="47"/>
        <v>0</v>
      </c>
      <c r="AW107" s="270">
        <f>AE107+AG107+AI107+AN107+AS107+AU107</f>
        <v>0</v>
      </c>
      <c r="AX107" s="39"/>
      <c r="AY107" s="33"/>
      <c r="AZ107" s="287" t="str">
        <f>IF(AV107-AW107&lt;=0," ",AV107-AW107)</f>
        <v xml:space="preserve"> </v>
      </c>
      <c r="BA107" s="209">
        <f>IF(AV107-AW107&gt;0," ",AW107-AV107)</f>
        <v>0</v>
      </c>
    </row>
    <row r="108" spans="1:53" ht="38.25" x14ac:dyDescent="0.2">
      <c r="A108" s="39"/>
      <c r="C108" s="541" t="s">
        <v>1110</v>
      </c>
      <c r="D108" s="423"/>
      <c r="E108" s="424"/>
      <c r="F108" s="425"/>
      <c r="G108" s="425"/>
      <c r="H108" s="425"/>
      <c r="I108" s="425"/>
      <c r="J108" s="425"/>
      <c r="K108" s="426"/>
      <c r="L108" s="427"/>
      <c r="M108" s="425"/>
      <c r="N108" s="425"/>
      <c r="O108" s="425"/>
      <c r="P108" s="428"/>
      <c r="Q108" s="428"/>
      <c r="R108" s="428"/>
      <c r="S108" s="428"/>
      <c r="T108" s="428"/>
      <c r="U108" s="428"/>
      <c r="V108" s="428"/>
      <c r="W108" s="428"/>
      <c r="X108" s="426"/>
      <c r="Y108" s="426"/>
      <c r="Z108" s="426"/>
      <c r="AA108" s="426"/>
      <c r="AB108" s="261">
        <f t="shared" si="49"/>
        <v>0</v>
      </c>
      <c r="AC108" s="259">
        <f t="shared" si="50"/>
        <v>0</v>
      </c>
      <c r="AD108" s="260">
        <f t="shared" si="51"/>
        <v>0</v>
      </c>
      <c r="AE108" s="262">
        <f t="shared" si="52"/>
        <v>0</v>
      </c>
      <c r="AF108" s="425"/>
      <c r="AG108" s="425"/>
      <c r="AH108" s="260"/>
      <c r="AI108" s="262"/>
      <c r="AJ108" s="265"/>
      <c r="AK108" s="264"/>
      <c r="AL108" s="264"/>
      <c r="AM108" s="264"/>
      <c r="AN108" s="264"/>
      <c r="AO108" s="265"/>
      <c r="AP108" s="264"/>
      <c r="AQ108" s="258"/>
      <c r="AR108" s="263"/>
      <c r="AS108" s="266"/>
      <c r="AT108" s="434"/>
      <c r="AU108" s="435"/>
      <c r="AV108" s="264">
        <f>AD108+AF108+AH108+AK108+AP108+AT108</f>
        <v>0</v>
      </c>
      <c r="AW108" s="264">
        <f>AE108+AG108+AI108+AN108+AS108+AU108</f>
        <v>0</v>
      </c>
      <c r="AX108" s="256"/>
      <c r="AY108" s="257"/>
      <c r="AZ108" s="288" t="str">
        <f>IF((AV108+AV109+AV110)-(AW108+AW109+AW110)&lt;=0," ",(AV108+AV109+AV110)-(AW108+AW109+AW110))</f>
        <v xml:space="preserve"> </v>
      </c>
      <c r="BA108" s="266">
        <f>IF((AV108+AV109+AV110)-(AW108+AW109+AW110)&gt;0," ",(AW108+AW109+AW110)-(AV108+AV109+AV110))</f>
        <v>0</v>
      </c>
    </row>
    <row r="109" spans="1:53" x14ac:dyDescent="0.2">
      <c r="A109" s="39"/>
      <c r="C109" s="258"/>
      <c r="D109" s="423"/>
      <c r="E109" s="424"/>
      <c r="F109" s="425"/>
      <c r="G109" s="425"/>
      <c r="H109" s="425"/>
      <c r="I109" s="425"/>
      <c r="J109" s="425"/>
      <c r="K109" s="426"/>
      <c r="L109" s="427"/>
      <c r="M109" s="425"/>
      <c r="N109" s="425"/>
      <c r="O109" s="425"/>
      <c r="P109" s="428"/>
      <c r="Q109" s="428"/>
      <c r="R109" s="428"/>
      <c r="S109" s="428"/>
      <c r="T109" s="428"/>
      <c r="U109" s="428"/>
      <c r="V109" s="428"/>
      <c r="W109" s="428"/>
      <c r="X109" s="426"/>
      <c r="Y109" s="426"/>
      <c r="Z109" s="426"/>
      <c r="AA109" s="426"/>
      <c r="AB109" s="261">
        <f t="shared" si="49"/>
        <v>0</v>
      </c>
      <c r="AC109" s="259">
        <f t="shared" si="50"/>
        <v>0</v>
      </c>
      <c r="AD109" s="260">
        <f t="shared" si="51"/>
        <v>0</v>
      </c>
      <c r="AE109" s="262">
        <f t="shared" si="52"/>
        <v>0</v>
      </c>
      <c r="AF109" s="425"/>
      <c r="AG109" s="425"/>
      <c r="AH109" s="260"/>
      <c r="AI109" s="262"/>
      <c r="AJ109" s="263" t="str">
        <f>'C. Other Revenues'!B205</f>
        <v>C.1</v>
      </c>
      <c r="AK109" s="264">
        <f>'C. Other Revenues'!K206</f>
        <v>0</v>
      </c>
      <c r="AL109" s="259"/>
      <c r="AM109" s="263"/>
      <c r="AN109" s="264"/>
      <c r="AO109" s="265"/>
      <c r="AP109" s="264"/>
      <c r="AQ109" s="258"/>
      <c r="AR109" s="263"/>
      <c r="AS109" s="266"/>
      <c r="AT109" s="434"/>
      <c r="AU109" s="435"/>
      <c r="AV109" s="264">
        <f t="shared" si="47"/>
        <v>0</v>
      </c>
      <c r="AW109" s="264">
        <f t="shared" si="48"/>
        <v>0</v>
      </c>
      <c r="AX109" s="256"/>
      <c r="AY109" s="257"/>
      <c r="AZ109" s="288"/>
      <c r="BA109" s="266"/>
    </row>
    <row r="110" spans="1:53" x14ac:dyDescent="0.2">
      <c r="A110" s="39"/>
      <c r="C110" s="258"/>
      <c r="D110" s="423"/>
      <c r="E110" s="424"/>
      <c r="F110" s="425"/>
      <c r="G110" s="425"/>
      <c r="H110" s="425"/>
      <c r="I110" s="425"/>
      <c r="J110" s="425"/>
      <c r="K110" s="426"/>
      <c r="L110" s="427"/>
      <c r="M110" s="425"/>
      <c r="N110" s="425"/>
      <c r="O110" s="425"/>
      <c r="P110" s="428"/>
      <c r="Q110" s="428"/>
      <c r="R110" s="428"/>
      <c r="S110" s="428"/>
      <c r="T110" s="428"/>
      <c r="U110" s="428"/>
      <c r="V110" s="428"/>
      <c r="W110" s="428"/>
      <c r="X110" s="426"/>
      <c r="Y110" s="426"/>
      <c r="Z110" s="426"/>
      <c r="AA110" s="426"/>
      <c r="AB110" s="261">
        <f t="shared" si="49"/>
        <v>0</v>
      </c>
      <c r="AC110" s="259">
        <f t="shared" si="50"/>
        <v>0</v>
      </c>
      <c r="AD110" s="260">
        <f t="shared" si="51"/>
        <v>0</v>
      </c>
      <c r="AE110" s="262">
        <f t="shared" si="52"/>
        <v>0</v>
      </c>
      <c r="AF110" s="425"/>
      <c r="AG110" s="425"/>
      <c r="AH110" s="260"/>
      <c r="AI110" s="262"/>
      <c r="AJ110" s="263"/>
      <c r="AK110" s="264"/>
      <c r="AL110" s="259"/>
      <c r="AM110" s="263"/>
      <c r="AN110" s="264"/>
      <c r="AO110" s="265"/>
      <c r="AP110" s="264"/>
      <c r="AQ110" s="258"/>
      <c r="AR110" s="263"/>
      <c r="AS110" s="266"/>
      <c r="AT110" s="434"/>
      <c r="AU110" s="435"/>
      <c r="AV110" s="264">
        <f t="shared" si="47"/>
        <v>0</v>
      </c>
      <c r="AW110" s="264">
        <f t="shared" si="48"/>
        <v>0</v>
      </c>
      <c r="AX110" s="256"/>
      <c r="AY110" s="257"/>
      <c r="AZ110" s="288"/>
      <c r="BA110" s="266"/>
    </row>
    <row r="111" spans="1:53" x14ac:dyDescent="0.2">
      <c r="C111" s="33"/>
      <c r="K111" s="33"/>
      <c r="AN111" s="57"/>
      <c r="AZ111" s="293"/>
      <c r="BA111" s="210"/>
    </row>
    <row r="112" spans="1:53" x14ac:dyDescent="0.2">
      <c r="A112" s="39"/>
      <c r="C112" s="33" t="s">
        <v>739</v>
      </c>
      <c r="D112" s="418"/>
      <c r="E112" s="419"/>
      <c r="F112" s="414"/>
      <c r="G112" s="414"/>
      <c r="H112" s="414"/>
      <c r="I112" s="414"/>
      <c r="J112" s="414"/>
      <c r="K112" s="415"/>
      <c r="L112" s="416"/>
      <c r="M112" s="414"/>
      <c r="N112" s="414"/>
      <c r="O112" s="414"/>
      <c r="P112" s="417"/>
      <c r="Q112" s="417"/>
      <c r="R112" s="417"/>
      <c r="S112" s="417"/>
      <c r="T112" s="417"/>
      <c r="U112" s="417"/>
      <c r="V112" s="417"/>
      <c r="W112" s="417"/>
      <c r="X112" s="415"/>
      <c r="Y112" s="415"/>
      <c r="Z112" s="415"/>
      <c r="AA112" s="415"/>
      <c r="AB112" s="9">
        <f t="shared" si="49"/>
        <v>0</v>
      </c>
      <c r="AC112" s="5">
        <f t="shared" si="50"/>
        <v>0</v>
      </c>
      <c r="AD112" s="26">
        <f t="shared" si="51"/>
        <v>0</v>
      </c>
      <c r="AE112" s="21">
        <f t="shared" si="52"/>
        <v>0</v>
      </c>
      <c r="AF112" s="414"/>
      <c r="AG112" s="414"/>
      <c r="AH112" s="26"/>
      <c r="AI112" s="21"/>
      <c r="AK112" s="57"/>
      <c r="AL112" s="5"/>
      <c r="AN112" s="57"/>
      <c r="AO112" s="231"/>
      <c r="AP112" s="57"/>
      <c r="AS112" s="209"/>
      <c r="AT112" s="434"/>
      <c r="AU112" s="435"/>
      <c r="AV112" s="270">
        <f t="shared" si="47"/>
        <v>0</v>
      </c>
      <c r="AW112" s="270">
        <f t="shared" si="48"/>
        <v>0</v>
      </c>
      <c r="AX112" s="39"/>
      <c r="AY112" s="33"/>
      <c r="AZ112" s="287" t="str">
        <f>IF(AV112-AW112&lt;=0," ",AV112-AW112)</f>
        <v xml:space="preserve"> </v>
      </c>
      <c r="BA112" s="209">
        <f>IF(AV112-AW112&gt;0," ",AW112-AV112)</f>
        <v>0</v>
      </c>
    </row>
    <row r="113" spans="1:53" x14ac:dyDescent="0.2">
      <c r="A113" s="39"/>
      <c r="C113" t="s">
        <v>740</v>
      </c>
      <c r="D113" s="418"/>
      <c r="E113" s="419"/>
      <c r="F113" s="414"/>
      <c r="G113" s="414"/>
      <c r="H113" s="414"/>
      <c r="I113" s="414"/>
      <c r="J113" s="414"/>
      <c r="K113" s="415"/>
      <c r="L113" s="416"/>
      <c r="M113" s="414"/>
      <c r="N113" s="414"/>
      <c r="O113" s="414"/>
      <c r="P113" s="417"/>
      <c r="Q113" s="417"/>
      <c r="R113" s="417"/>
      <c r="S113" s="417"/>
      <c r="T113" s="417"/>
      <c r="U113" s="417"/>
      <c r="V113" s="417"/>
      <c r="W113" s="417"/>
      <c r="X113" s="415"/>
      <c r="Y113" s="415"/>
      <c r="Z113" s="415"/>
      <c r="AA113" s="415"/>
      <c r="AB113" s="9">
        <f t="shared" si="49"/>
        <v>0</v>
      </c>
      <c r="AC113" s="5">
        <f t="shared" si="50"/>
        <v>0</v>
      </c>
      <c r="AD113" s="26">
        <f t="shared" si="51"/>
        <v>0</v>
      </c>
      <c r="AE113" s="21">
        <f t="shared" si="52"/>
        <v>0</v>
      </c>
      <c r="AF113" s="414"/>
      <c r="AG113" s="414"/>
      <c r="AH113" s="26"/>
      <c r="AI113" s="21"/>
      <c r="AK113" s="57"/>
      <c r="AL113" s="5"/>
      <c r="AN113" s="57"/>
      <c r="AO113" s="231"/>
      <c r="AP113" s="57"/>
      <c r="AS113" s="209"/>
      <c r="AT113" s="434"/>
      <c r="AU113" s="435"/>
      <c r="AV113" s="270">
        <f t="shared" si="47"/>
        <v>0</v>
      </c>
      <c r="AW113" s="270">
        <f t="shared" si="48"/>
        <v>0</v>
      </c>
      <c r="AX113" s="39"/>
      <c r="AY113" s="33"/>
      <c r="AZ113" s="287" t="str">
        <f>IF(AV113-AW113&lt;=0," ",AV113-AW113)</f>
        <v xml:space="preserve"> </v>
      </c>
      <c r="BA113" s="209">
        <f>IF(AV113-AW113&gt;0," ",AW113-AV113)</f>
        <v>0</v>
      </c>
    </row>
    <row r="114" spans="1:53" x14ac:dyDescent="0.2">
      <c r="A114" s="39"/>
      <c r="C114" t="s">
        <v>118</v>
      </c>
      <c r="D114" s="418"/>
      <c r="E114" s="419"/>
      <c r="F114" s="414"/>
      <c r="G114" s="414"/>
      <c r="H114" s="414"/>
      <c r="I114" s="414"/>
      <c r="J114" s="414"/>
      <c r="K114" s="415"/>
      <c r="L114" s="416"/>
      <c r="M114" s="414"/>
      <c r="N114" s="414"/>
      <c r="O114" s="414"/>
      <c r="P114" s="417"/>
      <c r="Q114" s="417"/>
      <c r="R114" s="417"/>
      <c r="S114" s="417"/>
      <c r="T114" s="417"/>
      <c r="U114" s="417"/>
      <c r="V114" s="417"/>
      <c r="W114" s="417"/>
      <c r="X114" s="415"/>
      <c r="Y114" s="415"/>
      <c r="Z114" s="415"/>
      <c r="AA114" s="415"/>
      <c r="AB114" s="9">
        <f t="shared" si="49"/>
        <v>0</v>
      </c>
      <c r="AC114" s="5">
        <f t="shared" si="50"/>
        <v>0</v>
      </c>
      <c r="AD114" s="26">
        <f t="shared" si="51"/>
        <v>0</v>
      </c>
      <c r="AE114" s="21">
        <f t="shared" si="52"/>
        <v>0</v>
      </c>
      <c r="AF114" s="414"/>
      <c r="AG114" s="414"/>
      <c r="AH114" s="26"/>
      <c r="AI114" s="21"/>
      <c r="AK114" s="57"/>
      <c r="AL114" s="5"/>
      <c r="AN114" s="57"/>
      <c r="AO114" s="231"/>
      <c r="AP114" s="57"/>
      <c r="AR114" s="226" t="str">
        <f>'L. Eliminations-Consolidations'!A214</f>
        <v>L.4</v>
      </c>
      <c r="AS114" s="209">
        <f>'L. Eliminations-Consolidations'!L217</f>
        <v>0</v>
      </c>
      <c r="AT114" s="434"/>
      <c r="AU114" s="435"/>
      <c r="AV114" s="270">
        <f t="shared" si="47"/>
        <v>0</v>
      </c>
      <c r="AW114" s="270">
        <f t="shared" si="48"/>
        <v>0</v>
      </c>
      <c r="AX114" s="39"/>
      <c r="AY114" s="33"/>
      <c r="AZ114" s="287" t="str">
        <f>IF(AV114-AW114&lt;=0," ",AV114-AW114)</f>
        <v xml:space="preserve"> </v>
      </c>
      <c r="BA114" s="209">
        <f>IF(AV114-AW114&gt;0," ",AW114-AV114)</f>
        <v>0</v>
      </c>
    </row>
    <row r="115" spans="1:53" x14ac:dyDescent="0.2">
      <c r="A115" s="39"/>
      <c r="C115" t="s">
        <v>741</v>
      </c>
      <c r="D115" s="418"/>
      <c r="E115" s="419"/>
      <c r="F115" s="414"/>
      <c r="G115" s="414"/>
      <c r="H115" s="414"/>
      <c r="I115" s="414"/>
      <c r="J115" s="414"/>
      <c r="K115" s="415"/>
      <c r="L115" s="416"/>
      <c r="M115" s="414"/>
      <c r="N115" s="414"/>
      <c r="O115" s="414"/>
      <c r="P115" s="417"/>
      <c r="Q115" s="417"/>
      <c r="R115" s="417"/>
      <c r="S115" s="417"/>
      <c r="T115" s="417"/>
      <c r="U115" s="417"/>
      <c r="V115" s="417"/>
      <c r="W115" s="417"/>
      <c r="X115" s="415"/>
      <c r="Y115" s="415"/>
      <c r="Z115" s="415"/>
      <c r="AA115" s="415"/>
      <c r="AB115" s="9">
        <f t="shared" si="49"/>
        <v>0</v>
      </c>
      <c r="AC115" s="5">
        <f t="shared" si="50"/>
        <v>0</v>
      </c>
      <c r="AD115" s="26">
        <f t="shared" si="51"/>
        <v>0</v>
      </c>
      <c r="AE115" s="21">
        <f t="shared" si="52"/>
        <v>0</v>
      </c>
      <c r="AF115" s="414"/>
      <c r="AG115" s="414"/>
      <c r="AH115" s="26"/>
      <c r="AI115" s="21"/>
      <c r="AK115" s="57"/>
      <c r="AL115" s="5"/>
      <c r="AN115" s="57"/>
      <c r="AO115" s="231"/>
      <c r="AP115" s="57"/>
      <c r="AS115" s="209"/>
      <c r="AT115" s="434"/>
      <c r="AU115" s="435"/>
      <c r="AV115" s="270">
        <f t="shared" si="47"/>
        <v>0</v>
      </c>
      <c r="AW115" s="270">
        <f t="shared" si="48"/>
        <v>0</v>
      </c>
      <c r="AX115" s="39"/>
      <c r="AY115" s="33"/>
      <c r="AZ115" s="287" t="str">
        <f>IF(AV115-AW115&lt;=0," ",AV115-AW115)</f>
        <v xml:space="preserve"> </v>
      </c>
      <c r="BA115" s="209">
        <f>IF(AV115-AW115&gt;0," ",AW115-AV115)</f>
        <v>0</v>
      </c>
    </row>
    <row r="116" spans="1:53" x14ac:dyDescent="0.2">
      <c r="A116" s="39"/>
      <c r="C116" s="258" t="s">
        <v>193</v>
      </c>
      <c r="D116" s="423"/>
      <c r="E116" s="424"/>
      <c r="F116" s="425"/>
      <c r="G116" s="425"/>
      <c r="H116" s="425"/>
      <c r="I116" s="425"/>
      <c r="J116" s="425"/>
      <c r="K116" s="426"/>
      <c r="L116" s="427"/>
      <c r="M116" s="425"/>
      <c r="N116" s="425"/>
      <c r="O116" s="425"/>
      <c r="P116" s="428"/>
      <c r="Q116" s="428"/>
      <c r="R116" s="428"/>
      <c r="S116" s="428"/>
      <c r="T116" s="428"/>
      <c r="U116" s="428"/>
      <c r="V116" s="428"/>
      <c r="W116" s="428"/>
      <c r="X116" s="426"/>
      <c r="Y116" s="426"/>
      <c r="Z116" s="426"/>
      <c r="AA116" s="426"/>
      <c r="AB116" s="261">
        <f t="shared" si="49"/>
        <v>0</v>
      </c>
      <c r="AC116" s="259">
        <f t="shared" si="50"/>
        <v>0</v>
      </c>
      <c r="AD116" s="260">
        <f t="shared" si="51"/>
        <v>0</v>
      </c>
      <c r="AE116" s="262">
        <f t="shared" si="52"/>
        <v>0</v>
      </c>
      <c r="AF116" s="425"/>
      <c r="AG116" s="425"/>
      <c r="AH116" s="260"/>
      <c r="AI116" s="262"/>
      <c r="AJ116" s="263"/>
      <c r="AK116" s="264"/>
      <c r="AL116" s="259"/>
      <c r="AM116" s="263"/>
      <c r="AN116" s="264"/>
      <c r="AO116" s="265" t="str">
        <f>'L. Eliminations-Consolidations'!A203</f>
        <v>L.2</v>
      </c>
      <c r="AP116" s="264">
        <f>'L. Eliminations-Consolidations'!J204</f>
        <v>0</v>
      </c>
      <c r="AQ116" s="258"/>
      <c r="AR116" s="395" t="s">
        <v>671</v>
      </c>
      <c r="AS116" s="266">
        <f>'K.1  Int. Service Fd Allocation'!G186+'K.2  Int. Service Fd Alloca'!G179+'K.3 Int. Service Fd Alloca'!G179</f>
        <v>0</v>
      </c>
      <c r="AT116" s="434"/>
      <c r="AU116" s="435"/>
      <c r="AV116" s="264">
        <f t="shared" si="47"/>
        <v>0</v>
      </c>
      <c r="AW116" s="264">
        <f t="shared" si="48"/>
        <v>0</v>
      </c>
      <c r="AX116" s="256"/>
      <c r="AY116" s="257"/>
      <c r="AZ116" s="288" t="str">
        <f>IF((AV116+AV117)-(AW116+AW117)&lt;=0," ",(AV116+AV117)-(AW116+AW117))</f>
        <v xml:space="preserve"> </v>
      </c>
      <c r="BA116" s="266">
        <f>IF((AV116+AV117)-(AW116+AW117)&gt;0," ",(AW116+AW117)-(AV116+AV117))</f>
        <v>0</v>
      </c>
    </row>
    <row r="117" spans="1:53" x14ac:dyDescent="0.2">
      <c r="A117" s="39"/>
      <c r="C117" s="258"/>
      <c r="D117" s="423"/>
      <c r="E117" s="424"/>
      <c r="F117" s="425"/>
      <c r="G117" s="425"/>
      <c r="H117" s="425"/>
      <c r="I117" s="425"/>
      <c r="J117" s="425"/>
      <c r="K117" s="426"/>
      <c r="L117" s="427"/>
      <c r="M117" s="425"/>
      <c r="N117" s="425"/>
      <c r="O117" s="425"/>
      <c r="P117" s="428"/>
      <c r="Q117" s="428"/>
      <c r="R117" s="428"/>
      <c r="S117" s="428"/>
      <c r="T117" s="428"/>
      <c r="U117" s="428"/>
      <c r="V117" s="428"/>
      <c r="W117" s="428"/>
      <c r="X117" s="426"/>
      <c r="Y117" s="426"/>
      <c r="Z117" s="426"/>
      <c r="AA117" s="426"/>
      <c r="AB117" s="261">
        <f t="shared" si="49"/>
        <v>0</v>
      </c>
      <c r="AC117" s="259">
        <f t="shared" si="50"/>
        <v>0</v>
      </c>
      <c r="AD117" s="260">
        <f t="shared" si="51"/>
        <v>0</v>
      </c>
      <c r="AE117" s="262">
        <f t="shared" si="52"/>
        <v>0</v>
      </c>
      <c r="AF117" s="425"/>
      <c r="AG117" s="425"/>
      <c r="AH117" s="260"/>
      <c r="AI117" s="262"/>
      <c r="AJ117" s="263"/>
      <c r="AK117" s="264"/>
      <c r="AL117" s="259"/>
      <c r="AM117" s="263"/>
      <c r="AN117" s="264"/>
      <c r="AO117" s="265" t="str">
        <f>'L. Eliminations-Consolidations'!A208</f>
        <v>L.3</v>
      </c>
      <c r="AP117" s="264">
        <f>'L. Eliminations-Consolidations'!J208</f>
        <v>0</v>
      </c>
      <c r="AQ117" s="258"/>
      <c r="AR117" s="263"/>
      <c r="AS117" s="266"/>
      <c r="AT117" s="434"/>
      <c r="AU117" s="435"/>
      <c r="AV117" s="264">
        <f t="shared" si="47"/>
        <v>0</v>
      </c>
      <c r="AW117" s="264">
        <f t="shared" si="48"/>
        <v>0</v>
      </c>
      <c r="AX117" s="256"/>
      <c r="AY117" s="257"/>
      <c r="AZ117" s="288"/>
      <c r="BA117" s="266"/>
    </row>
    <row r="118" spans="1:53" x14ac:dyDescent="0.2">
      <c r="A118" s="39"/>
      <c r="D118" s="421"/>
      <c r="E118" s="422"/>
      <c r="F118" s="414"/>
      <c r="G118" s="414"/>
      <c r="H118" s="414"/>
      <c r="I118" s="414"/>
      <c r="J118" s="414"/>
      <c r="K118" s="415"/>
      <c r="L118" s="416"/>
      <c r="M118" s="414"/>
      <c r="N118" s="414"/>
      <c r="O118" s="414"/>
      <c r="P118" s="420"/>
      <c r="Q118" s="420"/>
      <c r="R118" s="420"/>
      <c r="S118" s="420"/>
      <c r="T118" s="420"/>
      <c r="U118" s="420"/>
      <c r="V118" s="420"/>
      <c r="W118" s="420"/>
      <c r="X118" s="415"/>
      <c r="Y118" s="415"/>
      <c r="Z118" s="415"/>
      <c r="AA118" s="415"/>
      <c r="AB118" s="9"/>
      <c r="AD118" s="26"/>
      <c r="AE118" s="21"/>
      <c r="AF118" s="414"/>
      <c r="AG118" s="414"/>
      <c r="AH118" s="26"/>
      <c r="AI118" s="21"/>
      <c r="AK118" s="56"/>
      <c r="AL118" s="5"/>
      <c r="AN118" s="56"/>
      <c r="AO118" s="231"/>
      <c r="AP118" s="56"/>
      <c r="AS118" s="210"/>
      <c r="AT118" s="434"/>
      <c r="AU118" s="435"/>
      <c r="AV118" s="56"/>
      <c r="AW118" s="56"/>
      <c r="AX118" s="39"/>
      <c r="AY118" s="33"/>
      <c r="AZ118" s="293"/>
      <c r="BA118" s="210"/>
    </row>
    <row r="119" spans="1:53" x14ac:dyDescent="0.2">
      <c r="A119" s="39"/>
      <c r="C119" s="258" t="s">
        <v>1007</v>
      </c>
      <c r="D119" s="423"/>
      <c r="E119" s="424"/>
      <c r="F119" s="425"/>
      <c r="G119" s="425"/>
      <c r="H119" s="425"/>
      <c r="I119" s="425"/>
      <c r="J119" s="425"/>
      <c r="K119" s="426"/>
      <c r="L119" s="427"/>
      <c r="M119" s="425"/>
      <c r="N119" s="425"/>
      <c r="O119" s="425"/>
      <c r="P119" s="428"/>
      <c r="Q119" s="428"/>
      <c r="R119" s="428"/>
      <c r="S119" s="428"/>
      <c r="T119" s="428"/>
      <c r="U119" s="428"/>
      <c r="V119" s="428"/>
      <c r="W119" s="428"/>
      <c r="X119" s="426"/>
      <c r="Y119" s="426"/>
      <c r="Z119" s="426"/>
      <c r="AA119" s="426"/>
      <c r="AB119" s="261">
        <f t="shared" si="49"/>
        <v>0</v>
      </c>
      <c r="AC119" s="259">
        <f t="shared" si="50"/>
        <v>0</v>
      </c>
      <c r="AD119" s="260">
        <f t="shared" si="51"/>
        <v>0</v>
      </c>
      <c r="AE119" s="262">
        <f t="shared" si="52"/>
        <v>0</v>
      </c>
      <c r="AF119" s="425"/>
      <c r="AG119" s="425"/>
      <c r="AH119" s="260"/>
      <c r="AI119" s="262"/>
      <c r="AJ119" s="263" t="str">
        <f>'G. Debt Service'!D57</f>
        <v>G.3</v>
      </c>
      <c r="AK119" s="264">
        <f>'G. Debt Service'!L57</f>
        <v>0</v>
      </c>
      <c r="AL119" s="259"/>
      <c r="AM119" s="263" t="str">
        <f>'G. Debt Service'!D54</f>
        <v>G.2</v>
      </c>
      <c r="AN119" s="264">
        <f>'G. Debt Service'!N55</f>
        <v>0</v>
      </c>
      <c r="AO119" s="265"/>
      <c r="AP119" s="264"/>
      <c r="AQ119" s="258"/>
      <c r="AR119" s="263"/>
      <c r="AS119" s="266"/>
      <c r="AT119" s="434"/>
      <c r="AU119" s="435"/>
      <c r="AV119" s="264">
        <f t="shared" ref="AV119:AV143" si="53">AD119+AF119+AH119+AK119+AP119+AT119</f>
        <v>0</v>
      </c>
      <c r="AW119" s="264">
        <f t="shared" ref="AW119:AW173" si="54">AE119+AG119+AI119+AN119+AS119+AU119</f>
        <v>0</v>
      </c>
      <c r="AX119" s="256"/>
      <c r="AY119" s="257"/>
      <c r="AZ119" s="288">
        <f>IF((AV119+AV120)-(AW119-AW120)&lt;=0,0,(AV119+AV120)-(AW119+AW120))</f>
        <v>0</v>
      </c>
      <c r="BA119" s="266">
        <f>IF((AV119+AV120)-(AW119+AW120)&gt;0,0,(AW119+AW120)-(AV119+AV120))</f>
        <v>0</v>
      </c>
    </row>
    <row r="120" spans="1:53" x14ac:dyDescent="0.2">
      <c r="A120" s="39"/>
      <c r="C120" s="258"/>
      <c r="D120" s="423"/>
      <c r="E120" s="424"/>
      <c r="F120" s="425"/>
      <c r="G120" s="425"/>
      <c r="H120" s="425"/>
      <c r="I120" s="425"/>
      <c r="J120" s="425"/>
      <c r="K120" s="426"/>
      <c r="L120" s="427"/>
      <c r="M120" s="425"/>
      <c r="N120" s="425"/>
      <c r="O120" s="425"/>
      <c r="P120" s="428"/>
      <c r="Q120" s="428"/>
      <c r="R120" s="428"/>
      <c r="S120" s="428"/>
      <c r="T120" s="428"/>
      <c r="U120" s="428"/>
      <c r="V120" s="428"/>
      <c r="W120" s="428"/>
      <c r="X120" s="426"/>
      <c r="Y120" s="426"/>
      <c r="Z120" s="426"/>
      <c r="AA120" s="426"/>
      <c r="AB120" s="261"/>
      <c r="AC120" s="259"/>
      <c r="AD120" s="260"/>
      <c r="AE120" s="262"/>
      <c r="AF120" s="425"/>
      <c r="AG120" s="425"/>
      <c r="AH120" s="260"/>
      <c r="AI120" s="262"/>
      <c r="AJ120" s="263"/>
      <c r="AK120" s="264"/>
      <c r="AL120" s="259"/>
      <c r="AM120" s="263" t="s">
        <v>442</v>
      </c>
      <c r="AN120" s="264">
        <f>'G. Debt Service'!N57</f>
        <v>0</v>
      </c>
      <c r="AO120" s="265"/>
      <c r="AP120" s="264"/>
      <c r="AQ120" s="258"/>
      <c r="AR120" s="263"/>
      <c r="AS120" s="266"/>
      <c r="AT120" s="434"/>
      <c r="AU120" s="435"/>
      <c r="AV120" s="264">
        <f t="shared" si="53"/>
        <v>0</v>
      </c>
      <c r="AW120" s="264">
        <f t="shared" si="54"/>
        <v>0</v>
      </c>
      <c r="AX120" s="256"/>
      <c r="AY120" s="257"/>
      <c r="AZ120" s="288"/>
      <c r="BA120" s="266"/>
    </row>
    <row r="121" spans="1:53" x14ac:dyDescent="0.2">
      <c r="A121" s="39"/>
      <c r="C121" t="s">
        <v>164</v>
      </c>
      <c r="D121" s="418"/>
      <c r="E121" s="419"/>
      <c r="F121" s="414"/>
      <c r="G121" s="414"/>
      <c r="H121" s="414"/>
      <c r="I121" s="414"/>
      <c r="J121" s="414"/>
      <c r="K121" s="415"/>
      <c r="L121" s="416"/>
      <c r="M121" s="414"/>
      <c r="N121" s="414"/>
      <c r="O121" s="414"/>
      <c r="P121" s="417"/>
      <c r="Q121" s="417"/>
      <c r="R121" s="417"/>
      <c r="S121" s="417"/>
      <c r="T121" s="417"/>
      <c r="U121" s="417"/>
      <c r="V121" s="417"/>
      <c r="W121" s="417"/>
      <c r="X121" s="415"/>
      <c r="Y121" s="415"/>
      <c r="Z121" s="415"/>
      <c r="AA121" s="415"/>
      <c r="AB121" s="9">
        <f t="shared" si="49"/>
        <v>0</v>
      </c>
      <c r="AC121" s="5">
        <f t="shared" si="50"/>
        <v>0</v>
      </c>
      <c r="AD121" s="26">
        <f t="shared" si="51"/>
        <v>0</v>
      </c>
      <c r="AE121" s="21">
        <f t="shared" si="52"/>
        <v>0</v>
      </c>
      <c r="AF121" s="414"/>
      <c r="AG121" s="414"/>
      <c r="AH121" s="26"/>
      <c r="AI121" s="21"/>
      <c r="AK121" s="57"/>
      <c r="AL121" s="5"/>
      <c r="AN121" s="57"/>
      <c r="AO121" s="231"/>
      <c r="AP121" s="57"/>
      <c r="AR121" s="226" t="str">
        <f>'L. Eliminations-Consolidations'!A224</f>
        <v>L.6</v>
      </c>
      <c r="AS121" s="209">
        <f>'L. Eliminations-Consolidations'!L233</f>
        <v>0</v>
      </c>
      <c r="AT121" s="434"/>
      <c r="AU121" s="435"/>
      <c r="AV121" s="270">
        <f t="shared" si="53"/>
        <v>0</v>
      </c>
      <c r="AW121" s="270">
        <f t="shared" si="54"/>
        <v>0</v>
      </c>
      <c r="AX121" s="39"/>
      <c r="AY121" s="33"/>
      <c r="AZ121" s="287" t="str">
        <f t="shared" ref="AZ121:AZ130" si="55">IF(AV121-AW121&lt;=0," ",AV121-AW121)</f>
        <v xml:space="preserve"> </v>
      </c>
      <c r="BA121" s="209">
        <f t="shared" ref="BA121:BA130" si="56">IF(AV121-AW121&gt;0," ",AW121-AV121)</f>
        <v>0</v>
      </c>
    </row>
    <row r="122" spans="1:53" x14ac:dyDescent="0.2">
      <c r="A122" s="39"/>
      <c r="C122" t="s">
        <v>304</v>
      </c>
      <c r="D122" s="418"/>
      <c r="E122" s="419"/>
      <c r="F122" s="414"/>
      <c r="G122" s="414"/>
      <c r="H122" s="414"/>
      <c r="I122" s="414"/>
      <c r="J122" s="414"/>
      <c r="K122" s="415"/>
      <c r="L122" s="416"/>
      <c r="M122" s="414"/>
      <c r="N122" s="414"/>
      <c r="O122" s="414"/>
      <c r="P122" s="417"/>
      <c r="Q122" s="417"/>
      <c r="R122" s="417"/>
      <c r="S122" s="417"/>
      <c r="T122" s="417"/>
      <c r="U122" s="417"/>
      <c r="V122" s="417"/>
      <c r="W122" s="417"/>
      <c r="X122" s="415"/>
      <c r="Y122" s="415"/>
      <c r="Z122" s="415"/>
      <c r="AA122" s="415"/>
      <c r="AB122" s="9">
        <f t="shared" si="49"/>
        <v>0</v>
      </c>
      <c r="AC122" s="5">
        <f t="shared" si="50"/>
        <v>0</v>
      </c>
      <c r="AD122" s="26">
        <f t="shared" si="51"/>
        <v>0</v>
      </c>
      <c r="AE122" s="21">
        <f t="shared" si="52"/>
        <v>0</v>
      </c>
      <c r="AF122" s="414"/>
      <c r="AG122" s="414"/>
      <c r="AH122" s="26"/>
      <c r="AI122" s="21"/>
      <c r="AK122" s="57"/>
      <c r="AL122" s="5"/>
      <c r="AN122" s="57"/>
      <c r="AO122" s="231"/>
      <c r="AP122" s="57"/>
      <c r="AR122" s="226" t="str">
        <f>'L. Eliminations-Consolidations'!A224</f>
        <v>L.6</v>
      </c>
      <c r="AS122" s="209">
        <f>'L. Eliminations-Consolidations'!L234</f>
        <v>0</v>
      </c>
      <c r="AT122" s="434"/>
      <c r="AU122" s="435"/>
      <c r="AV122" s="270">
        <f t="shared" si="53"/>
        <v>0</v>
      </c>
      <c r="AW122" s="270">
        <f t="shared" si="54"/>
        <v>0</v>
      </c>
      <c r="AX122" s="39"/>
      <c r="AY122" s="33"/>
      <c r="AZ122" s="287" t="str">
        <f t="shared" si="55"/>
        <v xml:space="preserve"> </v>
      </c>
      <c r="BA122" s="210">
        <f t="shared" si="56"/>
        <v>0</v>
      </c>
    </row>
    <row r="123" spans="1:53" x14ac:dyDescent="0.2">
      <c r="A123" s="39"/>
      <c r="C123" t="s">
        <v>305</v>
      </c>
      <c r="D123" s="418"/>
      <c r="E123" s="419"/>
      <c r="F123" s="414"/>
      <c r="G123" s="414"/>
      <c r="H123" s="414"/>
      <c r="I123" s="414"/>
      <c r="J123" s="414"/>
      <c r="K123" s="415"/>
      <c r="L123" s="416"/>
      <c r="M123" s="414"/>
      <c r="N123" s="414"/>
      <c r="O123" s="414"/>
      <c r="P123" s="417"/>
      <c r="Q123" s="417"/>
      <c r="R123" s="417"/>
      <c r="S123" s="417"/>
      <c r="T123" s="417"/>
      <c r="U123" s="417"/>
      <c r="V123" s="417"/>
      <c r="W123" s="417"/>
      <c r="X123" s="415"/>
      <c r="Y123" s="415"/>
      <c r="Z123" s="415"/>
      <c r="AA123" s="415"/>
      <c r="AB123" s="9">
        <f t="shared" si="49"/>
        <v>0</v>
      </c>
      <c r="AC123" s="5">
        <f t="shared" si="50"/>
        <v>0</v>
      </c>
      <c r="AD123" s="26">
        <f t="shared" si="51"/>
        <v>0</v>
      </c>
      <c r="AE123" s="21">
        <f t="shared" si="52"/>
        <v>0</v>
      </c>
      <c r="AF123" s="414"/>
      <c r="AG123" s="414"/>
      <c r="AH123" s="26"/>
      <c r="AI123" s="21"/>
      <c r="AK123" s="57"/>
      <c r="AL123" s="5"/>
      <c r="AN123" s="57"/>
      <c r="AO123" s="231"/>
      <c r="AP123" s="57"/>
      <c r="AR123" s="226" t="str">
        <f>'L. Eliminations-Consolidations'!A224</f>
        <v>L.6</v>
      </c>
      <c r="AS123" s="209">
        <f>'L. Eliminations-Consolidations'!L235</f>
        <v>0</v>
      </c>
      <c r="AT123" s="434"/>
      <c r="AU123" s="435"/>
      <c r="AV123" s="270">
        <f t="shared" si="53"/>
        <v>0</v>
      </c>
      <c r="AW123" s="270">
        <f t="shared" si="54"/>
        <v>0</v>
      </c>
      <c r="AX123" s="39"/>
      <c r="AY123" s="33"/>
      <c r="AZ123" s="287" t="str">
        <f t="shared" si="55"/>
        <v xml:space="preserve"> </v>
      </c>
      <c r="BA123" s="210">
        <f t="shared" si="56"/>
        <v>0</v>
      </c>
    </row>
    <row r="124" spans="1:53" x14ac:dyDescent="0.2">
      <c r="A124" s="39"/>
      <c r="C124" t="s">
        <v>306</v>
      </c>
      <c r="D124" s="418"/>
      <c r="E124" s="419"/>
      <c r="F124" s="414"/>
      <c r="G124" s="414"/>
      <c r="H124" s="414"/>
      <c r="I124" s="414"/>
      <c r="J124" s="414"/>
      <c r="K124" s="415"/>
      <c r="L124" s="416"/>
      <c r="M124" s="414"/>
      <c r="N124" s="414"/>
      <c r="O124" s="414"/>
      <c r="P124" s="417"/>
      <c r="Q124" s="417"/>
      <c r="R124" s="417"/>
      <c r="S124" s="417"/>
      <c r="T124" s="417"/>
      <c r="U124" s="417"/>
      <c r="V124" s="417"/>
      <c r="W124" s="417"/>
      <c r="X124" s="415"/>
      <c r="Y124" s="415"/>
      <c r="Z124" s="415"/>
      <c r="AA124" s="415"/>
      <c r="AB124" s="9">
        <f t="shared" si="49"/>
        <v>0</v>
      </c>
      <c r="AC124" s="5">
        <f t="shared" si="50"/>
        <v>0</v>
      </c>
      <c r="AD124" s="26">
        <f t="shared" si="51"/>
        <v>0</v>
      </c>
      <c r="AE124" s="21">
        <f t="shared" si="52"/>
        <v>0</v>
      </c>
      <c r="AF124" s="414"/>
      <c r="AG124" s="414"/>
      <c r="AH124" s="26"/>
      <c r="AI124" s="21"/>
      <c r="AK124" s="57"/>
      <c r="AL124" s="5"/>
      <c r="AN124" s="57"/>
      <c r="AO124" s="231"/>
      <c r="AP124" s="57"/>
      <c r="AR124" s="226" t="str">
        <f>'L. Eliminations-Consolidations'!A224</f>
        <v>L.6</v>
      </c>
      <c r="AS124" s="209">
        <f>'L. Eliminations-Consolidations'!L236</f>
        <v>0</v>
      </c>
      <c r="AT124" s="434"/>
      <c r="AU124" s="435"/>
      <c r="AV124" s="270">
        <f t="shared" si="53"/>
        <v>0</v>
      </c>
      <c r="AW124" s="270">
        <f t="shared" si="54"/>
        <v>0</v>
      </c>
      <c r="AX124" s="39"/>
      <c r="AY124" s="33"/>
      <c r="AZ124" s="287" t="str">
        <f t="shared" si="55"/>
        <v xml:space="preserve"> </v>
      </c>
      <c r="BA124" s="210">
        <f t="shared" si="56"/>
        <v>0</v>
      </c>
    </row>
    <row r="125" spans="1:53" x14ac:dyDescent="0.2">
      <c r="A125" s="39"/>
      <c r="C125" s="571" t="s">
        <v>4869</v>
      </c>
      <c r="D125" s="418"/>
      <c r="E125" s="419"/>
      <c r="F125" s="414"/>
      <c r="G125" s="414"/>
      <c r="H125" s="414"/>
      <c r="I125" s="414"/>
      <c r="J125" s="414"/>
      <c r="K125" s="415"/>
      <c r="L125" s="416"/>
      <c r="M125" s="414"/>
      <c r="N125" s="414"/>
      <c r="O125" s="414"/>
      <c r="P125" s="417"/>
      <c r="Q125" s="417"/>
      <c r="R125" s="417"/>
      <c r="S125" s="417"/>
      <c r="T125" s="417"/>
      <c r="U125" s="417"/>
      <c r="V125" s="417"/>
      <c r="W125" s="417"/>
      <c r="X125" s="415"/>
      <c r="Y125" s="415"/>
      <c r="Z125" s="415"/>
      <c r="AA125" s="415"/>
      <c r="AB125" s="9">
        <f t="shared" si="49"/>
        <v>0</v>
      </c>
      <c r="AC125" s="5">
        <f t="shared" si="50"/>
        <v>0</v>
      </c>
      <c r="AD125" s="26">
        <f t="shared" si="51"/>
        <v>0</v>
      </c>
      <c r="AE125" s="21">
        <f t="shared" si="52"/>
        <v>0</v>
      </c>
      <c r="AF125" s="414"/>
      <c r="AG125" s="414"/>
      <c r="AH125" s="26"/>
      <c r="AI125" s="21"/>
      <c r="AK125" s="57"/>
      <c r="AL125" s="5"/>
      <c r="AN125" s="57"/>
      <c r="AO125" s="231"/>
      <c r="AP125" s="57"/>
      <c r="AR125" s="226" t="str">
        <f>'L. Eliminations-Consolidations'!A224</f>
        <v>L.6</v>
      </c>
      <c r="AS125" s="209">
        <f>'L. Eliminations-Consolidations'!L237</f>
        <v>0</v>
      </c>
      <c r="AT125" s="434"/>
      <c r="AU125" s="435"/>
      <c r="AV125" s="270">
        <f t="shared" si="53"/>
        <v>0</v>
      </c>
      <c r="AW125" s="270">
        <f t="shared" si="54"/>
        <v>0</v>
      </c>
      <c r="AX125" s="39"/>
      <c r="AY125" s="33"/>
      <c r="AZ125" s="287" t="str">
        <f t="shared" si="55"/>
        <v xml:space="preserve"> </v>
      </c>
      <c r="BA125" s="210">
        <f t="shared" si="56"/>
        <v>0</v>
      </c>
    </row>
    <row r="126" spans="1:53" x14ac:dyDescent="0.2">
      <c r="A126" s="39"/>
      <c r="C126" s="571" t="s">
        <v>4895</v>
      </c>
      <c r="D126" s="421"/>
      <c r="E126" s="422"/>
      <c r="F126" s="414"/>
      <c r="G126" s="414"/>
      <c r="H126" s="414"/>
      <c r="I126" s="414"/>
      <c r="J126" s="414"/>
      <c r="K126" s="415"/>
      <c r="L126" s="416"/>
      <c r="M126" s="414"/>
      <c r="N126" s="414"/>
      <c r="O126" s="414"/>
      <c r="P126" s="420"/>
      <c r="Q126" s="420"/>
      <c r="R126" s="420"/>
      <c r="S126" s="420"/>
      <c r="T126" s="420"/>
      <c r="U126" s="420"/>
      <c r="V126" s="420"/>
      <c r="W126" s="420"/>
      <c r="X126" s="415"/>
      <c r="Y126" s="415"/>
      <c r="Z126" s="415"/>
      <c r="AA126" s="415"/>
      <c r="AB126" s="9">
        <f t="shared" si="49"/>
        <v>0</v>
      </c>
      <c r="AC126" s="5">
        <f t="shared" si="50"/>
        <v>0</v>
      </c>
      <c r="AD126" s="26">
        <f t="shared" si="51"/>
        <v>0</v>
      </c>
      <c r="AE126" s="21">
        <f t="shared" si="52"/>
        <v>0</v>
      </c>
      <c r="AF126" s="414"/>
      <c r="AG126" s="414"/>
      <c r="AH126" s="26"/>
      <c r="AI126" s="21"/>
      <c r="AK126" s="56"/>
      <c r="AL126" s="5"/>
      <c r="AN126" s="56"/>
      <c r="AO126" s="231"/>
      <c r="AP126" s="56"/>
      <c r="AR126" s="226" t="str">
        <f>'[3]L. Eliminations-Consolidations'!A224</f>
        <v>L.6</v>
      </c>
      <c r="AS126" s="209">
        <f>'L. Eliminations-Consolidations'!L238</f>
        <v>0</v>
      </c>
      <c r="AT126" s="675"/>
      <c r="AU126" s="875"/>
      <c r="AV126" s="270">
        <f t="shared" si="53"/>
        <v>0</v>
      </c>
      <c r="AW126" s="270">
        <f t="shared" si="54"/>
        <v>0</v>
      </c>
      <c r="AX126" s="39"/>
      <c r="AY126" s="33"/>
      <c r="AZ126" s="293"/>
      <c r="BA126" s="210">
        <f t="shared" si="56"/>
        <v>0</v>
      </c>
    </row>
    <row r="127" spans="1:53" x14ac:dyDescent="0.2">
      <c r="A127" s="39"/>
      <c r="C127" t="s">
        <v>791</v>
      </c>
      <c r="D127" s="418"/>
      <c r="E127" s="419"/>
      <c r="F127" s="414"/>
      <c r="G127" s="414"/>
      <c r="H127" s="414"/>
      <c r="I127" s="414"/>
      <c r="J127" s="414"/>
      <c r="K127" s="415"/>
      <c r="L127" s="416"/>
      <c r="M127" s="414"/>
      <c r="N127" s="414"/>
      <c r="O127" s="414"/>
      <c r="P127" s="417"/>
      <c r="Q127" s="417"/>
      <c r="R127" s="417"/>
      <c r="S127" s="417"/>
      <c r="T127" s="417"/>
      <c r="U127" s="417"/>
      <c r="V127" s="417"/>
      <c r="W127" s="417"/>
      <c r="X127" s="415"/>
      <c r="Y127" s="415"/>
      <c r="Z127" s="415"/>
      <c r="AA127" s="415"/>
      <c r="AB127" s="9">
        <f t="shared" si="49"/>
        <v>0</v>
      </c>
      <c r="AC127" s="5">
        <f t="shared" si="50"/>
        <v>0</v>
      </c>
      <c r="AD127" s="26">
        <f t="shared" si="51"/>
        <v>0</v>
      </c>
      <c r="AE127" s="21">
        <f t="shared" si="52"/>
        <v>0</v>
      </c>
      <c r="AF127" s="414"/>
      <c r="AG127" s="414"/>
      <c r="AH127" s="26"/>
      <c r="AI127" s="21"/>
      <c r="AK127" s="57"/>
      <c r="AL127" s="5"/>
      <c r="AN127" s="57"/>
      <c r="AO127" s="231"/>
      <c r="AP127" s="57"/>
      <c r="AR127" s="226" t="str">
        <f>'L. Eliminations-Consolidations'!A224</f>
        <v>L.6</v>
      </c>
      <c r="AS127" s="209">
        <f>'L. Eliminations-Consolidations'!L239</f>
        <v>0</v>
      </c>
      <c r="AT127" s="434"/>
      <c r="AU127" s="435"/>
      <c r="AV127" s="270">
        <f t="shared" si="53"/>
        <v>0</v>
      </c>
      <c r="AW127" s="270">
        <f t="shared" si="54"/>
        <v>0</v>
      </c>
      <c r="AX127" s="39"/>
      <c r="AY127" s="33"/>
      <c r="AZ127" s="287" t="str">
        <f t="shared" si="55"/>
        <v xml:space="preserve"> </v>
      </c>
      <c r="BA127" s="210">
        <f t="shared" si="56"/>
        <v>0</v>
      </c>
    </row>
    <row r="128" spans="1:53" x14ac:dyDescent="0.2">
      <c r="A128" s="39"/>
      <c r="C128" s="415" t="s">
        <v>308</v>
      </c>
      <c r="D128" s="418"/>
      <c r="E128" s="419"/>
      <c r="F128" s="414"/>
      <c r="G128" s="414"/>
      <c r="H128" s="414"/>
      <c r="I128" s="414"/>
      <c r="J128" s="414"/>
      <c r="K128" s="415"/>
      <c r="L128" s="416"/>
      <c r="M128" s="414"/>
      <c r="N128" s="414"/>
      <c r="O128" s="414"/>
      <c r="P128" s="417"/>
      <c r="Q128" s="417"/>
      <c r="R128" s="417"/>
      <c r="S128" s="417"/>
      <c r="T128" s="417"/>
      <c r="U128" s="417"/>
      <c r="V128" s="417"/>
      <c r="W128" s="417"/>
      <c r="X128" s="415"/>
      <c r="Y128" s="415"/>
      <c r="Z128" s="415"/>
      <c r="AA128" s="415"/>
      <c r="AB128" s="9">
        <f t="shared" si="49"/>
        <v>0</v>
      </c>
      <c r="AC128" s="5">
        <f t="shared" si="50"/>
        <v>0</v>
      </c>
      <c r="AD128" s="26">
        <f t="shared" si="51"/>
        <v>0</v>
      </c>
      <c r="AE128" s="21">
        <f t="shared" si="52"/>
        <v>0</v>
      </c>
      <c r="AF128" s="414"/>
      <c r="AG128" s="414"/>
      <c r="AH128" s="26"/>
      <c r="AI128" s="21"/>
      <c r="AK128" s="57"/>
      <c r="AL128" s="5"/>
      <c r="AN128" s="57"/>
      <c r="AO128" s="231"/>
      <c r="AP128" s="57"/>
      <c r="AR128" s="226" t="str">
        <f>'L. Eliminations-Consolidations'!A224</f>
        <v>L.6</v>
      </c>
      <c r="AS128" s="209">
        <f>'L. Eliminations-Consolidations'!L240</f>
        <v>0</v>
      </c>
      <c r="AT128" s="434"/>
      <c r="AU128" s="435"/>
      <c r="AV128" s="270">
        <f t="shared" si="53"/>
        <v>0</v>
      </c>
      <c r="AW128" s="270">
        <f t="shared" si="54"/>
        <v>0</v>
      </c>
      <c r="AX128" s="39"/>
      <c r="AY128" s="33"/>
      <c r="AZ128" s="287" t="str">
        <f t="shared" si="55"/>
        <v xml:space="preserve"> </v>
      </c>
      <c r="BA128" s="209">
        <f t="shared" si="56"/>
        <v>0</v>
      </c>
    </row>
    <row r="129" spans="1:53" x14ac:dyDescent="0.2">
      <c r="A129" s="39"/>
      <c r="C129" s="415" t="s">
        <v>307</v>
      </c>
      <c r="D129" s="418"/>
      <c r="E129" s="419"/>
      <c r="F129" s="414"/>
      <c r="G129" s="414"/>
      <c r="H129" s="414"/>
      <c r="I129" s="414"/>
      <c r="J129" s="414"/>
      <c r="K129" s="415"/>
      <c r="L129" s="416"/>
      <c r="M129" s="414"/>
      <c r="N129" s="414"/>
      <c r="O129" s="414"/>
      <c r="P129" s="417"/>
      <c r="Q129" s="417"/>
      <c r="R129" s="417"/>
      <c r="S129" s="417"/>
      <c r="T129" s="417"/>
      <c r="U129" s="417"/>
      <c r="V129" s="417"/>
      <c r="W129" s="417"/>
      <c r="X129" s="415"/>
      <c r="Y129" s="415"/>
      <c r="Z129" s="415"/>
      <c r="AA129" s="415"/>
      <c r="AB129" s="9">
        <f t="shared" si="49"/>
        <v>0</v>
      </c>
      <c r="AC129" s="5">
        <f t="shared" si="50"/>
        <v>0</v>
      </c>
      <c r="AD129" s="26">
        <f t="shared" si="51"/>
        <v>0</v>
      </c>
      <c r="AE129" s="21">
        <f t="shared" si="52"/>
        <v>0</v>
      </c>
      <c r="AF129" s="414"/>
      <c r="AG129" s="414"/>
      <c r="AH129" s="26"/>
      <c r="AI129" s="21"/>
      <c r="AK129" s="57"/>
      <c r="AL129" s="5"/>
      <c r="AN129" s="57"/>
      <c r="AO129" s="231"/>
      <c r="AP129" s="57"/>
      <c r="AR129" s="226" t="str">
        <f>'L. Eliminations-Consolidations'!A224</f>
        <v>L.6</v>
      </c>
      <c r="AS129" s="209">
        <f>'L. Eliminations-Consolidations'!L241</f>
        <v>0</v>
      </c>
      <c r="AT129" s="434"/>
      <c r="AU129" s="435"/>
      <c r="AV129" s="270">
        <f t="shared" si="53"/>
        <v>0</v>
      </c>
      <c r="AW129" s="270">
        <f t="shared" si="54"/>
        <v>0</v>
      </c>
      <c r="AX129" s="39"/>
      <c r="AY129" s="33"/>
      <c r="AZ129" s="287" t="str">
        <f t="shared" si="55"/>
        <v xml:space="preserve"> </v>
      </c>
      <c r="BA129" s="209">
        <f t="shared" si="56"/>
        <v>0</v>
      </c>
    </row>
    <row r="130" spans="1:53" x14ac:dyDescent="0.2">
      <c r="A130" s="39"/>
      <c r="C130" t="s">
        <v>487</v>
      </c>
      <c r="D130" s="418"/>
      <c r="E130" s="419"/>
      <c r="F130" s="414"/>
      <c r="G130" s="414"/>
      <c r="H130" s="414"/>
      <c r="I130" s="414"/>
      <c r="J130" s="414"/>
      <c r="K130" s="415"/>
      <c r="L130" s="416"/>
      <c r="M130" s="414"/>
      <c r="N130" s="414"/>
      <c r="O130" s="414"/>
      <c r="P130" s="417"/>
      <c r="Q130" s="417"/>
      <c r="R130" s="417"/>
      <c r="S130" s="417"/>
      <c r="T130" s="417"/>
      <c r="U130" s="417"/>
      <c r="V130" s="417"/>
      <c r="W130" s="417"/>
      <c r="X130" s="415"/>
      <c r="Y130" s="415"/>
      <c r="Z130" s="415"/>
      <c r="AA130" s="415"/>
      <c r="AB130" s="9">
        <f t="shared" si="49"/>
        <v>0</v>
      </c>
      <c r="AC130" s="5">
        <f t="shared" si="50"/>
        <v>0</v>
      </c>
      <c r="AD130" s="26">
        <f t="shared" si="51"/>
        <v>0</v>
      </c>
      <c r="AE130" s="21">
        <f t="shared" si="52"/>
        <v>0</v>
      </c>
      <c r="AF130" s="414"/>
      <c r="AG130" s="414"/>
      <c r="AH130" s="26"/>
      <c r="AI130" s="21"/>
      <c r="AK130" s="57"/>
      <c r="AL130" s="5"/>
      <c r="AN130" s="57"/>
      <c r="AO130" s="231"/>
      <c r="AP130" s="57"/>
      <c r="AS130" s="209"/>
      <c r="AT130" s="434"/>
      <c r="AU130" s="435"/>
      <c r="AV130" s="270">
        <f t="shared" si="53"/>
        <v>0</v>
      </c>
      <c r="AW130" s="270">
        <f t="shared" si="54"/>
        <v>0</v>
      </c>
      <c r="AX130" s="39"/>
      <c r="AY130" s="33"/>
      <c r="AZ130" s="287" t="str">
        <f t="shared" si="55"/>
        <v xml:space="preserve"> </v>
      </c>
      <c r="BA130" s="209">
        <f t="shared" si="56"/>
        <v>0</v>
      </c>
    </row>
    <row r="131" spans="1:53" x14ac:dyDescent="0.2">
      <c r="A131" s="39"/>
      <c r="B131" s="2"/>
      <c r="C131" s="258" t="s">
        <v>742</v>
      </c>
      <c r="D131" s="423"/>
      <c r="E131" s="424"/>
      <c r="F131" s="425"/>
      <c r="G131" s="425"/>
      <c r="H131" s="425"/>
      <c r="I131" s="425"/>
      <c r="J131" s="425"/>
      <c r="K131" s="426"/>
      <c r="L131" s="427"/>
      <c r="M131" s="425"/>
      <c r="N131" s="425"/>
      <c r="O131" s="425"/>
      <c r="P131" s="428"/>
      <c r="Q131" s="428"/>
      <c r="R131" s="428"/>
      <c r="S131" s="428"/>
      <c r="T131" s="428"/>
      <c r="U131" s="428"/>
      <c r="V131" s="428"/>
      <c r="W131" s="428"/>
      <c r="X131" s="426"/>
      <c r="Y131" s="426"/>
      <c r="Z131" s="426"/>
      <c r="AA131" s="426"/>
      <c r="AB131" s="261">
        <f t="shared" si="49"/>
        <v>0</v>
      </c>
      <c r="AC131" s="259">
        <f t="shared" si="50"/>
        <v>0</v>
      </c>
      <c r="AD131" s="260">
        <f t="shared" si="51"/>
        <v>0</v>
      </c>
      <c r="AE131" s="262">
        <f t="shared" si="52"/>
        <v>0</v>
      </c>
      <c r="AF131" s="425"/>
      <c r="AG131" s="425"/>
      <c r="AH131" s="260"/>
      <c r="AI131" s="262"/>
      <c r="AJ131" s="263" t="str">
        <f>'G. Debt Service'!D47</f>
        <v>G.1</v>
      </c>
      <c r="AK131" s="264">
        <f>'G. Debt Service'!L47</f>
        <v>0</v>
      </c>
      <c r="AL131" s="259"/>
      <c r="AM131" s="263"/>
      <c r="AN131" s="264"/>
      <c r="AO131" s="265" t="str">
        <f>'L. Eliminations-Consolidations'!A224</f>
        <v>L.6</v>
      </c>
      <c r="AP131" s="264">
        <f>'L. Eliminations-Consolidations'!J226</f>
        <v>0</v>
      </c>
      <c r="AQ131" s="258"/>
      <c r="AR131" s="263"/>
      <c r="AS131" s="266"/>
      <c r="AT131" s="434"/>
      <c r="AU131" s="435"/>
      <c r="AV131" s="264">
        <f t="shared" si="53"/>
        <v>0</v>
      </c>
      <c r="AW131" s="264">
        <f t="shared" si="54"/>
        <v>0</v>
      </c>
      <c r="AX131" s="256"/>
      <c r="AY131" s="257"/>
      <c r="AZ131" s="288" t="str">
        <f>IF((AV131+AV132)-(AW131+AW132)&lt;=0," ",(AV131+AV132)-(AW131+AW132))</f>
        <v xml:space="preserve"> </v>
      </c>
      <c r="BA131" s="860">
        <f>IF((AV131+AV132)-(AW131+AW132)&gt;0," ",(AW131+AW132)-(AV131+AV132))</f>
        <v>0</v>
      </c>
    </row>
    <row r="132" spans="1:53" x14ac:dyDescent="0.2">
      <c r="A132" s="39"/>
      <c r="B132" s="2"/>
      <c r="C132" s="258"/>
      <c r="D132" s="423"/>
      <c r="E132" s="424"/>
      <c r="F132" s="425"/>
      <c r="G132" s="425"/>
      <c r="H132" s="425"/>
      <c r="I132" s="425"/>
      <c r="J132" s="425"/>
      <c r="K132" s="426"/>
      <c r="L132" s="427"/>
      <c r="M132" s="425"/>
      <c r="N132" s="425"/>
      <c r="O132" s="425"/>
      <c r="P132" s="428"/>
      <c r="Q132" s="428"/>
      <c r="R132" s="428"/>
      <c r="S132" s="428"/>
      <c r="T132" s="428"/>
      <c r="U132" s="428"/>
      <c r="V132" s="428"/>
      <c r="W132" s="428"/>
      <c r="X132" s="426"/>
      <c r="Y132" s="426"/>
      <c r="Z132" s="426"/>
      <c r="AA132" s="426"/>
      <c r="AB132" s="261">
        <f t="shared" si="49"/>
        <v>0</v>
      </c>
      <c r="AC132" s="259">
        <f t="shared" si="50"/>
        <v>0</v>
      </c>
      <c r="AD132" s="260">
        <f t="shared" si="51"/>
        <v>0</v>
      </c>
      <c r="AE132" s="262">
        <f t="shared" si="52"/>
        <v>0</v>
      </c>
      <c r="AF132" s="425"/>
      <c r="AG132" s="425"/>
      <c r="AH132" s="260"/>
      <c r="AI132" s="262"/>
      <c r="AJ132" s="263" t="str">
        <f>'H. Debt Issues'!D77</f>
        <v>H.1</v>
      </c>
      <c r="AK132" s="264">
        <f>'H. Debt Issues'!L93</f>
        <v>0</v>
      </c>
      <c r="AL132" s="259"/>
      <c r="AM132" s="263" t="str">
        <f>'H. Debt Issues'!D77</f>
        <v>H.1</v>
      </c>
      <c r="AN132" s="264">
        <f>'H. Debt Issues'!N93</f>
        <v>0</v>
      </c>
      <c r="AO132" s="265"/>
      <c r="AP132" s="264"/>
      <c r="AQ132" s="258"/>
      <c r="AR132" s="263"/>
      <c r="AS132" s="266"/>
      <c r="AT132" s="434"/>
      <c r="AU132" s="435"/>
      <c r="AV132" s="264">
        <f t="shared" si="53"/>
        <v>0</v>
      </c>
      <c r="AW132" s="264">
        <f t="shared" si="54"/>
        <v>0</v>
      </c>
      <c r="AX132" s="256"/>
      <c r="AY132" s="257"/>
      <c r="AZ132" s="288"/>
      <c r="BA132" s="860"/>
    </row>
    <row r="133" spans="1:53" x14ac:dyDescent="0.2">
      <c r="A133" s="39"/>
      <c r="B133" s="2"/>
      <c r="C133" t="s">
        <v>848</v>
      </c>
      <c r="D133" s="418"/>
      <c r="E133" s="419"/>
      <c r="F133" s="414"/>
      <c r="G133" s="414"/>
      <c r="H133" s="414"/>
      <c r="I133" s="414"/>
      <c r="J133" s="414"/>
      <c r="K133" s="415"/>
      <c r="L133" s="416"/>
      <c r="M133" s="414"/>
      <c r="N133" s="414"/>
      <c r="O133" s="414"/>
      <c r="P133" s="417"/>
      <c r="Q133" s="417"/>
      <c r="R133" s="417"/>
      <c r="S133" s="417"/>
      <c r="T133" s="417"/>
      <c r="U133" s="417"/>
      <c r="V133" s="417"/>
      <c r="W133" s="417"/>
      <c r="X133" s="415"/>
      <c r="Y133" s="415"/>
      <c r="Z133" s="415"/>
      <c r="AA133" s="415"/>
      <c r="AB133" s="9">
        <f t="shared" si="49"/>
        <v>0</v>
      </c>
      <c r="AC133" s="5">
        <f t="shared" si="50"/>
        <v>0</v>
      </c>
      <c r="AD133" s="26">
        <f t="shared" si="51"/>
        <v>0</v>
      </c>
      <c r="AE133" s="21">
        <f t="shared" si="52"/>
        <v>0</v>
      </c>
      <c r="AF133" s="414"/>
      <c r="AG133" s="414"/>
      <c r="AH133" s="26"/>
      <c r="AI133" s="21"/>
      <c r="AJ133" s="226" t="str">
        <f>'H. Debt Issues'!D77</f>
        <v>H.1</v>
      </c>
      <c r="AK133" s="57">
        <f>'H. Debt Issues'!L92</f>
        <v>0</v>
      </c>
      <c r="AL133" s="5"/>
      <c r="AM133" s="226" t="str">
        <f>'H. Debt Issues'!D77</f>
        <v>H.1</v>
      </c>
      <c r="AN133" s="57">
        <f>'H. Debt Issues'!N92</f>
        <v>0</v>
      </c>
      <c r="AO133" s="231"/>
      <c r="AP133" s="57"/>
      <c r="AS133" s="209"/>
      <c r="AT133" s="434"/>
      <c r="AU133" s="435"/>
      <c r="AV133" s="270">
        <f t="shared" si="53"/>
        <v>0</v>
      </c>
      <c r="AW133" s="270">
        <f t="shared" si="54"/>
        <v>0</v>
      </c>
      <c r="AX133" s="39"/>
      <c r="AY133" s="33"/>
      <c r="AZ133" s="287" t="str">
        <f t="shared" ref="AZ133:AZ143" si="57">IF(AV133-AW133&lt;=0," ",AV133-AW133)</f>
        <v xml:space="preserve"> </v>
      </c>
      <c r="BA133" s="210">
        <f t="shared" ref="BA133:BA144" si="58">IF(AV133-AW133&gt;0," ",AW133-AV133)</f>
        <v>0</v>
      </c>
    </row>
    <row r="134" spans="1:53" x14ac:dyDescent="0.2">
      <c r="A134" s="39"/>
      <c r="B134" s="2"/>
      <c r="C134" t="s">
        <v>346</v>
      </c>
      <c r="D134" s="418"/>
      <c r="E134" s="419"/>
      <c r="F134" s="414"/>
      <c r="G134" s="414"/>
      <c r="H134" s="414"/>
      <c r="I134" s="414"/>
      <c r="J134" s="414"/>
      <c r="K134" s="415"/>
      <c r="L134" s="416"/>
      <c r="M134" s="414"/>
      <c r="N134" s="414"/>
      <c r="O134" s="414"/>
      <c r="P134" s="417"/>
      <c r="Q134" s="417"/>
      <c r="R134" s="417"/>
      <c r="S134" s="417"/>
      <c r="T134" s="417"/>
      <c r="U134" s="417"/>
      <c r="V134" s="417"/>
      <c r="W134" s="417"/>
      <c r="X134" s="415"/>
      <c r="Y134" s="415"/>
      <c r="Z134" s="415"/>
      <c r="AA134" s="415"/>
      <c r="AB134" s="9">
        <f t="shared" si="49"/>
        <v>0</v>
      </c>
      <c r="AC134" s="5">
        <f t="shared" si="50"/>
        <v>0</v>
      </c>
      <c r="AD134" s="26">
        <f t="shared" si="51"/>
        <v>0</v>
      </c>
      <c r="AE134" s="21">
        <f t="shared" si="52"/>
        <v>0</v>
      </c>
      <c r="AF134" s="414"/>
      <c r="AG134" s="414"/>
      <c r="AH134" s="26"/>
      <c r="AI134" s="21"/>
      <c r="AJ134" s="226" t="str">
        <f>'H. Debt Issues'!D77</f>
        <v>H.1</v>
      </c>
      <c r="AK134" s="57">
        <f>'H. Debt Issues'!L82</f>
        <v>0</v>
      </c>
      <c r="AL134" s="5"/>
      <c r="AM134" s="226" t="str">
        <f>'H. Debt Issues'!D77</f>
        <v>H.1</v>
      </c>
      <c r="AN134" s="57">
        <f>'H. Debt Issues'!N82</f>
        <v>0</v>
      </c>
      <c r="AO134" s="231"/>
      <c r="AP134" s="57"/>
      <c r="AS134" s="209"/>
      <c r="AT134" s="434"/>
      <c r="AU134" s="435"/>
      <c r="AV134" s="270">
        <f t="shared" si="53"/>
        <v>0</v>
      </c>
      <c r="AW134" s="270">
        <f t="shared" si="54"/>
        <v>0</v>
      </c>
      <c r="AX134" s="39"/>
      <c r="AY134" s="33"/>
      <c r="AZ134" s="287" t="str">
        <f t="shared" si="57"/>
        <v xml:space="preserve"> </v>
      </c>
      <c r="BA134" s="210">
        <f t="shared" si="58"/>
        <v>0</v>
      </c>
    </row>
    <row r="135" spans="1:53" x14ac:dyDescent="0.2">
      <c r="A135" s="39"/>
      <c r="C135" t="s">
        <v>486</v>
      </c>
      <c r="D135" s="418"/>
      <c r="E135" s="419"/>
      <c r="F135" s="414"/>
      <c r="G135" s="414"/>
      <c r="H135" s="414"/>
      <c r="I135" s="414"/>
      <c r="J135" s="414"/>
      <c r="K135" s="415"/>
      <c r="L135" s="416"/>
      <c r="M135" s="414"/>
      <c r="N135" s="414"/>
      <c r="O135" s="414"/>
      <c r="P135" s="417"/>
      <c r="Q135" s="417"/>
      <c r="R135" s="417"/>
      <c r="S135" s="417"/>
      <c r="T135" s="417"/>
      <c r="U135" s="417"/>
      <c r="V135" s="417"/>
      <c r="W135" s="417"/>
      <c r="X135" s="415"/>
      <c r="Y135" s="415"/>
      <c r="Z135" s="415"/>
      <c r="AA135" s="415"/>
      <c r="AB135" s="9">
        <f t="shared" si="49"/>
        <v>0</v>
      </c>
      <c r="AC135" s="5">
        <f t="shared" si="50"/>
        <v>0</v>
      </c>
      <c r="AD135" s="26">
        <f t="shared" si="51"/>
        <v>0</v>
      </c>
      <c r="AE135" s="21">
        <f t="shared" si="52"/>
        <v>0</v>
      </c>
      <c r="AF135" s="414"/>
      <c r="AG135" s="414"/>
      <c r="AH135" s="26"/>
      <c r="AI135" s="21"/>
      <c r="AJ135" s="226" t="str">
        <f>'G. Debt Service'!D47</f>
        <v>G.1</v>
      </c>
      <c r="AK135" s="57">
        <f>'G. Debt Service'!L48</f>
        <v>0</v>
      </c>
      <c r="AL135" s="5"/>
      <c r="AM135" s="226" t="str">
        <f>'H. Debt Issues'!D77</f>
        <v>H.1</v>
      </c>
      <c r="AN135" s="57">
        <f>'H. Debt Issues'!N94</f>
        <v>0</v>
      </c>
      <c r="AO135" s="231"/>
      <c r="AP135" s="57"/>
      <c r="AS135" s="209"/>
      <c r="AT135" s="434"/>
      <c r="AU135" s="435"/>
      <c r="AV135" s="270">
        <f t="shared" si="53"/>
        <v>0</v>
      </c>
      <c r="AW135" s="270">
        <f t="shared" si="54"/>
        <v>0</v>
      </c>
      <c r="AX135" s="39"/>
      <c r="AY135" s="33"/>
      <c r="AZ135" s="287" t="str">
        <f t="shared" si="57"/>
        <v xml:space="preserve"> </v>
      </c>
      <c r="BA135" s="210">
        <f t="shared" si="58"/>
        <v>0</v>
      </c>
    </row>
    <row r="136" spans="1:53" x14ac:dyDescent="0.2">
      <c r="A136" s="39"/>
      <c r="C136" t="s">
        <v>823</v>
      </c>
      <c r="D136" s="418"/>
      <c r="E136" s="419"/>
      <c r="F136" s="414"/>
      <c r="G136" s="414"/>
      <c r="H136" s="414"/>
      <c r="I136" s="414"/>
      <c r="J136" s="414"/>
      <c r="K136" s="415"/>
      <c r="L136" s="416"/>
      <c r="M136" s="414"/>
      <c r="N136" s="414"/>
      <c r="O136" s="414"/>
      <c r="P136" s="417"/>
      <c r="Q136" s="417"/>
      <c r="R136" s="417"/>
      <c r="S136" s="417"/>
      <c r="T136" s="417"/>
      <c r="U136" s="417"/>
      <c r="V136" s="417"/>
      <c r="W136" s="417"/>
      <c r="X136" s="415"/>
      <c r="Y136" s="415"/>
      <c r="Z136" s="415"/>
      <c r="AA136" s="415"/>
      <c r="AB136" s="9">
        <f t="shared" si="49"/>
        <v>0</v>
      </c>
      <c r="AC136" s="5">
        <f t="shared" si="50"/>
        <v>0</v>
      </c>
      <c r="AD136" s="26">
        <f t="shared" si="51"/>
        <v>0</v>
      </c>
      <c r="AE136" s="21">
        <f t="shared" si="52"/>
        <v>0</v>
      </c>
      <c r="AF136" s="414"/>
      <c r="AG136" s="414"/>
      <c r="AH136" s="26"/>
      <c r="AI136" s="21"/>
      <c r="AJ136" s="226" t="str">
        <f>'G. Debt Service'!D47</f>
        <v>G.1</v>
      </c>
      <c r="AK136" s="57">
        <f>'G. Debt Service'!L49</f>
        <v>0</v>
      </c>
      <c r="AL136" s="5"/>
      <c r="AM136" s="226" t="str">
        <f>'H. Debt Issues'!D77</f>
        <v>H.1</v>
      </c>
      <c r="AN136" s="57">
        <f>'H. Debt Issues'!N95</f>
        <v>0</v>
      </c>
      <c r="AO136" s="231" t="str">
        <f>'L. Eliminations-Consolidations'!A224</f>
        <v>L.6</v>
      </c>
      <c r="AP136" s="57">
        <f>'L. Eliminations-Consolidations'!J225</f>
        <v>0</v>
      </c>
      <c r="AS136" s="209"/>
      <c r="AT136" s="434"/>
      <c r="AU136" s="435"/>
      <c r="AV136" s="270">
        <f t="shared" si="53"/>
        <v>0</v>
      </c>
      <c r="AW136" s="270">
        <f t="shared" si="54"/>
        <v>0</v>
      </c>
      <c r="AX136" s="39"/>
      <c r="AY136" s="33"/>
      <c r="AZ136" s="287" t="str">
        <f t="shared" si="57"/>
        <v xml:space="preserve"> </v>
      </c>
      <c r="BA136" s="210">
        <f t="shared" si="58"/>
        <v>0</v>
      </c>
    </row>
    <row r="137" spans="1:53" x14ac:dyDescent="0.2">
      <c r="A137" s="39"/>
      <c r="C137" s="571" t="s">
        <v>4864</v>
      </c>
      <c r="D137" s="418"/>
      <c r="E137" s="419"/>
      <c r="F137" s="414"/>
      <c r="G137" s="414"/>
      <c r="H137" s="414"/>
      <c r="I137" s="414"/>
      <c r="J137" s="414"/>
      <c r="K137" s="415"/>
      <c r="L137" s="416"/>
      <c r="M137" s="414"/>
      <c r="N137" s="414"/>
      <c r="O137" s="414"/>
      <c r="P137" s="417"/>
      <c r="Q137" s="417"/>
      <c r="R137" s="417"/>
      <c r="S137" s="417"/>
      <c r="T137" s="417"/>
      <c r="U137" s="417"/>
      <c r="V137" s="417"/>
      <c r="W137" s="417"/>
      <c r="X137" s="415"/>
      <c r="Y137" s="415"/>
      <c r="Z137" s="415"/>
      <c r="AA137" s="415"/>
      <c r="AB137" s="9">
        <f t="shared" si="49"/>
        <v>0</v>
      </c>
      <c r="AC137" s="5">
        <f t="shared" si="50"/>
        <v>0</v>
      </c>
      <c r="AD137" s="26">
        <f t="shared" si="51"/>
        <v>0</v>
      </c>
      <c r="AE137" s="21">
        <f t="shared" si="52"/>
        <v>0</v>
      </c>
      <c r="AF137" s="414"/>
      <c r="AG137" s="414"/>
      <c r="AH137" s="26"/>
      <c r="AI137" s="21"/>
      <c r="AJ137" s="226" t="str">
        <f>'G. Debt Service'!D47</f>
        <v>G.1</v>
      </c>
      <c r="AK137" s="57">
        <f>'G. Debt Service'!L50</f>
        <v>0</v>
      </c>
      <c r="AL137" s="5"/>
      <c r="AM137" s="226" t="str">
        <f>'H. Debt Issues'!D77</f>
        <v>H.1</v>
      </c>
      <c r="AN137" s="57">
        <f>'H. Debt Issues'!N96</f>
        <v>0</v>
      </c>
      <c r="AO137" s="231" t="str">
        <f>'L. Eliminations-Consolidations'!A224</f>
        <v>L.6</v>
      </c>
      <c r="AP137" s="57">
        <f>'L. Eliminations-Consolidations'!J228</f>
        <v>0</v>
      </c>
      <c r="AS137" s="209"/>
      <c r="AT137" s="434"/>
      <c r="AU137" s="435"/>
      <c r="AV137" s="270">
        <f t="shared" si="53"/>
        <v>0</v>
      </c>
      <c r="AW137" s="270">
        <f t="shared" si="54"/>
        <v>0</v>
      </c>
      <c r="AX137" s="39"/>
      <c r="AY137" s="33"/>
      <c r="AZ137" s="287" t="str">
        <f t="shared" si="57"/>
        <v xml:space="preserve"> </v>
      </c>
      <c r="BA137" s="210">
        <f t="shared" si="58"/>
        <v>0</v>
      </c>
    </row>
    <row r="138" spans="1:53" x14ac:dyDescent="0.2">
      <c r="A138" s="39"/>
      <c r="C138" s="571" t="s">
        <v>4896</v>
      </c>
      <c r="D138" s="421"/>
      <c r="E138" s="422"/>
      <c r="F138" s="414"/>
      <c r="G138" s="414"/>
      <c r="H138" s="414"/>
      <c r="I138" s="414"/>
      <c r="J138" s="414"/>
      <c r="K138" s="415"/>
      <c r="L138" s="416"/>
      <c r="M138" s="414"/>
      <c r="N138" s="414"/>
      <c r="O138" s="414"/>
      <c r="P138" s="420"/>
      <c r="Q138" s="420"/>
      <c r="R138" s="420"/>
      <c r="S138" s="420"/>
      <c r="T138" s="420"/>
      <c r="U138" s="420"/>
      <c r="V138" s="420"/>
      <c r="W138" s="420"/>
      <c r="X138" s="415"/>
      <c r="Y138" s="415"/>
      <c r="Z138" s="415"/>
      <c r="AA138" s="415"/>
      <c r="AB138" s="9">
        <f t="shared" ref="AB138" si="59">L138+N138+P138+R138+T138+V138+X138+Z138</f>
        <v>0</v>
      </c>
      <c r="AC138" s="5">
        <f t="shared" ref="AC138" si="60">M138+O138+Q138+S138+U138+W138+Y138+AA138</f>
        <v>0</v>
      </c>
      <c r="AD138" s="26">
        <f t="shared" ref="AD138" si="61">D138+F138+H138+J138+AB138</f>
        <v>0</v>
      </c>
      <c r="AE138" s="21">
        <f t="shared" ref="AE138" si="62">E138+G138+I138+K138+AC138</f>
        <v>0</v>
      </c>
      <c r="AF138" s="414"/>
      <c r="AG138" s="414"/>
      <c r="AH138" s="26"/>
      <c r="AI138" s="21"/>
      <c r="AJ138" s="226" t="str">
        <f>'[3]G. Debt Service'!D47</f>
        <v>G.1</v>
      </c>
      <c r="AK138" s="57">
        <f>'G. Debt Service'!L51</f>
        <v>0</v>
      </c>
      <c r="AL138" s="5"/>
      <c r="AM138" s="226" t="str">
        <f>'[3]H. Debt Issues'!D77</f>
        <v>H.1</v>
      </c>
      <c r="AN138" s="57">
        <f>'H. Debt Issues'!N97</f>
        <v>0</v>
      </c>
      <c r="AO138" s="231" t="str">
        <f>'[3]L. Eliminations-Consolidations'!A224</f>
        <v>L.6</v>
      </c>
      <c r="AP138" s="57">
        <f>'L. Eliminations-Consolidations'!J229</f>
        <v>0</v>
      </c>
      <c r="AS138" s="210"/>
      <c r="AT138" s="675"/>
      <c r="AU138" s="875"/>
      <c r="AV138" s="270">
        <f t="shared" si="53"/>
        <v>0</v>
      </c>
      <c r="AW138" s="270">
        <f t="shared" si="54"/>
        <v>0</v>
      </c>
      <c r="AX138" s="39"/>
      <c r="AY138" s="33"/>
      <c r="AZ138" s="293"/>
      <c r="BA138" s="210">
        <f t="shared" si="58"/>
        <v>0</v>
      </c>
    </row>
    <row r="139" spans="1:53" x14ac:dyDescent="0.2">
      <c r="A139" s="39"/>
      <c r="C139" t="s">
        <v>851</v>
      </c>
      <c r="D139" s="418"/>
      <c r="E139" s="419"/>
      <c r="F139" s="414"/>
      <c r="G139" s="414"/>
      <c r="H139" s="414"/>
      <c r="I139" s="414"/>
      <c r="J139" s="414"/>
      <c r="K139" s="415"/>
      <c r="L139" s="416"/>
      <c r="M139" s="414"/>
      <c r="N139" s="414"/>
      <c r="O139" s="414"/>
      <c r="P139" s="417"/>
      <c r="Q139" s="417"/>
      <c r="R139" s="417"/>
      <c r="S139" s="417"/>
      <c r="T139" s="417"/>
      <c r="U139" s="417"/>
      <c r="V139" s="417"/>
      <c r="W139" s="417"/>
      <c r="X139" s="415"/>
      <c r="Y139" s="415"/>
      <c r="Z139" s="415"/>
      <c r="AA139" s="415"/>
      <c r="AB139" s="9">
        <f t="shared" si="49"/>
        <v>0</v>
      </c>
      <c r="AC139" s="5">
        <f t="shared" si="50"/>
        <v>0</v>
      </c>
      <c r="AD139" s="26">
        <f t="shared" si="51"/>
        <v>0</v>
      </c>
      <c r="AE139" s="21">
        <f t="shared" si="52"/>
        <v>0</v>
      </c>
      <c r="AF139" s="414"/>
      <c r="AG139" s="414"/>
      <c r="AH139" s="26"/>
      <c r="AI139" s="21"/>
      <c r="AK139" s="57">
        <f>'G. Debt Service'!L52</f>
        <v>0</v>
      </c>
      <c r="AL139" s="5"/>
      <c r="AN139" s="57"/>
      <c r="AO139" s="231" t="str">
        <f>'L. Eliminations-Consolidations'!A224</f>
        <v>L.6</v>
      </c>
      <c r="AP139" s="57">
        <f>'L. Eliminations-Consolidations'!J227</f>
        <v>0</v>
      </c>
      <c r="AR139" s="393" t="s">
        <v>671</v>
      </c>
      <c r="AS139" s="210">
        <f>'K.1  Int. Service Fd Allocation'!G191+'K.2  Int. Service Fd Alloca'!G184+'K.3 Int. Service Fd Alloca'!G184</f>
        <v>0</v>
      </c>
      <c r="AT139" s="434"/>
      <c r="AU139" s="435"/>
      <c r="AV139" s="270">
        <f t="shared" si="53"/>
        <v>0</v>
      </c>
      <c r="AW139" s="270">
        <f t="shared" si="54"/>
        <v>0</v>
      </c>
      <c r="AX139" s="39"/>
      <c r="AY139" s="33"/>
      <c r="AZ139" s="287" t="str">
        <f t="shared" si="57"/>
        <v xml:space="preserve"> </v>
      </c>
      <c r="BA139" s="210">
        <f t="shared" si="58"/>
        <v>0</v>
      </c>
    </row>
    <row r="140" spans="1:53" x14ac:dyDescent="0.2">
      <c r="A140" s="39"/>
      <c r="C140" t="s">
        <v>488</v>
      </c>
      <c r="D140" s="418"/>
      <c r="E140" s="419"/>
      <c r="F140" s="414"/>
      <c r="G140" s="414"/>
      <c r="H140" s="414"/>
      <c r="I140" s="414"/>
      <c r="J140" s="414"/>
      <c r="K140" s="415"/>
      <c r="L140" s="416"/>
      <c r="M140" s="414"/>
      <c r="N140" s="414"/>
      <c r="O140" s="414"/>
      <c r="P140" s="417"/>
      <c r="Q140" s="417"/>
      <c r="R140" s="417"/>
      <c r="S140" s="417"/>
      <c r="T140" s="417"/>
      <c r="U140" s="417"/>
      <c r="V140" s="417"/>
      <c r="W140" s="417"/>
      <c r="X140" s="415"/>
      <c r="Y140" s="415"/>
      <c r="Z140" s="415"/>
      <c r="AA140" s="415"/>
      <c r="AB140" s="9">
        <f t="shared" si="49"/>
        <v>0</v>
      </c>
      <c r="AC140" s="5">
        <f t="shared" si="50"/>
        <v>0</v>
      </c>
      <c r="AD140" s="26">
        <f t="shared" si="51"/>
        <v>0</v>
      </c>
      <c r="AE140" s="21">
        <f t="shared" si="52"/>
        <v>0</v>
      </c>
      <c r="AF140" s="414"/>
      <c r="AG140" s="414"/>
      <c r="AH140" s="26"/>
      <c r="AI140" s="21"/>
      <c r="AJ140" s="226" t="str">
        <f>'J. Other Liability &amp; Expenses'!D185</f>
        <v>J.1</v>
      </c>
      <c r="AK140" s="57">
        <f>'J. Other Liability &amp; Expenses'!L195</f>
        <v>0</v>
      </c>
      <c r="AL140" s="5"/>
      <c r="AM140" s="226" t="str">
        <f>'J. Other Liability &amp; Expenses'!D185</f>
        <v>J.1</v>
      </c>
      <c r="AN140" s="57">
        <f>'J. Other Liability &amp; Expenses'!N195</f>
        <v>0</v>
      </c>
      <c r="AO140" s="231" t="str">
        <f>'L. Eliminations-Consolidations'!A224</f>
        <v>L.6</v>
      </c>
      <c r="AP140" s="57">
        <f>'L. Eliminations-Consolidations'!J230</f>
        <v>0</v>
      </c>
      <c r="AR140" s="393" t="s">
        <v>671</v>
      </c>
      <c r="AS140" s="210">
        <f>'K.1  Int. Service Fd Allocation'!G187+'K.2  Int. Service Fd Alloca'!G180+'K.3 Int. Service Fd Alloca'!G180</f>
        <v>0</v>
      </c>
      <c r="AT140" s="434"/>
      <c r="AU140" s="435"/>
      <c r="AV140" s="270">
        <f t="shared" si="53"/>
        <v>0</v>
      </c>
      <c r="AW140" s="270">
        <f t="shared" si="54"/>
        <v>0</v>
      </c>
      <c r="AX140" s="39"/>
      <c r="AY140" s="33"/>
      <c r="AZ140" s="287" t="str">
        <f t="shared" si="57"/>
        <v xml:space="preserve"> </v>
      </c>
      <c r="BA140" s="210">
        <f t="shared" si="58"/>
        <v>0</v>
      </c>
    </row>
    <row r="141" spans="1:53" x14ac:dyDescent="0.2">
      <c r="A141" s="39"/>
      <c r="C141" t="s">
        <v>719</v>
      </c>
      <c r="D141" s="418"/>
      <c r="E141" s="419"/>
      <c r="F141" s="414"/>
      <c r="G141" s="414"/>
      <c r="H141" s="414"/>
      <c r="I141" s="414"/>
      <c r="J141" s="414"/>
      <c r="K141" s="415"/>
      <c r="L141" s="416"/>
      <c r="M141" s="414"/>
      <c r="N141" s="414"/>
      <c r="O141" s="414"/>
      <c r="P141" s="417"/>
      <c r="Q141" s="417"/>
      <c r="R141" s="417"/>
      <c r="S141" s="417"/>
      <c r="T141" s="417"/>
      <c r="U141" s="417"/>
      <c r="V141" s="417"/>
      <c r="W141" s="417"/>
      <c r="X141" s="415"/>
      <c r="Y141" s="415"/>
      <c r="Z141" s="415"/>
      <c r="AA141" s="415"/>
      <c r="AB141" s="9">
        <f t="shared" si="49"/>
        <v>0</v>
      </c>
      <c r="AC141" s="5">
        <f t="shared" si="50"/>
        <v>0</v>
      </c>
      <c r="AD141" s="26">
        <f t="shared" si="51"/>
        <v>0</v>
      </c>
      <c r="AE141" s="21">
        <f t="shared" si="52"/>
        <v>0</v>
      </c>
      <c r="AF141" s="414"/>
      <c r="AG141" s="414"/>
      <c r="AH141" s="26"/>
      <c r="AI141" s="21"/>
      <c r="AK141" s="57"/>
      <c r="AL141" s="5"/>
      <c r="AM141" s="226" t="str">
        <f>'J. Other Liability &amp; Expenses'!D185</f>
        <v>J.1</v>
      </c>
      <c r="AN141" s="57">
        <f>'J. Other Liability &amp; Expenses'!N197</f>
        <v>0</v>
      </c>
      <c r="AO141" s="231" t="str">
        <f>'L. Eliminations-Consolidations'!A224</f>
        <v>L.6</v>
      </c>
      <c r="AP141" s="57">
        <f>'L. Eliminations-Consolidations'!J224</f>
        <v>0</v>
      </c>
      <c r="AR141" s="393" t="s">
        <v>671</v>
      </c>
      <c r="AS141" s="210">
        <f>'K.1  Int. Service Fd Allocation'!G188+'K.2  Int. Service Fd Alloca'!G181+'K.3 Int. Service Fd Alloca'!G181</f>
        <v>0</v>
      </c>
      <c r="AT141" s="434"/>
      <c r="AU141" s="435"/>
      <c r="AV141" s="270">
        <f t="shared" si="53"/>
        <v>0</v>
      </c>
      <c r="AW141" s="270">
        <f t="shared" si="54"/>
        <v>0</v>
      </c>
      <c r="AX141" s="39"/>
      <c r="AY141" s="33"/>
      <c r="AZ141" s="287" t="str">
        <f t="shared" si="57"/>
        <v xml:space="preserve"> </v>
      </c>
      <c r="BA141" s="210">
        <f t="shared" si="58"/>
        <v>0</v>
      </c>
    </row>
    <row r="142" spans="1:53" x14ac:dyDescent="0.2">
      <c r="A142" s="39"/>
      <c r="C142" s="415" t="s">
        <v>158</v>
      </c>
      <c r="D142" s="418"/>
      <c r="E142" s="419"/>
      <c r="F142" s="414"/>
      <c r="G142" s="414"/>
      <c r="H142" s="414"/>
      <c r="I142" s="414"/>
      <c r="J142" s="414"/>
      <c r="K142" s="415"/>
      <c r="L142" s="416"/>
      <c r="M142" s="414"/>
      <c r="N142" s="414"/>
      <c r="O142" s="414"/>
      <c r="P142" s="417"/>
      <c r="Q142" s="417"/>
      <c r="R142" s="417"/>
      <c r="S142" s="417"/>
      <c r="T142" s="417"/>
      <c r="U142" s="417"/>
      <c r="V142" s="417"/>
      <c r="W142" s="417"/>
      <c r="X142" s="415"/>
      <c r="Y142" s="415"/>
      <c r="Z142" s="415"/>
      <c r="AA142" s="415"/>
      <c r="AB142" s="9">
        <f t="shared" si="49"/>
        <v>0</v>
      </c>
      <c r="AC142" s="5">
        <f t="shared" si="50"/>
        <v>0</v>
      </c>
      <c r="AD142" s="26">
        <f t="shared" si="51"/>
        <v>0</v>
      </c>
      <c r="AE142" s="21">
        <f t="shared" si="52"/>
        <v>0</v>
      </c>
      <c r="AF142" s="414"/>
      <c r="AG142" s="414"/>
      <c r="AH142" s="26"/>
      <c r="AI142" s="21"/>
      <c r="AJ142" s="226" t="str">
        <f>'J. Other Liability &amp; Expenses'!D185</f>
        <v>J.1</v>
      </c>
      <c r="AK142" s="57">
        <f>'J. Other Liability &amp; Expenses'!L198</f>
        <v>0</v>
      </c>
      <c r="AL142" s="5"/>
      <c r="AM142" s="226" t="str">
        <f>'J. Other Liability &amp; Expenses'!D185</f>
        <v>J.1</v>
      </c>
      <c r="AN142" s="57">
        <f>'J. Other Liability &amp; Expenses'!N198</f>
        <v>0</v>
      </c>
      <c r="AO142" s="231" t="str">
        <f>'L. Eliminations-Consolidations'!A224</f>
        <v>L.6</v>
      </c>
      <c r="AP142" s="57">
        <f>'L. Eliminations-Consolidations'!J231</f>
        <v>0</v>
      </c>
      <c r="AS142" s="209"/>
      <c r="AT142" s="434"/>
      <c r="AU142" s="435"/>
      <c r="AV142" s="270">
        <f t="shared" si="53"/>
        <v>0</v>
      </c>
      <c r="AW142" s="270">
        <f t="shared" si="54"/>
        <v>0</v>
      </c>
      <c r="AX142" s="39"/>
      <c r="AY142" s="33"/>
      <c r="AZ142" s="287" t="str">
        <f t="shared" si="57"/>
        <v xml:space="preserve"> </v>
      </c>
      <c r="BA142" s="210">
        <f t="shared" si="58"/>
        <v>0</v>
      </c>
    </row>
    <row r="143" spans="1:53" x14ac:dyDescent="0.2">
      <c r="A143" s="39"/>
      <c r="C143" s="415" t="s">
        <v>159</v>
      </c>
      <c r="D143" s="418"/>
      <c r="E143" s="419"/>
      <c r="F143" s="414"/>
      <c r="G143" s="414"/>
      <c r="H143" s="414"/>
      <c r="I143" s="414"/>
      <c r="J143" s="414"/>
      <c r="K143" s="415"/>
      <c r="L143" s="416"/>
      <c r="M143" s="414"/>
      <c r="N143" s="414"/>
      <c r="O143" s="414"/>
      <c r="P143" s="417"/>
      <c r="Q143" s="417"/>
      <c r="R143" s="417"/>
      <c r="S143" s="417"/>
      <c r="T143" s="417"/>
      <c r="U143" s="417"/>
      <c r="V143" s="417"/>
      <c r="W143" s="417"/>
      <c r="X143" s="415"/>
      <c r="Y143" s="415"/>
      <c r="Z143" s="415"/>
      <c r="AA143" s="415"/>
      <c r="AB143" s="9">
        <f t="shared" si="49"/>
        <v>0</v>
      </c>
      <c r="AC143" s="5">
        <f t="shared" si="50"/>
        <v>0</v>
      </c>
      <c r="AD143" s="26">
        <f t="shared" si="51"/>
        <v>0</v>
      </c>
      <c r="AE143" s="21">
        <f t="shared" si="52"/>
        <v>0</v>
      </c>
      <c r="AF143" s="414"/>
      <c r="AG143" s="414"/>
      <c r="AH143" s="26"/>
      <c r="AI143" s="21"/>
      <c r="AJ143" s="226" t="str">
        <f>'J. Other Liability &amp; Expenses'!D185</f>
        <v>J.1</v>
      </c>
      <c r="AK143" s="57">
        <f>'J. Other Liability &amp; Expenses'!L199</f>
        <v>0</v>
      </c>
      <c r="AL143" s="5"/>
      <c r="AM143" s="226" t="str">
        <f>'J. Other Liability &amp; Expenses'!D185</f>
        <v>J.1</v>
      </c>
      <c r="AN143" s="57">
        <f>'J. Other Liability &amp; Expenses'!N199</f>
        <v>0</v>
      </c>
      <c r="AO143" s="231" t="str">
        <f>'L. Eliminations-Consolidations'!A224</f>
        <v>L.6</v>
      </c>
      <c r="AP143" s="57">
        <f>'L. Eliminations-Consolidations'!J232</f>
        <v>0</v>
      </c>
      <c r="AS143" s="209"/>
      <c r="AT143" s="434"/>
      <c r="AU143" s="435"/>
      <c r="AV143" s="270">
        <f t="shared" si="53"/>
        <v>0</v>
      </c>
      <c r="AW143" s="270">
        <f t="shared" si="54"/>
        <v>0</v>
      </c>
      <c r="AX143" s="39"/>
      <c r="AY143" s="33"/>
      <c r="AZ143" s="287" t="str">
        <f t="shared" si="57"/>
        <v xml:space="preserve"> </v>
      </c>
      <c r="BA143" s="210">
        <f t="shared" si="58"/>
        <v>0</v>
      </c>
    </row>
    <row r="144" spans="1:53" x14ac:dyDescent="0.2">
      <c r="A144" s="39"/>
      <c r="C144" s="802" t="s">
        <v>3871</v>
      </c>
      <c r="D144" s="418"/>
      <c r="E144" s="419"/>
      <c r="F144" s="414"/>
      <c r="G144" s="414"/>
      <c r="H144" s="414"/>
      <c r="I144" s="414"/>
      <c r="J144" s="414"/>
      <c r="K144" s="415"/>
      <c r="L144" s="416"/>
      <c r="M144" s="414"/>
      <c r="N144" s="414"/>
      <c r="O144" s="414"/>
      <c r="P144" s="417"/>
      <c r="Q144" s="417"/>
      <c r="R144" s="417"/>
      <c r="S144" s="417"/>
      <c r="T144" s="417"/>
      <c r="U144" s="417"/>
      <c r="V144" s="417"/>
      <c r="W144" s="417"/>
      <c r="X144" s="415"/>
      <c r="Y144" s="415"/>
      <c r="Z144" s="415"/>
      <c r="AA144" s="415"/>
      <c r="AB144" s="9"/>
      <c r="AD144" s="26"/>
      <c r="AE144" s="21"/>
      <c r="AF144" s="414"/>
      <c r="AG144" s="414"/>
      <c r="AH144" s="26"/>
      <c r="AI144" s="21"/>
      <c r="AJ144" s="226" t="s">
        <v>3525</v>
      </c>
      <c r="AK144" s="57">
        <f>'O. GASB 73 LEO Entries'!C67</f>
        <v>0</v>
      </c>
      <c r="AL144" s="5"/>
      <c r="AM144" s="226" t="s">
        <v>3525</v>
      </c>
      <c r="AN144" s="57">
        <f>'O. GASB 73 LEO Entries'!D67</f>
        <v>0</v>
      </c>
      <c r="AO144" s="231"/>
      <c r="AP144" s="57"/>
      <c r="AS144" s="209"/>
      <c r="AT144" s="434"/>
      <c r="AU144" s="435"/>
      <c r="AV144" s="270"/>
      <c r="AW144" s="270">
        <f>AE144+AG144+AI144+AN144+AS144+AU144</f>
        <v>0</v>
      </c>
      <c r="AX144" s="39"/>
      <c r="AY144" s="33"/>
      <c r="AZ144" s="287"/>
      <c r="BA144" s="209">
        <f t="shared" si="58"/>
        <v>0</v>
      </c>
    </row>
    <row r="145" spans="1:53" x14ac:dyDescent="0.2">
      <c r="A145" s="39"/>
      <c r="C145" t="s">
        <v>2539</v>
      </c>
      <c r="D145" s="418"/>
      <c r="E145" s="419"/>
      <c r="F145" s="414"/>
      <c r="G145" s="414"/>
      <c r="H145" s="414"/>
      <c r="I145" s="414"/>
      <c r="J145" s="414"/>
      <c r="K145" s="415"/>
      <c r="L145" s="416"/>
      <c r="M145" s="414"/>
      <c r="N145" s="414"/>
      <c r="O145" s="414"/>
      <c r="P145" s="417"/>
      <c r="Q145" s="417"/>
      <c r="R145" s="417"/>
      <c r="S145" s="417"/>
      <c r="T145" s="417"/>
      <c r="U145" s="417"/>
      <c r="V145" s="417"/>
      <c r="W145" s="417"/>
      <c r="X145" s="415"/>
      <c r="Y145" s="415"/>
      <c r="Z145" s="415"/>
      <c r="AA145" s="415"/>
      <c r="AB145" s="9"/>
      <c r="AD145" s="26"/>
      <c r="AE145" s="21"/>
      <c r="AF145" s="414"/>
      <c r="AG145" s="414"/>
      <c r="AH145" s="26"/>
      <c r="AI145" s="21"/>
      <c r="AJ145" s="226" t="s">
        <v>2048</v>
      </c>
      <c r="AK145" s="57" t="e">
        <f>'N.1 GASB 68 LGERS'!C96</f>
        <v>#VALUE!</v>
      </c>
      <c r="AL145" s="5"/>
      <c r="AM145" s="226" t="s">
        <v>2048</v>
      </c>
      <c r="AN145" s="57" t="e">
        <f>'N.1 GASB 68 LGERS'!D96</f>
        <v>#VALUE!</v>
      </c>
      <c r="AO145" s="231"/>
      <c r="AP145" s="57"/>
      <c r="AR145" s="393" t="s">
        <v>671</v>
      </c>
      <c r="AS145" s="210">
        <f>'K.1  Int. Service Fd Allocation'!G189+'K.2  Int. Service Fd Alloca'!G182+'K.3 Int. Service Fd Alloca'!G182</f>
        <v>0</v>
      </c>
      <c r="AT145" s="434"/>
      <c r="AU145" s="435"/>
      <c r="AV145" s="270" t="e">
        <f>AD145+AF145+AH145+AK145+AP145+AT145</f>
        <v>#VALUE!</v>
      </c>
      <c r="AW145" s="270" t="e">
        <f>AE145+AG145+AI145+AN145+AS145+AU145</f>
        <v>#VALUE!</v>
      </c>
      <c r="AX145" s="39"/>
      <c r="AY145" s="33"/>
      <c r="AZ145" s="287" t="e">
        <f>IF(AV145-AW145&lt;=0," ",AV145-AW145)</f>
        <v>#VALUE!</v>
      </c>
      <c r="BA145" s="210" t="e">
        <f>IF(AV145-AW145&gt;0," ",AW145-AV145)</f>
        <v>#VALUE!</v>
      </c>
    </row>
    <row r="146" spans="1:53" x14ac:dyDescent="0.2">
      <c r="A146" s="39"/>
      <c r="C146" s="571" t="s">
        <v>3923</v>
      </c>
      <c r="D146" s="418"/>
      <c r="E146" s="419"/>
      <c r="F146" s="414"/>
      <c r="G146" s="414"/>
      <c r="H146" s="414"/>
      <c r="I146" s="414"/>
      <c r="J146" s="414"/>
      <c r="K146" s="415"/>
      <c r="L146" s="416"/>
      <c r="M146" s="414"/>
      <c r="N146" s="414"/>
      <c r="O146" s="414"/>
      <c r="P146" s="417"/>
      <c r="Q146" s="417"/>
      <c r="R146" s="417"/>
      <c r="S146" s="417"/>
      <c r="T146" s="417"/>
      <c r="U146" s="417"/>
      <c r="V146" s="417"/>
      <c r="W146" s="417"/>
      <c r="X146" s="415"/>
      <c r="Y146" s="415"/>
      <c r="Z146" s="415"/>
      <c r="AA146" s="415"/>
      <c r="AB146" s="9">
        <f>L146+N146+P146+R146+T146+V146+X146+Z146</f>
        <v>0</v>
      </c>
      <c r="AC146" s="5">
        <f>M146+O146+Q146+S146+U146+W146+Y146+AA146</f>
        <v>0</v>
      </c>
      <c r="AD146" s="26">
        <f>D146+F146+H146+J146+AB146</f>
        <v>0</v>
      </c>
      <c r="AE146" s="21">
        <f>E146+G146+I146+K146+AC146</f>
        <v>0</v>
      </c>
      <c r="AF146" s="414"/>
      <c r="AG146" s="414"/>
      <c r="AH146" s="26"/>
      <c r="AI146" s="21"/>
      <c r="AJ146" s="226" t="s">
        <v>849</v>
      </c>
      <c r="AK146" s="57">
        <f>'J. Other Liability &amp; Expenses'!L201</f>
        <v>0</v>
      </c>
      <c r="AL146" s="5"/>
      <c r="AM146" s="226" t="str">
        <f>'J. Other Liability &amp; Expenses'!D185</f>
        <v>J.1</v>
      </c>
      <c r="AN146" s="57">
        <f>'J. Other Liability &amp; Expenses'!N201</f>
        <v>0</v>
      </c>
      <c r="AO146" s="231"/>
      <c r="AP146" s="57"/>
      <c r="AR146" s="393" t="s">
        <v>671</v>
      </c>
      <c r="AS146" s="210">
        <f>'K.1  Int. Service Fd Allocation'!G190+'K.2  Int. Service Fd Alloca'!G183+'K.3 Int. Service Fd Alloca'!G183</f>
        <v>0</v>
      </c>
      <c r="AT146" s="434"/>
      <c r="AU146" s="435"/>
      <c r="AV146" s="270">
        <f>AD146+AF146+AH146+AK146+AP146+AT146</f>
        <v>0</v>
      </c>
      <c r="AW146" s="270">
        <f>AE146+AG146+AI146+AN146+AS146+AU146</f>
        <v>0</v>
      </c>
      <c r="AX146" s="39"/>
      <c r="AY146" s="33"/>
      <c r="AZ146" s="287">
        <f>IF(AV146+AV147-AW146-AW147&gt;0,AV146+AV147-AW146-AW147,0)</f>
        <v>0</v>
      </c>
      <c r="BA146" s="209">
        <f>IF(AW146+AW147-AV146-AV147&gt;0,AW146+AW147-AV146-AV147,0)</f>
        <v>0</v>
      </c>
    </row>
    <row r="147" spans="1:53" x14ac:dyDescent="0.2">
      <c r="A147" s="39"/>
      <c r="C147" s="571"/>
      <c r="D147" s="418"/>
      <c r="E147" s="419"/>
      <c r="F147" s="414"/>
      <c r="G147" s="414"/>
      <c r="H147" s="414"/>
      <c r="I147" s="414"/>
      <c r="J147" s="414"/>
      <c r="K147" s="415"/>
      <c r="L147" s="416"/>
      <c r="M147" s="414"/>
      <c r="N147" s="414"/>
      <c r="O147" s="414"/>
      <c r="P147" s="417"/>
      <c r="Q147" s="417"/>
      <c r="R147" s="417"/>
      <c r="S147" s="417"/>
      <c r="T147" s="417"/>
      <c r="U147" s="417"/>
      <c r="V147" s="417"/>
      <c r="W147" s="417"/>
      <c r="X147" s="415"/>
      <c r="Y147" s="415"/>
      <c r="Z147" s="415"/>
      <c r="AA147" s="415"/>
      <c r="AB147" s="9"/>
      <c r="AD147" s="26"/>
      <c r="AE147" s="21"/>
      <c r="AF147" s="414"/>
      <c r="AG147" s="414"/>
      <c r="AH147" s="26"/>
      <c r="AI147" s="21"/>
      <c r="AK147" s="57"/>
      <c r="AL147" s="5"/>
      <c r="AM147" s="226" t="s">
        <v>3893</v>
      </c>
      <c r="AN147" s="57">
        <f>'P. GASB 75 OPEB 1 Entries'!D57+'P. GASB 75 OPEB 2 Entries '!D57+'P. GASB 75 3 OPEB Entries '!D57</f>
        <v>0</v>
      </c>
      <c r="AO147" s="231"/>
      <c r="AP147" s="57"/>
      <c r="AR147" s="393"/>
      <c r="AS147" s="210"/>
      <c r="AT147" s="434"/>
      <c r="AU147" s="435"/>
      <c r="AV147" s="270">
        <f>AD147+AF147+AH147+AK147+AP147+AT147</f>
        <v>0</v>
      </c>
      <c r="AW147" s="270">
        <f>AE147+AG147+AI147+AN147+AS147+AU147</f>
        <v>0</v>
      </c>
      <c r="AX147" s="39"/>
      <c r="AY147" s="33"/>
      <c r="AZ147" s="287"/>
      <c r="BA147" s="209"/>
    </row>
    <row r="148" spans="1:53" x14ac:dyDescent="0.2">
      <c r="A148" s="39"/>
      <c r="D148" s="418"/>
      <c r="E148" s="419"/>
      <c r="F148" s="414"/>
      <c r="G148" s="414"/>
      <c r="H148" s="414"/>
      <c r="I148" s="414"/>
      <c r="J148" s="414"/>
      <c r="K148" s="415"/>
      <c r="L148" s="416"/>
      <c r="M148" s="414"/>
      <c r="N148" s="414"/>
      <c r="O148" s="414"/>
      <c r="P148" s="417"/>
      <c r="Q148" s="417"/>
      <c r="R148" s="417"/>
      <c r="S148" s="417"/>
      <c r="T148" s="417"/>
      <c r="U148" s="417"/>
      <c r="V148" s="417"/>
      <c r="W148" s="417"/>
      <c r="X148" s="415"/>
      <c r="Y148" s="415"/>
      <c r="Z148" s="415"/>
      <c r="AA148" s="415"/>
      <c r="AB148" s="9"/>
      <c r="AD148" s="26"/>
      <c r="AE148" s="21"/>
      <c r="AF148" s="414"/>
      <c r="AG148" s="414"/>
      <c r="AH148" s="26"/>
      <c r="AI148" s="21"/>
      <c r="AK148" s="57"/>
      <c r="AL148" s="5"/>
      <c r="AN148" s="57"/>
      <c r="AO148" s="231"/>
      <c r="AP148" s="57"/>
      <c r="AR148" s="393"/>
      <c r="AS148" s="210"/>
      <c r="AT148" s="434"/>
      <c r="AU148" s="435"/>
      <c r="AV148" s="270"/>
      <c r="AW148" s="270"/>
      <c r="AX148" s="39"/>
      <c r="AY148" s="33"/>
      <c r="AZ148" s="287"/>
      <c r="BA148" s="209"/>
    </row>
    <row r="149" spans="1:53" s="188" customFormat="1" x14ac:dyDescent="0.2">
      <c r="A149" s="542"/>
      <c r="B149" s="4" t="s">
        <v>1111</v>
      </c>
      <c r="D149" s="543"/>
      <c r="E149" s="544"/>
      <c r="F149" s="432"/>
      <c r="G149" s="432"/>
      <c r="H149" s="432"/>
      <c r="I149" s="432"/>
      <c r="J149" s="432"/>
      <c r="K149" s="430"/>
      <c r="L149" s="431"/>
      <c r="M149" s="432"/>
      <c r="N149" s="432"/>
      <c r="O149" s="432"/>
      <c r="P149" s="544"/>
      <c r="Q149" s="544"/>
      <c r="R149" s="544"/>
      <c r="S149" s="544"/>
      <c r="T149" s="544"/>
      <c r="U149" s="544"/>
      <c r="V149" s="544"/>
      <c r="W149" s="544"/>
      <c r="X149" s="430"/>
      <c r="Y149" s="430"/>
      <c r="Z149" s="430"/>
      <c r="AA149" s="430"/>
      <c r="AB149" s="545"/>
      <c r="AC149" s="546"/>
      <c r="AD149" s="547"/>
      <c r="AE149" s="548"/>
      <c r="AF149" s="432"/>
      <c r="AG149" s="432"/>
      <c r="AH149" s="547"/>
      <c r="AI149" s="548"/>
      <c r="AJ149" s="226"/>
      <c r="AK149" s="142"/>
      <c r="AL149" s="546"/>
      <c r="AM149" s="226"/>
      <c r="AN149" s="142"/>
      <c r="AO149" s="231"/>
      <c r="AP149" s="142"/>
      <c r="AR149" s="393"/>
      <c r="AS149" s="549"/>
      <c r="AT149" s="452"/>
      <c r="AU149" s="550"/>
      <c r="AV149" s="551"/>
      <c r="AW149" s="551"/>
      <c r="AX149" s="542"/>
      <c r="AY149" s="552"/>
      <c r="AZ149" s="553"/>
      <c r="BA149" s="554"/>
    </row>
    <row r="150" spans="1:53" x14ac:dyDescent="0.2">
      <c r="A150" s="39"/>
      <c r="C150" t="s">
        <v>864</v>
      </c>
      <c r="D150" s="418"/>
      <c r="E150" s="419"/>
      <c r="F150" s="414"/>
      <c r="G150" s="414"/>
      <c r="H150" s="414"/>
      <c r="I150" s="414"/>
      <c r="J150" s="414"/>
      <c r="K150" s="415"/>
      <c r="L150" s="416"/>
      <c r="M150" s="414"/>
      <c r="N150" s="414"/>
      <c r="O150" s="414"/>
      <c r="P150" s="417"/>
      <c r="Q150" s="417"/>
      <c r="R150" s="417"/>
      <c r="S150" s="417"/>
      <c r="T150" s="417"/>
      <c r="U150" s="417"/>
      <c r="V150" s="417"/>
      <c r="W150" s="417"/>
      <c r="X150" s="415"/>
      <c r="Y150" s="415"/>
      <c r="Z150" s="415"/>
      <c r="AA150" s="415"/>
      <c r="AB150" s="9">
        <f t="shared" ref="AB150:AC154" si="63">L150+N150+P150+R150+T150+V150+X150+Z150</f>
        <v>0</v>
      </c>
      <c r="AC150" s="5">
        <f t="shared" si="63"/>
        <v>0</v>
      </c>
      <c r="AD150" s="26">
        <f t="shared" ref="AD150:AE154" si="64">D150+F150+H150+J150+AB150</f>
        <v>0</v>
      </c>
      <c r="AE150" s="21">
        <f t="shared" si="64"/>
        <v>0</v>
      </c>
      <c r="AF150" s="414"/>
      <c r="AG150" s="414"/>
      <c r="AH150" s="26"/>
      <c r="AI150" s="21"/>
      <c r="AK150" s="56"/>
      <c r="AL150" s="5"/>
      <c r="AN150" s="56"/>
      <c r="AO150" s="231"/>
      <c r="AP150" s="57"/>
      <c r="AS150" s="209"/>
      <c r="AT150" s="434"/>
      <c r="AU150" s="435"/>
      <c r="AV150" s="270">
        <f>AD150+AF150+AH150+AK150+AP150+AT150</f>
        <v>0</v>
      </c>
      <c r="AW150" s="270">
        <f>AE150+AG150+AI150+AN150+AS150+AU150</f>
        <v>0</v>
      </c>
      <c r="AX150" s="39"/>
      <c r="AY150" s="33"/>
      <c r="AZ150" s="287" t="str">
        <f>IF(AV150-AW150&lt;=0," ",AV150-AW150)</f>
        <v xml:space="preserve"> </v>
      </c>
      <c r="BA150" s="210">
        <f>IF(AV150-AW150&gt;0," ",AW150-AV150)</f>
        <v>0</v>
      </c>
    </row>
    <row r="151" spans="1:53" ht="25.5" x14ac:dyDescent="0.2">
      <c r="A151" s="39"/>
      <c r="C151" s="536" t="s">
        <v>1129</v>
      </c>
      <c r="D151" s="418"/>
      <c r="E151" s="419"/>
      <c r="F151" s="414"/>
      <c r="G151" s="414"/>
      <c r="H151" s="414"/>
      <c r="I151" s="414"/>
      <c r="J151" s="414"/>
      <c r="K151" s="415"/>
      <c r="L151" s="416"/>
      <c r="M151" s="414"/>
      <c r="N151" s="414"/>
      <c r="O151" s="414"/>
      <c r="P151" s="417"/>
      <c r="Q151" s="417"/>
      <c r="R151" s="417"/>
      <c r="S151" s="417"/>
      <c r="T151" s="417"/>
      <c r="U151" s="417"/>
      <c r="V151" s="417"/>
      <c r="W151" s="417"/>
      <c r="X151" s="415"/>
      <c r="Y151" s="415"/>
      <c r="Z151" s="415"/>
      <c r="AA151" s="415"/>
      <c r="AB151" s="9">
        <f t="shared" si="63"/>
        <v>0</v>
      </c>
      <c r="AC151" s="5">
        <f t="shared" si="63"/>
        <v>0</v>
      </c>
      <c r="AD151" s="26">
        <f t="shared" si="64"/>
        <v>0</v>
      </c>
      <c r="AE151" s="21">
        <f t="shared" si="64"/>
        <v>0</v>
      </c>
      <c r="AF151" s="414"/>
      <c r="AG151" s="414"/>
      <c r="AH151" s="26"/>
      <c r="AI151" s="21"/>
      <c r="AJ151" s="226" t="str">
        <f>'B.  Property Taxes'!A57</f>
        <v>B.2</v>
      </c>
      <c r="AK151" s="56">
        <f>'B.  Property Taxes'!J57</f>
        <v>0</v>
      </c>
      <c r="AL151" s="5"/>
      <c r="AM151" s="226" t="str">
        <f>'C. Other Revenues'!B205</f>
        <v>C.1</v>
      </c>
      <c r="AN151" s="56">
        <f>'C. Other Revenues'!M206</f>
        <v>0</v>
      </c>
      <c r="AO151" s="231"/>
      <c r="AP151" s="57"/>
      <c r="AS151" s="209"/>
      <c r="AT151" s="434"/>
      <c r="AU151" s="435"/>
      <c r="AV151" s="270">
        <f>AD151+AF151+AH151+AK151+AP151+AT151</f>
        <v>0</v>
      </c>
      <c r="AW151" s="270">
        <f>AE151+AG151+AI151+AN151+AS151+AU151</f>
        <v>0</v>
      </c>
      <c r="AX151" s="39"/>
      <c r="AY151" s="33"/>
      <c r="AZ151" s="287" t="str">
        <f>IF(AV151-AW151&lt;=0," ",AV151-AW151)</f>
        <v xml:space="preserve"> </v>
      </c>
      <c r="BA151" s="210">
        <f>IF(AV151-AW151&gt;0," ",AW151-AV151)</f>
        <v>0</v>
      </c>
    </row>
    <row r="152" spans="1:53" x14ac:dyDescent="0.2">
      <c r="A152" s="39"/>
      <c r="C152" s="572" t="s">
        <v>4853</v>
      </c>
      <c r="D152" s="418"/>
      <c r="E152" s="419"/>
      <c r="F152" s="414"/>
      <c r="G152" s="414"/>
      <c r="H152" s="414"/>
      <c r="I152" s="414"/>
      <c r="J152" s="414"/>
      <c r="K152" s="415"/>
      <c r="L152" s="416"/>
      <c r="M152" s="414"/>
      <c r="N152" s="414"/>
      <c r="O152" s="414"/>
      <c r="P152" s="417"/>
      <c r="Q152" s="417"/>
      <c r="R152" s="417"/>
      <c r="S152" s="417"/>
      <c r="T152" s="417"/>
      <c r="U152" s="417"/>
      <c r="V152" s="417"/>
      <c r="W152" s="417"/>
      <c r="X152" s="415"/>
      <c r="Y152" s="415"/>
      <c r="Z152" s="415"/>
      <c r="AA152" s="415"/>
      <c r="AB152" s="9">
        <f t="shared" ref="AB152" si="65">L152+N152+P152+R152+T152+V152+X152+Z152</f>
        <v>0</v>
      </c>
      <c r="AC152" s="5">
        <f t="shared" ref="AC152" si="66">M152+O152+Q152+S152+U152+W152+Y152+AA152</f>
        <v>0</v>
      </c>
      <c r="AD152" s="26">
        <f t="shared" ref="AD152" si="67">D152+F152+H152+J152+AB152</f>
        <v>0</v>
      </c>
      <c r="AE152" s="21">
        <f t="shared" ref="AE152" si="68">E152+G152+I152+K152+AC152</f>
        <v>0</v>
      </c>
      <c r="AF152" s="414"/>
      <c r="AG152" s="414"/>
      <c r="AH152" s="26"/>
      <c r="AI152" s="21"/>
      <c r="AK152" s="56"/>
      <c r="AL152" s="5"/>
      <c r="AN152" s="56"/>
      <c r="AO152" s="231"/>
      <c r="AP152" s="57"/>
      <c r="AS152" s="209"/>
      <c r="AT152" s="434"/>
      <c r="AU152" s="435"/>
      <c r="AV152" s="270">
        <f>AD152+AF152+AH152+AK152+AP152+AT152</f>
        <v>0</v>
      </c>
      <c r="AW152" s="270">
        <f>AE152+AG152+AI152+AN152+AS152+AU152</f>
        <v>0</v>
      </c>
      <c r="AX152" s="39"/>
      <c r="AY152" s="33"/>
      <c r="AZ152" s="287" t="str">
        <f>IF(AV152-AW152&lt;=0," ",AV152-AW152)</f>
        <v xml:space="preserve"> </v>
      </c>
      <c r="BA152" s="210">
        <f>IF(AV152-AW152&gt;0," ",AW152-AV152)</f>
        <v>0</v>
      </c>
    </row>
    <row r="153" spans="1:53" ht="38.25" x14ac:dyDescent="0.2">
      <c r="A153" s="39"/>
      <c r="C153" s="572" t="s">
        <v>3499</v>
      </c>
      <c r="D153" s="418"/>
      <c r="E153" s="419"/>
      <c r="F153" s="414"/>
      <c r="G153" s="414"/>
      <c r="H153" s="414"/>
      <c r="I153" s="414"/>
      <c r="J153" s="414"/>
      <c r="K153" s="415"/>
      <c r="L153" s="416"/>
      <c r="M153" s="414"/>
      <c r="N153" s="414"/>
      <c r="O153" s="414"/>
      <c r="P153" s="417"/>
      <c r="Q153" s="417"/>
      <c r="R153" s="417"/>
      <c r="S153" s="417"/>
      <c r="T153" s="417"/>
      <c r="U153" s="417"/>
      <c r="V153" s="417"/>
      <c r="W153" s="417"/>
      <c r="X153" s="415"/>
      <c r="Y153" s="415"/>
      <c r="Z153" s="415"/>
      <c r="AA153" s="415"/>
      <c r="AB153" s="9">
        <f t="shared" si="63"/>
        <v>0</v>
      </c>
      <c r="AC153" s="5">
        <f t="shared" si="63"/>
        <v>0</v>
      </c>
      <c r="AD153" s="26">
        <f t="shared" si="64"/>
        <v>0</v>
      </c>
      <c r="AE153" s="21">
        <f t="shared" si="64"/>
        <v>0</v>
      </c>
      <c r="AF153" s="414"/>
      <c r="AG153" s="414"/>
      <c r="AH153" s="26"/>
      <c r="AI153" s="21"/>
      <c r="AJ153" s="226" t="s">
        <v>2048</v>
      </c>
      <c r="AK153" s="56" t="e">
        <f>'N.1 GASB 68 LGERS'!C112</f>
        <v>#VALUE!</v>
      </c>
      <c r="AL153" s="5"/>
      <c r="AM153" s="226" t="s">
        <v>2048</v>
      </c>
      <c r="AN153" s="56" t="e">
        <f>'N.1 GASB 68 LGERS'!D112</f>
        <v>#VALUE!</v>
      </c>
      <c r="AO153" s="231"/>
      <c r="AP153" s="57"/>
      <c r="AR153" s="393" t="s">
        <v>671</v>
      </c>
      <c r="AS153" s="209">
        <f>'K.1  Int. Service Fd Allocation'!G195+'K.2  Int. Service Fd Alloca'!G188+'K.3 Int. Service Fd Alloca'!G188</f>
        <v>0</v>
      </c>
      <c r="AT153" s="434"/>
      <c r="AU153" s="435"/>
      <c r="AV153" s="270" t="e">
        <f>AD153+AF153+AH153+AK153+AP153+AT153</f>
        <v>#VALUE!</v>
      </c>
      <c r="AW153" s="270" t="e">
        <f>AE153+AG153+AI153+AN153+AS153+AU153</f>
        <v>#VALUE!</v>
      </c>
      <c r="AX153" s="39"/>
      <c r="AY153" s="33"/>
      <c r="AZ153" s="287" t="e">
        <f t="shared" ref="AZ153:AZ158" si="69">IF(AV153-AW153&lt;=0," ",AV153-AW153)</f>
        <v>#VALUE!</v>
      </c>
      <c r="BA153" s="210" t="e">
        <f t="shared" ref="BA153:BA160" si="70">IF(AV153-AW153&gt;0," ",AW153-AV153)</f>
        <v>#VALUE!</v>
      </c>
    </row>
    <row r="154" spans="1:53" ht="25.5" x14ac:dyDescent="0.2">
      <c r="A154" s="39"/>
      <c r="C154" s="572" t="s">
        <v>3497</v>
      </c>
      <c r="D154" s="418"/>
      <c r="E154" s="419"/>
      <c r="F154" s="414"/>
      <c r="G154" s="414"/>
      <c r="H154" s="414"/>
      <c r="I154" s="414"/>
      <c r="J154" s="414"/>
      <c r="K154" s="415"/>
      <c r="L154" s="416"/>
      <c r="M154" s="414"/>
      <c r="N154" s="414"/>
      <c r="O154" s="414"/>
      <c r="P154" s="417"/>
      <c r="Q154" s="417"/>
      <c r="R154" s="417"/>
      <c r="S154" s="417"/>
      <c r="T154" s="417"/>
      <c r="U154" s="417"/>
      <c r="V154" s="417"/>
      <c r="W154" s="417"/>
      <c r="X154" s="415"/>
      <c r="Y154" s="415"/>
      <c r="Z154" s="415"/>
      <c r="AA154" s="415"/>
      <c r="AB154" s="9">
        <f t="shared" si="63"/>
        <v>0</v>
      </c>
      <c r="AC154" s="5">
        <f t="shared" si="63"/>
        <v>0</v>
      </c>
      <c r="AD154" s="26">
        <f t="shared" si="64"/>
        <v>0</v>
      </c>
      <c r="AE154" s="21">
        <f t="shared" si="64"/>
        <v>0</v>
      </c>
      <c r="AF154" s="414"/>
      <c r="AG154" s="414"/>
      <c r="AH154" s="26"/>
      <c r="AI154" s="21"/>
      <c r="AJ154" s="226" t="s">
        <v>2048</v>
      </c>
      <c r="AK154" s="56" t="e">
        <f>'N.1 GASB 68 LGERS'!C109</f>
        <v>#VALUE!</v>
      </c>
      <c r="AL154" s="5"/>
      <c r="AM154" s="226" t="s">
        <v>2048</v>
      </c>
      <c r="AN154" s="56" t="e">
        <f>'N.1 GASB 68 LGERS'!D109</f>
        <v>#VALUE!</v>
      </c>
      <c r="AO154" s="231"/>
      <c r="AP154" s="57"/>
      <c r="AR154" s="393" t="s">
        <v>671</v>
      </c>
      <c r="AS154" s="209">
        <f>'K.1  Int. Service Fd Allocation'!G194+'K.2  Int. Service Fd Alloca'!G187+'K.3 Int. Service Fd Alloca'!G187</f>
        <v>0</v>
      </c>
      <c r="AT154" s="434"/>
      <c r="AU154" s="435"/>
      <c r="AV154" s="270" t="e">
        <f>AD154+AF154+AH154+AK154+AP154+AT154+AD155+AF155+AH155+AK155+AP155+AT155</f>
        <v>#VALUE!</v>
      </c>
      <c r="AW154" s="270" t="e">
        <f>AE154+AG154+AI154+AN154+AS154+AU154+AE155+AG155+AI155+AN155+AS155+AU155</f>
        <v>#VALUE!</v>
      </c>
      <c r="AX154" s="39"/>
      <c r="AY154" s="33"/>
      <c r="AZ154" s="287" t="e">
        <f t="shared" si="69"/>
        <v>#VALUE!</v>
      </c>
      <c r="BA154" s="210" t="e">
        <f t="shared" si="70"/>
        <v>#VALUE!</v>
      </c>
    </row>
    <row r="155" spans="1:53" x14ac:dyDescent="0.2">
      <c r="A155" s="39"/>
      <c r="C155" s="572"/>
      <c r="D155" s="418"/>
      <c r="E155" s="419"/>
      <c r="F155" s="414"/>
      <c r="G155" s="414"/>
      <c r="H155" s="414"/>
      <c r="I155" s="414"/>
      <c r="J155" s="414"/>
      <c r="K155" s="415"/>
      <c r="L155" s="416"/>
      <c r="M155" s="414"/>
      <c r="N155" s="414"/>
      <c r="O155" s="414"/>
      <c r="P155" s="417"/>
      <c r="Q155" s="417"/>
      <c r="R155" s="417"/>
      <c r="S155" s="417"/>
      <c r="T155" s="417"/>
      <c r="U155" s="417"/>
      <c r="V155" s="417"/>
      <c r="W155" s="417"/>
      <c r="X155" s="415"/>
      <c r="Y155" s="415"/>
      <c r="Z155" s="415"/>
      <c r="AA155" s="415"/>
      <c r="AB155" s="9"/>
      <c r="AD155" s="26"/>
      <c r="AE155" s="21"/>
      <c r="AF155" s="414"/>
      <c r="AG155" s="414"/>
      <c r="AH155" s="26"/>
      <c r="AI155" s="21"/>
      <c r="AJ155" s="226" t="s">
        <v>3525</v>
      </c>
      <c r="AK155" s="56">
        <f>'O. GASB 73 LEO Entries'!C72</f>
        <v>0</v>
      </c>
      <c r="AL155" s="5"/>
      <c r="AM155" s="226" t="s">
        <v>3525</v>
      </c>
      <c r="AN155" s="56">
        <f>'O. GASB 73 LEO Entries'!D72</f>
        <v>0</v>
      </c>
      <c r="AO155" s="231"/>
      <c r="AP155" s="57"/>
      <c r="AR155" s="393"/>
      <c r="AS155" s="209"/>
      <c r="AT155" s="434"/>
      <c r="AU155" s="435"/>
      <c r="AV155" s="270"/>
      <c r="AW155" s="270"/>
      <c r="AX155" s="39"/>
      <c r="AY155" s="33"/>
      <c r="AZ155" s="287"/>
      <c r="BA155" s="210"/>
    </row>
    <row r="156" spans="1:53" x14ac:dyDescent="0.2">
      <c r="A156" s="39"/>
      <c r="C156" s="571" t="s">
        <v>3498</v>
      </c>
      <c r="D156" s="418"/>
      <c r="E156" s="419"/>
      <c r="F156" s="414"/>
      <c r="G156" s="414"/>
      <c r="H156" s="414"/>
      <c r="I156" s="414"/>
      <c r="J156" s="414"/>
      <c r="K156" s="415"/>
      <c r="L156" s="416"/>
      <c r="M156" s="414"/>
      <c r="N156" s="414"/>
      <c r="O156" s="414"/>
      <c r="P156" s="417"/>
      <c r="Q156" s="417"/>
      <c r="R156" s="417"/>
      <c r="S156" s="417"/>
      <c r="T156" s="417"/>
      <c r="U156" s="417"/>
      <c r="V156" s="417"/>
      <c r="W156" s="417"/>
      <c r="X156" s="415"/>
      <c r="Y156" s="415"/>
      <c r="Z156" s="415"/>
      <c r="AA156" s="415"/>
      <c r="AB156" s="9">
        <f>L156+N156+P156+R156+T156+V156+X156+Z156</f>
        <v>0</v>
      </c>
      <c r="AC156" s="5">
        <f>M156+O156+Q156+S156+U156+W156+Y156+AA156</f>
        <v>0</v>
      </c>
      <c r="AD156" s="26">
        <f>D156+F156+H156+J156+AB156</f>
        <v>0</v>
      </c>
      <c r="AE156" s="21">
        <f>E156+G156+I156+K156+AC156</f>
        <v>0</v>
      </c>
      <c r="AF156" s="414"/>
      <c r="AG156" s="414"/>
      <c r="AH156" s="26"/>
      <c r="AI156" s="21"/>
      <c r="AJ156" s="226" t="s">
        <v>2048</v>
      </c>
      <c r="AK156" s="56" t="e">
        <f>'N.1 GASB 68 LGERS'!C111</f>
        <v>#VALUE!</v>
      </c>
      <c r="AL156" s="5"/>
      <c r="AM156" s="226" t="s">
        <v>2048</v>
      </c>
      <c r="AN156" s="56" t="e">
        <f>'N.1 GASB 68 LGERS'!D111</f>
        <v>#VALUE!</v>
      </c>
      <c r="AO156" s="231"/>
      <c r="AP156" s="57"/>
      <c r="AR156" s="393" t="s">
        <v>671</v>
      </c>
      <c r="AS156" s="209">
        <f>'K.2  Int. Service Fd Alloca'!G185+'K.3 Int. Service Fd Alloca'!G185</f>
        <v>0</v>
      </c>
      <c r="AT156" s="434"/>
      <c r="AU156" s="435"/>
      <c r="AV156" s="270" t="e">
        <f>AD156+AF156+AH156+AK156+AP156+AT156+AD157+AF157+AH157+AK157+AP157+AT157</f>
        <v>#VALUE!</v>
      </c>
      <c r="AW156" s="270" t="e">
        <f>AE156+AG156+AI156+AN156+AS156+AU156+AE157+AG157+AI157+AN157+AS157+AU157</f>
        <v>#VALUE!</v>
      </c>
      <c r="AX156" s="39"/>
      <c r="AY156" s="33"/>
      <c r="AZ156" s="287" t="e">
        <f t="shared" si="69"/>
        <v>#VALUE!</v>
      </c>
      <c r="BA156" s="210" t="e">
        <f t="shared" si="70"/>
        <v>#VALUE!</v>
      </c>
    </row>
    <row r="157" spans="1:53" x14ac:dyDescent="0.2">
      <c r="A157" s="39"/>
      <c r="C157" s="571"/>
      <c r="D157" s="418"/>
      <c r="E157" s="419"/>
      <c r="F157" s="414"/>
      <c r="G157" s="414"/>
      <c r="H157" s="414"/>
      <c r="I157" s="414"/>
      <c r="J157" s="414"/>
      <c r="K157" s="415"/>
      <c r="L157" s="416"/>
      <c r="M157" s="414"/>
      <c r="N157" s="414"/>
      <c r="O157" s="414"/>
      <c r="P157" s="417"/>
      <c r="Q157" s="417"/>
      <c r="R157" s="417"/>
      <c r="S157" s="417"/>
      <c r="T157" s="417"/>
      <c r="U157" s="417"/>
      <c r="V157" s="417"/>
      <c r="W157" s="417"/>
      <c r="X157" s="415"/>
      <c r="Y157" s="415"/>
      <c r="Z157" s="415"/>
      <c r="AA157" s="415"/>
      <c r="AB157" s="9"/>
      <c r="AD157" s="26"/>
      <c r="AE157" s="21"/>
      <c r="AF157" s="414"/>
      <c r="AG157" s="414"/>
      <c r="AH157" s="26"/>
      <c r="AI157" s="21"/>
      <c r="AJ157" s="226" t="s">
        <v>3525</v>
      </c>
      <c r="AK157" s="56">
        <f>'O. GASB 73 LEO Entries'!C73</f>
        <v>0</v>
      </c>
      <c r="AL157" s="5"/>
      <c r="AM157" s="226" t="s">
        <v>3525</v>
      </c>
      <c r="AN157" s="56">
        <f>'O. GASB 73 LEO Entries'!D73</f>
        <v>0</v>
      </c>
      <c r="AO157" s="231"/>
      <c r="AP157" s="57"/>
      <c r="AR157" s="393"/>
      <c r="AS157" s="209"/>
      <c r="AT157" s="434"/>
      <c r="AU157" s="435"/>
      <c r="AV157" s="270"/>
      <c r="AW157" s="270"/>
      <c r="AX157" s="39"/>
      <c r="AY157" s="33"/>
      <c r="AZ157" s="287"/>
      <c r="BA157" s="210"/>
    </row>
    <row r="158" spans="1:53" ht="38.25" x14ac:dyDescent="0.2">
      <c r="A158" s="39"/>
      <c r="C158" s="572" t="s">
        <v>2538</v>
      </c>
      <c r="D158" s="418"/>
      <c r="E158" s="419"/>
      <c r="F158" s="414"/>
      <c r="G158" s="414"/>
      <c r="H158" s="414"/>
      <c r="I158" s="414"/>
      <c r="J158" s="414"/>
      <c r="K158" s="415"/>
      <c r="L158" s="416"/>
      <c r="M158" s="414"/>
      <c r="N158" s="414"/>
      <c r="O158" s="414"/>
      <c r="P158" s="417"/>
      <c r="Q158" s="417"/>
      <c r="R158" s="417"/>
      <c r="S158" s="417"/>
      <c r="T158" s="417"/>
      <c r="U158" s="417"/>
      <c r="V158" s="417"/>
      <c r="W158" s="417"/>
      <c r="X158" s="415"/>
      <c r="Y158" s="415"/>
      <c r="Z158" s="415"/>
      <c r="AA158" s="415"/>
      <c r="AB158" s="9">
        <f>L158+N158+P158+R158+T158+V158+X158+Z158</f>
        <v>0</v>
      </c>
      <c r="AC158" s="5">
        <f>M158+O158+Q158+S158+U158+W158+Y158+AA158</f>
        <v>0</v>
      </c>
      <c r="AD158" s="26">
        <f>D158+F158+H158+J158+AB158</f>
        <v>0</v>
      </c>
      <c r="AE158" s="21">
        <f>E158+G158+I158+K158+AC158</f>
        <v>0</v>
      </c>
      <c r="AF158" s="414"/>
      <c r="AG158" s="414"/>
      <c r="AH158" s="26"/>
      <c r="AI158" s="21"/>
      <c r="AJ158" s="226" t="s">
        <v>2048</v>
      </c>
      <c r="AK158" s="56" t="e">
        <f>'N.1 GASB 68 LGERS'!C110</f>
        <v>#VALUE!</v>
      </c>
      <c r="AL158" s="5"/>
      <c r="AM158" s="226" t="s">
        <v>2048</v>
      </c>
      <c r="AN158" s="56" t="e">
        <f>'N.1 GASB 68 LGERS'!D110</f>
        <v>#VALUE!</v>
      </c>
      <c r="AO158" s="231"/>
      <c r="AP158" s="57"/>
      <c r="AR158" s="393" t="s">
        <v>671</v>
      </c>
      <c r="AS158" s="209">
        <f>'K.1  Int. Service Fd Allocation'!G193+'K.2  Int. Service Fd Alloca'!G186+'K.3 Int. Service Fd Alloca'!G186</f>
        <v>0</v>
      </c>
      <c r="AT158" s="434"/>
      <c r="AU158" s="435"/>
      <c r="AV158" s="270" t="e">
        <f>AD158+AF158+AH158+AK158+AP158+AT158</f>
        <v>#VALUE!</v>
      </c>
      <c r="AW158" s="270" t="e">
        <f>AE158+AG158+AI158+AN158+AS158+AU158</f>
        <v>#VALUE!</v>
      </c>
      <c r="AX158" s="39"/>
      <c r="AY158" s="33"/>
      <c r="AZ158" s="287" t="e">
        <f t="shared" si="69"/>
        <v>#VALUE!</v>
      </c>
      <c r="BA158" s="210" t="e">
        <f t="shared" si="70"/>
        <v>#VALUE!</v>
      </c>
    </row>
    <row r="159" spans="1:53" ht="25.5" x14ac:dyDescent="0.2">
      <c r="A159" s="39"/>
      <c r="C159" s="572" t="s">
        <v>3864</v>
      </c>
      <c r="D159" s="418"/>
      <c r="E159" s="419"/>
      <c r="F159" s="414"/>
      <c r="G159" s="414"/>
      <c r="H159" s="414"/>
      <c r="I159" s="414"/>
      <c r="J159" s="414"/>
      <c r="K159" s="415"/>
      <c r="L159" s="416"/>
      <c r="M159" s="414"/>
      <c r="N159" s="414"/>
      <c r="O159" s="414"/>
      <c r="P159" s="417"/>
      <c r="Q159" s="417"/>
      <c r="R159" s="417"/>
      <c r="S159" s="417"/>
      <c r="T159" s="417"/>
      <c r="U159" s="417"/>
      <c r="V159" s="417"/>
      <c r="W159" s="417"/>
      <c r="X159" s="415"/>
      <c r="Y159" s="415"/>
      <c r="Z159" s="415"/>
      <c r="AA159" s="415"/>
      <c r="AB159" s="9"/>
      <c r="AD159" s="26"/>
      <c r="AE159" s="21"/>
      <c r="AF159" s="414"/>
      <c r="AG159" s="414"/>
      <c r="AH159" s="26"/>
      <c r="AI159" s="21"/>
      <c r="AJ159" s="226" t="s">
        <v>3893</v>
      </c>
      <c r="AK159" s="56"/>
      <c r="AL159" s="5"/>
      <c r="AM159" s="226" t="s">
        <v>3893</v>
      </c>
      <c r="AN159" s="56">
        <f>'P. GASB 75 OPEB 1 Entries'!D69+'P. GASB 75 OPEB 2 Entries '!D69+'P. GASB 75 3 OPEB Entries '!D69</f>
        <v>0</v>
      </c>
      <c r="AO159" s="231"/>
      <c r="AP159" s="57"/>
      <c r="AR159" s="393" t="s">
        <v>671</v>
      </c>
      <c r="AS159" s="209">
        <f>'K.1  Int. Service Fd Allocation'!G197+'K.2  Int. Service Fd Alloca'!G190+'K.3 Int. Service Fd Alloca'!G190</f>
        <v>0</v>
      </c>
      <c r="AT159" s="434"/>
      <c r="AU159" s="435"/>
      <c r="AV159" s="270">
        <f>AD159+AF159+AH159+AK159+AP159+AT159</f>
        <v>0</v>
      </c>
      <c r="AW159" s="270">
        <f>AE159+AG159+AI159+AN159+AS159+AU159</f>
        <v>0</v>
      </c>
      <c r="AX159" s="39"/>
      <c r="AY159" s="33"/>
      <c r="AZ159" s="287"/>
      <c r="BA159" s="210">
        <f t="shared" si="70"/>
        <v>0</v>
      </c>
    </row>
    <row r="160" spans="1:53" x14ac:dyDescent="0.2">
      <c r="A160" s="39"/>
      <c r="C160" s="571" t="s">
        <v>3865</v>
      </c>
      <c r="D160" s="418"/>
      <c r="E160" s="419"/>
      <c r="F160" s="414"/>
      <c r="G160" s="414"/>
      <c r="H160" s="414"/>
      <c r="I160" s="414"/>
      <c r="J160" s="414"/>
      <c r="K160" s="415"/>
      <c r="L160" s="416"/>
      <c r="M160" s="414"/>
      <c r="N160" s="414"/>
      <c r="O160" s="414"/>
      <c r="P160" s="417"/>
      <c r="Q160" s="417"/>
      <c r="R160" s="417"/>
      <c r="S160" s="417"/>
      <c r="T160" s="417"/>
      <c r="U160" s="417"/>
      <c r="V160" s="417"/>
      <c r="W160" s="417"/>
      <c r="X160" s="415"/>
      <c r="Y160" s="415"/>
      <c r="Z160" s="415"/>
      <c r="AA160" s="415"/>
      <c r="AB160" s="9"/>
      <c r="AD160" s="26"/>
      <c r="AE160" s="21"/>
      <c r="AF160" s="414"/>
      <c r="AG160" s="414"/>
      <c r="AH160" s="26"/>
      <c r="AI160" s="21"/>
      <c r="AJ160" s="226" t="s">
        <v>3893</v>
      </c>
      <c r="AK160" s="56"/>
      <c r="AL160" s="5"/>
      <c r="AM160" s="226" t="s">
        <v>3893</v>
      </c>
      <c r="AN160" s="56">
        <f>'P. GASB 75 OPEB 1 Entries'!D70+'P. GASB 75 OPEB 2 Entries '!D70+'P. GASB 75 3 OPEB Entries '!D70</f>
        <v>0</v>
      </c>
      <c r="AO160" s="231"/>
      <c r="AP160" s="57"/>
      <c r="AR160" s="393" t="s">
        <v>671</v>
      </c>
      <c r="AS160" s="209">
        <f>'K.1  Int. Service Fd Allocation'!G196+'K.2  Int. Service Fd Alloca'!G189+'K.3 Int. Service Fd Alloca'!G189</f>
        <v>0</v>
      </c>
      <c r="AT160" s="434"/>
      <c r="AU160" s="435"/>
      <c r="AV160" s="270">
        <f>AD160+AF160+AH160+AK160+AP160+AT160</f>
        <v>0</v>
      </c>
      <c r="AW160" s="270">
        <f>AE160+AG160+AI160+AN160+AS160+AU160</f>
        <v>0</v>
      </c>
      <c r="AX160" s="39"/>
      <c r="AY160" s="33"/>
      <c r="AZ160" s="287"/>
      <c r="BA160" s="210">
        <f t="shared" si="70"/>
        <v>0</v>
      </c>
    </row>
    <row r="161" spans="1:54" x14ac:dyDescent="0.2">
      <c r="A161" s="39"/>
      <c r="C161" s="572"/>
      <c r="D161" s="418"/>
      <c r="E161" s="419"/>
      <c r="F161" s="414"/>
      <c r="G161" s="414"/>
      <c r="H161" s="414"/>
      <c r="I161" s="414"/>
      <c r="J161" s="414"/>
      <c r="K161" s="415"/>
      <c r="L161" s="416"/>
      <c r="M161" s="414"/>
      <c r="N161" s="414"/>
      <c r="O161" s="414"/>
      <c r="P161" s="417"/>
      <c r="Q161" s="417"/>
      <c r="R161" s="417"/>
      <c r="S161" s="417"/>
      <c r="T161" s="417"/>
      <c r="U161" s="417"/>
      <c r="V161" s="417"/>
      <c r="W161" s="417"/>
      <c r="X161" s="415"/>
      <c r="Y161" s="415"/>
      <c r="Z161" s="415"/>
      <c r="AA161" s="415"/>
      <c r="AB161" s="9"/>
      <c r="AD161" s="26"/>
      <c r="AE161" s="21"/>
      <c r="AF161" s="414"/>
      <c r="AG161" s="414"/>
      <c r="AH161" s="26"/>
      <c r="AI161" s="21"/>
      <c r="AK161" s="56"/>
      <c r="AL161" s="5"/>
      <c r="AN161" s="56"/>
      <c r="AO161" s="231"/>
      <c r="AP161" s="57"/>
      <c r="AR161" s="393"/>
      <c r="AS161" s="209"/>
      <c r="AT161" s="434"/>
      <c r="AU161" s="435"/>
      <c r="AV161" s="270"/>
      <c r="AW161" s="270"/>
      <c r="AX161" s="39"/>
      <c r="AY161" s="33"/>
      <c r="AZ161" s="287"/>
      <c r="BA161" s="209"/>
    </row>
    <row r="162" spans="1:54" x14ac:dyDescent="0.2">
      <c r="A162" s="39"/>
      <c r="C162" s="572"/>
      <c r="D162" s="418"/>
      <c r="E162" s="419"/>
      <c r="F162" s="414"/>
      <c r="G162" s="414"/>
      <c r="H162" s="414"/>
      <c r="I162" s="414"/>
      <c r="J162" s="414"/>
      <c r="K162" s="415"/>
      <c r="L162" s="416"/>
      <c r="M162" s="414"/>
      <c r="N162" s="414"/>
      <c r="O162" s="414"/>
      <c r="P162" s="417"/>
      <c r="Q162" s="417"/>
      <c r="R162" s="417"/>
      <c r="S162" s="417"/>
      <c r="T162" s="417"/>
      <c r="U162" s="417"/>
      <c r="V162" s="417"/>
      <c r="W162" s="417"/>
      <c r="X162" s="415"/>
      <c r="Y162" s="415"/>
      <c r="Z162" s="415"/>
      <c r="AA162" s="415"/>
      <c r="AB162" s="9"/>
      <c r="AD162" s="26"/>
      <c r="AE162" s="21"/>
      <c r="AF162" s="414"/>
      <c r="AG162" s="414"/>
      <c r="AH162" s="26"/>
      <c r="AI162" s="21"/>
      <c r="AK162" s="56"/>
      <c r="AL162" s="5"/>
      <c r="AN162" s="56"/>
      <c r="AO162" s="231"/>
      <c r="AP162" s="57"/>
      <c r="AR162" s="393"/>
      <c r="AS162" s="209"/>
      <c r="AT162" s="434"/>
      <c r="AU162" s="435"/>
      <c r="AV162" s="270"/>
      <c r="AW162" s="270"/>
      <c r="AX162" s="39"/>
      <c r="AY162" s="33"/>
      <c r="AZ162" s="287"/>
      <c r="BA162" s="209"/>
    </row>
    <row r="163" spans="1:54" x14ac:dyDescent="0.2">
      <c r="A163" s="39"/>
      <c r="C163" s="642"/>
      <c r="D163" s="418"/>
      <c r="E163" s="419"/>
      <c r="F163" s="414"/>
      <c r="G163" s="414"/>
      <c r="H163" s="414"/>
      <c r="I163" s="414"/>
      <c r="J163" s="414"/>
      <c r="K163" s="415"/>
      <c r="L163" s="416"/>
      <c r="M163" s="414"/>
      <c r="N163" s="414"/>
      <c r="O163" s="414"/>
      <c r="P163" s="417"/>
      <c r="Q163" s="417"/>
      <c r="R163" s="417"/>
      <c r="S163" s="417"/>
      <c r="T163" s="417"/>
      <c r="U163" s="417"/>
      <c r="V163" s="417"/>
      <c r="W163" s="417"/>
      <c r="X163" s="415"/>
      <c r="Y163" s="415"/>
      <c r="Z163" s="415"/>
      <c r="AA163" s="415"/>
      <c r="AB163" s="9">
        <f>L163+N163+P163+R163+T163+V163+X163+Z163</f>
        <v>0</v>
      </c>
      <c r="AC163" s="5">
        <f>M163+O163+Q163+S163+U163+W163+Y163+AA163</f>
        <v>0</v>
      </c>
      <c r="AD163" s="26">
        <f>D163+F163+H163+J163+AB163</f>
        <v>0</v>
      </c>
      <c r="AE163" s="21">
        <f>E163+G163+I163+K163+AC163</f>
        <v>0</v>
      </c>
      <c r="AF163" s="414"/>
      <c r="AG163" s="414"/>
      <c r="AH163" s="26"/>
      <c r="AI163" s="21"/>
      <c r="AK163" s="56"/>
      <c r="AL163" s="5"/>
      <c r="AN163" s="56"/>
      <c r="AO163" s="231"/>
      <c r="AP163" s="57"/>
      <c r="AS163" s="209"/>
      <c r="AT163" s="434"/>
      <c r="AU163" s="435"/>
      <c r="AV163" s="270"/>
      <c r="AW163" s="270"/>
      <c r="AX163" s="39"/>
      <c r="AY163" s="33"/>
      <c r="AZ163" s="287"/>
      <c r="BA163" s="209"/>
    </row>
    <row r="164" spans="1:54" x14ac:dyDescent="0.2">
      <c r="A164" s="39"/>
      <c r="D164" s="418"/>
      <c r="E164" s="419"/>
      <c r="F164" s="414"/>
      <c r="G164" s="414"/>
      <c r="H164" s="414"/>
      <c r="I164" s="414"/>
      <c r="J164" s="414"/>
      <c r="K164" s="415"/>
      <c r="L164" s="416"/>
      <c r="M164" s="414"/>
      <c r="N164" s="414"/>
      <c r="O164" s="414"/>
      <c r="P164" s="417"/>
      <c r="Q164" s="417"/>
      <c r="R164" s="417"/>
      <c r="S164" s="417"/>
      <c r="T164" s="417"/>
      <c r="U164" s="417"/>
      <c r="V164" s="417"/>
      <c r="W164" s="417"/>
      <c r="X164" s="415"/>
      <c r="Y164" s="415"/>
      <c r="Z164" s="415"/>
      <c r="AA164" s="415"/>
      <c r="AB164" s="9"/>
      <c r="AD164" s="26"/>
      <c r="AE164" s="21"/>
      <c r="AF164" s="414"/>
      <c r="AG164" s="414"/>
      <c r="AH164" s="26"/>
      <c r="AI164" s="21"/>
      <c r="AK164" s="57"/>
      <c r="AL164" s="5"/>
      <c r="AN164" s="57"/>
      <c r="AO164" s="231"/>
      <c r="AP164" s="57"/>
      <c r="AR164" s="393"/>
      <c r="AS164" s="210"/>
      <c r="AT164" s="434"/>
      <c r="AU164" s="435"/>
      <c r="AV164" s="270"/>
      <c r="AW164" s="270"/>
      <c r="AX164" s="39"/>
      <c r="AY164" s="33"/>
      <c r="AZ164" s="287"/>
      <c r="BA164" s="209"/>
    </row>
    <row r="165" spans="1:54" x14ac:dyDescent="0.2">
      <c r="A165" s="39"/>
      <c r="C165" s="258" t="s">
        <v>114</v>
      </c>
      <c r="D165" s="423"/>
      <c r="E165" s="424"/>
      <c r="F165" s="425"/>
      <c r="G165" s="425"/>
      <c r="H165" s="425"/>
      <c r="I165" s="425"/>
      <c r="J165" s="425"/>
      <c r="K165" s="426"/>
      <c r="L165" s="427"/>
      <c r="M165" s="425"/>
      <c r="N165" s="425"/>
      <c r="O165" s="425"/>
      <c r="P165" s="428"/>
      <c r="Q165" s="428"/>
      <c r="R165" s="428"/>
      <c r="S165" s="428"/>
      <c r="T165" s="428"/>
      <c r="U165" s="428"/>
      <c r="V165" s="428"/>
      <c r="W165" s="428"/>
      <c r="X165" s="426"/>
      <c r="Y165" s="426"/>
      <c r="Z165" s="426"/>
      <c r="AA165" s="426"/>
      <c r="AB165" s="261">
        <f t="shared" si="49"/>
        <v>0</v>
      </c>
      <c r="AC165" s="259">
        <f t="shared" si="50"/>
        <v>0</v>
      </c>
      <c r="AD165" s="260">
        <f t="shared" si="51"/>
        <v>0</v>
      </c>
      <c r="AE165" s="262">
        <f t="shared" si="52"/>
        <v>0</v>
      </c>
      <c r="AF165" s="425">
        <f>SUM(AG131:AG146)-AG145-AG144</f>
        <v>0</v>
      </c>
      <c r="AG165" s="425">
        <f>SUM(AF41:AF79)-SUM(AG41:AG79)</f>
        <v>0</v>
      </c>
      <c r="AH165" s="260"/>
      <c r="AI165" s="262"/>
      <c r="AJ165" s="263" t="str">
        <f>'G. Debt Service'!D54</f>
        <v>G.2</v>
      </c>
      <c r="AK165" s="264">
        <f>'G. Debt Service'!L54</f>
        <v>0</v>
      </c>
      <c r="AL165" s="259"/>
      <c r="AM165" s="263" t="str">
        <f>'B.  Property Taxes'!A53</f>
        <v>B.1</v>
      </c>
      <c r="AN165" s="264">
        <f>'B.  Property Taxes'!L55</f>
        <v>0</v>
      </c>
      <c r="AO165" s="265"/>
      <c r="AP165" s="264"/>
      <c r="AQ165" s="258"/>
      <c r="AR165" s="395" t="s">
        <v>671</v>
      </c>
      <c r="AS165" s="266">
        <f>'K.1  Int. Service Fd Allocation'!G198+'K.2  Int. Service Fd Alloca'!G191+'K.3 Int. Service Fd Alloca'!G191</f>
        <v>0</v>
      </c>
      <c r="AT165" s="434"/>
      <c r="AU165" s="435"/>
      <c r="AV165" s="264">
        <f t="shared" ref="AV165:AV173" si="71">AD165+AF165+AH165+AK165+AP165+AT165</f>
        <v>0</v>
      </c>
      <c r="AW165" s="264">
        <f>AE165+AG165+AI165+AN165+AS165+AU165</f>
        <v>0</v>
      </c>
      <c r="AX165" s="256"/>
      <c r="AY165" s="257"/>
      <c r="AZ165" s="288" t="e">
        <f>IF((AV165+AV166+AV167+AV169)-(AW165+AW166+AW167+AW168+AW169)&lt;=0,0,(AV165+AV166+AV167+AV169)-(AW165+AW166+AW167+AW168+AW169))</f>
        <v>#VALUE!</v>
      </c>
      <c r="BA165" s="266" t="e">
        <f>IF((AV165+AV166+AV167+AV169+AV170+AV171)-(AW165+AW166+AW167+AW168+AW169+AW170)&gt;0,0,(AW165+AW166+AW167+AW168+AW169+AW170)-(AV165+AV166+AV167+AV169+AV170+AV171))</f>
        <v>#VALUE!</v>
      </c>
    </row>
    <row r="166" spans="1:54" x14ac:dyDescent="0.2">
      <c r="A166" s="39"/>
      <c r="C166" s="258"/>
      <c r="D166" s="423"/>
      <c r="E166" s="429"/>
      <c r="F166" s="425"/>
      <c r="G166" s="425"/>
      <c r="H166" s="425"/>
      <c r="I166" s="425"/>
      <c r="J166" s="425"/>
      <c r="K166" s="425"/>
      <c r="L166" s="427"/>
      <c r="M166" s="425"/>
      <c r="N166" s="425"/>
      <c r="O166" s="425"/>
      <c r="P166" s="428"/>
      <c r="Q166" s="428"/>
      <c r="R166" s="428"/>
      <c r="S166" s="428"/>
      <c r="T166" s="428"/>
      <c r="U166" s="428"/>
      <c r="V166" s="428"/>
      <c r="W166" s="428"/>
      <c r="X166" s="426"/>
      <c r="Y166" s="426"/>
      <c r="Z166" s="426"/>
      <c r="AA166" s="426"/>
      <c r="AB166" s="261">
        <f t="shared" si="49"/>
        <v>0</v>
      </c>
      <c r="AC166" s="259">
        <f t="shared" si="50"/>
        <v>0</v>
      </c>
      <c r="AD166" s="260">
        <f t="shared" si="51"/>
        <v>0</v>
      </c>
      <c r="AE166" s="262">
        <f t="shared" si="52"/>
        <v>0</v>
      </c>
      <c r="AF166" s="425"/>
      <c r="AG166" s="425"/>
      <c r="AH166" s="260"/>
      <c r="AI166" s="262"/>
      <c r="AJ166" s="263" t="s">
        <v>849</v>
      </c>
      <c r="AK166" s="264">
        <f>'J. Other Liability &amp; Expenses'!L202</f>
        <v>0</v>
      </c>
      <c r="AL166" s="259"/>
      <c r="AM166" s="263" t="str">
        <f>'C. Other Revenues'!B205</f>
        <v>C.1</v>
      </c>
      <c r="AN166" s="264">
        <f>'C. Other Revenues'!M241</f>
        <v>0</v>
      </c>
      <c r="AO166" s="265" t="str">
        <f>'L. Eliminations-Consolidations'!B270</f>
        <v>L.8</v>
      </c>
      <c r="AP166" s="264">
        <f>'L. Eliminations-Consolidations'!J279</f>
        <v>0</v>
      </c>
      <c r="AQ166" s="258"/>
      <c r="AR166" s="263" t="str">
        <f>'L. Eliminations-Consolidations'!B270</f>
        <v>L.8</v>
      </c>
      <c r="AS166" s="266">
        <f>'L. Eliminations-Consolidations'!L279</f>
        <v>0</v>
      </c>
      <c r="AT166" s="434"/>
      <c r="AU166" s="435"/>
      <c r="AV166" s="264">
        <f t="shared" si="71"/>
        <v>0</v>
      </c>
      <c r="AW166" s="264">
        <f t="shared" si="54"/>
        <v>0</v>
      </c>
      <c r="AX166" s="256"/>
      <c r="AY166" s="257"/>
      <c r="AZ166" s="288"/>
      <c r="BA166" s="266"/>
    </row>
    <row r="167" spans="1:54" x14ac:dyDescent="0.2">
      <c r="A167" s="39"/>
      <c r="C167" s="258"/>
      <c r="D167" s="423"/>
      <c r="E167" s="429"/>
      <c r="F167" s="425"/>
      <c r="G167" s="425"/>
      <c r="H167" s="425"/>
      <c r="I167" s="425"/>
      <c r="J167" s="425"/>
      <c r="K167" s="425"/>
      <c r="L167" s="427"/>
      <c r="M167" s="425"/>
      <c r="N167" s="425"/>
      <c r="O167" s="425"/>
      <c r="P167" s="428"/>
      <c r="Q167" s="428"/>
      <c r="R167" s="428"/>
      <c r="S167" s="428"/>
      <c r="T167" s="428"/>
      <c r="U167" s="428"/>
      <c r="V167" s="428"/>
      <c r="W167" s="428"/>
      <c r="X167" s="426"/>
      <c r="Y167" s="426"/>
      <c r="Z167" s="426"/>
      <c r="AA167" s="426"/>
      <c r="AB167" s="261">
        <f t="shared" si="49"/>
        <v>0</v>
      </c>
      <c r="AC167" s="259">
        <f t="shared" si="50"/>
        <v>0</v>
      </c>
      <c r="AD167" s="260">
        <f t="shared" si="51"/>
        <v>0</v>
      </c>
      <c r="AE167" s="262">
        <f t="shared" si="52"/>
        <v>0</v>
      </c>
      <c r="AF167" s="426"/>
      <c r="AG167" s="426"/>
      <c r="AH167" s="260"/>
      <c r="AI167" s="262"/>
      <c r="AJ167" s="263" t="s">
        <v>3525</v>
      </c>
      <c r="AK167" s="264">
        <f>'O. GASB 73 LEO Entries'!C66</f>
        <v>0</v>
      </c>
      <c r="AL167" s="259"/>
      <c r="AM167" s="269" t="str">
        <f>'I.  Other Asset Entries'!B105</f>
        <v>I.1</v>
      </c>
      <c r="AN167" s="264">
        <f>'I.  Other Asset Entries'!N119</f>
        <v>0</v>
      </c>
      <c r="AO167" s="284"/>
      <c r="AP167" s="258"/>
      <c r="AQ167" s="258"/>
      <c r="AR167" s="263"/>
      <c r="AS167" s="266"/>
      <c r="AT167" s="434"/>
      <c r="AU167" s="435"/>
      <c r="AV167" s="264">
        <f t="shared" si="71"/>
        <v>0</v>
      </c>
      <c r="AW167" s="264">
        <f t="shared" si="54"/>
        <v>0</v>
      </c>
      <c r="AX167" s="256"/>
      <c r="AY167" s="257"/>
      <c r="AZ167" s="288"/>
      <c r="BA167" s="266"/>
    </row>
    <row r="168" spans="1:54" x14ac:dyDescent="0.2">
      <c r="A168" s="39"/>
      <c r="C168" s="258"/>
      <c r="D168" s="423"/>
      <c r="E168" s="429"/>
      <c r="F168" s="425"/>
      <c r="G168" s="425"/>
      <c r="H168" s="425"/>
      <c r="I168" s="425"/>
      <c r="J168" s="425"/>
      <c r="K168" s="425"/>
      <c r="L168" s="427"/>
      <c r="M168" s="425"/>
      <c r="N168" s="425"/>
      <c r="O168" s="425"/>
      <c r="P168" s="428"/>
      <c r="Q168" s="428"/>
      <c r="R168" s="428"/>
      <c r="S168" s="428"/>
      <c r="T168" s="428"/>
      <c r="U168" s="428"/>
      <c r="V168" s="428"/>
      <c r="W168" s="428"/>
      <c r="X168" s="426"/>
      <c r="Y168" s="426"/>
      <c r="Z168" s="426"/>
      <c r="AA168" s="426"/>
      <c r="AB168" s="261">
        <f>L168+N168+P168+R168+T168+V168+X168+Z168</f>
        <v>0</v>
      </c>
      <c r="AC168" s="259">
        <f>M168+O168+Q168+S168+U168+W168+Y168+AA168</f>
        <v>0</v>
      </c>
      <c r="AD168" s="260">
        <f>D168+F168+H168+J168+AB168</f>
        <v>0</v>
      </c>
      <c r="AE168" s="262">
        <f>E168+G168+I168+K168+AC168</f>
        <v>0</v>
      </c>
      <c r="AF168" s="426"/>
      <c r="AG168" s="426"/>
      <c r="AH168" s="260"/>
      <c r="AI168" s="262"/>
      <c r="AJ168" s="263"/>
      <c r="AK168" s="264"/>
      <c r="AL168" s="259"/>
      <c r="AM168" s="269" t="s">
        <v>849</v>
      </c>
      <c r="AN168" s="264">
        <f>'J. Other Liability &amp; Expenses'!N203</f>
        <v>0</v>
      </c>
      <c r="AO168" s="265" t="str">
        <f>'L. Eliminations-Consolidations'!B285</f>
        <v>L.9</v>
      </c>
      <c r="AP168" s="264">
        <f>'L. Eliminations-Consolidations'!J285</f>
        <v>0</v>
      </c>
      <c r="AQ168" s="258"/>
      <c r="AR168" s="263"/>
      <c r="AS168" s="266"/>
      <c r="AT168" s="434"/>
      <c r="AU168" s="435"/>
      <c r="AV168" s="264">
        <f t="shared" si="71"/>
        <v>0</v>
      </c>
      <c r="AW168" s="264">
        <f t="shared" si="54"/>
        <v>0</v>
      </c>
      <c r="AX168" s="256"/>
      <c r="AY168" s="257"/>
      <c r="AZ168" s="288"/>
      <c r="BA168" s="266"/>
    </row>
    <row r="169" spans="1:54" x14ac:dyDescent="0.2">
      <c r="A169" s="39"/>
      <c r="C169" s="641" t="s">
        <v>3894</v>
      </c>
      <c r="D169" s="423"/>
      <c r="E169" s="429"/>
      <c r="F169" s="425"/>
      <c r="G169" s="425"/>
      <c r="H169" s="425"/>
      <c r="I169" s="425"/>
      <c r="J169" s="425"/>
      <c r="K169" s="425"/>
      <c r="L169" s="427"/>
      <c r="M169" s="425"/>
      <c r="N169" s="425"/>
      <c r="O169" s="425"/>
      <c r="P169" s="428"/>
      <c r="Q169" s="428"/>
      <c r="R169" s="428"/>
      <c r="S169" s="428"/>
      <c r="T169" s="428"/>
      <c r="U169" s="428"/>
      <c r="V169" s="428"/>
      <c r="W169" s="428"/>
      <c r="X169" s="426"/>
      <c r="Y169" s="426"/>
      <c r="Z169" s="426"/>
      <c r="AA169" s="426"/>
      <c r="AB169" s="261">
        <f>L169+N169+P169+R169+T169+V169+X169+Z169</f>
        <v>0</v>
      </c>
      <c r="AC169" s="259">
        <f>M169+O169+Q169+S169+U169+W169+Y169+AA169</f>
        <v>0</v>
      </c>
      <c r="AD169" s="260">
        <f>D169+F169+H169+J169+AB169</f>
        <v>0</v>
      </c>
      <c r="AE169" s="262">
        <f>E169+G169+I169+K169+AC169</f>
        <v>0</v>
      </c>
      <c r="AF169" s="425">
        <f>AG158+AG156+AG154+AG153+AG145</f>
        <v>0</v>
      </c>
      <c r="AG169" s="429" t="e">
        <f>AF92+AF90+AF88+AF87+AF85+AF32</f>
        <v>#VALUE!</v>
      </c>
      <c r="AH169" s="260"/>
      <c r="AI169" s="262"/>
      <c r="AJ169" s="263"/>
      <c r="AK169" s="264"/>
      <c r="AL169" s="259"/>
      <c r="AM169" s="269"/>
      <c r="AN169" s="264"/>
      <c r="AO169" s="265"/>
      <c r="AP169" s="264"/>
      <c r="AQ169" s="258"/>
      <c r="AR169" s="263"/>
      <c r="AS169" s="266"/>
      <c r="AT169" s="434"/>
      <c r="AU169" s="435"/>
      <c r="AV169" s="264">
        <f t="shared" si="71"/>
        <v>0</v>
      </c>
      <c r="AW169" s="264" t="e">
        <f>AE169+AG169+AI169+AN169+AS169+AU169</f>
        <v>#VALUE!</v>
      </c>
      <c r="AX169" s="256"/>
      <c r="AY169" s="257"/>
      <c r="AZ169" s="288"/>
      <c r="BA169" s="266"/>
      <c r="BB169" s="5"/>
    </row>
    <row r="170" spans="1:54" x14ac:dyDescent="0.2">
      <c r="A170" s="39"/>
      <c r="C170" s="641" t="s">
        <v>3895</v>
      </c>
      <c r="D170" s="423"/>
      <c r="E170" s="429"/>
      <c r="F170" s="425"/>
      <c r="G170" s="425"/>
      <c r="H170" s="425"/>
      <c r="I170" s="425"/>
      <c r="J170" s="425"/>
      <c r="K170" s="425"/>
      <c r="L170" s="427"/>
      <c r="M170" s="425"/>
      <c r="N170" s="425"/>
      <c r="O170" s="425"/>
      <c r="P170" s="428"/>
      <c r="Q170" s="428"/>
      <c r="R170" s="428"/>
      <c r="S170" s="428"/>
      <c r="T170" s="428"/>
      <c r="U170" s="428"/>
      <c r="V170" s="428"/>
      <c r="W170" s="428"/>
      <c r="X170" s="426"/>
      <c r="Y170" s="426"/>
      <c r="Z170" s="426"/>
      <c r="AA170" s="426"/>
      <c r="AB170" s="261"/>
      <c r="AC170" s="259"/>
      <c r="AD170" s="260"/>
      <c r="AE170" s="262"/>
      <c r="AF170" s="425">
        <f>AG157+AG155+AG144</f>
        <v>0</v>
      </c>
      <c r="AG170" s="429">
        <f>AF86+AF89</f>
        <v>0</v>
      </c>
      <c r="AH170" s="260"/>
      <c r="AI170" s="262"/>
      <c r="AJ170" s="263"/>
      <c r="AK170" s="264"/>
      <c r="AL170" s="259"/>
      <c r="AM170" s="269"/>
      <c r="AN170" s="264"/>
      <c r="AO170" s="265"/>
      <c r="AP170" s="264"/>
      <c r="AQ170" s="258"/>
      <c r="AR170" s="263"/>
      <c r="AS170" s="266"/>
      <c r="AT170" s="434"/>
      <c r="AU170" s="435"/>
      <c r="AV170" s="264">
        <f t="shared" si="71"/>
        <v>0</v>
      </c>
      <c r="AW170" s="264">
        <f>AE170+AG170+AI170+AN170+AS170+AU170</f>
        <v>0</v>
      </c>
      <c r="AX170" s="256">
        <v>15914</v>
      </c>
      <c r="AY170" s="257"/>
      <c r="AZ170" s="288"/>
      <c r="BA170" s="266"/>
      <c r="BB170" s="5"/>
    </row>
    <row r="171" spans="1:54" x14ac:dyDescent="0.2">
      <c r="A171" s="39"/>
      <c r="C171" s="641"/>
      <c r="D171" s="423"/>
      <c r="E171" s="429"/>
      <c r="F171" s="425"/>
      <c r="G171" s="425"/>
      <c r="H171" s="425"/>
      <c r="I171" s="425"/>
      <c r="J171" s="425"/>
      <c r="K171" s="425"/>
      <c r="L171" s="427"/>
      <c r="M171" s="425"/>
      <c r="N171" s="425"/>
      <c r="O171" s="425"/>
      <c r="P171" s="428"/>
      <c r="Q171" s="428"/>
      <c r="R171" s="428"/>
      <c r="S171" s="428"/>
      <c r="T171" s="428"/>
      <c r="U171" s="428"/>
      <c r="V171" s="428"/>
      <c r="W171" s="428"/>
      <c r="X171" s="426"/>
      <c r="Y171" s="426"/>
      <c r="Z171" s="426"/>
      <c r="AA171" s="426"/>
      <c r="AB171" s="261"/>
      <c r="AC171" s="259"/>
      <c r="AD171" s="260"/>
      <c r="AE171" s="262"/>
      <c r="AF171" s="425"/>
      <c r="AG171" s="429"/>
      <c r="AH171" s="260"/>
      <c r="AI171" s="262"/>
      <c r="AJ171" s="263" t="s">
        <v>3893</v>
      </c>
      <c r="AK171" s="264">
        <f>'P. GASB 75 OPEB 1 Entries'!C56+'P. GASB 75 OPEB 2 Entries '!C56+'P. GASB 75 3 OPEB Entries '!C56</f>
        <v>0</v>
      </c>
      <c r="AL171" s="259"/>
      <c r="AM171" s="269"/>
      <c r="AN171" s="264"/>
      <c r="AO171" s="265"/>
      <c r="AP171" s="264"/>
      <c r="AQ171" s="258"/>
      <c r="AR171" s="263"/>
      <c r="AS171" s="266"/>
      <c r="AT171" s="434"/>
      <c r="AU171" s="435"/>
      <c r="AV171" s="264">
        <f t="shared" si="71"/>
        <v>0</v>
      </c>
      <c r="AW171" s="264">
        <f>AE171+AG171+AI171+AN171+AS171+AU171</f>
        <v>0</v>
      </c>
      <c r="AX171" s="256"/>
      <c r="AY171" s="257"/>
      <c r="AZ171" s="288"/>
      <c r="BA171" s="266"/>
      <c r="BB171" s="5"/>
    </row>
    <row r="172" spans="1:54" x14ac:dyDescent="0.2">
      <c r="A172" s="39"/>
      <c r="C172" s="267" t="s">
        <v>1112</v>
      </c>
      <c r="D172" s="423"/>
      <c r="E172" s="424"/>
      <c r="F172" s="425"/>
      <c r="G172" s="425"/>
      <c r="H172" s="424"/>
      <c r="I172" s="424"/>
      <c r="J172" s="424"/>
      <c r="K172" s="424"/>
      <c r="L172" s="427"/>
      <c r="M172" s="425"/>
      <c r="N172" s="425"/>
      <c r="O172" s="425"/>
      <c r="P172" s="428"/>
      <c r="Q172" s="428"/>
      <c r="R172" s="428"/>
      <c r="S172" s="428"/>
      <c r="T172" s="428"/>
      <c r="U172" s="428"/>
      <c r="V172" s="428"/>
      <c r="W172" s="428"/>
      <c r="X172" s="426"/>
      <c r="Y172" s="426"/>
      <c r="Z172" s="426"/>
      <c r="AA172" s="426"/>
      <c r="AB172" s="261">
        <f t="shared" si="49"/>
        <v>0</v>
      </c>
      <c r="AC172" s="259">
        <f t="shared" si="50"/>
        <v>0</v>
      </c>
      <c r="AD172" s="260">
        <f t="shared" si="51"/>
        <v>0</v>
      </c>
      <c r="AE172" s="262">
        <f t="shared" si="52"/>
        <v>0</v>
      </c>
      <c r="AF172" s="425"/>
      <c r="AG172" s="425"/>
      <c r="AH172" s="260"/>
      <c r="AI172" s="262"/>
      <c r="AJ172" s="263"/>
      <c r="AK172" s="264"/>
      <c r="AL172" s="259"/>
      <c r="AM172" s="263"/>
      <c r="AN172" s="268"/>
      <c r="AO172" s="284"/>
      <c r="AP172" s="264"/>
      <c r="AQ172" s="258"/>
      <c r="AR172" s="263"/>
      <c r="AS172" s="266"/>
      <c r="AT172" s="434"/>
      <c r="AU172" s="435"/>
      <c r="AV172" s="264">
        <f t="shared" si="71"/>
        <v>0</v>
      </c>
      <c r="AW172" s="264">
        <f t="shared" si="54"/>
        <v>0</v>
      </c>
      <c r="AX172" s="256"/>
      <c r="AY172" s="257"/>
      <c r="AZ172" s="288" t="e">
        <f>AY366</f>
        <v>#VALUE!</v>
      </c>
      <c r="BA172" s="266" t="e">
        <f>AX366</f>
        <v>#VALUE!</v>
      </c>
    </row>
    <row r="173" spans="1:54" x14ac:dyDescent="0.2">
      <c r="A173" s="39"/>
      <c r="C173" s="267" t="s">
        <v>1113</v>
      </c>
      <c r="D173" s="423"/>
      <c r="E173" s="424"/>
      <c r="F173" s="425"/>
      <c r="G173" s="425"/>
      <c r="H173" s="424"/>
      <c r="I173" s="424"/>
      <c r="J173" s="424"/>
      <c r="K173" s="424"/>
      <c r="L173" s="427"/>
      <c r="M173" s="425"/>
      <c r="N173" s="425"/>
      <c r="O173" s="425"/>
      <c r="P173" s="428"/>
      <c r="Q173" s="428"/>
      <c r="R173" s="428"/>
      <c r="S173" s="428"/>
      <c r="T173" s="428"/>
      <c r="U173" s="428"/>
      <c r="V173" s="428"/>
      <c r="W173" s="428"/>
      <c r="X173" s="426"/>
      <c r="Y173" s="426"/>
      <c r="Z173" s="426"/>
      <c r="AA173" s="426"/>
      <c r="AB173" s="261">
        <f t="shared" si="49"/>
        <v>0</v>
      </c>
      <c r="AC173" s="259">
        <f t="shared" si="50"/>
        <v>0</v>
      </c>
      <c r="AD173" s="260">
        <f t="shared" si="51"/>
        <v>0</v>
      </c>
      <c r="AE173" s="262">
        <f t="shared" si="52"/>
        <v>0</v>
      </c>
      <c r="AF173" s="425"/>
      <c r="AG173" s="425"/>
      <c r="AH173" s="260"/>
      <c r="AI173" s="262"/>
      <c r="AJ173" s="263"/>
      <c r="AK173" s="264"/>
      <c r="AL173" s="259"/>
      <c r="AM173" s="263"/>
      <c r="AN173" s="268"/>
      <c r="AO173" s="284"/>
      <c r="AP173" s="264"/>
      <c r="AQ173" s="258"/>
      <c r="AR173" s="263"/>
      <c r="AS173" s="266"/>
      <c r="AT173" s="434"/>
      <c r="AU173" s="435"/>
      <c r="AV173" s="264">
        <f t="shared" si="71"/>
        <v>0</v>
      </c>
      <c r="AW173" s="264">
        <f t="shared" si="54"/>
        <v>0</v>
      </c>
      <c r="AX173" s="256"/>
      <c r="AY173" s="257"/>
      <c r="AZ173" s="288">
        <f>AV168</f>
        <v>0</v>
      </c>
      <c r="BA173" s="266"/>
    </row>
    <row r="174" spans="1:54" x14ac:dyDescent="0.2">
      <c r="A174" s="39"/>
      <c r="D174" s="418"/>
      <c r="E174" s="419"/>
      <c r="F174" s="414"/>
      <c r="G174" s="414"/>
      <c r="H174" s="419"/>
      <c r="I174" s="419"/>
      <c r="J174" s="419"/>
      <c r="K174" s="419"/>
      <c r="L174" s="416"/>
      <c r="M174" s="414"/>
      <c r="N174" s="414"/>
      <c r="O174" s="414"/>
      <c r="P174" s="417"/>
      <c r="Q174" s="417"/>
      <c r="R174" s="417"/>
      <c r="S174" s="417"/>
      <c r="T174" s="417"/>
      <c r="U174" s="417"/>
      <c r="V174" s="417"/>
      <c r="W174" s="417"/>
      <c r="X174" s="415"/>
      <c r="Y174" s="415"/>
      <c r="Z174" s="415"/>
      <c r="AA174" s="415"/>
      <c r="AB174" s="9">
        <f t="shared" si="49"/>
        <v>0</v>
      </c>
      <c r="AC174" s="5">
        <f t="shared" si="50"/>
        <v>0</v>
      </c>
      <c r="AD174" s="26">
        <f t="shared" si="51"/>
        <v>0</v>
      </c>
      <c r="AE174" s="21">
        <f t="shared" si="52"/>
        <v>0</v>
      </c>
      <c r="AF174" s="5"/>
      <c r="AG174" s="5"/>
      <c r="AH174" s="26"/>
      <c r="AI174" s="21"/>
      <c r="AK174" s="57"/>
      <c r="AL174" s="5"/>
      <c r="AO174" s="230"/>
      <c r="AP174" s="57"/>
      <c r="AS174" s="209"/>
      <c r="AT174" s="434"/>
      <c r="AU174" s="435"/>
      <c r="AV174" s="270"/>
      <c r="AW174" s="270"/>
      <c r="AX174" s="39"/>
      <c r="AY174" s="33"/>
      <c r="AZ174" s="287"/>
      <c r="BA174" s="209"/>
    </row>
    <row r="175" spans="1:54" x14ac:dyDescent="0.2">
      <c r="A175" s="39"/>
      <c r="B175" s="4" t="s">
        <v>1106</v>
      </c>
      <c r="D175" s="418"/>
      <c r="E175" s="419"/>
      <c r="F175" s="414"/>
      <c r="G175" s="414"/>
      <c r="H175" s="419"/>
      <c r="I175" s="419"/>
      <c r="J175" s="419"/>
      <c r="K175" s="419"/>
      <c r="L175" s="416"/>
      <c r="M175" s="414"/>
      <c r="N175" s="414"/>
      <c r="O175" s="414"/>
      <c r="P175" s="417"/>
      <c r="Q175" s="417"/>
      <c r="R175" s="417"/>
      <c r="S175" s="417"/>
      <c r="T175" s="417"/>
      <c r="U175" s="417"/>
      <c r="V175" s="417"/>
      <c r="W175" s="417"/>
      <c r="X175" s="415"/>
      <c r="Y175" s="415"/>
      <c r="Z175" s="415"/>
      <c r="AA175" s="415"/>
      <c r="AB175" s="9">
        <f t="shared" si="49"/>
        <v>0</v>
      </c>
      <c r="AC175" s="5">
        <f t="shared" si="50"/>
        <v>0</v>
      </c>
      <c r="AD175" s="26">
        <f t="shared" si="51"/>
        <v>0</v>
      </c>
      <c r="AE175" s="21">
        <f t="shared" si="52"/>
        <v>0</v>
      </c>
      <c r="AF175" s="5"/>
      <c r="AG175" s="5"/>
      <c r="AH175" s="26"/>
      <c r="AI175" s="21"/>
      <c r="AK175" s="57"/>
      <c r="AL175" s="5"/>
      <c r="AO175" s="230"/>
      <c r="AP175" s="57"/>
      <c r="AS175" s="209"/>
      <c r="AT175" s="434"/>
      <c r="AU175" s="435"/>
      <c r="AV175" s="270">
        <f t="shared" ref="AV175:AV189" si="72">AD175+AF175+AH175+AK175+AP175+AT175</f>
        <v>0</v>
      </c>
      <c r="AW175" s="270">
        <f t="shared" ref="AW175:AW189" si="73">AE175+AG175+AI175+AN175+AS175+AU175</f>
        <v>0</v>
      </c>
      <c r="AX175" s="39"/>
      <c r="AY175" s="33"/>
      <c r="AZ175" s="287" t="str">
        <f t="shared" ref="AZ175:AZ181" si="74">IF(AV175-AW175&lt;=0," ",AV175-AW175)</f>
        <v xml:space="preserve"> </v>
      </c>
      <c r="BA175" s="209"/>
    </row>
    <row r="176" spans="1:54" ht="14.25" customHeight="1" x14ac:dyDescent="0.2">
      <c r="A176" s="39"/>
      <c r="B176" s="895" t="s">
        <v>96</v>
      </c>
      <c r="C176" s="188" t="s">
        <v>1114</v>
      </c>
      <c r="D176" s="418"/>
      <c r="E176" s="419"/>
      <c r="F176" s="414"/>
      <c r="G176" s="414"/>
      <c r="H176" s="419"/>
      <c r="I176" s="419"/>
      <c r="J176" s="419"/>
      <c r="K176" s="419"/>
      <c r="L176" s="416"/>
      <c r="M176" s="414"/>
      <c r="N176" s="414"/>
      <c r="O176" s="414"/>
      <c r="P176" s="417"/>
      <c r="Q176" s="417"/>
      <c r="R176" s="417"/>
      <c r="S176" s="417"/>
      <c r="T176" s="417"/>
      <c r="U176" s="417"/>
      <c r="V176" s="417"/>
      <c r="W176" s="417"/>
      <c r="X176" s="415"/>
      <c r="Y176" s="415"/>
      <c r="Z176" s="415"/>
      <c r="AA176" s="415"/>
      <c r="AB176" s="9">
        <f t="shared" si="49"/>
        <v>0</v>
      </c>
      <c r="AC176" s="5">
        <f t="shared" si="50"/>
        <v>0</v>
      </c>
      <c r="AD176" s="26">
        <f t="shared" si="51"/>
        <v>0</v>
      </c>
      <c r="AE176" s="21">
        <f t="shared" si="52"/>
        <v>0</v>
      </c>
      <c r="AF176" s="5"/>
      <c r="AG176" s="5"/>
      <c r="AH176" s="26"/>
      <c r="AI176" s="21"/>
      <c r="AK176" s="57"/>
      <c r="AL176" s="5"/>
      <c r="AO176" s="230"/>
      <c r="AP176" s="57"/>
      <c r="AR176" s="226" t="str">
        <f>'L. Eliminations-Consolidations'!B285</f>
        <v>L.9</v>
      </c>
      <c r="AS176" s="209">
        <f>'L. Eliminations-Consolidations'!L286</f>
        <v>0</v>
      </c>
      <c r="AT176" s="434"/>
      <c r="AU176" s="435"/>
      <c r="AV176" s="270">
        <f t="shared" si="72"/>
        <v>0</v>
      </c>
      <c r="AW176" s="270">
        <f t="shared" si="73"/>
        <v>0</v>
      </c>
      <c r="AX176" s="39"/>
      <c r="AY176" s="33"/>
      <c r="AZ176" s="287" t="str">
        <f t="shared" si="74"/>
        <v xml:space="preserve"> </v>
      </c>
      <c r="BA176" s="209">
        <f t="shared" ref="BA176:BA188" si="75">IF(AV176-AW176&gt;0," ",AW176-AV176)</f>
        <v>0</v>
      </c>
    </row>
    <row r="177" spans="1:53" ht="14.25" customHeight="1" x14ac:dyDescent="0.2">
      <c r="A177" s="39"/>
      <c r="B177" s="895"/>
      <c r="C177" t="s">
        <v>77</v>
      </c>
      <c r="D177" s="418"/>
      <c r="E177" s="419"/>
      <c r="F177" s="414"/>
      <c r="G177" s="414"/>
      <c r="H177" s="419"/>
      <c r="I177" s="419"/>
      <c r="J177" s="419"/>
      <c r="K177" s="419"/>
      <c r="L177" s="416"/>
      <c r="M177" s="414"/>
      <c r="N177" s="414"/>
      <c r="O177" s="414"/>
      <c r="P177" s="417"/>
      <c r="Q177" s="417"/>
      <c r="R177" s="417"/>
      <c r="S177" s="417"/>
      <c r="T177" s="417"/>
      <c r="U177" s="417"/>
      <c r="V177" s="417"/>
      <c r="W177" s="417"/>
      <c r="X177" s="415"/>
      <c r="Y177" s="415"/>
      <c r="Z177" s="415"/>
      <c r="AA177" s="415"/>
      <c r="AB177" s="9">
        <f t="shared" si="49"/>
        <v>0</v>
      </c>
      <c r="AC177" s="5">
        <f t="shared" si="50"/>
        <v>0</v>
      </c>
      <c r="AD177" s="26">
        <f t="shared" si="51"/>
        <v>0</v>
      </c>
      <c r="AE177" s="21">
        <f t="shared" si="52"/>
        <v>0</v>
      </c>
      <c r="AF177" s="5"/>
      <c r="AG177" s="5"/>
      <c r="AH177" s="26"/>
      <c r="AI177" s="21"/>
      <c r="AK177" s="57"/>
      <c r="AL177" s="5"/>
      <c r="AO177" s="230"/>
      <c r="AP177" s="57"/>
      <c r="AR177" s="226" t="str">
        <f>'L. Eliminations-Consolidations'!B285</f>
        <v>L.9</v>
      </c>
      <c r="AS177" s="209">
        <f>'L. Eliminations-Consolidations'!L287</f>
        <v>0</v>
      </c>
      <c r="AT177" s="434"/>
      <c r="AU177" s="435"/>
      <c r="AV177" s="270">
        <f t="shared" si="72"/>
        <v>0</v>
      </c>
      <c r="AW177" s="270">
        <f t="shared" si="73"/>
        <v>0</v>
      </c>
      <c r="AX177" s="39"/>
      <c r="AY177" s="33"/>
      <c r="AZ177" s="287" t="str">
        <f t="shared" si="74"/>
        <v xml:space="preserve"> </v>
      </c>
      <c r="BA177" s="209">
        <f t="shared" si="75"/>
        <v>0</v>
      </c>
    </row>
    <row r="178" spans="1:53" ht="14.25" customHeight="1" x14ac:dyDescent="0.2">
      <c r="A178" s="39"/>
      <c r="B178" s="895"/>
      <c r="C178" t="s">
        <v>273</v>
      </c>
      <c r="D178" s="418"/>
      <c r="E178" s="419"/>
      <c r="F178" s="414"/>
      <c r="G178" s="414"/>
      <c r="H178" s="419"/>
      <c r="I178" s="419"/>
      <c r="J178" s="419"/>
      <c r="K178" s="419"/>
      <c r="L178" s="416"/>
      <c r="M178" s="414"/>
      <c r="N178" s="414"/>
      <c r="O178" s="414"/>
      <c r="P178" s="417"/>
      <c r="Q178" s="417"/>
      <c r="R178" s="417"/>
      <c r="S178" s="417"/>
      <c r="T178" s="417"/>
      <c r="U178" s="417"/>
      <c r="V178" s="417"/>
      <c r="W178" s="417"/>
      <c r="X178" s="415"/>
      <c r="Y178" s="415"/>
      <c r="Z178" s="415"/>
      <c r="AA178" s="415"/>
      <c r="AB178" s="9">
        <f t="shared" si="49"/>
        <v>0</v>
      </c>
      <c r="AC178" s="5">
        <f t="shared" si="50"/>
        <v>0</v>
      </c>
      <c r="AD178" s="26">
        <f t="shared" si="51"/>
        <v>0</v>
      </c>
      <c r="AE178" s="21">
        <f t="shared" si="52"/>
        <v>0</v>
      </c>
      <c r="AF178" s="5"/>
      <c r="AG178" s="5"/>
      <c r="AH178" s="26"/>
      <c r="AI178" s="21"/>
      <c r="AK178" s="57"/>
      <c r="AL178" s="5"/>
      <c r="AO178" s="230"/>
      <c r="AP178" s="57"/>
      <c r="AR178" s="226" t="str">
        <f>'L. Eliminations-Consolidations'!B285</f>
        <v>L.9</v>
      </c>
      <c r="AS178" s="209">
        <f>'L. Eliminations-Consolidations'!L288</f>
        <v>0</v>
      </c>
      <c r="AT178" s="434"/>
      <c r="AU178" s="435"/>
      <c r="AV178" s="270">
        <f t="shared" si="72"/>
        <v>0</v>
      </c>
      <c r="AW178" s="270">
        <f t="shared" si="73"/>
        <v>0</v>
      </c>
      <c r="AX178" s="39"/>
      <c r="AY178" s="33"/>
      <c r="AZ178" s="287" t="str">
        <f t="shared" si="74"/>
        <v xml:space="preserve"> </v>
      </c>
      <c r="BA178" s="209">
        <f t="shared" si="75"/>
        <v>0</v>
      </c>
    </row>
    <row r="179" spans="1:53" ht="14.25" customHeight="1" x14ac:dyDescent="0.2">
      <c r="A179" s="39"/>
      <c r="B179" s="895"/>
      <c r="C179" t="s">
        <v>274</v>
      </c>
      <c r="D179" s="418"/>
      <c r="E179" s="419"/>
      <c r="F179" s="414"/>
      <c r="G179" s="414"/>
      <c r="H179" s="419"/>
      <c r="I179" s="419"/>
      <c r="J179" s="419"/>
      <c r="K179" s="419"/>
      <c r="L179" s="416"/>
      <c r="M179" s="414"/>
      <c r="N179" s="414"/>
      <c r="O179" s="414"/>
      <c r="P179" s="417"/>
      <c r="Q179" s="417"/>
      <c r="R179" s="417"/>
      <c r="S179" s="417"/>
      <c r="T179" s="417"/>
      <c r="U179" s="417"/>
      <c r="V179" s="417"/>
      <c r="W179" s="417"/>
      <c r="X179" s="415"/>
      <c r="Y179" s="415"/>
      <c r="Z179" s="415"/>
      <c r="AA179" s="415"/>
      <c r="AB179" s="9">
        <f t="shared" si="49"/>
        <v>0</v>
      </c>
      <c r="AC179" s="5">
        <f t="shared" si="50"/>
        <v>0</v>
      </c>
      <c r="AD179" s="26">
        <f t="shared" si="51"/>
        <v>0</v>
      </c>
      <c r="AE179" s="21">
        <f t="shared" si="52"/>
        <v>0</v>
      </c>
      <c r="AF179" s="5"/>
      <c r="AG179" s="5"/>
      <c r="AH179" s="26"/>
      <c r="AI179" s="21"/>
      <c r="AK179" s="57"/>
      <c r="AL179" s="5"/>
      <c r="AO179" s="230"/>
      <c r="AP179" s="57"/>
      <c r="AR179" s="226" t="str">
        <f>'L. Eliminations-Consolidations'!B285</f>
        <v>L.9</v>
      </c>
      <c r="AS179" s="209">
        <f>'L. Eliminations-Consolidations'!L289</f>
        <v>0</v>
      </c>
      <c r="AT179" s="434"/>
      <c r="AU179" s="435"/>
      <c r="AV179" s="270">
        <f t="shared" si="72"/>
        <v>0</v>
      </c>
      <c r="AW179" s="270">
        <f t="shared" si="73"/>
        <v>0</v>
      </c>
      <c r="AX179" s="39"/>
      <c r="AY179" s="33"/>
      <c r="AZ179" s="287" t="str">
        <f t="shared" si="74"/>
        <v xml:space="preserve"> </v>
      </c>
      <c r="BA179" s="210">
        <f t="shared" si="75"/>
        <v>0</v>
      </c>
    </row>
    <row r="180" spans="1:53" ht="14.25" customHeight="1" x14ac:dyDescent="0.2">
      <c r="A180" s="39"/>
      <c r="B180" s="895"/>
      <c r="C180" t="s">
        <v>275</v>
      </c>
      <c r="D180" s="418"/>
      <c r="E180" s="419"/>
      <c r="F180" s="414"/>
      <c r="G180" s="414"/>
      <c r="H180" s="419"/>
      <c r="I180" s="419"/>
      <c r="J180" s="419"/>
      <c r="K180" s="419"/>
      <c r="L180" s="416"/>
      <c r="M180" s="414"/>
      <c r="N180" s="414"/>
      <c r="O180" s="414"/>
      <c r="P180" s="417"/>
      <c r="Q180" s="417"/>
      <c r="R180" s="417"/>
      <c r="S180" s="417"/>
      <c r="T180" s="417"/>
      <c r="U180" s="417"/>
      <c r="V180" s="417"/>
      <c r="W180" s="417"/>
      <c r="X180" s="415"/>
      <c r="Y180" s="415"/>
      <c r="Z180" s="415"/>
      <c r="AA180" s="415"/>
      <c r="AB180" s="9">
        <f t="shared" si="49"/>
        <v>0</v>
      </c>
      <c r="AC180" s="5">
        <f t="shared" si="50"/>
        <v>0</v>
      </c>
      <c r="AD180" s="26">
        <f t="shared" si="51"/>
        <v>0</v>
      </c>
      <c r="AE180" s="21">
        <f t="shared" si="52"/>
        <v>0</v>
      </c>
      <c r="AF180" s="5"/>
      <c r="AG180" s="5"/>
      <c r="AH180" s="26"/>
      <c r="AI180" s="21"/>
      <c r="AK180" s="57"/>
      <c r="AL180" s="5"/>
      <c r="AO180" s="230"/>
      <c r="AP180" s="57"/>
      <c r="AR180" s="226" t="str">
        <f>'L. Eliminations-Consolidations'!B285</f>
        <v>L.9</v>
      </c>
      <c r="AS180" s="209">
        <f>'L. Eliminations-Consolidations'!L290</f>
        <v>0</v>
      </c>
      <c r="AT180" s="434"/>
      <c r="AU180" s="435"/>
      <c r="AV180" s="270">
        <f t="shared" si="72"/>
        <v>0</v>
      </c>
      <c r="AW180" s="270">
        <f t="shared" si="73"/>
        <v>0</v>
      </c>
      <c r="AX180" s="39"/>
      <c r="AY180" s="33"/>
      <c r="AZ180" s="287" t="str">
        <f t="shared" si="74"/>
        <v xml:space="preserve"> </v>
      </c>
      <c r="BA180" s="210">
        <f t="shared" si="75"/>
        <v>0</v>
      </c>
    </row>
    <row r="181" spans="1:53" ht="14.25" customHeight="1" x14ac:dyDescent="0.2">
      <c r="A181" s="39"/>
      <c r="B181" s="895"/>
      <c r="C181" t="s">
        <v>276</v>
      </c>
      <c r="D181" s="418"/>
      <c r="E181" s="419"/>
      <c r="F181" s="414"/>
      <c r="G181" s="414"/>
      <c r="H181" s="419"/>
      <c r="I181" s="419"/>
      <c r="J181" s="419"/>
      <c r="K181" s="419"/>
      <c r="L181" s="416"/>
      <c r="M181" s="414"/>
      <c r="N181" s="414"/>
      <c r="O181" s="414"/>
      <c r="P181" s="417"/>
      <c r="Q181" s="417"/>
      <c r="R181" s="417"/>
      <c r="S181" s="417"/>
      <c r="T181" s="417"/>
      <c r="U181" s="417"/>
      <c r="V181" s="417"/>
      <c r="W181" s="417"/>
      <c r="X181" s="415"/>
      <c r="Y181" s="415"/>
      <c r="Z181" s="415"/>
      <c r="AA181" s="415"/>
      <c r="AB181" s="9">
        <f t="shared" si="49"/>
        <v>0</v>
      </c>
      <c r="AC181" s="5">
        <f t="shared" si="50"/>
        <v>0</v>
      </c>
      <c r="AD181" s="26">
        <f t="shared" si="51"/>
        <v>0</v>
      </c>
      <c r="AE181" s="21">
        <f t="shared" si="52"/>
        <v>0</v>
      </c>
      <c r="AF181" s="5"/>
      <c r="AG181" s="5"/>
      <c r="AH181" s="26"/>
      <c r="AI181" s="21"/>
      <c r="AK181" s="57"/>
      <c r="AL181" s="5"/>
      <c r="AO181" s="230"/>
      <c r="AP181" s="57"/>
      <c r="AR181" s="226" t="str">
        <f>'L. Eliminations-Consolidations'!B285</f>
        <v>L.9</v>
      </c>
      <c r="AS181" s="209">
        <f>'L. Eliminations-Consolidations'!L291</f>
        <v>0</v>
      </c>
      <c r="AT181" s="434"/>
      <c r="AU181" s="435"/>
      <c r="AV181" s="270">
        <f t="shared" si="72"/>
        <v>0</v>
      </c>
      <c r="AW181" s="270">
        <f t="shared" si="73"/>
        <v>0</v>
      </c>
      <c r="AX181" s="39"/>
      <c r="AY181" s="33"/>
      <c r="AZ181" s="287" t="str">
        <f t="shared" si="74"/>
        <v xml:space="preserve"> </v>
      </c>
      <c r="BA181" s="210">
        <f t="shared" si="75"/>
        <v>0</v>
      </c>
    </row>
    <row r="182" spans="1:53" ht="14.25" customHeight="1" x14ac:dyDescent="0.2">
      <c r="A182" s="39"/>
      <c r="B182" s="895"/>
      <c r="C182" t="s">
        <v>79</v>
      </c>
      <c r="D182" s="418"/>
      <c r="E182" s="419"/>
      <c r="F182" s="414"/>
      <c r="G182" s="414"/>
      <c r="H182" s="419"/>
      <c r="I182" s="419"/>
      <c r="J182" s="419"/>
      <c r="K182" s="419"/>
      <c r="L182" s="416"/>
      <c r="M182" s="414"/>
      <c r="N182" s="414"/>
      <c r="O182" s="414"/>
      <c r="P182" s="417"/>
      <c r="Q182" s="417"/>
      <c r="R182" s="417"/>
      <c r="S182" s="417"/>
      <c r="T182" s="417"/>
      <c r="U182" s="417"/>
      <c r="V182" s="417"/>
      <c r="W182" s="417"/>
      <c r="X182" s="415"/>
      <c r="Y182" s="415"/>
      <c r="Z182" s="415"/>
      <c r="AA182" s="415"/>
      <c r="AB182" s="9">
        <f t="shared" si="49"/>
        <v>0</v>
      </c>
      <c r="AC182" s="5">
        <f t="shared" si="50"/>
        <v>0</v>
      </c>
      <c r="AD182" s="26">
        <v>0</v>
      </c>
      <c r="AE182" s="21">
        <v>0</v>
      </c>
      <c r="AF182" s="5"/>
      <c r="AG182" s="5"/>
      <c r="AH182" s="26"/>
      <c r="AI182" s="21"/>
      <c r="AK182" s="57"/>
      <c r="AL182" s="5"/>
      <c r="AO182" s="230"/>
      <c r="AP182" s="57"/>
      <c r="AR182" s="226" t="str">
        <f>'L. Eliminations-Consolidations'!B285</f>
        <v>L.9</v>
      </c>
      <c r="AS182" s="209">
        <f>'L. Eliminations-Consolidations'!L292</f>
        <v>0</v>
      </c>
      <c r="AT182" s="434"/>
      <c r="AU182" s="435"/>
      <c r="AV182" s="270">
        <f t="shared" si="72"/>
        <v>0</v>
      </c>
      <c r="AW182" s="270">
        <f t="shared" si="73"/>
        <v>0</v>
      </c>
      <c r="AX182" s="39"/>
      <c r="AY182" s="33"/>
      <c r="AZ182" s="287"/>
      <c r="BA182" s="209">
        <f t="shared" si="75"/>
        <v>0</v>
      </c>
    </row>
    <row r="183" spans="1:53" ht="14.25" customHeight="1" x14ac:dyDescent="0.2">
      <c r="A183" s="39"/>
      <c r="B183" s="895"/>
      <c r="C183" s="430" t="s">
        <v>1026</v>
      </c>
      <c r="D183" s="418"/>
      <c r="E183" s="419"/>
      <c r="F183" s="414"/>
      <c r="G183" s="414"/>
      <c r="H183" s="419"/>
      <c r="I183" s="419"/>
      <c r="J183" s="419"/>
      <c r="K183" s="419"/>
      <c r="L183" s="416"/>
      <c r="M183" s="414"/>
      <c r="N183" s="414"/>
      <c r="O183" s="414"/>
      <c r="P183" s="417"/>
      <c r="Q183" s="417"/>
      <c r="R183" s="417"/>
      <c r="S183" s="417"/>
      <c r="T183" s="417"/>
      <c r="U183" s="417"/>
      <c r="V183" s="417"/>
      <c r="W183" s="417"/>
      <c r="X183" s="415"/>
      <c r="Y183" s="415"/>
      <c r="Z183" s="415"/>
      <c r="AA183" s="415"/>
      <c r="AB183" s="9">
        <f>L183+N183+P183+R183+T183+V183+X183+Z183</f>
        <v>0</v>
      </c>
      <c r="AC183" s="5">
        <f>M183+O183+Q183+S183+U183+W183+Y183+AA183</f>
        <v>0</v>
      </c>
      <c r="AD183" s="26">
        <f>D183+F183+H183+J183+AB183</f>
        <v>0</v>
      </c>
      <c r="AE183" s="21">
        <f>E183+G183+I183+K183+AC183</f>
        <v>0</v>
      </c>
      <c r="AF183" s="5"/>
      <c r="AG183" s="5"/>
      <c r="AH183" s="26"/>
      <c r="AI183" s="21"/>
      <c r="AK183" s="57"/>
      <c r="AL183" s="5"/>
      <c r="AO183" s="230"/>
      <c r="AP183" s="57"/>
      <c r="AR183" s="226" t="str">
        <f>'L. Eliminations-Consolidations'!B285</f>
        <v>L.9</v>
      </c>
      <c r="AS183" s="209">
        <f>'L. Eliminations-Consolidations'!L293</f>
        <v>0</v>
      </c>
      <c r="AT183" s="434"/>
      <c r="AU183" s="435"/>
      <c r="AV183" s="270">
        <f>AD183+AF183+AH183+AK183+AP183+AT183</f>
        <v>0</v>
      </c>
      <c r="AW183" s="270">
        <f>AE183+AG183+AI183+AN183+AS183+AU183</f>
        <v>0</v>
      </c>
      <c r="AX183" s="39"/>
      <c r="AY183" s="33"/>
      <c r="AZ183" s="287" t="str">
        <f t="shared" ref="AZ183:AZ188" si="76">IF(AV183-AW183&lt;=0," ",AV183-AW183)</f>
        <v xml:space="preserve"> </v>
      </c>
      <c r="BA183" s="209">
        <f>IF(AV183-AW183&gt;0," ",AW183-AV183)</f>
        <v>0</v>
      </c>
    </row>
    <row r="184" spans="1:53" ht="14.25" customHeight="1" x14ac:dyDescent="0.2">
      <c r="A184" s="39"/>
      <c r="B184" s="895"/>
      <c r="C184" s="415" t="s">
        <v>277</v>
      </c>
      <c r="D184" s="418"/>
      <c r="E184" s="419"/>
      <c r="F184" s="414"/>
      <c r="G184" s="414"/>
      <c r="H184" s="419"/>
      <c r="I184" s="419"/>
      <c r="J184" s="419"/>
      <c r="K184" s="419"/>
      <c r="L184" s="416"/>
      <c r="M184" s="414"/>
      <c r="N184" s="414"/>
      <c r="O184" s="414"/>
      <c r="P184" s="417"/>
      <c r="Q184" s="417"/>
      <c r="R184" s="417"/>
      <c r="S184" s="417"/>
      <c r="T184" s="417"/>
      <c r="U184" s="417"/>
      <c r="V184" s="417"/>
      <c r="W184" s="417"/>
      <c r="X184" s="415"/>
      <c r="Y184" s="415"/>
      <c r="Z184" s="415"/>
      <c r="AA184" s="415"/>
      <c r="AB184" s="9">
        <f t="shared" si="49"/>
        <v>0</v>
      </c>
      <c r="AC184" s="5">
        <f t="shared" si="50"/>
        <v>0</v>
      </c>
      <c r="AD184" s="26">
        <f t="shared" si="51"/>
        <v>0</v>
      </c>
      <c r="AE184" s="21">
        <f t="shared" si="52"/>
        <v>0</v>
      </c>
      <c r="AF184" s="5"/>
      <c r="AG184" s="5"/>
      <c r="AH184" s="26"/>
      <c r="AI184" s="21"/>
      <c r="AK184" s="57"/>
      <c r="AL184" s="5"/>
      <c r="AO184" s="230"/>
      <c r="AP184" s="57"/>
      <c r="AR184" s="226" t="str">
        <f>'L. Eliminations-Consolidations'!B285</f>
        <v>L.9</v>
      </c>
      <c r="AS184" s="209">
        <f>'L. Eliminations-Consolidations'!L294</f>
        <v>0</v>
      </c>
      <c r="AT184" s="434"/>
      <c r="AU184" s="435"/>
      <c r="AV184" s="270">
        <f t="shared" si="72"/>
        <v>0</v>
      </c>
      <c r="AW184" s="270">
        <f t="shared" si="73"/>
        <v>0</v>
      </c>
      <c r="AX184" s="39"/>
      <c r="AY184" s="33"/>
      <c r="AZ184" s="287" t="str">
        <f t="shared" si="76"/>
        <v xml:space="preserve"> </v>
      </c>
      <c r="BA184" s="209">
        <f t="shared" si="75"/>
        <v>0</v>
      </c>
    </row>
    <row r="185" spans="1:53" ht="13.5" customHeight="1" x14ac:dyDescent="0.2">
      <c r="A185" s="39"/>
      <c r="B185" s="895"/>
      <c r="C185" s="415" t="s">
        <v>278</v>
      </c>
      <c r="D185" s="418"/>
      <c r="E185" s="419"/>
      <c r="F185" s="414"/>
      <c r="G185" s="414"/>
      <c r="H185" s="419"/>
      <c r="I185" s="419"/>
      <c r="J185" s="419"/>
      <c r="K185" s="419"/>
      <c r="L185" s="416"/>
      <c r="M185" s="414"/>
      <c r="N185" s="414"/>
      <c r="O185" s="414"/>
      <c r="P185" s="417"/>
      <c r="Q185" s="417"/>
      <c r="R185" s="417"/>
      <c r="S185" s="417"/>
      <c r="T185" s="417"/>
      <c r="U185" s="417"/>
      <c r="V185" s="417"/>
      <c r="W185" s="417"/>
      <c r="X185" s="415"/>
      <c r="Y185" s="415"/>
      <c r="Z185" s="415"/>
      <c r="AA185" s="415"/>
      <c r="AB185" s="9">
        <f t="shared" si="49"/>
        <v>0</v>
      </c>
      <c r="AC185" s="5">
        <f t="shared" si="50"/>
        <v>0</v>
      </c>
      <c r="AD185" s="26">
        <f t="shared" si="51"/>
        <v>0</v>
      </c>
      <c r="AE185" s="21">
        <f t="shared" si="52"/>
        <v>0</v>
      </c>
      <c r="AF185" s="5"/>
      <c r="AG185" s="5"/>
      <c r="AH185" s="26"/>
      <c r="AI185" s="21"/>
      <c r="AK185" s="57"/>
      <c r="AL185" s="5"/>
      <c r="AO185" s="230"/>
      <c r="AP185" s="57"/>
      <c r="AR185" s="226" t="str">
        <f>'L. Eliminations-Consolidations'!B285</f>
        <v>L.9</v>
      </c>
      <c r="AS185" s="209">
        <f>'L. Eliminations-Consolidations'!L295</f>
        <v>0</v>
      </c>
      <c r="AT185" s="434"/>
      <c r="AU185" s="435"/>
      <c r="AV185" s="270">
        <f t="shared" si="72"/>
        <v>0</v>
      </c>
      <c r="AW185" s="270">
        <f t="shared" si="73"/>
        <v>0</v>
      </c>
      <c r="AX185" s="39"/>
      <c r="AY185" s="33"/>
      <c r="AZ185" s="287" t="str">
        <f t="shared" si="76"/>
        <v xml:space="preserve"> </v>
      </c>
      <c r="BA185" s="209">
        <f t="shared" si="75"/>
        <v>0</v>
      </c>
    </row>
    <row r="186" spans="1:53" ht="13.5" customHeight="1" x14ac:dyDescent="0.2">
      <c r="A186" s="39"/>
      <c r="B186" s="895"/>
      <c r="C186" s="415" t="s">
        <v>94</v>
      </c>
      <c r="D186" s="418"/>
      <c r="E186" s="419"/>
      <c r="F186" s="414"/>
      <c r="G186" s="414"/>
      <c r="H186" s="419"/>
      <c r="I186" s="419"/>
      <c r="J186" s="419"/>
      <c r="K186" s="419"/>
      <c r="L186" s="416"/>
      <c r="M186" s="414"/>
      <c r="N186" s="414"/>
      <c r="O186" s="414"/>
      <c r="P186" s="417"/>
      <c r="Q186" s="417"/>
      <c r="R186" s="417"/>
      <c r="S186" s="417"/>
      <c r="T186" s="417"/>
      <c r="U186" s="417"/>
      <c r="V186" s="417"/>
      <c r="W186" s="417"/>
      <c r="X186" s="415"/>
      <c r="Y186" s="415"/>
      <c r="Z186" s="415"/>
      <c r="AA186" s="415"/>
      <c r="AB186" s="9">
        <f t="shared" si="49"/>
        <v>0</v>
      </c>
      <c r="AC186" s="5">
        <f t="shared" si="50"/>
        <v>0</v>
      </c>
      <c r="AD186" s="26">
        <f t="shared" si="51"/>
        <v>0</v>
      </c>
      <c r="AE186" s="21">
        <f t="shared" si="52"/>
        <v>0</v>
      </c>
      <c r="AF186" s="5"/>
      <c r="AG186" s="5"/>
      <c r="AH186" s="26"/>
      <c r="AI186" s="21"/>
      <c r="AK186" s="57"/>
      <c r="AL186" s="5"/>
      <c r="AO186" s="230"/>
      <c r="AP186" s="57"/>
      <c r="AR186" s="226" t="str">
        <f>'L. Eliminations-Consolidations'!B285</f>
        <v>L.9</v>
      </c>
      <c r="AS186" s="209">
        <f>'L. Eliminations-Consolidations'!L296</f>
        <v>0</v>
      </c>
      <c r="AT186" s="434"/>
      <c r="AU186" s="435"/>
      <c r="AV186" s="270">
        <f t="shared" si="72"/>
        <v>0</v>
      </c>
      <c r="AW186" s="270">
        <f t="shared" si="73"/>
        <v>0</v>
      </c>
      <c r="AX186" s="39"/>
      <c r="AY186" s="33"/>
      <c r="AZ186" s="287" t="str">
        <f t="shared" si="76"/>
        <v xml:space="preserve"> </v>
      </c>
      <c r="BA186" s="209">
        <f t="shared" si="75"/>
        <v>0</v>
      </c>
    </row>
    <row r="187" spans="1:53" x14ac:dyDescent="0.2">
      <c r="A187" s="39"/>
      <c r="B187" s="895"/>
      <c r="C187" t="s">
        <v>515</v>
      </c>
      <c r="D187" s="418"/>
      <c r="E187" s="419"/>
      <c r="F187" s="414"/>
      <c r="G187" s="414"/>
      <c r="H187" s="419"/>
      <c r="I187" s="419"/>
      <c r="J187" s="419"/>
      <c r="K187" s="419"/>
      <c r="L187" s="416"/>
      <c r="M187" s="414"/>
      <c r="N187" s="414"/>
      <c r="O187" s="414"/>
      <c r="P187" s="417"/>
      <c r="Q187" s="417"/>
      <c r="R187" s="417"/>
      <c r="S187" s="417"/>
      <c r="T187" s="417"/>
      <c r="U187" s="417"/>
      <c r="V187" s="417"/>
      <c r="W187" s="417"/>
      <c r="X187" s="415"/>
      <c r="Y187" s="415"/>
      <c r="Z187" s="415"/>
      <c r="AA187" s="415"/>
      <c r="AB187" s="9">
        <f t="shared" si="49"/>
        <v>0</v>
      </c>
      <c r="AC187" s="5">
        <f t="shared" si="50"/>
        <v>0</v>
      </c>
      <c r="AD187" s="26">
        <f t="shared" si="51"/>
        <v>0</v>
      </c>
      <c r="AE187" s="21">
        <f t="shared" si="52"/>
        <v>0</v>
      </c>
      <c r="AF187" s="5"/>
      <c r="AG187" s="5"/>
      <c r="AH187" s="26"/>
      <c r="AI187" s="21"/>
      <c r="AK187" s="57"/>
      <c r="AL187" s="5"/>
      <c r="AO187" s="230"/>
      <c r="AP187" s="57"/>
      <c r="AR187" s="226" t="str">
        <f>'L. Eliminations-Consolidations'!B285</f>
        <v>L.9</v>
      </c>
      <c r="AS187" s="209">
        <f>'L. Eliminations-Consolidations'!L297</f>
        <v>0</v>
      </c>
      <c r="AT187" s="434"/>
      <c r="AU187" s="435"/>
      <c r="AV187" s="270">
        <f t="shared" si="72"/>
        <v>0</v>
      </c>
      <c r="AW187" s="270">
        <f t="shared" si="73"/>
        <v>0</v>
      </c>
      <c r="AX187" s="39"/>
      <c r="AY187" s="33"/>
      <c r="AZ187" s="287" t="str">
        <f t="shared" si="76"/>
        <v xml:space="preserve"> </v>
      </c>
      <c r="BA187" s="209">
        <f t="shared" si="75"/>
        <v>0</v>
      </c>
    </row>
    <row r="188" spans="1:53" x14ac:dyDescent="0.2">
      <c r="A188" s="323"/>
      <c r="D188" s="418"/>
      <c r="E188" s="419"/>
      <c r="F188" s="414"/>
      <c r="G188" s="414"/>
      <c r="H188" s="419"/>
      <c r="I188" s="419"/>
      <c r="J188" s="419"/>
      <c r="K188" s="419"/>
      <c r="L188" s="416"/>
      <c r="M188" s="414"/>
      <c r="N188" s="414"/>
      <c r="O188" s="414"/>
      <c r="P188" s="417"/>
      <c r="Q188" s="417"/>
      <c r="R188" s="417"/>
      <c r="S188" s="417"/>
      <c r="T188" s="417"/>
      <c r="U188" s="417"/>
      <c r="V188" s="417"/>
      <c r="W188" s="417"/>
      <c r="X188" s="415"/>
      <c r="Y188" s="415"/>
      <c r="Z188" s="415"/>
      <c r="AA188" s="415"/>
      <c r="AB188" s="9">
        <f t="shared" si="49"/>
        <v>0</v>
      </c>
      <c r="AC188" s="5">
        <f t="shared" si="50"/>
        <v>0</v>
      </c>
      <c r="AD188" s="26">
        <f t="shared" si="51"/>
        <v>0</v>
      </c>
      <c r="AE188" s="21">
        <f t="shared" si="52"/>
        <v>0</v>
      </c>
      <c r="AF188" s="5"/>
      <c r="AG188" s="5"/>
      <c r="AH188" s="26"/>
      <c r="AI188" s="21"/>
      <c r="AK188" s="57"/>
      <c r="AL188" s="5"/>
      <c r="AO188" s="230"/>
      <c r="AP188" s="57"/>
      <c r="AS188" s="209"/>
      <c r="AT188" s="434"/>
      <c r="AU188" s="435"/>
      <c r="AV188" s="270">
        <f t="shared" si="72"/>
        <v>0</v>
      </c>
      <c r="AW188" s="270">
        <f t="shared" si="73"/>
        <v>0</v>
      </c>
      <c r="AX188" s="39"/>
      <c r="AY188" s="33"/>
      <c r="AZ188" s="287" t="str">
        <f t="shared" si="76"/>
        <v xml:space="preserve"> </v>
      </c>
      <c r="BA188" s="209">
        <f t="shared" si="75"/>
        <v>0</v>
      </c>
    </row>
    <row r="189" spans="1:53" ht="18" customHeight="1" x14ac:dyDescent="0.2">
      <c r="A189" s="314" t="s">
        <v>489</v>
      </c>
      <c r="B189" s="37"/>
      <c r="C189" s="37"/>
      <c r="D189" s="418"/>
      <c r="E189" s="419"/>
      <c r="F189" s="414"/>
      <c r="G189" s="414"/>
      <c r="H189" s="414"/>
      <c r="I189" s="414"/>
      <c r="J189" s="414"/>
      <c r="K189" s="414"/>
      <c r="L189" s="416"/>
      <c r="M189" s="414"/>
      <c r="N189" s="414"/>
      <c r="O189" s="414"/>
      <c r="P189" s="417"/>
      <c r="Q189" s="417"/>
      <c r="R189" s="417"/>
      <c r="S189" s="417"/>
      <c r="T189" s="417"/>
      <c r="U189" s="417"/>
      <c r="V189" s="417"/>
      <c r="W189" s="417"/>
      <c r="X189" s="415"/>
      <c r="Y189" s="415"/>
      <c r="Z189" s="415"/>
      <c r="AA189" s="415"/>
      <c r="AB189" s="9">
        <f t="shared" si="49"/>
        <v>0</v>
      </c>
      <c r="AC189" s="5">
        <f t="shared" si="50"/>
        <v>0</v>
      </c>
      <c r="AD189" s="26">
        <f t="shared" si="51"/>
        <v>0</v>
      </c>
      <c r="AE189" s="21">
        <f t="shared" si="52"/>
        <v>0</v>
      </c>
      <c r="AF189" s="5"/>
      <c r="AG189" s="5"/>
      <c r="AH189" s="26"/>
      <c r="AI189" s="21"/>
      <c r="AK189" s="57"/>
      <c r="AL189" s="5"/>
      <c r="AN189" s="57"/>
      <c r="AO189" s="231"/>
      <c r="AP189" s="57"/>
      <c r="AS189" s="209"/>
      <c r="AT189" s="434"/>
      <c r="AU189" s="435"/>
      <c r="AV189" s="270">
        <f t="shared" si="72"/>
        <v>0</v>
      </c>
      <c r="AW189" s="270">
        <f t="shared" si="73"/>
        <v>0</v>
      </c>
      <c r="AX189" s="942" t="s">
        <v>1116</v>
      </c>
      <c r="AY189" s="943"/>
      <c r="AZ189" s="348" t="e">
        <f>SUM(AZ7:AZ188)</f>
        <v>#VALUE!</v>
      </c>
      <c r="BA189" s="349" t="e">
        <f>SUM(BA7:BA188)</f>
        <v>#VALUE!</v>
      </c>
    </row>
    <row r="190" spans="1:53" ht="4.5" customHeight="1" x14ac:dyDescent="0.2">
      <c r="A190" s="321"/>
      <c r="D190" s="421"/>
      <c r="E190" s="422"/>
      <c r="F190" s="414"/>
      <c r="G190" s="414"/>
      <c r="H190" s="414"/>
      <c r="I190" s="414"/>
      <c r="J190" s="414"/>
      <c r="K190" s="414"/>
      <c r="L190" s="416"/>
      <c r="M190" s="414"/>
      <c r="N190" s="414"/>
      <c r="O190" s="414"/>
      <c r="P190" s="420"/>
      <c r="Q190" s="420"/>
      <c r="R190" s="420"/>
      <c r="S190" s="420"/>
      <c r="T190" s="420"/>
      <c r="U190" s="420"/>
      <c r="V190" s="420"/>
      <c r="W190" s="420"/>
      <c r="X190" s="415"/>
      <c r="Y190" s="415"/>
      <c r="Z190" s="415"/>
      <c r="AA190" s="415"/>
      <c r="AB190" s="9"/>
      <c r="AD190" s="26"/>
      <c r="AE190" s="21"/>
      <c r="AF190" s="5"/>
      <c r="AG190" s="5"/>
      <c r="AH190" s="26"/>
      <c r="AI190" s="21"/>
      <c r="AK190" s="56"/>
      <c r="AL190" s="5"/>
      <c r="AN190" s="56"/>
      <c r="AO190" s="231"/>
      <c r="AP190" s="56"/>
      <c r="AS190" s="210"/>
      <c r="AT190" s="436"/>
      <c r="AU190" s="434"/>
      <c r="AV190" s="377"/>
      <c r="AW190" s="378"/>
      <c r="AX190" s="39"/>
      <c r="AY190" s="347"/>
      <c r="AZ190" s="293"/>
      <c r="BA190" s="56"/>
    </row>
    <row r="191" spans="1:53" x14ac:dyDescent="0.2">
      <c r="A191" s="39"/>
      <c r="B191" s="6"/>
      <c r="C191" t="s">
        <v>377</v>
      </c>
      <c r="D191" s="418"/>
      <c r="E191" s="414"/>
      <c r="F191" s="414"/>
      <c r="G191" s="414"/>
      <c r="H191" s="414"/>
      <c r="I191" s="414"/>
      <c r="J191" s="414"/>
      <c r="K191" s="414"/>
      <c r="L191" s="416"/>
      <c r="M191" s="414"/>
      <c r="N191" s="414"/>
      <c r="O191" s="414"/>
      <c r="P191" s="417"/>
      <c r="Q191" s="417"/>
      <c r="R191" s="417"/>
      <c r="S191" s="417"/>
      <c r="T191" s="417"/>
      <c r="U191" s="417"/>
      <c r="V191" s="417"/>
      <c r="W191" s="417"/>
      <c r="X191" s="415"/>
      <c r="Y191" s="415"/>
      <c r="Z191" s="415"/>
      <c r="AA191" s="415"/>
      <c r="AB191" s="9">
        <f t="shared" si="49"/>
        <v>0</v>
      </c>
      <c r="AC191" s="5">
        <f t="shared" si="50"/>
        <v>0</v>
      </c>
      <c r="AD191" s="26">
        <f t="shared" si="51"/>
        <v>0</v>
      </c>
      <c r="AE191" s="21">
        <f t="shared" si="52"/>
        <v>0</v>
      </c>
      <c r="AF191" s="5"/>
      <c r="AG191" s="5"/>
      <c r="AH191" s="26"/>
      <c r="AI191" s="21"/>
      <c r="AJ191" s="226" t="str">
        <f>'B.  Property Taxes'!A53</f>
        <v>B.1</v>
      </c>
      <c r="AK191" s="57">
        <f>'B.  Property Taxes'!J53</f>
        <v>0</v>
      </c>
      <c r="AL191" s="5"/>
      <c r="AM191" s="226" t="str">
        <f>'B.  Property Taxes'!A57</f>
        <v>B.2</v>
      </c>
      <c r="AN191" s="57">
        <f>'B.  Property Taxes'!L59</f>
        <v>0</v>
      </c>
      <c r="AO191" s="231"/>
      <c r="AP191" s="57"/>
      <c r="AS191" s="209"/>
      <c r="AT191" s="434"/>
      <c r="AU191" s="435"/>
      <c r="AV191" s="270">
        <f t="shared" ref="AV191:AV223" si="77">AD191+AF191+AH191+AK191+AP191+AT191</f>
        <v>0</v>
      </c>
      <c r="AW191" s="270">
        <f t="shared" ref="AW191:AW223" si="78">AE191+AG191+AI191+AN191+AS191+AU191</f>
        <v>0</v>
      </c>
      <c r="AX191" s="287" t="str">
        <f>IF(AV191-AW191&lt;=0," ",AV191-AW191)</f>
        <v xml:space="preserve"> </v>
      </c>
      <c r="AY191" s="209">
        <f>IF(AV191-AW191&gt;0," ",AW191-AV191)</f>
        <v>0</v>
      </c>
      <c r="AZ191" s="287"/>
      <c r="BA191" s="209"/>
    </row>
    <row r="192" spans="1:53" x14ac:dyDescent="0.2">
      <c r="A192" s="39"/>
      <c r="B192" s="6"/>
      <c r="C192" t="s">
        <v>378</v>
      </c>
      <c r="D192" s="421"/>
      <c r="E192" s="414"/>
      <c r="F192" s="414"/>
      <c r="G192" s="414"/>
      <c r="H192" s="414"/>
      <c r="I192" s="414"/>
      <c r="J192" s="414"/>
      <c r="K192" s="415"/>
      <c r="L192" s="416"/>
      <c r="M192" s="414"/>
      <c r="N192" s="414"/>
      <c r="O192" s="414"/>
      <c r="P192" s="420"/>
      <c r="Q192" s="420"/>
      <c r="R192" s="420"/>
      <c r="S192" s="420"/>
      <c r="T192" s="420"/>
      <c r="U192" s="420"/>
      <c r="V192" s="420"/>
      <c r="W192" s="420"/>
      <c r="X192" s="415"/>
      <c r="Y192" s="415"/>
      <c r="Z192" s="415"/>
      <c r="AA192" s="415"/>
      <c r="AB192" s="9">
        <f t="shared" si="49"/>
        <v>0</v>
      </c>
      <c r="AC192" s="5">
        <f t="shared" si="50"/>
        <v>0</v>
      </c>
      <c r="AD192" s="26">
        <f t="shared" si="51"/>
        <v>0</v>
      </c>
      <c r="AE192" s="21">
        <f t="shared" si="52"/>
        <v>0</v>
      </c>
      <c r="AF192" s="5"/>
      <c r="AG192" s="5"/>
      <c r="AH192" s="26">
        <f>'A. Revenue by function'!L96</f>
        <v>0</v>
      </c>
      <c r="AI192" s="21"/>
      <c r="AJ192" s="226" t="str">
        <f>'C. Other Revenues'!B205</f>
        <v>C.1</v>
      </c>
      <c r="AK192" s="56">
        <f>'C. Other Revenues'!K207</f>
        <v>0</v>
      </c>
      <c r="AL192" s="5"/>
      <c r="AM192" s="226" t="str">
        <f>'C. Other Revenues'!B205</f>
        <v>C.1</v>
      </c>
      <c r="AN192" s="56">
        <f>'C. Other Revenues'!M207</f>
        <v>0</v>
      </c>
      <c r="AO192" s="231"/>
      <c r="AP192" s="56"/>
      <c r="AS192" s="210"/>
      <c r="AT192" s="434"/>
      <c r="AU192" s="435"/>
      <c r="AV192" s="270">
        <f t="shared" si="77"/>
        <v>0</v>
      </c>
      <c r="AW192" s="270">
        <f t="shared" si="78"/>
        <v>0</v>
      </c>
      <c r="AX192" s="293" t="str">
        <f t="shared" ref="AX192:AX248" si="79">IF(AV192-AW192&lt;=0," ",AV192-AW192)</f>
        <v xml:space="preserve"> </v>
      </c>
      <c r="AY192" s="210">
        <f t="shared" ref="AY192:AY248" si="80">IF(AV192-AW192&gt;0," ",AW192-AV192)</f>
        <v>0</v>
      </c>
      <c r="AZ192" s="293"/>
      <c r="BA192" s="210"/>
    </row>
    <row r="193" spans="1:53" x14ac:dyDescent="0.2">
      <c r="A193" s="39"/>
      <c r="B193" s="6"/>
      <c r="C193" t="s">
        <v>618</v>
      </c>
      <c r="D193" s="418"/>
      <c r="E193" s="414"/>
      <c r="F193" s="414"/>
      <c r="G193" s="414"/>
      <c r="H193" s="414"/>
      <c r="I193" s="414"/>
      <c r="J193" s="414"/>
      <c r="K193" s="415"/>
      <c r="L193" s="416"/>
      <c r="M193" s="414"/>
      <c r="N193" s="414"/>
      <c r="O193" s="414"/>
      <c r="P193" s="417"/>
      <c r="Q193" s="417"/>
      <c r="R193" s="417"/>
      <c r="S193" s="417"/>
      <c r="T193" s="417"/>
      <c r="U193" s="417"/>
      <c r="V193" s="417"/>
      <c r="W193" s="417"/>
      <c r="X193" s="415"/>
      <c r="Y193" s="415"/>
      <c r="Z193" s="415"/>
      <c r="AA193" s="415"/>
      <c r="AB193" s="9">
        <f t="shared" si="49"/>
        <v>0</v>
      </c>
      <c r="AC193" s="5">
        <f t="shared" si="50"/>
        <v>0</v>
      </c>
      <c r="AD193" s="26">
        <f t="shared" si="51"/>
        <v>0</v>
      </c>
      <c r="AE193" s="21">
        <f t="shared" si="52"/>
        <v>0</v>
      </c>
      <c r="AF193" s="5"/>
      <c r="AG193" s="5"/>
      <c r="AH193" s="26">
        <f>'A. Revenue by function'!L97</f>
        <v>0</v>
      </c>
      <c r="AI193" s="21"/>
      <c r="AJ193" s="226" t="str">
        <f>'C. Other Revenues'!B205</f>
        <v>C.1</v>
      </c>
      <c r="AK193" s="57">
        <f>'C. Other Revenues'!K208</f>
        <v>0</v>
      </c>
      <c r="AL193" s="5"/>
      <c r="AM193" s="226" t="str">
        <f>'C. Other Revenues'!B205</f>
        <v>C.1</v>
      </c>
      <c r="AN193" s="57">
        <f>'C. Other Revenues'!M208</f>
        <v>0</v>
      </c>
      <c r="AO193" s="231"/>
      <c r="AP193" s="57"/>
      <c r="AS193" s="209"/>
      <c r="AT193" s="434"/>
      <c r="AU193" s="435"/>
      <c r="AV193" s="270">
        <f t="shared" si="77"/>
        <v>0</v>
      </c>
      <c r="AW193" s="270">
        <f t="shared" si="78"/>
        <v>0</v>
      </c>
      <c r="AX193" s="287" t="str">
        <f t="shared" si="79"/>
        <v xml:space="preserve"> </v>
      </c>
      <c r="AY193" s="209">
        <f t="shared" si="80"/>
        <v>0</v>
      </c>
      <c r="AZ193" s="287"/>
      <c r="BA193" s="209"/>
    </row>
    <row r="194" spans="1:53" x14ac:dyDescent="0.2">
      <c r="A194" s="39"/>
      <c r="B194" s="6"/>
      <c r="C194" t="s">
        <v>619</v>
      </c>
      <c r="D194" s="418"/>
      <c r="E194" s="414"/>
      <c r="F194" s="414"/>
      <c r="G194" s="414"/>
      <c r="H194" s="414"/>
      <c r="I194" s="414"/>
      <c r="J194" s="414"/>
      <c r="K194" s="415"/>
      <c r="L194" s="416"/>
      <c r="M194" s="414"/>
      <c r="N194" s="414"/>
      <c r="O194" s="414"/>
      <c r="P194" s="417"/>
      <c r="Q194" s="417"/>
      <c r="R194" s="417"/>
      <c r="S194" s="417"/>
      <c r="T194" s="417"/>
      <c r="U194" s="417"/>
      <c r="V194" s="417"/>
      <c r="W194" s="417"/>
      <c r="X194" s="415"/>
      <c r="Y194" s="415"/>
      <c r="Z194" s="415"/>
      <c r="AA194" s="415"/>
      <c r="AB194" s="9">
        <f t="shared" si="49"/>
        <v>0</v>
      </c>
      <c r="AC194" s="5">
        <f t="shared" si="50"/>
        <v>0</v>
      </c>
      <c r="AD194" s="26">
        <f t="shared" si="51"/>
        <v>0</v>
      </c>
      <c r="AE194" s="21">
        <f t="shared" si="52"/>
        <v>0</v>
      </c>
      <c r="AF194" s="5"/>
      <c r="AG194" s="5"/>
      <c r="AH194" s="26">
        <f>'A. Revenue by function'!L98</f>
        <v>0</v>
      </c>
      <c r="AI194" s="21"/>
      <c r="AJ194" s="226" t="str">
        <f>'C. Other Revenues'!B205</f>
        <v>C.1</v>
      </c>
      <c r="AK194" s="57">
        <f>'C. Other Revenues'!K209</f>
        <v>0</v>
      </c>
      <c r="AL194" s="5"/>
      <c r="AM194" s="226" t="str">
        <f>'C. Other Revenues'!B205</f>
        <v>C.1</v>
      </c>
      <c r="AN194" s="57">
        <f>'C. Other Revenues'!M209</f>
        <v>0</v>
      </c>
      <c r="AO194" s="231"/>
      <c r="AP194" s="57"/>
      <c r="AS194" s="209"/>
      <c r="AT194" s="434"/>
      <c r="AU194" s="435"/>
      <c r="AV194" s="270">
        <f t="shared" si="77"/>
        <v>0</v>
      </c>
      <c r="AW194" s="270">
        <f t="shared" si="78"/>
        <v>0</v>
      </c>
      <c r="AX194" s="293" t="str">
        <f t="shared" si="79"/>
        <v xml:space="preserve"> </v>
      </c>
      <c r="AY194" s="209">
        <f t="shared" si="80"/>
        <v>0</v>
      </c>
      <c r="AZ194" s="287"/>
      <c r="BA194" s="209"/>
    </row>
    <row r="195" spans="1:53" x14ac:dyDescent="0.2">
      <c r="A195" s="39"/>
      <c r="B195" s="6"/>
      <c r="C195" t="s">
        <v>379</v>
      </c>
      <c r="D195" s="418"/>
      <c r="E195" s="414"/>
      <c r="F195" s="414"/>
      <c r="G195" s="414"/>
      <c r="H195" s="414"/>
      <c r="I195" s="414"/>
      <c r="J195" s="414"/>
      <c r="K195" s="415"/>
      <c r="L195" s="416"/>
      <c r="M195" s="414"/>
      <c r="N195" s="414"/>
      <c r="O195" s="414"/>
      <c r="P195" s="417"/>
      <c r="Q195" s="417"/>
      <c r="R195" s="417"/>
      <c r="S195" s="417"/>
      <c r="T195" s="417"/>
      <c r="U195" s="417"/>
      <c r="V195" s="417"/>
      <c r="W195" s="417"/>
      <c r="X195" s="415"/>
      <c r="Y195" s="415"/>
      <c r="Z195" s="415"/>
      <c r="AA195" s="415"/>
      <c r="AB195" s="9">
        <f t="shared" si="49"/>
        <v>0</v>
      </c>
      <c r="AC195" s="5">
        <f t="shared" si="50"/>
        <v>0</v>
      </c>
      <c r="AD195" s="26">
        <f t="shared" si="51"/>
        <v>0</v>
      </c>
      <c r="AE195" s="21">
        <f t="shared" si="52"/>
        <v>0</v>
      </c>
      <c r="AF195" s="5"/>
      <c r="AG195" s="5"/>
      <c r="AH195" s="26">
        <f>'A. Revenue by function'!L99</f>
        <v>0</v>
      </c>
      <c r="AI195" s="21"/>
      <c r="AJ195" s="226" t="str">
        <f>'C. Other Revenues'!B205</f>
        <v>C.1</v>
      </c>
      <c r="AK195" s="57">
        <f>'C. Other Revenues'!K210</f>
        <v>0</v>
      </c>
      <c r="AL195" s="5"/>
      <c r="AM195" s="226" t="str">
        <f>'C. Other Revenues'!B205</f>
        <v>C.1</v>
      </c>
      <c r="AN195" s="57">
        <f>'C. Other Revenues'!M210</f>
        <v>0</v>
      </c>
      <c r="AO195" s="231"/>
      <c r="AP195" s="57"/>
      <c r="AS195" s="209"/>
      <c r="AT195" s="434"/>
      <c r="AU195" s="435"/>
      <c r="AV195" s="270">
        <f t="shared" si="77"/>
        <v>0</v>
      </c>
      <c r="AW195" s="270">
        <f t="shared" si="78"/>
        <v>0</v>
      </c>
      <c r="AX195" s="287" t="str">
        <f t="shared" si="79"/>
        <v xml:space="preserve"> </v>
      </c>
      <c r="AY195" s="210">
        <f t="shared" si="80"/>
        <v>0</v>
      </c>
      <c r="AZ195" s="287"/>
      <c r="BA195" s="209"/>
    </row>
    <row r="196" spans="1:53" x14ac:dyDescent="0.2">
      <c r="A196" s="39"/>
      <c r="B196" s="6"/>
      <c r="C196" t="s">
        <v>376</v>
      </c>
      <c r="D196" s="418"/>
      <c r="E196" s="414"/>
      <c r="F196" s="414"/>
      <c r="G196" s="414"/>
      <c r="H196" s="414"/>
      <c r="I196" s="414"/>
      <c r="J196" s="414"/>
      <c r="K196" s="415"/>
      <c r="L196" s="416"/>
      <c r="M196" s="414"/>
      <c r="N196" s="414"/>
      <c r="O196" s="414"/>
      <c r="P196" s="417"/>
      <c r="Q196" s="417"/>
      <c r="R196" s="417"/>
      <c r="S196" s="417"/>
      <c r="T196" s="417"/>
      <c r="U196" s="417"/>
      <c r="V196" s="417"/>
      <c r="W196" s="417"/>
      <c r="X196" s="415"/>
      <c r="Y196" s="415"/>
      <c r="Z196" s="415"/>
      <c r="AA196" s="415"/>
      <c r="AB196" s="9">
        <f t="shared" si="49"/>
        <v>0</v>
      </c>
      <c r="AC196" s="5">
        <f t="shared" si="50"/>
        <v>0</v>
      </c>
      <c r="AD196" s="26">
        <f t="shared" si="51"/>
        <v>0</v>
      </c>
      <c r="AE196" s="21">
        <f t="shared" si="52"/>
        <v>0</v>
      </c>
      <c r="AF196" s="5"/>
      <c r="AG196" s="5"/>
      <c r="AH196" s="26">
        <f>'A. Revenue by function'!L100</f>
        <v>0</v>
      </c>
      <c r="AI196" s="21"/>
      <c r="AJ196" s="226" t="str">
        <f>'C. Other Revenues'!B205</f>
        <v>C.1</v>
      </c>
      <c r="AK196" s="57">
        <f>'C. Other Revenues'!K211</f>
        <v>0</v>
      </c>
      <c r="AL196" s="5"/>
      <c r="AM196" s="226" t="str">
        <f>'C. Other Revenues'!B205</f>
        <v>C.1</v>
      </c>
      <c r="AN196" s="57">
        <f>'C. Other Revenues'!M211</f>
        <v>0</v>
      </c>
      <c r="AO196" s="231"/>
      <c r="AP196" s="57"/>
      <c r="AS196" s="209"/>
      <c r="AT196" s="434"/>
      <c r="AU196" s="435"/>
      <c r="AV196" s="270">
        <f>AD196+AF196+AH196+AK196+AP196+AT196</f>
        <v>0</v>
      </c>
      <c r="AW196" s="270">
        <f t="shared" si="78"/>
        <v>0</v>
      </c>
      <c r="AX196" s="287" t="str">
        <f t="shared" si="79"/>
        <v xml:space="preserve"> </v>
      </c>
      <c r="AY196" s="210">
        <f t="shared" si="80"/>
        <v>0</v>
      </c>
      <c r="AZ196" s="287"/>
      <c r="BA196" s="209"/>
    </row>
    <row r="197" spans="1:53" x14ac:dyDescent="0.2">
      <c r="A197" s="39"/>
      <c r="B197" s="6"/>
      <c r="C197" s="33" t="s">
        <v>380</v>
      </c>
      <c r="D197" s="419"/>
      <c r="E197" s="414"/>
      <c r="F197" s="414"/>
      <c r="G197" s="414"/>
      <c r="H197" s="414"/>
      <c r="I197" s="414"/>
      <c r="J197" s="414"/>
      <c r="K197" s="480"/>
      <c r="L197" s="414"/>
      <c r="M197" s="414"/>
      <c r="N197" s="414"/>
      <c r="O197" s="414"/>
      <c r="P197" s="417"/>
      <c r="Q197" s="417"/>
      <c r="R197" s="417"/>
      <c r="S197" s="417"/>
      <c r="T197" s="417"/>
      <c r="U197" s="417"/>
      <c r="V197" s="417"/>
      <c r="W197" s="417"/>
      <c r="X197" s="415"/>
      <c r="Y197" s="415"/>
      <c r="Z197" s="415"/>
      <c r="AA197" s="415"/>
      <c r="AB197" s="9">
        <f t="shared" ref="AB197:AB261" si="81">L197+N197+P197+R197+T197+V197+X197+Z197</f>
        <v>0</v>
      </c>
      <c r="AC197" s="5">
        <f t="shared" ref="AC197:AC261" si="82">M197+O197+Q197+S197+U197+W197+Y197+AA197</f>
        <v>0</v>
      </c>
      <c r="AD197" s="26">
        <f t="shared" si="51"/>
        <v>0</v>
      </c>
      <c r="AE197" s="21">
        <f t="shared" si="52"/>
        <v>0</v>
      </c>
      <c r="AF197" s="5"/>
      <c r="AG197" s="5"/>
      <c r="AH197" s="26">
        <f>'A. Revenue by function'!L101</f>
        <v>0</v>
      </c>
      <c r="AI197" s="21"/>
      <c r="AJ197" s="226" t="str">
        <f>'C. Other Revenues'!B205</f>
        <v>C.1</v>
      </c>
      <c r="AK197" s="57">
        <f>'C. Other Revenues'!K213</f>
        <v>0</v>
      </c>
      <c r="AL197" s="5"/>
      <c r="AM197" s="226" t="str">
        <f>'C. Other Revenues'!B205</f>
        <v>C.1</v>
      </c>
      <c r="AN197" s="57">
        <f>'C. Other Revenues'!M213</f>
        <v>0</v>
      </c>
      <c r="AO197" s="231" t="str">
        <f>'L. Eliminations-Consolidations'!A243</f>
        <v>L.7</v>
      </c>
      <c r="AP197" s="57">
        <f>'L. Eliminations-Consolidations'!J252</f>
        <v>0</v>
      </c>
      <c r="AR197" s="393" t="s">
        <v>671</v>
      </c>
      <c r="AS197" s="210">
        <f>'K.1  Int. Service Fd Allocation'!G200+'K.2  Int. Service Fd Alloca'!G193+'K.3 Int. Service Fd Alloca'!G193</f>
        <v>0</v>
      </c>
      <c r="AT197" s="434"/>
      <c r="AU197" s="435"/>
      <c r="AV197" s="270">
        <f t="shared" si="77"/>
        <v>0</v>
      </c>
      <c r="AW197" s="270">
        <f t="shared" si="78"/>
        <v>0</v>
      </c>
      <c r="AX197" s="287" t="str">
        <f t="shared" si="79"/>
        <v xml:space="preserve"> </v>
      </c>
      <c r="AY197" s="210">
        <f t="shared" si="80"/>
        <v>0</v>
      </c>
      <c r="AZ197" s="287"/>
      <c r="BA197" s="209"/>
    </row>
    <row r="198" spans="1:53" x14ac:dyDescent="0.2">
      <c r="A198" s="39"/>
      <c r="B198" s="320"/>
      <c r="C198" s="258" t="s">
        <v>187</v>
      </c>
      <c r="D198" s="423"/>
      <c r="E198" s="425"/>
      <c r="F198" s="425"/>
      <c r="G198" s="425"/>
      <c r="H198" s="425"/>
      <c r="I198" s="425"/>
      <c r="J198" s="425"/>
      <c r="K198" s="426"/>
      <c r="L198" s="427"/>
      <c r="M198" s="425"/>
      <c r="N198" s="425"/>
      <c r="O198" s="425"/>
      <c r="P198" s="428"/>
      <c r="Q198" s="428"/>
      <c r="R198" s="428"/>
      <c r="S198" s="428"/>
      <c r="T198" s="428"/>
      <c r="U198" s="428"/>
      <c r="V198" s="428"/>
      <c r="W198" s="428"/>
      <c r="X198" s="426"/>
      <c r="Y198" s="426"/>
      <c r="Z198" s="426"/>
      <c r="AA198" s="426"/>
      <c r="AB198" s="261">
        <f t="shared" si="81"/>
        <v>0</v>
      </c>
      <c r="AC198" s="259">
        <f t="shared" si="82"/>
        <v>0</v>
      </c>
      <c r="AD198" s="260">
        <f t="shared" si="51"/>
        <v>0</v>
      </c>
      <c r="AE198" s="262">
        <f t="shared" si="52"/>
        <v>0</v>
      </c>
      <c r="AF198" s="259"/>
      <c r="AG198" s="259"/>
      <c r="AH198" s="260">
        <f>'A. Revenue by function'!L102</f>
        <v>0</v>
      </c>
      <c r="AI198" s="262"/>
      <c r="AJ198" s="263" t="str">
        <f>'C. Other Revenues'!B205</f>
        <v>C.1</v>
      </c>
      <c r="AK198" s="264">
        <f>'C. Other Revenues'!K212</f>
        <v>0</v>
      </c>
      <c r="AL198" s="259"/>
      <c r="AM198" s="263" t="str">
        <f>'C. Other Revenues'!B205</f>
        <v>C.1</v>
      </c>
      <c r="AN198" s="264">
        <f>'C. Other Revenues'!M212</f>
        <v>0</v>
      </c>
      <c r="AO198" s="265"/>
      <c r="AP198" s="264"/>
      <c r="AQ198" s="258"/>
      <c r="AR198" s="263" t="str">
        <f>'L. Eliminations-Consolidations'!B281</f>
        <v>L.10</v>
      </c>
      <c r="AS198" s="266">
        <f>'L. Eliminations-Consolidations'!L283</f>
        <v>0</v>
      </c>
      <c r="AT198" s="434"/>
      <c r="AU198" s="435"/>
      <c r="AV198" s="264">
        <f t="shared" si="77"/>
        <v>0</v>
      </c>
      <c r="AW198" s="264">
        <f t="shared" si="78"/>
        <v>0</v>
      </c>
      <c r="AX198" s="288" t="str">
        <f>IF((AV198+AV199+AV200+AV201)-(AW198+AW199+AW200+AW201)&lt;=0," ",(AV198+AV199+AV200+AV201)-(AW198+AW199+AW200+AW201))</f>
        <v xml:space="preserve"> </v>
      </c>
      <c r="AY198" s="266" t="str">
        <f>IF((AV198+AV199+AV200+AV201+AV202)-(AW198+AW199+AW200+AW201+AV202)&gt;=0," ",(AW198+AW199+AW200+AW201+AV202)-(AV198+AV199+AV200+AV201+AV202))</f>
        <v xml:space="preserve"> </v>
      </c>
      <c r="AZ198" s="287"/>
      <c r="BA198" s="209"/>
    </row>
    <row r="199" spans="1:53" x14ac:dyDescent="0.2">
      <c r="A199" s="39"/>
      <c r="B199" s="320"/>
      <c r="C199" s="258"/>
      <c r="D199" s="423"/>
      <c r="E199" s="425"/>
      <c r="F199" s="425"/>
      <c r="G199" s="425"/>
      <c r="H199" s="425"/>
      <c r="I199" s="425"/>
      <c r="J199" s="425"/>
      <c r="K199" s="426"/>
      <c r="L199" s="427"/>
      <c r="M199" s="425"/>
      <c r="N199" s="425"/>
      <c r="O199" s="425"/>
      <c r="P199" s="428"/>
      <c r="Q199" s="428"/>
      <c r="R199" s="428"/>
      <c r="S199" s="428"/>
      <c r="T199" s="428"/>
      <c r="U199" s="428"/>
      <c r="V199" s="428"/>
      <c r="W199" s="428"/>
      <c r="X199" s="426"/>
      <c r="Y199" s="426"/>
      <c r="Z199" s="426"/>
      <c r="AA199" s="426"/>
      <c r="AB199" s="261">
        <f t="shared" si="81"/>
        <v>0</v>
      </c>
      <c r="AC199" s="259">
        <f t="shared" si="82"/>
        <v>0</v>
      </c>
      <c r="AD199" s="260">
        <f t="shared" si="51"/>
        <v>0</v>
      </c>
      <c r="AE199" s="262">
        <f t="shared" si="52"/>
        <v>0</v>
      </c>
      <c r="AF199" s="259"/>
      <c r="AG199" s="259"/>
      <c r="AH199" s="260"/>
      <c r="AI199" s="262"/>
      <c r="AJ199" s="263" t="str">
        <f>'F.  Other Cap Asset Entries'!D214</f>
        <v>F.1</v>
      </c>
      <c r="AK199" s="264">
        <f>'F.  Other Cap Asset Entries'!M224</f>
        <v>0</v>
      </c>
      <c r="AL199" s="259"/>
      <c r="AM199" s="263" t="str">
        <f>'F.  Other Cap Asset Entries'!D214</f>
        <v>F.1</v>
      </c>
      <c r="AN199" s="264">
        <f>'F.  Other Cap Asset Entries'!O237</f>
        <v>0</v>
      </c>
      <c r="AO199" s="265"/>
      <c r="AP199" s="264"/>
      <c r="AQ199" s="258"/>
      <c r="AR199" s="263"/>
      <c r="AS199" s="266"/>
      <c r="AT199" s="434"/>
      <c r="AU199" s="435"/>
      <c r="AV199" s="264">
        <f t="shared" si="77"/>
        <v>0</v>
      </c>
      <c r="AW199" s="264">
        <f t="shared" si="78"/>
        <v>0</v>
      </c>
      <c r="AX199" s="288"/>
      <c r="AY199" s="266"/>
      <c r="AZ199" s="287"/>
      <c r="BA199" s="209"/>
    </row>
    <row r="200" spans="1:53" x14ac:dyDescent="0.2">
      <c r="A200" s="39"/>
      <c r="B200" s="320"/>
      <c r="C200" s="258"/>
      <c r="D200" s="423"/>
      <c r="E200" s="425"/>
      <c r="F200" s="425"/>
      <c r="G200" s="425"/>
      <c r="H200" s="425"/>
      <c r="I200" s="425"/>
      <c r="J200" s="425"/>
      <c r="K200" s="426"/>
      <c r="L200" s="427"/>
      <c r="M200" s="425"/>
      <c r="N200" s="425"/>
      <c r="O200" s="425"/>
      <c r="P200" s="428"/>
      <c r="Q200" s="428"/>
      <c r="R200" s="428"/>
      <c r="S200" s="428"/>
      <c r="T200" s="428"/>
      <c r="U200" s="428"/>
      <c r="V200" s="428"/>
      <c r="W200" s="428"/>
      <c r="X200" s="426"/>
      <c r="Y200" s="426"/>
      <c r="Z200" s="426"/>
      <c r="AA200" s="426"/>
      <c r="AB200" s="261">
        <f t="shared" si="81"/>
        <v>0</v>
      </c>
      <c r="AC200" s="259">
        <f t="shared" si="82"/>
        <v>0</v>
      </c>
      <c r="AD200" s="260">
        <f t="shared" si="51"/>
        <v>0</v>
      </c>
      <c r="AE200" s="262">
        <f t="shared" si="52"/>
        <v>0</v>
      </c>
      <c r="AF200" s="259"/>
      <c r="AG200" s="259"/>
      <c r="AH200" s="260"/>
      <c r="AI200" s="262"/>
      <c r="AJ200" s="263" t="str">
        <f>'F.  Other Cap Asset Entries'!D214</f>
        <v>F.1</v>
      </c>
      <c r="AK200" s="264">
        <f>'F.  Other Cap Asset Entries'!M237</f>
        <v>0</v>
      </c>
      <c r="AL200" s="259"/>
      <c r="AM200" s="263" t="str">
        <f>'F.  Other Cap Asset Entries'!D240</f>
        <v>F.2</v>
      </c>
      <c r="AN200" s="264">
        <f>'F.  Other Cap Asset Entries'!O250</f>
        <v>0</v>
      </c>
      <c r="AO200" s="265"/>
      <c r="AP200" s="264"/>
      <c r="AQ200" s="258"/>
      <c r="AR200" s="263"/>
      <c r="AS200" s="266"/>
      <c r="AT200" s="434"/>
      <c r="AU200" s="435"/>
      <c r="AV200" s="264">
        <f t="shared" si="77"/>
        <v>0</v>
      </c>
      <c r="AW200" s="264">
        <f t="shared" si="78"/>
        <v>0</v>
      </c>
      <c r="AX200" s="288"/>
      <c r="AY200" s="266"/>
      <c r="AZ200" s="287"/>
      <c r="BA200" s="209"/>
    </row>
    <row r="201" spans="1:53" x14ac:dyDescent="0.2">
      <c r="A201" s="39"/>
      <c r="B201" s="320"/>
      <c r="C201" s="258"/>
      <c r="D201" s="423"/>
      <c r="E201" s="425"/>
      <c r="F201" s="425"/>
      <c r="G201" s="425"/>
      <c r="H201" s="425"/>
      <c r="I201" s="425"/>
      <c r="J201" s="425"/>
      <c r="K201" s="426"/>
      <c r="L201" s="427"/>
      <c r="M201" s="425"/>
      <c r="N201" s="425"/>
      <c r="O201" s="425"/>
      <c r="P201" s="428"/>
      <c r="Q201" s="428"/>
      <c r="R201" s="428"/>
      <c r="S201" s="428"/>
      <c r="T201" s="428"/>
      <c r="U201" s="428"/>
      <c r="V201" s="428"/>
      <c r="W201" s="428"/>
      <c r="X201" s="426"/>
      <c r="Y201" s="426"/>
      <c r="Z201" s="426"/>
      <c r="AA201" s="426"/>
      <c r="AB201" s="261">
        <f t="shared" si="81"/>
        <v>0</v>
      </c>
      <c r="AC201" s="259">
        <f t="shared" si="82"/>
        <v>0</v>
      </c>
      <c r="AD201" s="260">
        <f t="shared" ref="AD201:AD272" si="83">D201+F201+H201+J201+AB201</f>
        <v>0</v>
      </c>
      <c r="AE201" s="262">
        <f t="shared" ref="AE201:AE272" si="84">E201+G201+I201+K201+AC201</f>
        <v>0</v>
      </c>
      <c r="AF201" s="259"/>
      <c r="AG201" s="259"/>
      <c r="AH201" s="260"/>
      <c r="AI201" s="262"/>
      <c r="AJ201" s="269" t="str">
        <f>'I.  Other Asset Entries'!B105</f>
        <v>I.1</v>
      </c>
      <c r="AK201" s="264">
        <f>'I.  Other Asset Entries'!L106</f>
        <v>0</v>
      </c>
      <c r="AL201" s="259"/>
      <c r="AM201" s="263" t="s">
        <v>951</v>
      </c>
      <c r="AN201" s="264">
        <f>'F.  Other Cap Asset Entries'!O274</f>
        <v>0</v>
      </c>
      <c r="AO201" s="265"/>
      <c r="AP201" s="264"/>
      <c r="AQ201" s="258"/>
      <c r="AR201" s="263"/>
      <c r="AS201" s="266"/>
      <c r="AT201" s="434"/>
      <c r="AU201" s="435"/>
      <c r="AV201" s="264">
        <f t="shared" si="77"/>
        <v>0</v>
      </c>
      <c r="AW201" s="264">
        <f t="shared" si="78"/>
        <v>0</v>
      </c>
      <c r="AX201" s="288"/>
      <c r="AY201" s="266"/>
      <c r="AZ201" s="287"/>
      <c r="BA201" s="209"/>
    </row>
    <row r="202" spans="1:53" x14ac:dyDescent="0.2">
      <c r="A202" s="39"/>
      <c r="B202" s="320"/>
      <c r="C202" s="258"/>
      <c r="D202" s="423"/>
      <c r="E202" s="425"/>
      <c r="F202" s="425"/>
      <c r="G202" s="425"/>
      <c r="H202" s="425"/>
      <c r="I202" s="425"/>
      <c r="J202" s="425"/>
      <c r="K202" s="426"/>
      <c r="L202" s="427"/>
      <c r="M202" s="425"/>
      <c r="N202" s="425"/>
      <c r="O202" s="425"/>
      <c r="P202" s="428"/>
      <c r="Q202" s="428"/>
      <c r="R202" s="428"/>
      <c r="S202" s="428"/>
      <c r="T202" s="428"/>
      <c r="U202" s="428"/>
      <c r="V202" s="428"/>
      <c r="W202" s="428"/>
      <c r="X202" s="426"/>
      <c r="Y202" s="426"/>
      <c r="Z202" s="426"/>
      <c r="AA202" s="426"/>
      <c r="AB202" s="261">
        <f t="shared" si="81"/>
        <v>0</v>
      </c>
      <c r="AC202" s="259">
        <f t="shared" si="82"/>
        <v>0</v>
      </c>
      <c r="AD202" s="260">
        <f t="shared" si="83"/>
        <v>0</v>
      </c>
      <c r="AE202" s="262">
        <f t="shared" si="84"/>
        <v>0</v>
      </c>
      <c r="AF202" s="259"/>
      <c r="AG202" s="259"/>
      <c r="AH202" s="260"/>
      <c r="AI202" s="262"/>
      <c r="AJ202" s="269" t="str">
        <f>'I.  Other Asset Entries'!B105</f>
        <v>I.1</v>
      </c>
      <c r="AK202" s="264">
        <f>'I.  Other Asset Entries'!L118</f>
        <v>0</v>
      </c>
      <c r="AL202" s="259"/>
      <c r="AM202" s="269" t="str">
        <f>'I.  Other Asset Entries'!B105</f>
        <v>I.1</v>
      </c>
      <c r="AN202" s="264">
        <f>'I.  Other Asset Entries'!N118</f>
        <v>0</v>
      </c>
      <c r="AO202" s="265"/>
      <c r="AP202" s="264"/>
      <c r="AQ202" s="258"/>
      <c r="AR202" s="263"/>
      <c r="AS202" s="266"/>
      <c r="AT202" s="434"/>
      <c r="AU202" s="435"/>
      <c r="AV202" s="264">
        <f t="shared" si="77"/>
        <v>0</v>
      </c>
      <c r="AW202" s="264">
        <f t="shared" si="78"/>
        <v>0</v>
      </c>
      <c r="AX202" s="288"/>
      <c r="AY202" s="266"/>
      <c r="AZ202" s="287"/>
      <c r="BA202" s="209"/>
    </row>
    <row r="203" spans="1:53" x14ac:dyDescent="0.2">
      <c r="A203" s="39"/>
      <c r="C203" s="415" t="s">
        <v>818</v>
      </c>
      <c r="D203" s="418"/>
      <c r="E203" s="419"/>
      <c r="F203" s="414"/>
      <c r="G203" s="414"/>
      <c r="H203" s="414"/>
      <c r="I203" s="414"/>
      <c r="J203" s="414"/>
      <c r="K203" s="415"/>
      <c r="L203" s="416"/>
      <c r="M203" s="414"/>
      <c r="N203" s="414"/>
      <c r="O203" s="414"/>
      <c r="P203" s="417"/>
      <c r="Q203" s="417"/>
      <c r="R203" s="417"/>
      <c r="S203" s="417"/>
      <c r="T203" s="417"/>
      <c r="U203" s="417"/>
      <c r="V203" s="417"/>
      <c r="W203" s="417"/>
      <c r="X203" s="415"/>
      <c r="Y203" s="415"/>
      <c r="Z203" s="415"/>
      <c r="AA203" s="415"/>
      <c r="AB203" s="9">
        <f t="shared" si="81"/>
        <v>0</v>
      </c>
      <c r="AC203" s="5">
        <f t="shared" si="82"/>
        <v>0</v>
      </c>
      <c r="AD203" s="26">
        <f t="shared" si="83"/>
        <v>0</v>
      </c>
      <c r="AE203" s="21">
        <f t="shared" si="84"/>
        <v>0</v>
      </c>
      <c r="AF203" s="5"/>
      <c r="AG203" s="5"/>
      <c r="AH203" s="26">
        <f>'A. Revenue by function'!L103</f>
        <v>0</v>
      </c>
      <c r="AI203" s="21"/>
      <c r="AO203" s="230"/>
      <c r="AP203" s="57"/>
      <c r="AS203" s="209"/>
      <c r="AT203" s="434"/>
      <c r="AU203" s="435"/>
      <c r="AV203" s="270">
        <f t="shared" si="77"/>
        <v>0</v>
      </c>
      <c r="AW203" s="270">
        <f t="shared" si="78"/>
        <v>0</v>
      </c>
      <c r="AX203" s="287" t="str">
        <f t="shared" si="79"/>
        <v xml:space="preserve"> </v>
      </c>
      <c r="AY203" s="209">
        <f t="shared" si="80"/>
        <v>0</v>
      </c>
      <c r="AZ203" s="287"/>
      <c r="BA203" s="209"/>
    </row>
    <row r="204" spans="1:53" ht="12" customHeight="1" x14ac:dyDescent="0.2">
      <c r="A204" s="39"/>
      <c r="C204" s="415" t="s">
        <v>905</v>
      </c>
      <c r="D204" s="418"/>
      <c r="E204" s="419"/>
      <c r="F204" s="414"/>
      <c r="G204" s="414"/>
      <c r="H204" s="414"/>
      <c r="I204" s="414"/>
      <c r="J204" s="414"/>
      <c r="K204" s="414"/>
      <c r="L204" s="416"/>
      <c r="M204" s="414"/>
      <c r="N204" s="414"/>
      <c r="O204" s="414"/>
      <c r="P204" s="417"/>
      <c r="Q204" s="417"/>
      <c r="R204" s="417"/>
      <c r="S204" s="417"/>
      <c r="T204" s="417"/>
      <c r="U204" s="417"/>
      <c r="V204" s="417"/>
      <c r="W204" s="417"/>
      <c r="X204" s="415"/>
      <c r="Y204" s="415"/>
      <c r="Z204" s="415"/>
      <c r="AA204" s="415"/>
      <c r="AB204" s="9">
        <f t="shared" si="81"/>
        <v>0</v>
      </c>
      <c r="AC204" s="5">
        <f t="shared" si="82"/>
        <v>0</v>
      </c>
      <c r="AD204" s="26">
        <f t="shared" si="83"/>
        <v>0</v>
      </c>
      <c r="AE204" s="21">
        <f t="shared" si="84"/>
        <v>0</v>
      </c>
      <c r="AF204" s="5"/>
      <c r="AG204" s="5"/>
      <c r="AH204" s="26">
        <f>'A. Revenue by function'!L104</f>
        <v>0</v>
      </c>
      <c r="AI204" s="21"/>
      <c r="AK204" s="57"/>
      <c r="AL204" s="5"/>
      <c r="AN204" s="57"/>
      <c r="AO204" s="231"/>
      <c r="AP204" s="57"/>
      <c r="AS204" s="209"/>
      <c r="AT204" s="434"/>
      <c r="AU204" s="435"/>
      <c r="AV204" s="270">
        <f t="shared" si="77"/>
        <v>0</v>
      </c>
      <c r="AW204" s="270">
        <f t="shared" si="78"/>
        <v>0</v>
      </c>
      <c r="AX204" s="287" t="str">
        <f t="shared" si="79"/>
        <v xml:space="preserve"> </v>
      </c>
      <c r="AY204" s="209">
        <f t="shared" si="80"/>
        <v>0</v>
      </c>
      <c r="AZ204" s="287"/>
      <c r="BA204" s="209"/>
    </row>
    <row r="205" spans="1:53" ht="12.75" customHeight="1" x14ac:dyDescent="0.2">
      <c r="A205" s="39"/>
      <c r="D205" s="418"/>
      <c r="E205" s="419"/>
      <c r="F205" s="414"/>
      <c r="G205" s="414"/>
      <c r="H205" s="414"/>
      <c r="I205" s="414"/>
      <c r="J205" s="414"/>
      <c r="K205" s="414"/>
      <c r="L205" s="416"/>
      <c r="M205" s="414"/>
      <c r="N205" s="414"/>
      <c r="O205" s="414"/>
      <c r="P205" s="417"/>
      <c r="Q205" s="417"/>
      <c r="R205" s="417"/>
      <c r="S205" s="417"/>
      <c r="T205" s="417"/>
      <c r="U205" s="417"/>
      <c r="V205" s="417"/>
      <c r="W205" s="417"/>
      <c r="X205" s="415"/>
      <c r="Y205" s="415"/>
      <c r="Z205" s="415"/>
      <c r="AA205" s="415"/>
      <c r="AB205" s="9">
        <f t="shared" si="81"/>
        <v>0</v>
      </c>
      <c r="AC205" s="5">
        <f t="shared" si="82"/>
        <v>0</v>
      </c>
      <c r="AD205" s="26">
        <f t="shared" si="83"/>
        <v>0</v>
      </c>
      <c r="AE205" s="21">
        <f t="shared" si="84"/>
        <v>0</v>
      </c>
      <c r="AF205" s="5"/>
      <c r="AG205" s="5"/>
      <c r="AH205" s="26"/>
      <c r="AI205" s="21"/>
      <c r="AK205" s="57"/>
      <c r="AL205" s="5"/>
      <c r="AN205" s="57"/>
      <c r="AO205" s="231"/>
      <c r="AP205" s="57"/>
      <c r="AS205" s="209"/>
      <c r="AT205" s="434"/>
      <c r="AU205" s="435"/>
      <c r="AV205" s="270">
        <f t="shared" si="77"/>
        <v>0</v>
      </c>
      <c r="AW205" s="270">
        <f t="shared" si="78"/>
        <v>0</v>
      </c>
      <c r="AX205" s="287" t="str">
        <f t="shared" si="79"/>
        <v xml:space="preserve"> </v>
      </c>
      <c r="AY205" s="209">
        <f t="shared" si="80"/>
        <v>0</v>
      </c>
      <c r="AZ205" s="287"/>
      <c r="BA205" s="209"/>
    </row>
    <row r="206" spans="1:53" x14ac:dyDescent="0.2">
      <c r="A206" s="39"/>
      <c r="B206" s="4" t="s">
        <v>490</v>
      </c>
      <c r="D206" s="418"/>
      <c r="E206" s="419"/>
      <c r="F206" s="414"/>
      <c r="G206" s="414"/>
      <c r="H206" s="414"/>
      <c r="I206" s="414"/>
      <c r="J206" s="414"/>
      <c r="K206" s="414"/>
      <c r="L206" s="416"/>
      <c r="M206" s="414"/>
      <c r="N206" s="414"/>
      <c r="O206" s="414"/>
      <c r="P206" s="417"/>
      <c r="Q206" s="417"/>
      <c r="R206" s="417"/>
      <c r="S206" s="417"/>
      <c r="T206" s="417"/>
      <c r="U206" s="417"/>
      <c r="V206" s="417"/>
      <c r="W206" s="417"/>
      <c r="X206" s="415"/>
      <c r="Y206" s="415"/>
      <c r="Z206" s="415"/>
      <c r="AA206" s="415"/>
      <c r="AB206" s="9">
        <f t="shared" si="81"/>
        <v>0</v>
      </c>
      <c r="AC206" s="5">
        <f t="shared" si="82"/>
        <v>0</v>
      </c>
      <c r="AD206" s="26">
        <f t="shared" si="83"/>
        <v>0</v>
      </c>
      <c r="AE206" s="21">
        <f t="shared" si="84"/>
        <v>0</v>
      </c>
      <c r="AF206" s="5"/>
      <c r="AG206" s="5"/>
      <c r="AH206" s="26"/>
      <c r="AI206" s="21"/>
      <c r="AK206" s="57"/>
      <c r="AL206" s="5"/>
      <c r="AN206" s="57"/>
      <c r="AO206" s="231"/>
      <c r="AP206" s="57"/>
      <c r="AS206" s="209"/>
      <c r="AT206" s="434"/>
      <c r="AU206" s="435"/>
      <c r="AV206" s="270">
        <f t="shared" si="77"/>
        <v>0</v>
      </c>
      <c r="AW206" s="270">
        <f t="shared" si="78"/>
        <v>0</v>
      </c>
      <c r="AX206" s="287" t="str">
        <f t="shared" si="79"/>
        <v xml:space="preserve"> </v>
      </c>
      <c r="AY206" s="209">
        <f t="shared" si="80"/>
        <v>0</v>
      </c>
      <c r="AZ206" s="287"/>
      <c r="BA206" s="209"/>
    </row>
    <row r="207" spans="1:53" x14ac:dyDescent="0.2">
      <c r="A207" s="39"/>
      <c r="B207" s="908" t="s">
        <v>514</v>
      </c>
      <c r="C207" t="s">
        <v>491</v>
      </c>
      <c r="D207" s="418"/>
      <c r="E207" s="419"/>
      <c r="F207" s="414"/>
      <c r="G207" s="414"/>
      <c r="H207" s="414"/>
      <c r="I207" s="414"/>
      <c r="J207" s="414"/>
      <c r="K207" s="415"/>
      <c r="L207" s="416"/>
      <c r="M207" s="414"/>
      <c r="N207" s="414"/>
      <c r="O207" s="414"/>
      <c r="P207" s="417"/>
      <c r="Q207" s="417"/>
      <c r="R207" s="417"/>
      <c r="S207" s="417"/>
      <c r="T207" s="417"/>
      <c r="U207" s="417"/>
      <c r="V207" s="417"/>
      <c r="W207" s="417"/>
      <c r="X207" s="415"/>
      <c r="Y207" s="415"/>
      <c r="Z207" s="415"/>
      <c r="AA207" s="415"/>
      <c r="AB207" s="9">
        <f t="shared" si="81"/>
        <v>0</v>
      </c>
      <c r="AC207" s="5">
        <f t="shared" si="82"/>
        <v>0</v>
      </c>
      <c r="AD207" s="26">
        <f t="shared" si="83"/>
        <v>0</v>
      </c>
      <c r="AE207" s="21">
        <f t="shared" si="84"/>
        <v>0</v>
      </c>
      <c r="AF207" s="5"/>
      <c r="AG207" s="5"/>
      <c r="AH207" s="26"/>
      <c r="AI207" s="21">
        <f>'A. Revenue by function'!N107</f>
        <v>0</v>
      </c>
      <c r="AJ207" s="226" t="str">
        <f>'C. Other Revenues'!B205</f>
        <v>C.1</v>
      </c>
      <c r="AK207" s="47">
        <f>'C. Other Revenues'!K215</f>
        <v>0</v>
      </c>
      <c r="AM207" s="226" t="str">
        <f>'C. Other Revenues'!B205</f>
        <v>C.1</v>
      </c>
      <c r="AN207" s="57">
        <f>'C. Other Revenues'!M215</f>
        <v>0</v>
      </c>
      <c r="AO207" s="231" t="str">
        <f>'L. Eliminations-Consolidations'!A219</f>
        <v>L.5</v>
      </c>
      <c r="AP207" s="57">
        <f>'L. Eliminations-Consolidations'!J219</f>
        <v>0</v>
      </c>
      <c r="AR207" s="393" t="s">
        <v>671</v>
      </c>
      <c r="AS207" s="210">
        <f>'K.1  Int. Service Fd Allocation'!G201+'K.2  Int. Service Fd Alloca'!G194+'K.3 Int. Service Fd Alloca'!G194</f>
        <v>0</v>
      </c>
      <c r="AT207" s="434"/>
      <c r="AU207" s="435"/>
      <c r="AV207" s="270">
        <f t="shared" si="77"/>
        <v>0</v>
      </c>
      <c r="AW207" s="270">
        <f t="shared" si="78"/>
        <v>0</v>
      </c>
      <c r="AX207" s="287" t="str">
        <f t="shared" si="79"/>
        <v xml:space="preserve"> </v>
      </c>
      <c r="AY207" s="210">
        <f t="shared" si="80"/>
        <v>0</v>
      </c>
      <c r="AZ207" s="287"/>
      <c r="BA207" s="209"/>
    </row>
    <row r="208" spans="1:53" x14ac:dyDescent="0.2">
      <c r="A208" s="39"/>
      <c r="B208" s="908"/>
      <c r="C208" t="s">
        <v>291</v>
      </c>
      <c r="D208" s="418"/>
      <c r="E208" s="419"/>
      <c r="F208" s="414"/>
      <c r="G208" s="414"/>
      <c r="H208" s="414"/>
      <c r="I208" s="414"/>
      <c r="J208" s="414"/>
      <c r="K208" s="415"/>
      <c r="L208" s="416"/>
      <c r="M208" s="414"/>
      <c r="N208" s="414"/>
      <c r="O208" s="414"/>
      <c r="P208" s="417"/>
      <c r="Q208" s="417"/>
      <c r="R208" s="417"/>
      <c r="S208" s="417"/>
      <c r="T208" s="417"/>
      <c r="U208" s="417"/>
      <c r="V208" s="417"/>
      <c r="W208" s="417"/>
      <c r="X208" s="415"/>
      <c r="Y208" s="415"/>
      <c r="Z208" s="415"/>
      <c r="AA208" s="415"/>
      <c r="AB208" s="9">
        <f t="shared" si="81"/>
        <v>0</v>
      </c>
      <c r="AC208" s="5">
        <f t="shared" si="82"/>
        <v>0</v>
      </c>
      <c r="AD208" s="26">
        <f t="shared" si="83"/>
        <v>0</v>
      </c>
      <c r="AE208" s="21">
        <f t="shared" si="84"/>
        <v>0</v>
      </c>
      <c r="AF208" s="5"/>
      <c r="AG208" s="5"/>
      <c r="AH208" s="26"/>
      <c r="AI208" s="21">
        <f>'A. Revenue by function'!N108</f>
        <v>0</v>
      </c>
      <c r="AJ208" s="226" t="str">
        <f>'C. Other Revenues'!B205</f>
        <v>C.1</v>
      </c>
      <c r="AK208" s="57">
        <f>'C. Other Revenues'!K224</f>
        <v>0</v>
      </c>
      <c r="AL208" s="5"/>
      <c r="AM208" s="226" t="str">
        <f>'C. Other Revenues'!B205</f>
        <v>C.1</v>
      </c>
      <c r="AN208" s="57">
        <f>'C. Other Revenues'!M224</f>
        <v>0</v>
      </c>
      <c r="AO208" s="231"/>
      <c r="AP208" s="57"/>
      <c r="AR208" s="226" t="str">
        <f>'L. Eliminations-Consolidations'!A243</f>
        <v>L.7</v>
      </c>
      <c r="AS208" s="209">
        <f>'L. Eliminations-Consolidations'!L253</f>
        <v>0</v>
      </c>
      <c r="AT208" s="434"/>
      <c r="AU208" s="435"/>
      <c r="AV208" s="270">
        <f t="shared" si="77"/>
        <v>0</v>
      </c>
      <c r="AW208" s="270">
        <f t="shared" si="78"/>
        <v>0</v>
      </c>
      <c r="AX208" s="287" t="str">
        <f t="shared" si="79"/>
        <v xml:space="preserve"> </v>
      </c>
      <c r="AY208" s="209">
        <f t="shared" si="80"/>
        <v>0</v>
      </c>
      <c r="AZ208" s="287"/>
      <c r="BA208" s="209"/>
    </row>
    <row r="209" spans="1:53" ht="15.75" customHeight="1" x14ac:dyDescent="0.2">
      <c r="A209" s="39"/>
      <c r="B209" s="908"/>
      <c r="C209" t="s">
        <v>292</v>
      </c>
      <c r="D209" s="418"/>
      <c r="E209" s="419"/>
      <c r="F209" s="414"/>
      <c r="G209" s="414"/>
      <c r="H209" s="414"/>
      <c r="I209" s="414"/>
      <c r="J209" s="414"/>
      <c r="K209" s="415"/>
      <c r="L209" s="416"/>
      <c r="M209" s="414"/>
      <c r="N209" s="414"/>
      <c r="O209" s="414"/>
      <c r="P209" s="417"/>
      <c r="Q209" s="417"/>
      <c r="R209" s="417"/>
      <c r="S209" s="417"/>
      <c r="T209" s="417"/>
      <c r="U209" s="417"/>
      <c r="V209" s="417"/>
      <c r="W209" s="417"/>
      <c r="X209" s="415"/>
      <c r="Y209" s="415"/>
      <c r="Z209" s="415"/>
      <c r="AA209" s="415"/>
      <c r="AB209" s="9">
        <f t="shared" si="81"/>
        <v>0</v>
      </c>
      <c r="AC209" s="5">
        <f t="shared" si="82"/>
        <v>0</v>
      </c>
      <c r="AD209" s="26">
        <f t="shared" si="83"/>
        <v>0</v>
      </c>
      <c r="AE209" s="21">
        <f t="shared" si="84"/>
        <v>0</v>
      </c>
      <c r="AF209" s="5"/>
      <c r="AG209" s="5"/>
      <c r="AH209" s="26"/>
      <c r="AI209" s="21">
        <f>'A. Revenue by function'!N109</f>
        <v>0</v>
      </c>
      <c r="AJ209" s="226" t="str">
        <f>'C. Other Revenues'!B205</f>
        <v>C.1</v>
      </c>
      <c r="AK209" s="57">
        <f>'C. Other Revenues'!K233</f>
        <v>0</v>
      </c>
      <c r="AL209" s="5"/>
      <c r="AM209" s="226" t="str">
        <f>'C. Other Revenues'!B205</f>
        <v>C.1</v>
      </c>
      <c r="AN209" s="57">
        <f>'C. Other Revenues'!M233</f>
        <v>0</v>
      </c>
      <c r="AO209" s="231"/>
      <c r="AP209" s="57"/>
      <c r="AR209" s="226" t="str">
        <f>'L. Eliminations-Consolidations'!A243</f>
        <v>L.7</v>
      </c>
      <c r="AS209" s="209">
        <f>'L. Eliminations-Consolidations'!L261</f>
        <v>0</v>
      </c>
      <c r="AT209" s="434"/>
      <c r="AU209" s="435"/>
      <c r="AV209" s="270">
        <f t="shared" si="77"/>
        <v>0</v>
      </c>
      <c r="AW209" s="270">
        <f t="shared" si="78"/>
        <v>0</v>
      </c>
      <c r="AX209" s="287" t="str">
        <f t="shared" si="79"/>
        <v xml:space="preserve"> </v>
      </c>
      <c r="AY209" s="209">
        <f t="shared" si="80"/>
        <v>0</v>
      </c>
      <c r="AZ209" s="287"/>
      <c r="BA209" s="209"/>
    </row>
    <row r="210" spans="1:53" x14ac:dyDescent="0.2">
      <c r="A210" s="39"/>
      <c r="D210" s="418"/>
      <c r="E210" s="419"/>
      <c r="F210" s="414"/>
      <c r="G210" s="414"/>
      <c r="H210" s="414"/>
      <c r="I210" s="414"/>
      <c r="J210" s="414"/>
      <c r="K210" s="415"/>
      <c r="L210" s="416"/>
      <c r="M210" s="414"/>
      <c r="N210" s="414"/>
      <c r="O210" s="414"/>
      <c r="P210" s="417"/>
      <c r="Q210" s="417"/>
      <c r="R210" s="417"/>
      <c r="S210" s="417"/>
      <c r="T210" s="417"/>
      <c r="U210" s="417"/>
      <c r="V210" s="417"/>
      <c r="W210" s="417"/>
      <c r="X210" s="415"/>
      <c r="Y210" s="415"/>
      <c r="Z210" s="415"/>
      <c r="AA210" s="415"/>
      <c r="AB210" s="9">
        <f t="shared" si="81"/>
        <v>0</v>
      </c>
      <c r="AC210" s="5">
        <f t="shared" si="82"/>
        <v>0</v>
      </c>
      <c r="AD210" s="26">
        <f t="shared" si="83"/>
        <v>0</v>
      </c>
      <c r="AE210" s="21">
        <f t="shared" si="84"/>
        <v>0</v>
      </c>
      <c r="AF210" s="5"/>
      <c r="AG210" s="5"/>
      <c r="AH210" s="26"/>
      <c r="AI210" s="21"/>
      <c r="AK210" s="57"/>
      <c r="AL210" s="5"/>
      <c r="AO210" s="231"/>
      <c r="AP210" s="57"/>
      <c r="AS210" s="209"/>
      <c r="AT210" s="434"/>
      <c r="AU210" s="435"/>
      <c r="AV210" s="270">
        <f t="shared" si="77"/>
        <v>0</v>
      </c>
      <c r="AW210" s="270">
        <f t="shared" si="78"/>
        <v>0</v>
      </c>
      <c r="AX210" s="287" t="str">
        <f t="shared" si="79"/>
        <v xml:space="preserve"> </v>
      </c>
      <c r="AY210" s="209">
        <f t="shared" si="80"/>
        <v>0</v>
      </c>
      <c r="AZ210" s="287"/>
      <c r="BA210" s="209"/>
    </row>
    <row r="211" spans="1:53" x14ac:dyDescent="0.2">
      <c r="A211" s="39"/>
      <c r="B211" s="4" t="s">
        <v>879</v>
      </c>
      <c r="D211" s="418"/>
      <c r="E211" s="419"/>
      <c r="F211" s="414"/>
      <c r="G211" s="414"/>
      <c r="H211" s="414"/>
      <c r="I211" s="414"/>
      <c r="J211" s="414"/>
      <c r="K211" s="415"/>
      <c r="L211" s="416"/>
      <c r="M211" s="414"/>
      <c r="N211" s="414"/>
      <c r="O211" s="414"/>
      <c r="P211" s="417"/>
      <c r="Q211" s="417"/>
      <c r="R211" s="417"/>
      <c r="S211" s="417"/>
      <c r="T211" s="417"/>
      <c r="U211" s="417"/>
      <c r="V211" s="417"/>
      <c r="W211" s="417"/>
      <c r="X211" s="415"/>
      <c r="Y211" s="415"/>
      <c r="Z211" s="415"/>
      <c r="AA211" s="415"/>
      <c r="AB211" s="9">
        <f t="shared" si="81"/>
        <v>0</v>
      </c>
      <c r="AC211" s="5">
        <f t="shared" si="82"/>
        <v>0</v>
      </c>
      <c r="AD211" s="26">
        <f t="shared" si="83"/>
        <v>0</v>
      </c>
      <c r="AE211" s="21">
        <f t="shared" si="84"/>
        <v>0</v>
      </c>
      <c r="AF211" s="5"/>
      <c r="AG211" s="5"/>
      <c r="AH211" s="26"/>
      <c r="AI211" s="21"/>
      <c r="AO211" s="231"/>
      <c r="AP211" s="57"/>
      <c r="AS211" s="209"/>
      <c r="AT211" s="434"/>
      <c r="AU211" s="435"/>
      <c r="AV211" s="270">
        <f t="shared" si="77"/>
        <v>0</v>
      </c>
      <c r="AW211" s="270">
        <f t="shared" si="78"/>
        <v>0</v>
      </c>
      <c r="AX211" s="287" t="str">
        <f t="shared" si="79"/>
        <v xml:space="preserve"> </v>
      </c>
      <c r="AY211" s="209">
        <f t="shared" si="80"/>
        <v>0</v>
      </c>
      <c r="AZ211" s="287"/>
      <c r="BA211" s="209"/>
    </row>
    <row r="212" spans="1:53" x14ac:dyDescent="0.2">
      <c r="A212" s="39"/>
      <c r="B212" s="908" t="s">
        <v>514</v>
      </c>
      <c r="C212" t="s">
        <v>491</v>
      </c>
      <c r="D212" s="418"/>
      <c r="E212" s="419"/>
      <c r="F212" s="414"/>
      <c r="G212" s="414"/>
      <c r="H212" s="414"/>
      <c r="I212" s="414"/>
      <c r="J212" s="414"/>
      <c r="K212" s="430"/>
      <c r="L212" s="431"/>
      <c r="M212" s="432"/>
      <c r="N212" s="414"/>
      <c r="O212" s="414"/>
      <c r="P212" s="417"/>
      <c r="Q212" s="417"/>
      <c r="R212" s="417"/>
      <c r="S212" s="417"/>
      <c r="T212" s="417"/>
      <c r="U212" s="417"/>
      <c r="V212" s="417"/>
      <c r="W212" s="417"/>
      <c r="X212" s="415"/>
      <c r="Y212" s="415"/>
      <c r="Z212" s="415"/>
      <c r="AA212" s="415"/>
      <c r="AB212" s="9">
        <f t="shared" si="81"/>
        <v>0</v>
      </c>
      <c r="AC212" s="5">
        <f t="shared" si="82"/>
        <v>0</v>
      </c>
      <c r="AD212" s="26">
        <f t="shared" si="83"/>
        <v>0</v>
      </c>
      <c r="AE212" s="21">
        <f t="shared" si="84"/>
        <v>0</v>
      </c>
      <c r="AF212" s="5"/>
      <c r="AG212" s="5"/>
      <c r="AH212" s="26"/>
      <c r="AI212" s="21">
        <f>'A. Revenue by function'!N110</f>
        <v>0</v>
      </c>
      <c r="AJ212" s="226" t="str">
        <f>'C. Other Revenues'!B205</f>
        <v>C.1</v>
      </c>
      <c r="AK212" s="57">
        <f>'C. Other Revenues'!K216</f>
        <v>0</v>
      </c>
      <c r="AL212" s="5"/>
      <c r="AM212" s="226" t="str">
        <f>'C. Other Revenues'!B205</f>
        <v>C.1</v>
      </c>
      <c r="AN212" s="57">
        <f>'C. Other Revenues'!M216</f>
        <v>0</v>
      </c>
      <c r="AO212" s="231"/>
      <c r="AP212" s="57"/>
      <c r="AS212" s="209"/>
      <c r="AT212" s="434"/>
      <c r="AU212" s="435"/>
      <c r="AV212" s="270">
        <f t="shared" si="77"/>
        <v>0</v>
      </c>
      <c r="AW212" s="270">
        <f t="shared" si="78"/>
        <v>0</v>
      </c>
      <c r="AX212" s="287" t="str">
        <f t="shared" si="79"/>
        <v xml:space="preserve"> </v>
      </c>
      <c r="AY212" s="209">
        <f t="shared" si="80"/>
        <v>0</v>
      </c>
      <c r="AZ212" s="287"/>
      <c r="BA212" s="209"/>
    </row>
    <row r="213" spans="1:53" x14ac:dyDescent="0.2">
      <c r="A213" s="39"/>
      <c r="B213" s="908"/>
      <c r="C213" t="s">
        <v>291</v>
      </c>
      <c r="D213" s="418"/>
      <c r="E213" s="419"/>
      <c r="F213" s="414"/>
      <c r="G213" s="414"/>
      <c r="H213" s="414"/>
      <c r="I213" s="414"/>
      <c r="J213" s="414"/>
      <c r="K213" s="430"/>
      <c r="L213" s="431"/>
      <c r="M213" s="432"/>
      <c r="N213" s="414"/>
      <c r="O213" s="414"/>
      <c r="P213" s="417"/>
      <c r="Q213" s="417"/>
      <c r="R213" s="417"/>
      <c r="S213" s="417"/>
      <c r="T213" s="417"/>
      <c r="U213" s="417"/>
      <c r="V213" s="417"/>
      <c r="W213" s="417"/>
      <c r="X213" s="415"/>
      <c r="Y213" s="415"/>
      <c r="Z213" s="415"/>
      <c r="AA213" s="415"/>
      <c r="AB213" s="9">
        <f t="shared" si="81"/>
        <v>0</v>
      </c>
      <c r="AC213" s="5">
        <f t="shared" si="82"/>
        <v>0</v>
      </c>
      <c r="AD213" s="26">
        <f t="shared" si="83"/>
        <v>0</v>
      </c>
      <c r="AE213" s="21">
        <f t="shared" si="84"/>
        <v>0</v>
      </c>
      <c r="AF213" s="5"/>
      <c r="AG213" s="5"/>
      <c r="AH213" s="26"/>
      <c r="AI213" s="21">
        <f>'A. Revenue by function'!N111</f>
        <v>0</v>
      </c>
      <c r="AJ213" s="226" t="str">
        <f>'C. Other Revenues'!B205</f>
        <v>C.1</v>
      </c>
      <c r="AK213" s="57">
        <f>'C. Other Revenues'!K225</f>
        <v>0</v>
      </c>
      <c r="AL213" s="5"/>
      <c r="AM213" s="226" t="str">
        <f>'C. Other Revenues'!B205</f>
        <v>C.1</v>
      </c>
      <c r="AN213" s="57">
        <f>'C. Other Revenues'!M225</f>
        <v>0</v>
      </c>
      <c r="AO213" s="231"/>
      <c r="AP213" s="57"/>
      <c r="AR213" s="226" t="str">
        <f>'L. Eliminations-Consolidations'!A243</f>
        <v>L.7</v>
      </c>
      <c r="AS213" s="209">
        <f>'L. Eliminations-Consolidations'!L254</f>
        <v>0</v>
      </c>
      <c r="AT213" s="434"/>
      <c r="AU213" s="435"/>
      <c r="AV213" s="270">
        <f t="shared" si="77"/>
        <v>0</v>
      </c>
      <c r="AW213" s="270">
        <f t="shared" si="78"/>
        <v>0</v>
      </c>
      <c r="AX213" s="287" t="str">
        <f>IF(AV213+AV214-AW213-AW214&lt;=0," ",AV213+AV214-AW213-AW214)</f>
        <v xml:space="preserve"> </v>
      </c>
      <c r="AY213" s="210">
        <f>IF(AV213+AV214-AW213-AW214&gt;0," ",AW213+AW214-AV213-AV214)</f>
        <v>0</v>
      </c>
      <c r="AZ213" s="287"/>
      <c r="BA213" s="209"/>
    </row>
    <row r="214" spans="1:53" x14ac:dyDescent="0.2">
      <c r="A214" s="39"/>
      <c r="B214" s="908"/>
      <c r="D214" s="418"/>
      <c r="E214" s="419"/>
      <c r="F214" s="414"/>
      <c r="G214" s="414"/>
      <c r="H214" s="414"/>
      <c r="I214" s="414"/>
      <c r="J214" s="414"/>
      <c r="K214" s="430"/>
      <c r="L214" s="431"/>
      <c r="M214" s="432"/>
      <c r="N214" s="414"/>
      <c r="O214" s="414"/>
      <c r="P214" s="417"/>
      <c r="Q214" s="417"/>
      <c r="R214" s="417"/>
      <c r="S214" s="417"/>
      <c r="T214" s="417"/>
      <c r="U214" s="417"/>
      <c r="V214" s="417"/>
      <c r="W214" s="417"/>
      <c r="X214" s="415"/>
      <c r="Y214" s="415"/>
      <c r="Z214" s="415"/>
      <c r="AA214" s="415"/>
      <c r="AB214" s="9"/>
      <c r="AD214" s="26"/>
      <c r="AE214" s="21"/>
      <c r="AF214" s="5"/>
      <c r="AG214" s="5"/>
      <c r="AH214" s="26"/>
      <c r="AI214" s="21"/>
      <c r="AK214" s="57"/>
      <c r="AL214" s="5"/>
      <c r="AM214" s="226" t="s">
        <v>2049</v>
      </c>
      <c r="AN214" s="57">
        <f>'N.2 GASB 68 FRSWPF'!D28</f>
        <v>0</v>
      </c>
      <c r="AO214" s="231"/>
      <c r="AP214" s="57"/>
      <c r="AS214" s="209"/>
      <c r="AT214" s="434"/>
      <c r="AU214" s="435"/>
      <c r="AV214" s="270">
        <f>AD214+AF214+AH214+AK214+AP214+AT214</f>
        <v>0</v>
      </c>
      <c r="AW214" s="270">
        <f>AE214+AG214+AI214+AN214+AS214+AU214</f>
        <v>0</v>
      </c>
      <c r="AX214" s="287"/>
      <c r="AY214" s="209"/>
      <c r="AZ214" s="287"/>
      <c r="BA214" s="209"/>
    </row>
    <row r="215" spans="1:53" ht="15" customHeight="1" x14ac:dyDescent="0.2">
      <c r="A215" s="39"/>
      <c r="B215" s="908"/>
      <c r="C215" t="s">
        <v>292</v>
      </c>
      <c r="D215" s="418"/>
      <c r="E215" s="419"/>
      <c r="F215" s="414"/>
      <c r="G215" s="414"/>
      <c r="H215" s="414"/>
      <c r="I215" s="414"/>
      <c r="J215" s="414"/>
      <c r="K215" s="430"/>
      <c r="L215" s="431"/>
      <c r="M215" s="432"/>
      <c r="N215" s="414"/>
      <c r="O215" s="414"/>
      <c r="P215" s="417"/>
      <c r="Q215" s="417"/>
      <c r="R215" s="417"/>
      <c r="S215" s="417"/>
      <c r="T215" s="417"/>
      <c r="U215" s="417"/>
      <c r="V215" s="417"/>
      <c r="W215" s="417"/>
      <c r="X215" s="415"/>
      <c r="Y215" s="415"/>
      <c r="Z215" s="415"/>
      <c r="AA215" s="415"/>
      <c r="AB215" s="9">
        <f t="shared" si="81"/>
        <v>0</v>
      </c>
      <c r="AC215" s="5">
        <f t="shared" si="82"/>
        <v>0</v>
      </c>
      <c r="AD215" s="26">
        <f t="shared" si="83"/>
        <v>0</v>
      </c>
      <c r="AE215" s="21">
        <f t="shared" si="84"/>
        <v>0</v>
      </c>
      <c r="AF215" s="5"/>
      <c r="AG215" s="5"/>
      <c r="AH215" s="26"/>
      <c r="AI215" s="21">
        <f>'A. Revenue by function'!N112</f>
        <v>0</v>
      </c>
      <c r="AJ215" s="226" t="str">
        <f>'C. Other Revenues'!B205</f>
        <v>C.1</v>
      </c>
      <c r="AK215" s="57">
        <f>'C. Other Revenues'!K234</f>
        <v>0</v>
      </c>
      <c r="AL215" s="5"/>
      <c r="AM215" s="226" t="str">
        <f>'C. Other Revenues'!B205</f>
        <v>C.1</v>
      </c>
      <c r="AN215" s="57">
        <f>'C. Other Revenues'!M234</f>
        <v>0</v>
      </c>
      <c r="AO215" s="231"/>
      <c r="AP215" s="57"/>
      <c r="AR215" s="226" t="str">
        <f>'L. Eliminations-Consolidations'!A243</f>
        <v>L.7</v>
      </c>
      <c r="AS215" s="209">
        <f>'L. Eliminations-Consolidations'!L262</f>
        <v>0</v>
      </c>
      <c r="AT215" s="434"/>
      <c r="AU215" s="435"/>
      <c r="AV215" s="270">
        <f t="shared" si="77"/>
        <v>0</v>
      </c>
      <c r="AW215" s="270">
        <f t="shared" si="78"/>
        <v>0</v>
      </c>
      <c r="AX215" s="287" t="str">
        <f t="shared" si="79"/>
        <v xml:space="preserve"> </v>
      </c>
      <c r="AY215" s="209">
        <f t="shared" si="80"/>
        <v>0</v>
      </c>
      <c r="AZ215" s="287"/>
      <c r="BA215" s="209"/>
    </row>
    <row r="216" spans="1:53" x14ac:dyDescent="0.2">
      <c r="A216" s="39"/>
      <c r="D216" s="418"/>
      <c r="E216" s="419"/>
      <c r="F216" s="414"/>
      <c r="G216" s="414"/>
      <c r="H216" s="414"/>
      <c r="I216" s="414"/>
      <c r="J216" s="414"/>
      <c r="K216" s="415"/>
      <c r="L216" s="416"/>
      <c r="M216" s="414"/>
      <c r="N216" s="414"/>
      <c r="O216" s="414"/>
      <c r="P216" s="417"/>
      <c r="Q216" s="417"/>
      <c r="R216" s="417"/>
      <c r="S216" s="417"/>
      <c r="T216" s="417"/>
      <c r="U216" s="417"/>
      <c r="V216" s="417"/>
      <c r="W216" s="417"/>
      <c r="X216" s="415"/>
      <c r="Y216" s="415"/>
      <c r="Z216" s="415"/>
      <c r="AA216" s="415"/>
      <c r="AB216" s="9">
        <f t="shared" si="81"/>
        <v>0</v>
      </c>
      <c r="AC216" s="5">
        <f t="shared" si="82"/>
        <v>0</v>
      </c>
      <c r="AD216" s="26">
        <f t="shared" si="83"/>
        <v>0</v>
      </c>
      <c r="AE216" s="21">
        <f t="shared" si="84"/>
        <v>0</v>
      </c>
      <c r="AF216" s="5"/>
      <c r="AG216" s="5"/>
      <c r="AH216" s="26"/>
      <c r="AI216" s="21"/>
      <c r="AK216" s="57"/>
      <c r="AL216" s="5"/>
      <c r="AO216" s="231"/>
      <c r="AP216" s="57"/>
      <c r="AS216" s="209"/>
      <c r="AT216" s="434"/>
      <c r="AU216" s="435"/>
      <c r="AV216" s="270">
        <f t="shared" si="77"/>
        <v>0</v>
      </c>
      <c r="AW216" s="270">
        <f t="shared" si="78"/>
        <v>0</v>
      </c>
      <c r="AX216" s="287" t="str">
        <f t="shared" si="79"/>
        <v xml:space="preserve"> </v>
      </c>
      <c r="AY216" s="209">
        <f t="shared" si="80"/>
        <v>0</v>
      </c>
      <c r="AZ216" s="287"/>
      <c r="BA216" s="209"/>
    </row>
    <row r="217" spans="1:53" x14ac:dyDescent="0.2">
      <c r="A217" s="39"/>
      <c r="B217" s="4" t="s">
        <v>880</v>
      </c>
      <c r="D217" s="418"/>
      <c r="E217" s="419"/>
      <c r="F217" s="414"/>
      <c r="G217" s="414"/>
      <c r="H217" s="414"/>
      <c r="I217" s="414"/>
      <c r="J217" s="414"/>
      <c r="K217" s="415"/>
      <c r="L217" s="416"/>
      <c r="M217" s="414"/>
      <c r="N217" s="414"/>
      <c r="O217" s="414"/>
      <c r="P217" s="417"/>
      <c r="Q217" s="417"/>
      <c r="R217" s="417"/>
      <c r="S217" s="417"/>
      <c r="T217" s="417"/>
      <c r="U217" s="417"/>
      <c r="V217" s="417"/>
      <c r="W217" s="417"/>
      <c r="X217" s="415"/>
      <c r="Y217" s="415"/>
      <c r="Z217" s="415"/>
      <c r="AA217" s="415"/>
      <c r="AB217" s="9">
        <f t="shared" si="81"/>
        <v>0</v>
      </c>
      <c r="AC217" s="5">
        <f t="shared" si="82"/>
        <v>0</v>
      </c>
      <c r="AD217" s="26">
        <f t="shared" si="83"/>
        <v>0</v>
      </c>
      <c r="AE217" s="21">
        <f t="shared" si="84"/>
        <v>0</v>
      </c>
      <c r="AF217" s="5"/>
      <c r="AG217" s="5"/>
      <c r="AH217" s="26"/>
      <c r="AI217" s="21"/>
      <c r="AK217" s="57"/>
      <c r="AL217" s="5"/>
      <c r="AN217" s="57"/>
      <c r="AO217" s="231"/>
      <c r="AP217" s="57"/>
      <c r="AS217" s="209"/>
      <c r="AT217" s="434"/>
      <c r="AU217" s="435"/>
      <c r="AV217" s="270">
        <f t="shared" si="77"/>
        <v>0</v>
      </c>
      <c r="AW217" s="270">
        <f t="shared" si="78"/>
        <v>0</v>
      </c>
      <c r="AX217" s="287" t="str">
        <f t="shared" si="79"/>
        <v xml:space="preserve"> </v>
      </c>
      <c r="AY217" s="209">
        <f t="shared" si="80"/>
        <v>0</v>
      </c>
      <c r="AZ217" s="287"/>
      <c r="BA217" s="209"/>
    </row>
    <row r="218" spans="1:53" x14ac:dyDescent="0.2">
      <c r="A218" s="39"/>
      <c r="B218" s="908" t="s">
        <v>514</v>
      </c>
      <c r="C218" t="s">
        <v>491</v>
      </c>
      <c r="D218" s="418"/>
      <c r="E218" s="419"/>
      <c r="F218" s="414"/>
      <c r="G218" s="414"/>
      <c r="H218" s="414"/>
      <c r="I218" s="414"/>
      <c r="J218" s="414"/>
      <c r="K218" s="415"/>
      <c r="L218" s="416"/>
      <c r="M218" s="414"/>
      <c r="N218" s="414"/>
      <c r="O218" s="414"/>
      <c r="P218" s="417"/>
      <c r="Q218" s="417"/>
      <c r="R218" s="417"/>
      <c r="S218" s="417"/>
      <c r="T218" s="417"/>
      <c r="U218" s="417"/>
      <c r="V218" s="417"/>
      <c r="W218" s="417"/>
      <c r="X218" s="415"/>
      <c r="Y218" s="415"/>
      <c r="Z218" s="415"/>
      <c r="AA218" s="415"/>
      <c r="AB218" s="9">
        <f t="shared" si="81"/>
        <v>0</v>
      </c>
      <c r="AC218" s="5">
        <f t="shared" si="82"/>
        <v>0</v>
      </c>
      <c r="AD218" s="26">
        <f t="shared" si="83"/>
        <v>0</v>
      </c>
      <c r="AE218" s="21">
        <f t="shared" si="84"/>
        <v>0</v>
      </c>
      <c r="AF218" s="5"/>
      <c r="AG218" s="5"/>
      <c r="AH218" s="26"/>
      <c r="AI218" s="21">
        <f>'A. Revenue by function'!N113</f>
        <v>0</v>
      </c>
      <c r="AJ218" s="226" t="str">
        <f>'C. Other Revenues'!B205</f>
        <v>C.1</v>
      </c>
      <c r="AK218" s="57">
        <f>'C. Other Revenues'!K217</f>
        <v>0</v>
      </c>
      <c r="AL218" s="5"/>
      <c r="AM218" s="226" t="str">
        <f>'C. Other Revenues'!B205</f>
        <v>C.1</v>
      </c>
      <c r="AN218" s="57">
        <f>'C. Other Revenues'!M217</f>
        <v>0</v>
      </c>
      <c r="AO218" s="231" t="str">
        <f>'L. Eliminations-Consolidations'!A219</f>
        <v>L.5</v>
      </c>
      <c r="AP218" s="57">
        <f>'L. Eliminations-Consolidations'!J220</f>
        <v>0</v>
      </c>
      <c r="AS218" s="209"/>
      <c r="AT218" s="434"/>
      <c r="AU218" s="435"/>
      <c r="AV218" s="270">
        <f t="shared" si="77"/>
        <v>0</v>
      </c>
      <c r="AW218" s="270">
        <f t="shared" si="78"/>
        <v>0</v>
      </c>
      <c r="AX218" s="287" t="str">
        <f t="shared" si="79"/>
        <v xml:space="preserve"> </v>
      </c>
      <c r="AY218" s="209">
        <f t="shared" si="80"/>
        <v>0</v>
      </c>
      <c r="AZ218" s="287"/>
      <c r="BA218" s="209"/>
    </row>
    <row r="219" spans="1:53" x14ac:dyDescent="0.2">
      <c r="A219" s="39"/>
      <c r="B219" s="908"/>
      <c r="C219" t="s">
        <v>291</v>
      </c>
      <c r="D219" s="418"/>
      <c r="E219" s="419"/>
      <c r="F219" s="414"/>
      <c r="G219" s="414"/>
      <c r="H219" s="414"/>
      <c r="I219" s="414"/>
      <c r="J219" s="414"/>
      <c r="K219" s="415"/>
      <c r="L219" s="416"/>
      <c r="M219" s="414"/>
      <c r="N219" s="414"/>
      <c r="O219" s="414"/>
      <c r="P219" s="417"/>
      <c r="Q219" s="417"/>
      <c r="R219" s="417"/>
      <c r="S219" s="417"/>
      <c r="T219" s="417"/>
      <c r="U219" s="417"/>
      <c r="V219" s="417"/>
      <c r="W219" s="417"/>
      <c r="X219" s="415"/>
      <c r="Y219" s="415"/>
      <c r="Z219" s="415"/>
      <c r="AA219" s="415"/>
      <c r="AB219" s="9">
        <f t="shared" si="81"/>
        <v>0</v>
      </c>
      <c r="AC219" s="5">
        <f t="shared" si="82"/>
        <v>0</v>
      </c>
      <c r="AD219" s="26">
        <f t="shared" si="83"/>
        <v>0</v>
      </c>
      <c r="AE219" s="21">
        <f t="shared" si="84"/>
        <v>0</v>
      </c>
      <c r="AF219" s="5"/>
      <c r="AG219" s="5"/>
      <c r="AH219" s="26"/>
      <c r="AI219" s="21">
        <f>'A. Revenue by function'!N114</f>
        <v>0</v>
      </c>
      <c r="AJ219" s="226" t="str">
        <f>'C. Other Revenues'!B205</f>
        <v>C.1</v>
      </c>
      <c r="AK219" s="57">
        <f>'C. Other Revenues'!K226</f>
        <v>0</v>
      </c>
      <c r="AL219" s="5"/>
      <c r="AM219" s="226" t="str">
        <f>'C. Other Revenues'!B205</f>
        <v>C.1</v>
      </c>
      <c r="AN219" s="57">
        <f>'C. Other Revenues'!M226</f>
        <v>0</v>
      </c>
      <c r="AO219" s="231"/>
      <c r="AP219" s="57"/>
      <c r="AR219" s="226" t="str">
        <f>'L. Eliminations-Consolidations'!A243</f>
        <v>L.7</v>
      </c>
      <c r="AS219" s="209">
        <f>'L. Eliminations-Consolidations'!L255</f>
        <v>0</v>
      </c>
      <c r="AT219" s="434"/>
      <c r="AU219" s="435"/>
      <c r="AV219" s="270">
        <f t="shared" si="77"/>
        <v>0</v>
      </c>
      <c r="AW219" s="270">
        <f t="shared" si="78"/>
        <v>0</v>
      </c>
      <c r="AX219" s="287" t="str">
        <f t="shared" si="79"/>
        <v xml:space="preserve"> </v>
      </c>
      <c r="AY219" s="209">
        <f t="shared" si="80"/>
        <v>0</v>
      </c>
      <c r="AZ219" s="287"/>
      <c r="BA219" s="209"/>
    </row>
    <row r="220" spans="1:53" ht="15" customHeight="1" x14ac:dyDescent="0.2">
      <c r="A220" s="39"/>
      <c r="B220" s="908"/>
      <c r="C220" t="s">
        <v>292</v>
      </c>
      <c r="D220" s="418"/>
      <c r="E220" s="419"/>
      <c r="F220" s="414"/>
      <c r="G220" s="414"/>
      <c r="H220" s="414"/>
      <c r="I220" s="414"/>
      <c r="J220" s="414"/>
      <c r="K220" s="415"/>
      <c r="L220" s="416"/>
      <c r="M220" s="414"/>
      <c r="N220" s="414"/>
      <c r="O220" s="414"/>
      <c r="P220" s="417"/>
      <c r="Q220" s="417"/>
      <c r="R220" s="417"/>
      <c r="S220" s="417"/>
      <c r="T220" s="417"/>
      <c r="U220" s="417"/>
      <c r="V220" s="417"/>
      <c r="W220" s="417"/>
      <c r="X220" s="415"/>
      <c r="Y220" s="415"/>
      <c r="Z220" s="415"/>
      <c r="AA220" s="415"/>
      <c r="AB220" s="9">
        <f t="shared" si="81"/>
        <v>0</v>
      </c>
      <c r="AC220" s="5">
        <f t="shared" si="82"/>
        <v>0</v>
      </c>
      <c r="AD220" s="26">
        <f t="shared" si="83"/>
        <v>0</v>
      </c>
      <c r="AE220" s="21">
        <f t="shared" si="84"/>
        <v>0</v>
      </c>
      <c r="AF220" s="5"/>
      <c r="AG220" s="5"/>
      <c r="AH220" s="26"/>
      <c r="AI220" s="21">
        <f>'A. Revenue by function'!N115</f>
        <v>0</v>
      </c>
      <c r="AJ220" s="226" t="str">
        <f>'C. Other Revenues'!B205</f>
        <v>C.1</v>
      </c>
      <c r="AK220" s="57">
        <f>'C. Other Revenues'!K235</f>
        <v>0</v>
      </c>
      <c r="AL220" s="5"/>
      <c r="AM220" s="226" t="str">
        <f>'C. Other Revenues'!B205</f>
        <v>C.1</v>
      </c>
      <c r="AN220" s="57">
        <f>'C. Other Revenues'!M235</f>
        <v>0</v>
      </c>
      <c r="AO220" s="231"/>
      <c r="AP220" s="57"/>
      <c r="AR220" s="227" t="str">
        <f>'L. Eliminations-Consolidations'!A243</f>
        <v>L.7</v>
      </c>
      <c r="AS220" s="209">
        <f>'L. Eliminations-Consolidations'!L263</f>
        <v>0</v>
      </c>
      <c r="AT220" s="434"/>
      <c r="AU220" s="435"/>
      <c r="AV220" s="270">
        <f t="shared" si="77"/>
        <v>0</v>
      </c>
      <c r="AW220" s="270">
        <f t="shared" si="78"/>
        <v>0</v>
      </c>
      <c r="AX220" s="287" t="str">
        <f t="shared" si="79"/>
        <v xml:space="preserve"> </v>
      </c>
      <c r="AY220" s="209">
        <f t="shared" si="80"/>
        <v>0</v>
      </c>
      <c r="AZ220" s="287"/>
      <c r="BA220" s="209"/>
    </row>
    <row r="221" spans="1:53" x14ac:dyDescent="0.2">
      <c r="A221" s="39"/>
      <c r="D221" s="418"/>
      <c r="E221" s="419"/>
      <c r="F221" s="414"/>
      <c r="G221" s="414"/>
      <c r="H221" s="414"/>
      <c r="I221" s="414"/>
      <c r="J221" s="414"/>
      <c r="K221" s="415"/>
      <c r="L221" s="416"/>
      <c r="M221" s="414"/>
      <c r="N221" s="414"/>
      <c r="O221" s="414"/>
      <c r="P221" s="417"/>
      <c r="Q221" s="417"/>
      <c r="R221" s="417"/>
      <c r="S221" s="417"/>
      <c r="T221" s="417"/>
      <c r="U221" s="417"/>
      <c r="V221" s="417"/>
      <c r="W221" s="417"/>
      <c r="X221" s="415"/>
      <c r="Y221" s="415"/>
      <c r="Z221" s="415"/>
      <c r="AA221" s="415"/>
      <c r="AB221" s="9">
        <f t="shared" si="81"/>
        <v>0</v>
      </c>
      <c r="AC221" s="5">
        <f t="shared" si="82"/>
        <v>0</v>
      </c>
      <c r="AD221" s="26">
        <f t="shared" si="83"/>
        <v>0</v>
      </c>
      <c r="AE221" s="21">
        <f t="shared" si="84"/>
        <v>0</v>
      </c>
      <c r="AF221" s="5"/>
      <c r="AG221" s="5"/>
      <c r="AH221" s="26"/>
      <c r="AI221" s="21"/>
      <c r="AK221" s="57"/>
      <c r="AL221" s="5"/>
      <c r="AO221" s="231"/>
      <c r="AP221" s="57"/>
      <c r="AS221" s="209"/>
      <c r="AT221" s="434"/>
      <c r="AU221" s="435"/>
      <c r="AV221" s="270">
        <f t="shared" si="77"/>
        <v>0</v>
      </c>
      <c r="AW221" s="270">
        <f t="shared" si="78"/>
        <v>0</v>
      </c>
      <c r="AX221" s="287" t="str">
        <f t="shared" si="79"/>
        <v xml:space="preserve"> </v>
      </c>
      <c r="AY221" s="209">
        <f t="shared" si="80"/>
        <v>0</v>
      </c>
      <c r="AZ221" s="287"/>
      <c r="BA221" s="209"/>
    </row>
    <row r="222" spans="1:53" x14ac:dyDescent="0.2">
      <c r="A222" s="39"/>
      <c r="B222" s="4" t="s">
        <v>473</v>
      </c>
      <c r="D222" s="418"/>
      <c r="E222" s="419"/>
      <c r="F222" s="414"/>
      <c r="G222" s="414"/>
      <c r="H222" s="414"/>
      <c r="I222" s="414"/>
      <c r="J222" s="414"/>
      <c r="K222" s="415"/>
      <c r="L222" s="416"/>
      <c r="M222" s="414"/>
      <c r="N222" s="414"/>
      <c r="O222" s="414"/>
      <c r="P222" s="417"/>
      <c r="Q222" s="417"/>
      <c r="R222" s="417"/>
      <c r="S222" s="417"/>
      <c r="T222" s="417"/>
      <c r="U222" s="417"/>
      <c r="V222" s="417"/>
      <c r="W222" s="417"/>
      <c r="X222" s="415"/>
      <c r="Y222" s="415"/>
      <c r="Z222" s="415"/>
      <c r="AA222" s="415"/>
      <c r="AB222" s="9">
        <f t="shared" si="81"/>
        <v>0</v>
      </c>
      <c r="AC222" s="5">
        <f t="shared" si="82"/>
        <v>0</v>
      </c>
      <c r="AD222" s="26">
        <f t="shared" si="83"/>
        <v>0</v>
      </c>
      <c r="AE222" s="21">
        <f t="shared" si="84"/>
        <v>0</v>
      </c>
      <c r="AF222" s="5"/>
      <c r="AG222" s="5"/>
      <c r="AH222" s="26"/>
      <c r="AI222" s="21"/>
      <c r="AK222" s="57"/>
      <c r="AL222" s="5"/>
      <c r="AN222" s="57"/>
      <c r="AO222" s="231"/>
      <c r="AP222" s="57"/>
      <c r="AS222" s="209"/>
      <c r="AT222" s="434"/>
      <c r="AU222" s="435"/>
      <c r="AV222" s="270">
        <f t="shared" si="77"/>
        <v>0</v>
      </c>
      <c r="AW222" s="270">
        <f t="shared" si="78"/>
        <v>0</v>
      </c>
      <c r="AX222" s="287" t="str">
        <f t="shared" si="79"/>
        <v xml:space="preserve"> </v>
      </c>
      <c r="AY222" s="209">
        <f t="shared" si="80"/>
        <v>0</v>
      </c>
      <c r="AZ222" s="287"/>
      <c r="BA222" s="209"/>
    </row>
    <row r="223" spans="1:53" x14ac:dyDescent="0.2">
      <c r="A223" s="39"/>
      <c r="B223" s="908" t="s">
        <v>514</v>
      </c>
      <c r="C223" t="s">
        <v>491</v>
      </c>
      <c r="D223" s="418"/>
      <c r="E223" s="419"/>
      <c r="F223" s="414"/>
      <c r="G223" s="414"/>
      <c r="H223" s="414"/>
      <c r="I223" s="414"/>
      <c r="J223" s="414"/>
      <c r="K223" s="415"/>
      <c r="L223" s="416"/>
      <c r="M223" s="414"/>
      <c r="N223" s="414"/>
      <c r="O223" s="414"/>
      <c r="P223" s="417"/>
      <c r="Q223" s="417"/>
      <c r="R223" s="417"/>
      <c r="S223" s="417"/>
      <c r="T223" s="417"/>
      <c r="U223" s="417"/>
      <c r="V223" s="417"/>
      <c r="W223" s="417"/>
      <c r="X223" s="415"/>
      <c r="Y223" s="415"/>
      <c r="Z223" s="415"/>
      <c r="AA223" s="415"/>
      <c r="AB223" s="9">
        <f t="shared" si="81"/>
        <v>0</v>
      </c>
      <c r="AC223" s="5">
        <f t="shared" si="82"/>
        <v>0</v>
      </c>
      <c r="AD223" s="26">
        <f t="shared" si="83"/>
        <v>0</v>
      </c>
      <c r="AE223" s="21">
        <f t="shared" si="84"/>
        <v>0</v>
      </c>
      <c r="AF223" s="5"/>
      <c r="AG223" s="5"/>
      <c r="AH223" s="26"/>
      <c r="AI223" s="21">
        <f>'A. Revenue by function'!N116</f>
        <v>0</v>
      </c>
      <c r="AJ223" s="226" t="str">
        <f>'C. Other Revenues'!B205</f>
        <v>C.1</v>
      </c>
      <c r="AK223" s="57">
        <f>'C. Other Revenues'!K218</f>
        <v>0</v>
      </c>
      <c r="AL223" s="5"/>
      <c r="AM223" s="226" t="str">
        <f>'C. Other Revenues'!B205</f>
        <v>C.1</v>
      </c>
      <c r="AN223" s="57">
        <f>'C. Other Revenues'!M218</f>
        <v>0</v>
      </c>
      <c r="AO223" s="231"/>
      <c r="AP223" s="57"/>
      <c r="AS223" s="209"/>
      <c r="AT223" s="434"/>
      <c r="AU223" s="435"/>
      <c r="AV223" s="270">
        <f t="shared" si="77"/>
        <v>0</v>
      </c>
      <c r="AW223" s="270">
        <f t="shared" si="78"/>
        <v>0</v>
      </c>
      <c r="AX223" s="287" t="str">
        <f t="shared" si="79"/>
        <v xml:space="preserve"> </v>
      </c>
      <c r="AY223" s="209">
        <f t="shared" si="80"/>
        <v>0</v>
      </c>
      <c r="AZ223" s="287"/>
      <c r="BA223" s="209"/>
    </row>
    <row r="224" spans="1:53" x14ac:dyDescent="0.2">
      <c r="A224" s="39"/>
      <c r="B224" s="908"/>
      <c r="C224" t="s">
        <v>291</v>
      </c>
      <c r="D224" s="418"/>
      <c r="E224" s="419"/>
      <c r="F224" s="414"/>
      <c r="G224" s="414"/>
      <c r="H224" s="414"/>
      <c r="I224" s="414"/>
      <c r="J224" s="414"/>
      <c r="K224" s="415"/>
      <c r="L224" s="416"/>
      <c r="M224" s="414"/>
      <c r="N224" s="414"/>
      <c r="O224" s="414"/>
      <c r="P224" s="417"/>
      <c r="Q224" s="417"/>
      <c r="R224" s="417"/>
      <c r="S224" s="417"/>
      <c r="T224" s="417"/>
      <c r="U224" s="417"/>
      <c r="V224" s="417"/>
      <c r="W224" s="417"/>
      <c r="X224" s="415"/>
      <c r="Y224" s="415"/>
      <c r="Z224" s="415"/>
      <c r="AA224" s="415"/>
      <c r="AB224" s="9">
        <f t="shared" si="81"/>
        <v>0</v>
      </c>
      <c r="AC224" s="5">
        <f t="shared" si="82"/>
        <v>0</v>
      </c>
      <c r="AD224" s="26">
        <f t="shared" si="83"/>
        <v>0</v>
      </c>
      <c r="AE224" s="21">
        <f t="shared" si="84"/>
        <v>0</v>
      </c>
      <c r="AF224" s="5"/>
      <c r="AG224" s="5"/>
      <c r="AH224" s="26"/>
      <c r="AI224" s="21">
        <f>'A. Revenue by function'!N117</f>
        <v>0</v>
      </c>
      <c r="AJ224" s="226" t="str">
        <f>'C. Other Revenues'!B205</f>
        <v>C.1</v>
      </c>
      <c r="AK224" s="57">
        <f>'C. Other Revenues'!K227</f>
        <v>0</v>
      </c>
      <c r="AL224" s="5"/>
      <c r="AM224" s="226" t="str">
        <f>'C. Other Revenues'!B205</f>
        <v>C.1</v>
      </c>
      <c r="AN224" s="57">
        <f>'C. Other Revenues'!M227</f>
        <v>0</v>
      </c>
      <c r="AO224" s="231"/>
      <c r="AP224" s="57"/>
      <c r="AR224" s="226" t="str">
        <f>'L. Eliminations-Consolidations'!A243</f>
        <v>L.7</v>
      </c>
      <c r="AS224" s="209">
        <f>'L. Eliminations-Consolidations'!L256</f>
        <v>0</v>
      </c>
      <c r="AT224" s="434"/>
      <c r="AU224" s="435"/>
      <c r="AV224" s="270">
        <f t="shared" ref="AV224:AV250" si="85">AD224+AF224+AH224+AK224+AP224+AT224</f>
        <v>0</v>
      </c>
      <c r="AW224" s="270">
        <f t="shared" ref="AW224:AW250" si="86">AE224+AG224+AI224+AN224+AS224+AU224</f>
        <v>0</v>
      </c>
      <c r="AX224" s="287" t="str">
        <f t="shared" si="79"/>
        <v xml:space="preserve"> </v>
      </c>
      <c r="AY224" s="209">
        <f t="shared" si="80"/>
        <v>0</v>
      </c>
      <c r="AZ224" s="287"/>
      <c r="BA224" s="209"/>
    </row>
    <row r="225" spans="1:53" ht="15.75" customHeight="1" x14ac:dyDescent="0.2">
      <c r="A225" s="39"/>
      <c r="B225" s="908"/>
      <c r="C225" t="s">
        <v>292</v>
      </c>
      <c r="D225" s="418"/>
      <c r="E225" s="419"/>
      <c r="F225" s="414"/>
      <c r="G225" s="414"/>
      <c r="H225" s="414"/>
      <c r="I225" s="414"/>
      <c r="J225" s="414"/>
      <c r="K225" s="415"/>
      <c r="L225" s="416"/>
      <c r="M225" s="414"/>
      <c r="N225" s="414"/>
      <c r="O225" s="414"/>
      <c r="P225" s="417"/>
      <c r="Q225" s="417"/>
      <c r="R225" s="417"/>
      <c r="S225" s="417"/>
      <c r="T225" s="417"/>
      <c r="U225" s="417"/>
      <c r="V225" s="417"/>
      <c r="W225" s="417"/>
      <c r="X225" s="415"/>
      <c r="Y225" s="415"/>
      <c r="Z225" s="415"/>
      <c r="AA225" s="415"/>
      <c r="AB225" s="9">
        <f t="shared" si="81"/>
        <v>0</v>
      </c>
      <c r="AC225" s="5">
        <f t="shared" si="82"/>
        <v>0</v>
      </c>
      <c r="AD225" s="26">
        <f t="shared" si="83"/>
        <v>0</v>
      </c>
      <c r="AE225" s="21">
        <f t="shared" si="84"/>
        <v>0</v>
      </c>
      <c r="AF225" s="5"/>
      <c r="AG225" s="5"/>
      <c r="AH225" s="26"/>
      <c r="AI225" s="21">
        <f>'A. Revenue by function'!N118</f>
        <v>0</v>
      </c>
      <c r="AJ225" s="226" t="str">
        <f>'C. Other Revenues'!B205</f>
        <v>C.1</v>
      </c>
      <c r="AK225" s="57">
        <f>'C. Other Revenues'!K236</f>
        <v>0</v>
      </c>
      <c r="AL225" s="5"/>
      <c r="AM225" s="226" t="str">
        <f>'C. Other Revenues'!B205</f>
        <v>C.1</v>
      </c>
      <c r="AN225" s="57">
        <f>'C. Other Revenues'!M236</f>
        <v>0</v>
      </c>
      <c r="AO225" s="231"/>
      <c r="AP225" s="57"/>
      <c r="AR225" s="226" t="str">
        <f>'L. Eliminations-Consolidations'!A243</f>
        <v>L.7</v>
      </c>
      <c r="AS225" s="209">
        <f>'L. Eliminations-Consolidations'!L264</f>
        <v>0</v>
      </c>
      <c r="AT225" s="434"/>
      <c r="AU225" s="435"/>
      <c r="AV225" s="270">
        <f t="shared" si="85"/>
        <v>0</v>
      </c>
      <c r="AW225" s="270">
        <f t="shared" si="86"/>
        <v>0</v>
      </c>
      <c r="AX225" s="287" t="str">
        <f t="shared" si="79"/>
        <v xml:space="preserve"> </v>
      </c>
      <c r="AY225" s="209">
        <f t="shared" si="80"/>
        <v>0</v>
      </c>
      <c r="AZ225" s="287"/>
      <c r="BA225" s="209"/>
    </row>
    <row r="226" spans="1:53" x14ac:dyDescent="0.2">
      <c r="A226" s="39"/>
      <c r="D226" s="418"/>
      <c r="E226" s="419"/>
      <c r="F226" s="414"/>
      <c r="G226" s="414"/>
      <c r="H226" s="414"/>
      <c r="I226" s="414"/>
      <c r="J226" s="414"/>
      <c r="K226" s="415"/>
      <c r="L226" s="416"/>
      <c r="M226" s="414"/>
      <c r="N226" s="414"/>
      <c r="O226" s="414"/>
      <c r="P226" s="417"/>
      <c r="Q226" s="417"/>
      <c r="R226" s="417"/>
      <c r="S226" s="417"/>
      <c r="T226" s="417"/>
      <c r="U226" s="417"/>
      <c r="V226" s="417"/>
      <c r="W226" s="417"/>
      <c r="X226" s="415"/>
      <c r="Y226" s="415"/>
      <c r="Z226" s="415"/>
      <c r="AA226" s="415"/>
      <c r="AB226" s="9">
        <f t="shared" si="81"/>
        <v>0</v>
      </c>
      <c r="AC226" s="5">
        <f t="shared" si="82"/>
        <v>0</v>
      </c>
      <c r="AD226" s="26">
        <f t="shared" si="83"/>
        <v>0</v>
      </c>
      <c r="AE226" s="21">
        <f t="shared" si="84"/>
        <v>0</v>
      </c>
      <c r="AF226" s="5"/>
      <c r="AG226" s="5"/>
      <c r="AH226" s="26"/>
      <c r="AI226" s="21"/>
      <c r="AK226" s="57"/>
      <c r="AL226" s="5"/>
      <c r="AO226" s="231"/>
      <c r="AP226" s="57"/>
      <c r="AS226" s="209"/>
      <c r="AT226" s="434"/>
      <c r="AU226" s="435"/>
      <c r="AV226" s="270">
        <f t="shared" si="85"/>
        <v>0</v>
      </c>
      <c r="AW226" s="270">
        <f t="shared" si="86"/>
        <v>0</v>
      </c>
      <c r="AX226" s="287" t="str">
        <f t="shared" si="79"/>
        <v xml:space="preserve"> </v>
      </c>
      <c r="AY226" s="209">
        <f t="shared" si="80"/>
        <v>0</v>
      </c>
      <c r="AZ226" s="287"/>
      <c r="BA226" s="209"/>
    </row>
    <row r="227" spans="1:53" x14ac:dyDescent="0.2">
      <c r="A227" s="39"/>
      <c r="B227" s="4" t="s">
        <v>881</v>
      </c>
      <c r="D227" s="418"/>
      <c r="E227" s="419"/>
      <c r="F227" s="414"/>
      <c r="G227" s="414"/>
      <c r="H227" s="414"/>
      <c r="I227" s="414"/>
      <c r="J227" s="414"/>
      <c r="K227" s="415"/>
      <c r="L227" s="416"/>
      <c r="M227" s="414"/>
      <c r="N227" s="414"/>
      <c r="O227" s="414"/>
      <c r="P227" s="417"/>
      <c r="Q227" s="417"/>
      <c r="R227" s="417"/>
      <c r="S227" s="417"/>
      <c r="T227" s="417"/>
      <c r="U227" s="417"/>
      <c r="V227" s="417"/>
      <c r="W227" s="417"/>
      <c r="X227" s="415"/>
      <c r="Y227" s="415"/>
      <c r="Z227" s="415"/>
      <c r="AA227" s="415"/>
      <c r="AB227" s="9">
        <f t="shared" si="81"/>
        <v>0</v>
      </c>
      <c r="AC227" s="5">
        <f t="shared" si="82"/>
        <v>0</v>
      </c>
      <c r="AD227" s="26">
        <f t="shared" si="83"/>
        <v>0</v>
      </c>
      <c r="AE227" s="21">
        <f t="shared" si="84"/>
        <v>0</v>
      </c>
      <c r="AF227" s="5"/>
      <c r="AG227" s="5"/>
      <c r="AH227" s="26"/>
      <c r="AI227" s="21"/>
      <c r="AK227" s="57"/>
      <c r="AL227" s="5"/>
      <c r="AN227" s="57"/>
      <c r="AO227" s="231"/>
      <c r="AP227" s="57"/>
      <c r="AS227" s="209"/>
      <c r="AT227" s="434"/>
      <c r="AU227" s="435"/>
      <c r="AV227" s="270">
        <f t="shared" si="85"/>
        <v>0</v>
      </c>
      <c r="AW227" s="270">
        <f t="shared" si="86"/>
        <v>0</v>
      </c>
      <c r="AX227" s="287" t="str">
        <f t="shared" si="79"/>
        <v xml:space="preserve"> </v>
      </c>
      <c r="AY227" s="209">
        <f t="shared" si="80"/>
        <v>0</v>
      </c>
      <c r="AZ227" s="287"/>
      <c r="BA227" s="209"/>
    </row>
    <row r="228" spans="1:53" x14ac:dyDescent="0.2">
      <c r="A228" s="39"/>
      <c r="B228" s="908" t="s">
        <v>514</v>
      </c>
      <c r="C228" t="s">
        <v>491</v>
      </c>
      <c r="D228" s="418"/>
      <c r="E228" s="419"/>
      <c r="F228" s="414"/>
      <c r="G228" s="414"/>
      <c r="H228" s="414"/>
      <c r="I228" s="414"/>
      <c r="J228" s="414"/>
      <c r="K228" s="415"/>
      <c r="L228" s="416"/>
      <c r="M228" s="414"/>
      <c r="N228" s="414"/>
      <c r="O228" s="414"/>
      <c r="P228" s="417"/>
      <c r="Q228" s="417"/>
      <c r="R228" s="417"/>
      <c r="S228" s="417"/>
      <c r="T228" s="417"/>
      <c r="U228" s="417"/>
      <c r="V228" s="417"/>
      <c r="W228" s="417"/>
      <c r="X228" s="415"/>
      <c r="Y228" s="415"/>
      <c r="Z228" s="415"/>
      <c r="AA228" s="415"/>
      <c r="AB228" s="9">
        <f t="shared" si="81"/>
        <v>0</v>
      </c>
      <c r="AC228" s="5">
        <f t="shared" si="82"/>
        <v>0</v>
      </c>
      <c r="AD228" s="26">
        <f t="shared" si="83"/>
        <v>0</v>
      </c>
      <c r="AE228" s="21">
        <f t="shared" si="84"/>
        <v>0</v>
      </c>
      <c r="AF228" s="5"/>
      <c r="AG228" s="5"/>
      <c r="AH228" s="26"/>
      <c r="AI228" s="21">
        <f>'A. Revenue by function'!N119</f>
        <v>0</v>
      </c>
      <c r="AJ228" s="226" t="str">
        <f>'C. Other Revenues'!B205</f>
        <v>C.1</v>
      </c>
      <c r="AK228" s="57">
        <f>'C. Other Revenues'!K219</f>
        <v>0</v>
      </c>
      <c r="AL228" s="5"/>
      <c r="AM228" s="226" t="str">
        <f>'C. Other Revenues'!B205</f>
        <v>C.1</v>
      </c>
      <c r="AN228" s="57">
        <f>'C. Other Revenues'!M219</f>
        <v>0</v>
      </c>
      <c r="AO228" s="231"/>
      <c r="AP228" s="57"/>
      <c r="AS228" s="209"/>
      <c r="AT228" s="434"/>
      <c r="AU228" s="435"/>
      <c r="AV228" s="270">
        <f t="shared" si="85"/>
        <v>0</v>
      </c>
      <c r="AW228" s="270">
        <f t="shared" si="86"/>
        <v>0</v>
      </c>
      <c r="AX228" s="287" t="str">
        <f t="shared" si="79"/>
        <v xml:space="preserve"> </v>
      </c>
      <c r="AY228" s="209">
        <f t="shared" si="80"/>
        <v>0</v>
      </c>
      <c r="AZ228" s="287"/>
      <c r="BA228" s="209"/>
    </row>
    <row r="229" spans="1:53" x14ac:dyDescent="0.2">
      <c r="A229" s="39"/>
      <c r="B229" s="908"/>
      <c r="C229" t="s">
        <v>291</v>
      </c>
      <c r="D229" s="418"/>
      <c r="E229" s="419"/>
      <c r="F229" s="414"/>
      <c r="G229" s="414"/>
      <c r="H229" s="414"/>
      <c r="I229" s="414"/>
      <c r="J229" s="414"/>
      <c r="K229" s="415"/>
      <c r="L229" s="416"/>
      <c r="M229" s="414"/>
      <c r="N229" s="414"/>
      <c r="O229" s="414"/>
      <c r="P229" s="417"/>
      <c r="Q229" s="417"/>
      <c r="R229" s="417"/>
      <c r="S229" s="417"/>
      <c r="T229" s="417"/>
      <c r="U229" s="417"/>
      <c r="V229" s="417"/>
      <c r="W229" s="417"/>
      <c r="X229" s="415"/>
      <c r="Y229" s="415"/>
      <c r="Z229" s="415"/>
      <c r="AA229" s="415"/>
      <c r="AB229" s="9">
        <f t="shared" si="81"/>
        <v>0</v>
      </c>
      <c r="AC229" s="5">
        <f t="shared" si="82"/>
        <v>0</v>
      </c>
      <c r="AD229" s="26">
        <f t="shared" si="83"/>
        <v>0</v>
      </c>
      <c r="AE229" s="21">
        <f t="shared" si="84"/>
        <v>0</v>
      </c>
      <c r="AF229" s="5"/>
      <c r="AG229" s="5"/>
      <c r="AH229" s="26"/>
      <c r="AI229" s="21">
        <f>'A. Revenue by function'!N120</f>
        <v>0</v>
      </c>
      <c r="AJ229" s="226" t="str">
        <f>'C. Other Revenues'!B205</f>
        <v>C.1</v>
      </c>
      <c r="AK229" s="57">
        <f>'C. Other Revenues'!K228</f>
        <v>0</v>
      </c>
      <c r="AL229" s="5"/>
      <c r="AM229" s="226" t="str">
        <f>'C. Other Revenues'!B205</f>
        <v>C.1</v>
      </c>
      <c r="AN229" s="57">
        <f>'C. Other Revenues'!M228</f>
        <v>0</v>
      </c>
      <c r="AO229" s="231"/>
      <c r="AP229" s="57"/>
      <c r="AR229" s="226" t="str">
        <f>'L. Eliminations-Consolidations'!A243</f>
        <v>L.7</v>
      </c>
      <c r="AS229" s="209">
        <f>'L. Eliminations-Consolidations'!L257</f>
        <v>0</v>
      </c>
      <c r="AT229" s="434"/>
      <c r="AU229" s="435"/>
      <c r="AV229" s="270">
        <f t="shared" si="85"/>
        <v>0</v>
      </c>
      <c r="AW229" s="270">
        <f t="shared" si="86"/>
        <v>0</v>
      </c>
      <c r="AX229" s="287" t="str">
        <f t="shared" si="79"/>
        <v xml:space="preserve"> </v>
      </c>
      <c r="AY229" s="209">
        <f t="shared" si="80"/>
        <v>0</v>
      </c>
      <c r="AZ229" s="287"/>
      <c r="BA229" s="209"/>
    </row>
    <row r="230" spans="1:53" ht="15.75" customHeight="1" x14ac:dyDescent="0.2">
      <c r="A230" s="39"/>
      <c r="B230" s="908"/>
      <c r="C230" t="s">
        <v>292</v>
      </c>
      <c r="D230" s="418"/>
      <c r="E230" s="419"/>
      <c r="F230" s="414"/>
      <c r="G230" s="414"/>
      <c r="H230" s="414"/>
      <c r="I230" s="414"/>
      <c r="J230" s="414"/>
      <c r="K230" s="415"/>
      <c r="L230" s="416"/>
      <c r="M230" s="414"/>
      <c r="N230" s="414"/>
      <c r="O230" s="414"/>
      <c r="P230" s="417"/>
      <c r="Q230" s="417"/>
      <c r="R230" s="417"/>
      <c r="S230" s="417"/>
      <c r="T230" s="417"/>
      <c r="U230" s="417"/>
      <c r="V230" s="417"/>
      <c r="W230" s="417"/>
      <c r="X230" s="415"/>
      <c r="Y230" s="415"/>
      <c r="Z230" s="415"/>
      <c r="AA230" s="415"/>
      <c r="AB230" s="9">
        <f t="shared" si="81"/>
        <v>0</v>
      </c>
      <c r="AC230" s="5">
        <f t="shared" si="82"/>
        <v>0</v>
      </c>
      <c r="AD230" s="26">
        <f t="shared" si="83"/>
        <v>0</v>
      </c>
      <c r="AE230" s="21">
        <f t="shared" si="84"/>
        <v>0</v>
      </c>
      <c r="AF230" s="5"/>
      <c r="AG230" s="5"/>
      <c r="AH230" s="26"/>
      <c r="AI230" s="21">
        <f>'A. Revenue by function'!N121</f>
        <v>0</v>
      </c>
      <c r="AJ230" s="226" t="str">
        <f>'C. Other Revenues'!B205</f>
        <v>C.1</v>
      </c>
      <c r="AK230" s="57">
        <f>'C. Other Revenues'!K237</f>
        <v>0</v>
      </c>
      <c r="AL230" s="5"/>
      <c r="AM230" s="226" t="str">
        <f>'C. Other Revenues'!B205</f>
        <v>C.1</v>
      </c>
      <c r="AN230" s="57">
        <f>'C. Other Revenues'!M237</f>
        <v>0</v>
      </c>
      <c r="AO230" s="231"/>
      <c r="AP230" s="57"/>
      <c r="AR230" s="226" t="str">
        <f>'L. Eliminations-Consolidations'!A243</f>
        <v>L.7</v>
      </c>
      <c r="AS230" s="209">
        <f>'L. Eliminations-Consolidations'!L265</f>
        <v>0</v>
      </c>
      <c r="AT230" s="434"/>
      <c r="AU230" s="435"/>
      <c r="AV230" s="270">
        <f t="shared" si="85"/>
        <v>0</v>
      </c>
      <c r="AW230" s="270">
        <f t="shared" si="86"/>
        <v>0</v>
      </c>
      <c r="AX230" s="287" t="str">
        <f t="shared" si="79"/>
        <v xml:space="preserve"> </v>
      </c>
      <c r="AY230" s="209">
        <f t="shared" si="80"/>
        <v>0</v>
      </c>
      <c r="AZ230" s="287"/>
      <c r="BA230" s="209"/>
    </row>
    <row r="231" spans="1:53" x14ac:dyDescent="0.2">
      <c r="A231" s="39"/>
      <c r="D231" s="418"/>
      <c r="E231" s="419"/>
      <c r="F231" s="414"/>
      <c r="G231" s="414"/>
      <c r="H231" s="414"/>
      <c r="I231" s="414"/>
      <c r="J231" s="414"/>
      <c r="K231" s="415"/>
      <c r="L231" s="416"/>
      <c r="M231" s="414"/>
      <c r="N231" s="414"/>
      <c r="O231" s="414"/>
      <c r="P231" s="417"/>
      <c r="Q231" s="417"/>
      <c r="R231" s="417"/>
      <c r="S231" s="417"/>
      <c r="T231" s="417"/>
      <c r="U231" s="417"/>
      <c r="V231" s="417"/>
      <c r="W231" s="417"/>
      <c r="X231" s="415"/>
      <c r="Y231" s="415"/>
      <c r="Z231" s="415"/>
      <c r="AA231" s="415"/>
      <c r="AB231" s="9">
        <f t="shared" si="81"/>
        <v>0</v>
      </c>
      <c r="AC231" s="5">
        <f t="shared" si="82"/>
        <v>0</v>
      </c>
      <c r="AD231" s="26">
        <f t="shared" si="83"/>
        <v>0</v>
      </c>
      <c r="AE231" s="21">
        <f t="shared" si="84"/>
        <v>0</v>
      </c>
      <c r="AF231" s="5"/>
      <c r="AG231" s="5"/>
      <c r="AH231" s="26"/>
      <c r="AI231" s="21"/>
      <c r="AK231" s="57"/>
      <c r="AL231" s="5"/>
      <c r="AO231" s="231"/>
      <c r="AP231" s="57"/>
      <c r="AS231" s="209"/>
      <c r="AT231" s="434"/>
      <c r="AU231" s="435"/>
      <c r="AV231" s="270">
        <f t="shared" si="85"/>
        <v>0</v>
      </c>
      <c r="AW231" s="270">
        <f t="shared" si="86"/>
        <v>0</v>
      </c>
      <c r="AX231" s="287" t="str">
        <f t="shared" si="79"/>
        <v xml:space="preserve"> </v>
      </c>
      <c r="AY231" s="209">
        <f t="shared" si="80"/>
        <v>0</v>
      </c>
      <c r="AZ231" s="287"/>
      <c r="BA231" s="209"/>
    </row>
    <row r="232" spans="1:53" x14ac:dyDescent="0.2">
      <c r="A232" s="39"/>
      <c r="B232" s="4" t="s">
        <v>890</v>
      </c>
      <c r="D232" s="418"/>
      <c r="E232" s="419"/>
      <c r="F232" s="414"/>
      <c r="G232" s="414"/>
      <c r="H232" s="414"/>
      <c r="I232" s="414"/>
      <c r="J232" s="414"/>
      <c r="K232" s="415"/>
      <c r="L232" s="416"/>
      <c r="M232" s="414"/>
      <c r="N232" s="414"/>
      <c r="O232" s="414"/>
      <c r="P232" s="417"/>
      <c r="Q232" s="417"/>
      <c r="R232" s="417"/>
      <c r="S232" s="417"/>
      <c r="T232" s="417"/>
      <c r="U232" s="417"/>
      <c r="V232" s="417"/>
      <c r="W232" s="417"/>
      <c r="X232" s="415"/>
      <c r="Y232" s="415"/>
      <c r="Z232" s="415"/>
      <c r="AA232" s="415"/>
      <c r="AB232" s="9">
        <f t="shared" si="81"/>
        <v>0</v>
      </c>
      <c r="AC232" s="5">
        <f t="shared" si="82"/>
        <v>0</v>
      </c>
      <c r="AD232" s="26">
        <f t="shared" si="83"/>
        <v>0</v>
      </c>
      <c r="AE232" s="21">
        <f t="shared" si="84"/>
        <v>0</v>
      </c>
      <c r="AF232" s="5"/>
      <c r="AG232" s="5"/>
      <c r="AH232" s="26"/>
      <c r="AI232" s="21"/>
      <c r="AK232" s="57"/>
      <c r="AL232" s="5"/>
      <c r="AN232" s="57"/>
      <c r="AO232" s="231"/>
      <c r="AP232" s="57"/>
      <c r="AS232" s="209"/>
      <c r="AT232" s="434"/>
      <c r="AU232" s="435"/>
      <c r="AV232" s="270">
        <f t="shared" si="85"/>
        <v>0</v>
      </c>
      <c r="AW232" s="270">
        <f t="shared" si="86"/>
        <v>0</v>
      </c>
      <c r="AX232" s="287" t="str">
        <f t="shared" si="79"/>
        <v xml:space="preserve"> </v>
      </c>
      <c r="AY232" s="209">
        <f t="shared" si="80"/>
        <v>0</v>
      </c>
      <c r="AZ232" s="287"/>
      <c r="BA232" s="209"/>
    </row>
    <row r="233" spans="1:53" x14ac:dyDescent="0.2">
      <c r="A233" s="39"/>
      <c r="B233" s="908" t="s">
        <v>514</v>
      </c>
      <c r="C233" t="s">
        <v>491</v>
      </c>
      <c r="D233" s="418"/>
      <c r="E233" s="419"/>
      <c r="F233" s="414"/>
      <c r="G233" s="414"/>
      <c r="H233" s="414"/>
      <c r="I233" s="414"/>
      <c r="J233" s="414"/>
      <c r="K233" s="415"/>
      <c r="L233" s="416"/>
      <c r="M233" s="414"/>
      <c r="N233" s="414"/>
      <c r="O233" s="414"/>
      <c r="P233" s="417"/>
      <c r="Q233" s="417"/>
      <c r="R233" s="417"/>
      <c r="S233" s="417"/>
      <c r="T233" s="417"/>
      <c r="U233" s="417"/>
      <c r="V233" s="417"/>
      <c r="W233" s="417"/>
      <c r="X233" s="415"/>
      <c r="Y233" s="415"/>
      <c r="Z233" s="415"/>
      <c r="AA233" s="415"/>
      <c r="AB233" s="9">
        <f t="shared" si="81"/>
        <v>0</v>
      </c>
      <c r="AC233" s="5">
        <f t="shared" si="82"/>
        <v>0</v>
      </c>
      <c r="AD233" s="26">
        <f t="shared" si="83"/>
        <v>0</v>
      </c>
      <c r="AE233" s="21">
        <f t="shared" si="84"/>
        <v>0</v>
      </c>
      <c r="AF233" s="5"/>
      <c r="AG233" s="5"/>
      <c r="AH233" s="26"/>
      <c r="AI233" s="21">
        <f>'A. Revenue by function'!N122</f>
        <v>0</v>
      </c>
      <c r="AJ233" s="226" t="str">
        <f>'C. Other Revenues'!B205</f>
        <v>C.1</v>
      </c>
      <c r="AK233" s="57">
        <f>'C. Other Revenues'!K220</f>
        <v>0</v>
      </c>
      <c r="AL233" s="5"/>
      <c r="AM233" s="226" t="str">
        <f>'C. Other Revenues'!B205</f>
        <v>C.1</v>
      </c>
      <c r="AN233" s="57">
        <f>'C. Other Revenues'!M220</f>
        <v>0</v>
      </c>
      <c r="AO233" s="231"/>
      <c r="AP233" s="57"/>
      <c r="AS233" s="209"/>
      <c r="AT233" s="434"/>
      <c r="AU233" s="435"/>
      <c r="AV233" s="270">
        <f t="shared" si="85"/>
        <v>0</v>
      </c>
      <c r="AW233" s="270">
        <f t="shared" si="86"/>
        <v>0</v>
      </c>
      <c r="AX233" s="287" t="str">
        <f t="shared" si="79"/>
        <v xml:space="preserve"> </v>
      </c>
      <c r="AY233" s="209">
        <f t="shared" si="80"/>
        <v>0</v>
      </c>
      <c r="AZ233" s="287"/>
      <c r="BA233" s="209"/>
    </row>
    <row r="234" spans="1:53" x14ac:dyDescent="0.2">
      <c r="A234" s="39"/>
      <c r="B234" s="908"/>
      <c r="C234" t="s">
        <v>291</v>
      </c>
      <c r="D234" s="418"/>
      <c r="E234" s="419"/>
      <c r="F234" s="414"/>
      <c r="G234" s="414"/>
      <c r="H234" s="414"/>
      <c r="I234" s="414"/>
      <c r="J234" s="414"/>
      <c r="K234" s="415"/>
      <c r="L234" s="416"/>
      <c r="M234" s="414"/>
      <c r="N234" s="414"/>
      <c r="O234" s="414"/>
      <c r="P234" s="417"/>
      <c r="Q234" s="417"/>
      <c r="R234" s="417"/>
      <c r="S234" s="417"/>
      <c r="T234" s="417"/>
      <c r="U234" s="417"/>
      <c r="V234" s="417"/>
      <c r="W234" s="417"/>
      <c r="X234" s="415"/>
      <c r="Y234" s="415"/>
      <c r="Z234" s="415"/>
      <c r="AA234" s="415"/>
      <c r="AB234" s="9">
        <f t="shared" si="81"/>
        <v>0</v>
      </c>
      <c r="AC234" s="5">
        <f t="shared" si="82"/>
        <v>0</v>
      </c>
      <c r="AD234" s="26">
        <f t="shared" si="83"/>
        <v>0</v>
      </c>
      <c r="AE234" s="21">
        <f t="shared" si="84"/>
        <v>0</v>
      </c>
      <c r="AF234" s="5"/>
      <c r="AG234" s="5"/>
      <c r="AH234" s="26"/>
      <c r="AI234" s="21">
        <f>'A. Revenue by function'!N123</f>
        <v>0</v>
      </c>
      <c r="AJ234" s="226" t="str">
        <f>'C. Other Revenues'!B205</f>
        <v>C.1</v>
      </c>
      <c r="AK234" s="57">
        <f>'C. Other Revenues'!K229</f>
        <v>0</v>
      </c>
      <c r="AL234" s="5"/>
      <c r="AM234" s="226" t="str">
        <f>'C. Other Revenues'!B205</f>
        <v>C.1</v>
      </c>
      <c r="AN234" s="57">
        <f>'C. Other Revenues'!M229</f>
        <v>0</v>
      </c>
      <c r="AO234" s="231"/>
      <c r="AP234" s="57"/>
      <c r="AR234" s="226" t="str">
        <f>'L. Eliminations-Consolidations'!A243</f>
        <v>L.7</v>
      </c>
      <c r="AS234" s="209">
        <f>'L. Eliminations-Consolidations'!L258</f>
        <v>0</v>
      </c>
      <c r="AT234" s="434"/>
      <c r="AU234" s="435"/>
      <c r="AV234" s="270">
        <f t="shared" si="85"/>
        <v>0</v>
      </c>
      <c r="AW234" s="270">
        <f t="shared" si="86"/>
        <v>0</v>
      </c>
      <c r="AX234" s="287" t="str">
        <f t="shared" si="79"/>
        <v xml:space="preserve"> </v>
      </c>
      <c r="AY234" s="209">
        <f t="shared" si="80"/>
        <v>0</v>
      </c>
      <c r="AZ234" s="287"/>
      <c r="BA234" s="209"/>
    </row>
    <row r="235" spans="1:53" ht="15" customHeight="1" x14ac:dyDescent="0.2">
      <c r="A235" s="39"/>
      <c r="B235" s="908"/>
      <c r="C235" t="s">
        <v>292</v>
      </c>
      <c r="D235" s="418"/>
      <c r="E235" s="419"/>
      <c r="F235" s="414"/>
      <c r="G235" s="414"/>
      <c r="H235" s="414"/>
      <c r="I235" s="414"/>
      <c r="J235" s="414"/>
      <c r="K235" s="415"/>
      <c r="L235" s="416"/>
      <c r="M235" s="414"/>
      <c r="N235" s="414"/>
      <c r="O235" s="414"/>
      <c r="P235" s="417"/>
      <c r="Q235" s="417"/>
      <c r="R235" s="417"/>
      <c r="S235" s="417"/>
      <c r="T235" s="417"/>
      <c r="U235" s="417"/>
      <c r="V235" s="417"/>
      <c r="W235" s="417"/>
      <c r="X235" s="415"/>
      <c r="Y235" s="415"/>
      <c r="Z235" s="415"/>
      <c r="AA235" s="415"/>
      <c r="AB235" s="9">
        <f t="shared" si="81"/>
        <v>0</v>
      </c>
      <c r="AC235" s="5">
        <f t="shared" si="82"/>
        <v>0</v>
      </c>
      <c r="AD235" s="26">
        <f t="shared" si="83"/>
        <v>0</v>
      </c>
      <c r="AE235" s="21">
        <f t="shared" si="84"/>
        <v>0</v>
      </c>
      <c r="AF235" s="5"/>
      <c r="AG235" s="5"/>
      <c r="AH235" s="26"/>
      <c r="AI235" s="21">
        <f>'A. Revenue by function'!N124</f>
        <v>0</v>
      </c>
      <c r="AJ235" s="226" t="str">
        <f>'C. Other Revenues'!B205</f>
        <v>C.1</v>
      </c>
      <c r="AK235" s="57">
        <f>'C. Other Revenues'!K238</f>
        <v>0</v>
      </c>
      <c r="AL235" s="5"/>
      <c r="AM235" s="226" t="str">
        <f>'C. Other Revenues'!B205</f>
        <v>C.1</v>
      </c>
      <c r="AN235" s="57">
        <f>'C. Other Revenues'!M238</f>
        <v>0</v>
      </c>
      <c r="AO235" s="231"/>
      <c r="AP235" s="57"/>
      <c r="AR235" s="226" t="str">
        <f>'L. Eliminations-Consolidations'!A243</f>
        <v>L.7</v>
      </c>
      <c r="AS235" s="209">
        <f>'L. Eliminations-Consolidations'!L266</f>
        <v>0</v>
      </c>
      <c r="AT235" s="434"/>
      <c r="AU235" s="435"/>
      <c r="AV235" s="270">
        <f t="shared" si="85"/>
        <v>0</v>
      </c>
      <c r="AW235" s="270">
        <f t="shared" si="86"/>
        <v>0</v>
      </c>
      <c r="AX235" s="287" t="str">
        <f t="shared" si="79"/>
        <v xml:space="preserve"> </v>
      </c>
      <c r="AY235" s="209">
        <f t="shared" si="80"/>
        <v>0</v>
      </c>
      <c r="AZ235" s="287"/>
      <c r="BA235" s="209"/>
    </row>
    <row r="236" spans="1:53" ht="12.75" customHeight="1" x14ac:dyDescent="0.2">
      <c r="A236" s="39"/>
      <c r="B236" s="313"/>
      <c r="D236" s="418"/>
      <c r="E236" s="419"/>
      <c r="F236" s="414"/>
      <c r="G236" s="414"/>
      <c r="H236" s="414"/>
      <c r="I236" s="414"/>
      <c r="J236" s="414"/>
      <c r="K236" s="415"/>
      <c r="L236" s="416"/>
      <c r="M236" s="414"/>
      <c r="N236" s="414"/>
      <c r="O236" s="414"/>
      <c r="P236" s="417"/>
      <c r="Q236" s="417"/>
      <c r="R236" s="417"/>
      <c r="S236" s="417"/>
      <c r="T236" s="417"/>
      <c r="U236" s="417"/>
      <c r="V236" s="417"/>
      <c r="W236" s="417"/>
      <c r="X236" s="415"/>
      <c r="Y236" s="415"/>
      <c r="Z236" s="415"/>
      <c r="AA236" s="415"/>
      <c r="AB236" s="9">
        <f t="shared" si="81"/>
        <v>0</v>
      </c>
      <c r="AC236" s="5">
        <f t="shared" si="82"/>
        <v>0</v>
      </c>
      <c r="AD236" s="26">
        <f t="shared" si="83"/>
        <v>0</v>
      </c>
      <c r="AE236" s="21">
        <f t="shared" si="84"/>
        <v>0</v>
      </c>
      <c r="AF236" s="5"/>
      <c r="AG236" s="5"/>
      <c r="AH236" s="26"/>
      <c r="AI236" s="21"/>
      <c r="AK236" s="57"/>
      <c r="AL236" s="5"/>
      <c r="AO236" s="231"/>
      <c r="AP236" s="57"/>
      <c r="AS236" s="209"/>
      <c r="AT236" s="434"/>
      <c r="AU236" s="435"/>
      <c r="AV236" s="270">
        <f t="shared" si="85"/>
        <v>0</v>
      </c>
      <c r="AW236" s="270">
        <f t="shared" si="86"/>
        <v>0</v>
      </c>
      <c r="AX236" s="287" t="str">
        <f t="shared" si="79"/>
        <v xml:space="preserve"> </v>
      </c>
      <c r="AY236" s="209">
        <f t="shared" si="80"/>
        <v>0</v>
      </c>
      <c r="AZ236" s="287"/>
      <c r="BA236" s="209"/>
    </row>
    <row r="237" spans="1:53" ht="15" customHeight="1" x14ac:dyDescent="0.2">
      <c r="A237" s="39"/>
      <c r="B237" s="4" t="s">
        <v>910</v>
      </c>
      <c r="D237" s="418"/>
      <c r="E237" s="419"/>
      <c r="F237" s="414"/>
      <c r="G237" s="414"/>
      <c r="H237" s="414"/>
      <c r="I237" s="414"/>
      <c r="J237" s="414"/>
      <c r="K237" s="415"/>
      <c r="L237" s="416"/>
      <c r="M237" s="414"/>
      <c r="N237" s="414"/>
      <c r="O237" s="414"/>
      <c r="P237" s="417"/>
      <c r="Q237" s="417"/>
      <c r="R237" s="417"/>
      <c r="S237" s="417"/>
      <c r="T237" s="417"/>
      <c r="U237" s="417"/>
      <c r="V237" s="417"/>
      <c r="W237" s="417"/>
      <c r="X237" s="415"/>
      <c r="Y237" s="415"/>
      <c r="Z237" s="415"/>
      <c r="AA237" s="415"/>
      <c r="AB237" s="9">
        <f t="shared" si="81"/>
        <v>0</v>
      </c>
      <c r="AC237" s="5">
        <f t="shared" si="82"/>
        <v>0</v>
      </c>
      <c r="AD237" s="26">
        <f t="shared" si="83"/>
        <v>0</v>
      </c>
      <c r="AE237" s="21">
        <f t="shared" si="84"/>
        <v>0</v>
      </c>
      <c r="AF237" s="5"/>
      <c r="AG237" s="5"/>
      <c r="AH237" s="26"/>
      <c r="AI237" s="21"/>
      <c r="AK237" s="57"/>
      <c r="AL237" s="5"/>
      <c r="AN237" s="57"/>
      <c r="AO237" s="231"/>
      <c r="AP237" s="57"/>
      <c r="AS237" s="209"/>
      <c r="AT237" s="434"/>
      <c r="AU237" s="435"/>
      <c r="AV237" s="270">
        <f t="shared" si="85"/>
        <v>0</v>
      </c>
      <c r="AW237" s="270">
        <f t="shared" si="86"/>
        <v>0</v>
      </c>
      <c r="AX237" s="287" t="str">
        <f t="shared" si="79"/>
        <v xml:space="preserve"> </v>
      </c>
      <c r="AY237" s="209">
        <f t="shared" si="80"/>
        <v>0</v>
      </c>
      <c r="AZ237" s="287"/>
      <c r="BA237" s="209"/>
    </row>
    <row r="238" spans="1:53" ht="15" customHeight="1" x14ac:dyDescent="0.2">
      <c r="A238" s="39"/>
      <c r="B238" s="908" t="s">
        <v>514</v>
      </c>
      <c r="C238" t="s">
        <v>491</v>
      </c>
      <c r="D238" s="418"/>
      <c r="E238" s="419"/>
      <c r="F238" s="414"/>
      <c r="G238" s="414"/>
      <c r="H238" s="414"/>
      <c r="I238" s="414"/>
      <c r="J238" s="414"/>
      <c r="K238" s="415"/>
      <c r="L238" s="416"/>
      <c r="M238" s="414"/>
      <c r="N238" s="414"/>
      <c r="O238" s="414"/>
      <c r="P238" s="417"/>
      <c r="Q238" s="417"/>
      <c r="R238" s="417"/>
      <c r="S238" s="417"/>
      <c r="T238" s="417"/>
      <c r="U238" s="417"/>
      <c r="V238" s="417"/>
      <c r="W238" s="417"/>
      <c r="X238" s="415"/>
      <c r="Y238" s="415"/>
      <c r="Z238" s="415"/>
      <c r="AA238" s="415"/>
      <c r="AB238" s="9">
        <f t="shared" si="81"/>
        <v>0</v>
      </c>
      <c r="AC238" s="5">
        <f t="shared" si="82"/>
        <v>0</v>
      </c>
      <c r="AD238" s="26">
        <f t="shared" si="83"/>
        <v>0</v>
      </c>
      <c r="AE238" s="21">
        <f t="shared" si="84"/>
        <v>0</v>
      </c>
      <c r="AF238" s="5"/>
      <c r="AG238" s="5"/>
      <c r="AH238" s="26"/>
      <c r="AI238" s="21">
        <f>'A. Revenue by function'!N125</f>
        <v>0</v>
      </c>
      <c r="AJ238" s="226" t="str">
        <f>'C. Other Revenues'!B205</f>
        <v>C.1</v>
      </c>
      <c r="AK238" s="57">
        <f>'C. Other Revenues'!K221</f>
        <v>0</v>
      </c>
      <c r="AL238" s="5"/>
      <c r="AM238" s="226" t="str">
        <f>'C. Other Revenues'!B205</f>
        <v>C.1</v>
      </c>
      <c r="AN238" s="57">
        <f>'C. Other Revenues'!M221</f>
        <v>0</v>
      </c>
      <c r="AO238" s="231"/>
      <c r="AP238" s="57"/>
      <c r="AS238" s="209"/>
      <c r="AT238" s="434"/>
      <c r="AU238" s="435"/>
      <c r="AV238" s="270">
        <f t="shared" si="85"/>
        <v>0</v>
      </c>
      <c r="AW238" s="270">
        <f t="shared" si="86"/>
        <v>0</v>
      </c>
      <c r="AX238" s="287" t="str">
        <f t="shared" si="79"/>
        <v xml:space="preserve"> </v>
      </c>
      <c r="AY238" s="209">
        <f t="shared" si="80"/>
        <v>0</v>
      </c>
      <c r="AZ238" s="287"/>
      <c r="BA238" s="209"/>
    </row>
    <row r="239" spans="1:53" ht="15" customHeight="1" x14ac:dyDescent="0.2">
      <c r="A239" s="39"/>
      <c r="B239" s="908"/>
      <c r="C239" t="s">
        <v>291</v>
      </c>
      <c r="D239" s="418"/>
      <c r="E239" s="419"/>
      <c r="F239" s="414"/>
      <c r="G239" s="414"/>
      <c r="H239" s="414"/>
      <c r="I239" s="414"/>
      <c r="J239" s="414"/>
      <c r="K239" s="415"/>
      <c r="L239" s="416"/>
      <c r="M239" s="414"/>
      <c r="N239" s="414"/>
      <c r="O239" s="414"/>
      <c r="P239" s="417"/>
      <c r="Q239" s="417"/>
      <c r="R239" s="417"/>
      <c r="S239" s="417"/>
      <c r="T239" s="417"/>
      <c r="U239" s="417"/>
      <c r="V239" s="417"/>
      <c r="W239" s="417"/>
      <c r="X239" s="415"/>
      <c r="Y239" s="415"/>
      <c r="Z239" s="415"/>
      <c r="AA239" s="415"/>
      <c r="AB239" s="9">
        <f t="shared" si="81"/>
        <v>0</v>
      </c>
      <c r="AC239" s="5">
        <f t="shared" si="82"/>
        <v>0</v>
      </c>
      <c r="AD239" s="26">
        <f t="shared" si="83"/>
        <v>0</v>
      </c>
      <c r="AE239" s="21">
        <f t="shared" si="84"/>
        <v>0</v>
      </c>
      <c r="AF239" s="5"/>
      <c r="AG239" s="5"/>
      <c r="AH239" s="26"/>
      <c r="AI239" s="21">
        <f>'A. Revenue by function'!N126</f>
        <v>0</v>
      </c>
      <c r="AJ239" s="226" t="str">
        <f>'C. Other Revenues'!B205</f>
        <v>C.1</v>
      </c>
      <c r="AK239" s="57">
        <f>'C. Other Revenues'!K230</f>
        <v>0</v>
      </c>
      <c r="AL239" s="5"/>
      <c r="AM239" s="226" t="str">
        <f>'C. Other Revenues'!B205</f>
        <v>C.1</v>
      </c>
      <c r="AN239" s="57">
        <f>'C. Other Revenues'!M230</f>
        <v>0</v>
      </c>
      <c r="AO239" s="231"/>
      <c r="AP239" s="57"/>
      <c r="AR239" s="226" t="str">
        <f>'L. Eliminations-Consolidations'!A243</f>
        <v>L.7</v>
      </c>
      <c r="AS239" s="209">
        <f>'L. Eliminations-Consolidations'!L259</f>
        <v>0</v>
      </c>
      <c r="AT239" s="434"/>
      <c r="AU239" s="435"/>
      <c r="AV239" s="270">
        <f t="shared" si="85"/>
        <v>0</v>
      </c>
      <c r="AW239" s="270">
        <f t="shared" si="86"/>
        <v>0</v>
      </c>
      <c r="AX239" s="287" t="str">
        <f t="shared" si="79"/>
        <v xml:space="preserve"> </v>
      </c>
      <c r="AY239" s="209">
        <f t="shared" si="80"/>
        <v>0</v>
      </c>
      <c r="AZ239" s="287"/>
      <c r="BA239" s="209"/>
    </row>
    <row r="240" spans="1:53" ht="15" customHeight="1" x14ac:dyDescent="0.2">
      <c r="A240" s="39"/>
      <c r="B240" s="908"/>
      <c r="C240" t="s">
        <v>292</v>
      </c>
      <c r="D240" s="418"/>
      <c r="E240" s="419"/>
      <c r="F240" s="414"/>
      <c r="G240" s="414"/>
      <c r="H240" s="414"/>
      <c r="I240" s="414"/>
      <c r="J240" s="414"/>
      <c r="K240" s="415"/>
      <c r="L240" s="416"/>
      <c r="M240" s="414"/>
      <c r="N240" s="414"/>
      <c r="O240" s="414"/>
      <c r="P240" s="417"/>
      <c r="Q240" s="417"/>
      <c r="R240" s="417"/>
      <c r="S240" s="417"/>
      <c r="T240" s="417"/>
      <c r="U240" s="417"/>
      <c r="V240" s="417"/>
      <c r="W240" s="417"/>
      <c r="X240" s="415"/>
      <c r="Y240" s="415"/>
      <c r="Z240" s="415"/>
      <c r="AA240" s="415"/>
      <c r="AB240" s="9">
        <f t="shared" si="81"/>
        <v>0</v>
      </c>
      <c r="AC240" s="5">
        <f t="shared" si="82"/>
        <v>0</v>
      </c>
      <c r="AD240" s="26">
        <f t="shared" si="83"/>
        <v>0</v>
      </c>
      <c r="AE240" s="21">
        <f t="shared" si="84"/>
        <v>0</v>
      </c>
      <c r="AF240" s="5"/>
      <c r="AG240" s="5"/>
      <c r="AH240" s="26"/>
      <c r="AI240" s="21">
        <f>'A. Revenue by function'!N127</f>
        <v>0</v>
      </c>
      <c r="AJ240" s="226" t="str">
        <f>'C. Other Revenues'!B205</f>
        <v>C.1</v>
      </c>
      <c r="AK240" s="57">
        <f>'C. Other Revenues'!K239</f>
        <v>0</v>
      </c>
      <c r="AL240" s="5"/>
      <c r="AM240" s="226" t="str">
        <f>'C. Other Revenues'!B205</f>
        <v>C.1</v>
      </c>
      <c r="AN240" s="57">
        <f>'C. Other Revenues'!M239</f>
        <v>0</v>
      </c>
      <c r="AO240" s="231"/>
      <c r="AP240" s="57"/>
      <c r="AR240" s="226" t="str">
        <f>'L. Eliminations-Consolidations'!A243</f>
        <v>L.7</v>
      </c>
      <c r="AS240" s="209">
        <f>'L. Eliminations-Consolidations'!L267</f>
        <v>0</v>
      </c>
      <c r="AT240" s="434"/>
      <c r="AU240" s="435"/>
      <c r="AV240" s="270">
        <f t="shared" si="85"/>
        <v>0</v>
      </c>
      <c r="AW240" s="270">
        <f t="shared" si="86"/>
        <v>0</v>
      </c>
      <c r="AX240" s="287" t="str">
        <f t="shared" si="79"/>
        <v xml:space="preserve"> </v>
      </c>
      <c r="AY240" s="209">
        <f t="shared" si="80"/>
        <v>0</v>
      </c>
      <c r="AZ240" s="287"/>
      <c r="BA240" s="209"/>
    </row>
    <row r="241" spans="1:53" ht="12.75" customHeight="1" x14ac:dyDescent="0.2">
      <c r="A241" s="39"/>
      <c r="B241" s="313"/>
      <c r="D241" s="418"/>
      <c r="E241" s="419"/>
      <c r="F241" s="414"/>
      <c r="G241" s="414"/>
      <c r="H241" s="414"/>
      <c r="I241" s="414"/>
      <c r="J241" s="414"/>
      <c r="K241" s="415"/>
      <c r="L241" s="416"/>
      <c r="M241" s="414"/>
      <c r="N241" s="414"/>
      <c r="O241" s="414"/>
      <c r="P241" s="417"/>
      <c r="Q241" s="417"/>
      <c r="R241" s="417"/>
      <c r="S241" s="417"/>
      <c r="T241" s="417"/>
      <c r="U241" s="417"/>
      <c r="V241" s="417"/>
      <c r="W241" s="417"/>
      <c r="X241" s="415"/>
      <c r="Y241" s="415"/>
      <c r="Z241" s="415"/>
      <c r="AA241" s="415"/>
      <c r="AB241" s="9">
        <f t="shared" si="81"/>
        <v>0</v>
      </c>
      <c r="AC241" s="5">
        <f t="shared" si="82"/>
        <v>0</v>
      </c>
      <c r="AD241" s="26">
        <f t="shared" si="83"/>
        <v>0</v>
      </c>
      <c r="AE241" s="21">
        <f t="shared" si="84"/>
        <v>0</v>
      </c>
      <c r="AF241" s="5"/>
      <c r="AG241" s="5"/>
      <c r="AH241" s="26"/>
      <c r="AI241" s="21"/>
      <c r="AK241" s="57"/>
      <c r="AL241" s="5"/>
      <c r="AO241" s="231"/>
      <c r="AP241" s="57"/>
      <c r="AS241" s="209"/>
      <c r="AT241" s="434"/>
      <c r="AU241" s="435"/>
      <c r="AV241" s="270">
        <f t="shared" si="85"/>
        <v>0</v>
      </c>
      <c r="AW241" s="270">
        <f t="shared" si="86"/>
        <v>0</v>
      </c>
      <c r="AX241" s="287" t="str">
        <f t="shared" si="79"/>
        <v xml:space="preserve"> </v>
      </c>
      <c r="AY241" s="209">
        <f t="shared" si="80"/>
        <v>0</v>
      </c>
      <c r="AZ241" s="287"/>
      <c r="BA241" s="209"/>
    </row>
    <row r="242" spans="1:53" ht="15" customHeight="1" x14ac:dyDescent="0.2">
      <c r="A242" s="39"/>
      <c r="B242" s="465" t="s">
        <v>201</v>
      </c>
      <c r="D242" s="418"/>
      <c r="E242" s="419"/>
      <c r="F242" s="414"/>
      <c r="G242" s="414"/>
      <c r="H242" s="414"/>
      <c r="I242" s="414"/>
      <c r="J242" s="414"/>
      <c r="K242" s="415"/>
      <c r="L242" s="416"/>
      <c r="M242" s="414"/>
      <c r="N242" s="414"/>
      <c r="O242" s="414"/>
      <c r="P242" s="417"/>
      <c r="Q242" s="417"/>
      <c r="R242" s="417"/>
      <c r="S242" s="417"/>
      <c r="T242" s="417"/>
      <c r="U242" s="417"/>
      <c r="V242" s="417"/>
      <c r="W242" s="417"/>
      <c r="X242" s="415"/>
      <c r="Y242" s="415"/>
      <c r="Z242" s="415"/>
      <c r="AA242" s="415"/>
      <c r="AB242" s="9">
        <f t="shared" si="81"/>
        <v>0</v>
      </c>
      <c r="AC242" s="5">
        <f t="shared" si="82"/>
        <v>0</v>
      </c>
      <c r="AD242" s="26">
        <f t="shared" si="83"/>
        <v>0</v>
      </c>
      <c r="AE242" s="21">
        <f t="shared" si="84"/>
        <v>0</v>
      </c>
      <c r="AF242" s="5"/>
      <c r="AG242" s="5"/>
      <c r="AH242" s="26"/>
      <c r="AI242" s="21"/>
      <c r="AK242" s="57"/>
      <c r="AL242" s="5"/>
      <c r="AN242" s="57"/>
      <c r="AO242" s="231"/>
      <c r="AP242" s="57"/>
      <c r="AS242" s="209"/>
      <c r="AT242" s="434"/>
      <c r="AU242" s="435"/>
      <c r="AV242" s="270">
        <f t="shared" si="85"/>
        <v>0</v>
      </c>
      <c r="AW242" s="270">
        <f t="shared" si="86"/>
        <v>0</v>
      </c>
      <c r="AX242" s="287" t="str">
        <f t="shared" si="79"/>
        <v xml:space="preserve"> </v>
      </c>
      <c r="AY242" s="209">
        <f t="shared" si="80"/>
        <v>0</v>
      </c>
      <c r="AZ242" s="287"/>
      <c r="BA242" s="209"/>
    </row>
    <row r="243" spans="1:53" ht="14.25" customHeight="1" x14ac:dyDescent="0.2">
      <c r="A243" s="39"/>
      <c r="B243" s="908" t="s">
        <v>514</v>
      </c>
      <c r="C243" t="s">
        <v>491</v>
      </c>
      <c r="D243" s="418"/>
      <c r="E243" s="419"/>
      <c r="F243" s="414"/>
      <c r="G243" s="414"/>
      <c r="H243" s="414"/>
      <c r="I243" s="414"/>
      <c r="J243" s="414"/>
      <c r="K243" s="415"/>
      <c r="L243" s="416"/>
      <c r="M243" s="414"/>
      <c r="N243" s="414"/>
      <c r="O243" s="414"/>
      <c r="P243" s="417"/>
      <c r="Q243" s="417"/>
      <c r="R243" s="417"/>
      <c r="S243" s="417"/>
      <c r="T243" s="417"/>
      <c r="U243" s="417"/>
      <c r="V243" s="417"/>
      <c r="W243" s="417"/>
      <c r="X243" s="415"/>
      <c r="Y243" s="415"/>
      <c r="Z243" s="415"/>
      <c r="AA243" s="415"/>
      <c r="AB243" s="9">
        <f t="shared" si="81"/>
        <v>0</v>
      </c>
      <c r="AC243" s="5">
        <f t="shared" si="82"/>
        <v>0</v>
      </c>
      <c r="AD243" s="26">
        <f t="shared" si="83"/>
        <v>0</v>
      </c>
      <c r="AE243" s="21">
        <f t="shared" si="84"/>
        <v>0</v>
      </c>
      <c r="AF243" s="5"/>
      <c r="AG243" s="5"/>
      <c r="AH243" s="26"/>
      <c r="AI243" s="21">
        <f>'A. Revenue by function'!N128</f>
        <v>0</v>
      </c>
      <c r="AJ243" s="226" t="str">
        <f>'C. Other Revenues'!B205</f>
        <v>C.1</v>
      </c>
      <c r="AK243" s="57">
        <f>'C. Other Revenues'!K222</f>
        <v>0</v>
      </c>
      <c r="AL243" s="5"/>
      <c r="AM243" s="226" t="str">
        <f>'C. Other Revenues'!B205</f>
        <v>C.1</v>
      </c>
      <c r="AN243" s="57">
        <f>'C. Other Revenues'!M222</f>
        <v>0</v>
      </c>
      <c r="AO243" s="231"/>
      <c r="AP243" s="57"/>
      <c r="AS243" s="209"/>
      <c r="AT243" s="434"/>
      <c r="AU243" s="435"/>
      <c r="AV243" s="270">
        <f t="shared" si="85"/>
        <v>0</v>
      </c>
      <c r="AW243" s="270">
        <f t="shared" si="86"/>
        <v>0</v>
      </c>
      <c r="AX243" s="287" t="str">
        <f t="shared" si="79"/>
        <v xml:space="preserve"> </v>
      </c>
      <c r="AY243" s="209">
        <f t="shared" si="80"/>
        <v>0</v>
      </c>
      <c r="AZ243" s="287"/>
      <c r="BA243" s="209"/>
    </row>
    <row r="244" spans="1:53" ht="15" customHeight="1" x14ac:dyDescent="0.2">
      <c r="A244" s="39"/>
      <c r="B244" s="908"/>
      <c r="C244" t="s">
        <v>291</v>
      </c>
      <c r="D244" s="418"/>
      <c r="E244" s="419"/>
      <c r="F244" s="414"/>
      <c r="G244" s="414"/>
      <c r="H244" s="414"/>
      <c r="I244" s="414"/>
      <c r="J244" s="414"/>
      <c r="K244" s="415"/>
      <c r="L244" s="416"/>
      <c r="M244" s="414"/>
      <c r="N244" s="414"/>
      <c r="O244" s="414"/>
      <c r="P244" s="417"/>
      <c r="Q244" s="417"/>
      <c r="R244" s="417"/>
      <c r="S244" s="417"/>
      <c r="T244" s="417"/>
      <c r="U244" s="417"/>
      <c r="V244" s="417"/>
      <c r="W244" s="417"/>
      <c r="X244" s="415"/>
      <c r="Y244" s="415"/>
      <c r="Z244" s="415"/>
      <c r="AA244" s="415"/>
      <c r="AB244" s="9">
        <f t="shared" si="81"/>
        <v>0</v>
      </c>
      <c r="AC244" s="5">
        <f t="shared" si="82"/>
        <v>0</v>
      </c>
      <c r="AD244" s="26">
        <f t="shared" si="83"/>
        <v>0</v>
      </c>
      <c r="AE244" s="21">
        <f t="shared" si="84"/>
        <v>0</v>
      </c>
      <c r="AF244" s="5"/>
      <c r="AG244" s="5"/>
      <c r="AH244" s="26"/>
      <c r="AI244" s="21">
        <f>'A. Revenue by function'!N129</f>
        <v>0</v>
      </c>
      <c r="AJ244" s="226" t="str">
        <f>'C. Other Revenues'!B205</f>
        <v>C.1</v>
      </c>
      <c r="AK244" s="57">
        <f>'C. Other Revenues'!K231</f>
        <v>0</v>
      </c>
      <c r="AL244" s="5"/>
      <c r="AM244" s="226" t="str">
        <f>'C. Other Revenues'!B205</f>
        <v>C.1</v>
      </c>
      <c r="AN244" s="57">
        <f>'C. Other Revenues'!M231</f>
        <v>0</v>
      </c>
      <c r="AO244" s="231"/>
      <c r="AP244" s="57"/>
      <c r="AR244" s="226" t="str">
        <f>'L. Eliminations-Consolidations'!A243</f>
        <v>L.7</v>
      </c>
      <c r="AS244" s="209">
        <f>'L. Eliminations-Consolidations'!L260</f>
        <v>0</v>
      </c>
      <c r="AT244" s="434"/>
      <c r="AU244" s="435"/>
      <c r="AV244" s="270">
        <f t="shared" si="85"/>
        <v>0</v>
      </c>
      <c r="AW244" s="270">
        <f t="shared" si="86"/>
        <v>0</v>
      </c>
      <c r="AX244" s="287" t="str">
        <f t="shared" si="79"/>
        <v xml:space="preserve"> </v>
      </c>
      <c r="AY244" s="209">
        <f t="shared" si="80"/>
        <v>0</v>
      </c>
      <c r="AZ244" s="287"/>
      <c r="BA244" s="209"/>
    </row>
    <row r="245" spans="1:53" ht="15" customHeight="1" x14ac:dyDescent="0.2">
      <c r="A245" s="39"/>
      <c r="B245" s="908"/>
      <c r="C245" t="s">
        <v>292</v>
      </c>
      <c r="D245" s="418"/>
      <c r="E245" s="419"/>
      <c r="F245" s="414"/>
      <c r="G245" s="414"/>
      <c r="H245" s="414"/>
      <c r="I245" s="414"/>
      <c r="J245" s="414"/>
      <c r="K245" s="415"/>
      <c r="L245" s="416"/>
      <c r="M245" s="414"/>
      <c r="N245" s="414"/>
      <c r="O245" s="414"/>
      <c r="P245" s="417"/>
      <c r="Q245" s="417"/>
      <c r="R245" s="417"/>
      <c r="S245" s="417"/>
      <c r="T245" s="417"/>
      <c r="U245" s="417"/>
      <c r="V245" s="417"/>
      <c r="W245" s="417"/>
      <c r="X245" s="415"/>
      <c r="Y245" s="415"/>
      <c r="Z245" s="415"/>
      <c r="AA245" s="415"/>
      <c r="AB245" s="9">
        <f t="shared" si="81"/>
        <v>0</v>
      </c>
      <c r="AC245" s="5">
        <f t="shared" si="82"/>
        <v>0</v>
      </c>
      <c r="AD245" s="26">
        <f t="shared" si="83"/>
        <v>0</v>
      </c>
      <c r="AE245" s="21">
        <f t="shared" si="84"/>
        <v>0</v>
      </c>
      <c r="AF245" s="5"/>
      <c r="AG245" s="5"/>
      <c r="AH245" s="26"/>
      <c r="AI245" s="21">
        <f>'A. Revenue by function'!N130</f>
        <v>0</v>
      </c>
      <c r="AJ245" s="226" t="str">
        <f>'C. Other Revenues'!B205</f>
        <v>C.1</v>
      </c>
      <c r="AK245" s="57">
        <f>'C. Other Revenues'!K240</f>
        <v>0</v>
      </c>
      <c r="AL245" s="5"/>
      <c r="AM245" s="226" t="str">
        <f>'C. Other Revenues'!B205</f>
        <v>C.1</v>
      </c>
      <c r="AN245" s="57">
        <f>'C. Other Revenues'!M240</f>
        <v>0</v>
      </c>
      <c r="AO245" s="231"/>
      <c r="AP245" s="57"/>
      <c r="AR245" s="226" t="str">
        <f>'L. Eliminations-Consolidations'!A243</f>
        <v>L.7</v>
      </c>
      <c r="AS245" s="209">
        <f>'L. Eliminations-Consolidations'!L268</f>
        <v>0</v>
      </c>
      <c r="AT245" s="434"/>
      <c r="AU245" s="435"/>
      <c r="AV245" s="270">
        <f t="shared" si="85"/>
        <v>0</v>
      </c>
      <c r="AW245" s="270">
        <f t="shared" si="86"/>
        <v>0</v>
      </c>
      <c r="AX245" s="287" t="str">
        <f t="shared" si="79"/>
        <v xml:space="preserve"> </v>
      </c>
      <c r="AY245" s="209">
        <f t="shared" si="80"/>
        <v>0</v>
      </c>
      <c r="AZ245" s="287"/>
      <c r="BA245" s="209"/>
    </row>
    <row r="246" spans="1:53" ht="15" customHeight="1" x14ac:dyDescent="0.2">
      <c r="A246" s="39"/>
      <c r="B246" s="313"/>
      <c r="D246" s="418"/>
      <c r="E246" s="419"/>
      <c r="F246" s="414"/>
      <c r="G246" s="414"/>
      <c r="H246" s="414"/>
      <c r="I246" s="414"/>
      <c r="J246" s="414"/>
      <c r="K246" s="415"/>
      <c r="L246" s="416"/>
      <c r="M246" s="414"/>
      <c r="N246" s="414"/>
      <c r="O246" s="414"/>
      <c r="P246" s="417"/>
      <c r="Q246" s="417"/>
      <c r="R246" s="417"/>
      <c r="S246" s="417"/>
      <c r="T246" s="417"/>
      <c r="U246" s="417"/>
      <c r="V246" s="417"/>
      <c r="W246" s="417"/>
      <c r="X246" s="415"/>
      <c r="Y246" s="415"/>
      <c r="Z246" s="415"/>
      <c r="AA246" s="415"/>
      <c r="AB246" s="9">
        <f t="shared" si="81"/>
        <v>0</v>
      </c>
      <c r="AC246" s="5">
        <f t="shared" si="82"/>
        <v>0</v>
      </c>
      <c r="AD246" s="26">
        <f t="shared" si="83"/>
        <v>0</v>
      </c>
      <c r="AE246" s="21">
        <f t="shared" si="84"/>
        <v>0</v>
      </c>
      <c r="AF246" s="5"/>
      <c r="AG246" s="5"/>
      <c r="AH246" s="26"/>
      <c r="AI246" s="21"/>
      <c r="AK246" s="57"/>
      <c r="AL246" s="5"/>
      <c r="AO246" s="231"/>
      <c r="AP246" s="57"/>
      <c r="AS246" s="209"/>
      <c r="AT246" s="434"/>
      <c r="AU246" s="435"/>
      <c r="AV246" s="270">
        <f t="shared" si="85"/>
        <v>0</v>
      </c>
      <c r="AW246" s="270">
        <f t="shared" si="86"/>
        <v>0</v>
      </c>
      <c r="AX246" s="287" t="str">
        <f t="shared" si="79"/>
        <v xml:space="preserve"> </v>
      </c>
      <c r="AY246" s="209">
        <f t="shared" si="80"/>
        <v>0</v>
      </c>
      <c r="AZ246" s="287"/>
      <c r="BA246" s="209"/>
    </row>
    <row r="247" spans="1:53" ht="18" customHeight="1" x14ac:dyDescent="0.2">
      <c r="A247" s="911" t="s">
        <v>906</v>
      </c>
      <c r="B247" s="906"/>
      <c r="C247" s="907"/>
      <c r="D247" s="419"/>
      <c r="E247" s="419"/>
      <c r="F247"/>
      <c r="G247" s="414"/>
      <c r="H247" s="414"/>
      <c r="I247" s="414"/>
      <c r="J247" s="414"/>
      <c r="K247" s="415"/>
      <c r="L247" s="416"/>
      <c r="M247" s="414"/>
      <c r="N247" s="414"/>
      <c r="O247" s="414"/>
      <c r="P247" s="417"/>
      <c r="Q247" s="417"/>
      <c r="R247" s="417"/>
      <c r="S247" s="417"/>
      <c r="T247" s="417"/>
      <c r="U247" s="417"/>
      <c r="V247" s="417"/>
      <c r="W247" s="417"/>
      <c r="X247" s="415"/>
      <c r="Y247" s="415"/>
      <c r="Z247" s="415"/>
      <c r="AA247" s="415"/>
      <c r="AB247" s="9">
        <f t="shared" si="81"/>
        <v>0</v>
      </c>
      <c r="AC247" s="5">
        <f t="shared" si="82"/>
        <v>0</v>
      </c>
      <c r="AD247" s="26">
        <f t="shared" si="83"/>
        <v>0</v>
      </c>
      <c r="AE247" s="21">
        <f t="shared" si="84"/>
        <v>0</v>
      </c>
      <c r="AF247" s="5"/>
      <c r="AG247" s="5"/>
      <c r="AH247" s="26"/>
      <c r="AI247" s="21"/>
      <c r="AK247" s="57"/>
      <c r="AL247" s="5"/>
      <c r="AN247" s="57"/>
      <c r="AO247" s="231"/>
      <c r="AP247" s="57"/>
      <c r="AS247" s="209"/>
      <c r="AT247" s="434"/>
      <c r="AU247" s="435"/>
      <c r="AV247" s="270">
        <f t="shared" si="85"/>
        <v>0</v>
      </c>
      <c r="AW247" s="270">
        <f t="shared" si="86"/>
        <v>0</v>
      </c>
      <c r="AX247" s="287" t="str">
        <f t="shared" si="79"/>
        <v xml:space="preserve"> </v>
      </c>
      <c r="AY247" s="209">
        <f t="shared" si="80"/>
        <v>0</v>
      </c>
      <c r="AZ247" s="287"/>
      <c r="BA247" s="209"/>
    </row>
    <row r="248" spans="1:53" ht="9" customHeight="1" x14ac:dyDescent="0.2">
      <c r="A248" s="321"/>
      <c r="B248" s="4"/>
      <c r="C248" s="481"/>
      <c r="D248" s="419"/>
      <c r="E248" s="419"/>
      <c r="F248"/>
      <c r="G248" s="414"/>
      <c r="H248" s="414"/>
      <c r="I248" s="414"/>
      <c r="J248" s="414"/>
      <c r="K248" s="415"/>
      <c r="L248" s="416"/>
      <c r="M248" s="414"/>
      <c r="N248" s="414"/>
      <c r="O248" s="414"/>
      <c r="P248" s="417"/>
      <c r="Q248" s="417"/>
      <c r="R248" s="417"/>
      <c r="S248" s="417"/>
      <c r="T248" s="417"/>
      <c r="U248" s="417"/>
      <c r="V248" s="417"/>
      <c r="W248" s="417"/>
      <c r="X248" s="415"/>
      <c r="Y248" s="415"/>
      <c r="Z248" s="415"/>
      <c r="AA248" s="415"/>
      <c r="AB248" s="9">
        <f t="shared" si="81"/>
        <v>0</v>
      </c>
      <c r="AC248" s="5">
        <f t="shared" si="82"/>
        <v>0</v>
      </c>
      <c r="AD248" s="26">
        <f t="shared" si="83"/>
        <v>0</v>
      </c>
      <c r="AE248" s="21">
        <f t="shared" si="84"/>
        <v>0</v>
      </c>
      <c r="AF248" s="5"/>
      <c r="AG248" s="5"/>
      <c r="AH248" s="26"/>
      <c r="AI248" s="21"/>
      <c r="AK248" s="57"/>
      <c r="AL248" s="5"/>
      <c r="AN248" s="57"/>
      <c r="AO248" s="231"/>
      <c r="AP248" s="57"/>
      <c r="AS248" s="209"/>
      <c r="AT248" s="434"/>
      <c r="AU248" s="435"/>
      <c r="AV248" s="270">
        <f t="shared" si="85"/>
        <v>0</v>
      </c>
      <c r="AW248" s="270">
        <f t="shared" si="86"/>
        <v>0</v>
      </c>
      <c r="AX248" s="287" t="str">
        <f t="shared" si="79"/>
        <v xml:space="preserve"> </v>
      </c>
      <c r="AY248" s="209">
        <f t="shared" si="80"/>
        <v>0</v>
      </c>
      <c r="AZ248" s="287"/>
      <c r="BA248" s="209"/>
    </row>
    <row r="249" spans="1:53" x14ac:dyDescent="0.2">
      <c r="A249" s="39"/>
      <c r="B249" s="322" t="s">
        <v>490</v>
      </c>
      <c r="C249" s="258"/>
      <c r="D249" s="423"/>
      <c r="E249" s="424"/>
      <c r="F249" s="425"/>
      <c r="G249" s="425"/>
      <c r="H249" s="425"/>
      <c r="I249" s="425"/>
      <c r="J249" s="425"/>
      <c r="K249" s="426"/>
      <c r="L249" s="427"/>
      <c r="M249" s="425"/>
      <c r="N249" s="425"/>
      <c r="O249" s="425"/>
      <c r="P249" s="428"/>
      <c r="Q249" s="428"/>
      <c r="R249" s="428"/>
      <c r="S249" s="428"/>
      <c r="T249" s="428"/>
      <c r="U249" s="428"/>
      <c r="V249" s="428"/>
      <c r="W249" s="428"/>
      <c r="X249" s="426"/>
      <c r="Y249" s="426"/>
      <c r="Z249" s="426"/>
      <c r="AA249" s="426"/>
      <c r="AB249" s="261">
        <f t="shared" si="81"/>
        <v>0</v>
      </c>
      <c r="AC249" s="259">
        <f t="shared" si="82"/>
        <v>0</v>
      </c>
      <c r="AD249" s="260">
        <f t="shared" si="83"/>
        <v>0</v>
      </c>
      <c r="AE249" s="262">
        <f t="shared" si="84"/>
        <v>0</v>
      </c>
      <c r="AF249" s="259"/>
      <c r="AG249" s="259"/>
      <c r="AH249" s="260"/>
      <c r="AI249" s="262"/>
      <c r="AJ249" s="263" t="str">
        <f>'D. Depreciation'!A55</f>
        <v>D.1</v>
      </c>
      <c r="AK249" s="264">
        <f>'D. Depreciation'!J55</f>
        <v>0</v>
      </c>
      <c r="AL249" s="259"/>
      <c r="AM249" s="263" t="str">
        <f>'E. Capital Outlay'!D53</f>
        <v>E.1</v>
      </c>
      <c r="AN249" s="264">
        <f>'E. Capital Outlay'!N64</f>
        <v>0</v>
      </c>
      <c r="AO249" s="391" t="s">
        <v>671</v>
      </c>
      <c r="AP249" s="264">
        <f>'K.1  Int. Service Fd Allocation'!E202+'K.2  Int. Service Fd Alloca'!E195+'K.3 Int. Service Fd Alloca'!E195</f>
        <v>0</v>
      </c>
      <c r="AQ249" s="258"/>
      <c r="AR249" s="395" t="s">
        <v>671</v>
      </c>
      <c r="AS249" s="266">
        <f>'K.1  Int. Service Fd Allocation'!G207+'K.2  Int. Service Fd Alloca'!G200+'K.3 Int. Service Fd Alloca'!G200</f>
        <v>0</v>
      </c>
      <c r="AT249" s="434"/>
      <c r="AU249" s="435"/>
      <c r="AV249" s="264">
        <f t="shared" si="85"/>
        <v>0</v>
      </c>
      <c r="AW249" s="264">
        <f t="shared" si="86"/>
        <v>0</v>
      </c>
      <c r="AX249" s="288" t="e">
        <f>IF(SUM(AV249:AV257)-SUM(AW249:AW257)&lt;=0," ",SUM(AV249:AV257)-SUM(AW249:AW257))</f>
        <v>#VALUE!</v>
      </c>
      <c r="AY249" s="266" t="e">
        <f>IF(SUM(AV249:AV257)-SUM(AW249:AW257)&gt;=0," ",SUM(AW249:AW257)-SUM(AV249:AV257))</f>
        <v>#VALUE!</v>
      </c>
      <c r="AZ249" s="287"/>
      <c r="BA249" s="209"/>
    </row>
    <row r="250" spans="1:53" x14ac:dyDescent="0.2">
      <c r="A250" s="39"/>
      <c r="B250" s="322"/>
      <c r="C250" s="258"/>
      <c r="D250" s="423"/>
      <c r="E250" s="424"/>
      <c r="F250" s="425"/>
      <c r="G250" s="425"/>
      <c r="H250" s="425"/>
      <c r="I250" s="425"/>
      <c r="J250" s="425"/>
      <c r="K250" s="426"/>
      <c r="L250" s="427"/>
      <c r="M250" s="425"/>
      <c r="N250" s="425"/>
      <c r="O250" s="425"/>
      <c r="P250" s="428"/>
      <c r="Q250" s="428"/>
      <c r="R250" s="428"/>
      <c r="S250" s="428"/>
      <c r="T250" s="428"/>
      <c r="U250" s="428"/>
      <c r="V250" s="428"/>
      <c r="W250" s="428"/>
      <c r="X250" s="426"/>
      <c r="Y250" s="426"/>
      <c r="Z250" s="426"/>
      <c r="AA250" s="426"/>
      <c r="AB250" s="261">
        <f t="shared" si="81"/>
        <v>0</v>
      </c>
      <c r="AC250" s="259">
        <f t="shared" si="82"/>
        <v>0</v>
      </c>
      <c r="AD250" s="260">
        <f t="shared" si="83"/>
        <v>0</v>
      </c>
      <c r="AE250" s="262">
        <f t="shared" si="84"/>
        <v>0</v>
      </c>
      <c r="AF250" s="259"/>
      <c r="AG250" s="259"/>
      <c r="AH250" s="260"/>
      <c r="AI250" s="262"/>
      <c r="AJ250" s="263" t="str">
        <f>'F.  Other Cap Asset Entries'!D214</f>
        <v>F.1</v>
      </c>
      <c r="AK250" s="264">
        <f>'F.  Other Cap Asset Entries'!M225</f>
        <v>0</v>
      </c>
      <c r="AL250" s="259"/>
      <c r="AM250" s="269" t="str">
        <f>'I.  Other Asset Entries'!B105</f>
        <v>I.1</v>
      </c>
      <c r="AN250" s="264">
        <f>'I.  Other Asset Entries'!N110</f>
        <v>0</v>
      </c>
      <c r="AO250" s="265" t="str">
        <f>'L. Eliminations-Consolidations'!A243</f>
        <v>L.7</v>
      </c>
      <c r="AP250" s="264">
        <f>'L. Eliminations-Consolidations'!J243</f>
        <v>0</v>
      </c>
      <c r="AQ250" s="258"/>
      <c r="AR250" s="263" t="str">
        <f>'L. Eliminations-Consolidations'!A219</f>
        <v>L.5</v>
      </c>
      <c r="AS250" s="266">
        <f>'L. Eliminations-Consolidations'!L221</f>
        <v>0</v>
      </c>
      <c r="AT250" s="434"/>
      <c r="AU250" s="435"/>
      <c r="AV250" s="264">
        <f t="shared" si="85"/>
        <v>0</v>
      </c>
      <c r="AW250" s="264">
        <f t="shared" si="86"/>
        <v>0</v>
      </c>
      <c r="AX250" s="288"/>
      <c r="AY250" s="266"/>
      <c r="AZ250" s="287"/>
      <c r="BA250" s="209"/>
    </row>
    <row r="251" spans="1:53" x14ac:dyDescent="0.2">
      <c r="A251" s="39"/>
      <c r="B251" s="322"/>
      <c r="C251" s="258"/>
      <c r="D251" s="423"/>
      <c r="E251" s="424"/>
      <c r="F251" s="425"/>
      <c r="G251" s="425"/>
      <c r="H251" s="425"/>
      <c r="I251" s="425"/>
      <c r="J251" s="425"/>
      <c r="K251" s="426"/>
      <c r="L251" s="427"/>
      <c r="M251" s="425"/>
      <c r="N251" s="425"/>
      <c r="O251" s="425"/>
      <c r="P251" s="428"/>
      <c r="Q251" s="428"/>
      <c r="R251" s="428"/>
      <c r="S251" s="428"/>
      <c r="T251" s="428"/>
      <c r="U251" s="428"/>
      <c r="V251" s="428"/>
      <c r="W251" s="428"/>
      <c r="X251" s="426"/>
      <c r="Y251" s="426"/>
      <c r="Z251" s="426"/>
      <c r="AA251" s="426"/>
      <c r="AB251" s="261">
        <f t="shared" si="81"/>
        <v>0</v>
      </c>
      <c r="AC251" s="259">
        <f t="shared" si="82"/>
        <v>0</v>
      </c>
      <c r="AD251" s="260">
        <f t="shared" si="83"/>
        <v>0</v>
      </c>
      <c r="AE251" s="262">
        <f t="shared" si="84"/>
        <v>0</v>
      </c>
      <c r="AF251" s="259"/>
      <c r="AG251" s="259"/>
      <c r="AH251" s="260"/>
      <c r="AI251" s="262"/>
      <c r="AJ251" s="263" t="str">
        <f>'H. Debt Issues'!D77</f>
        <v>H.1</v>
      </c>
      <c r="AK251" s="264">
        <f>'H. Debt Issues'!L85</f>
        <v>0</v>
      </c>
      <c r="AL251" s="259"/>
      <c r="AM251" s="263" t="str">
        <f>'J. Other Liability &amp; Expenses'!D185</f>
        <v>J.1</v>
      </c>
      <c r="AN251" s="264">
        <f>'J. Other Liability &amp; Expenses'!N185</f>
        <v>0</v>
      </c>
      <c r="AO251" s="265" t="str">
        <f>'L. Eliminations-Consolidations'!B270</f>
        <v>L.8</v>
      </c>
      <c r="AP251" s="264">
        <f>'L. Eliminations-Consolidations'!J271</f>
        <v>0</v>
      </c>
      <c r="AQ251" s="258"/>
      <c r="AR251" s="263" t="str">
        <f>'L. Eliminations-Consolidations'!B270</f>
        <v>L.8</v>
      </c>
      <c r="AS251" s="266">
        <f>'L. Eliminations-Consolidations'!L271</f>
        <v>0</v>
      </c>
      <c r="AT251" s="434"/>
      <c r="AU251" s="435"/>
      <c r="AV251" s="264">
        <f t="shared" ref="AV251:AV315" si="87">AD251+AF251+AH251+AK251+AP251+AT251</f>
        <v>0</v>
      </c>
      <c r="AW251" s="264">
        <f t="shared" ref="AW251:AW315" si="88">AE251+AG251+AI251+AN251+AS251+AU251</f>
        <v>0</v>
      </c>
      <c r="AX251" s="288"/>
      <c r="AY251" s="266"/>
      <c r="AZ251" s="287"/>
      <c r="BA251" s="209"/>
    </row>
    <row r="252" spans="1:53" x14ac:dyDescent="0.2">
      <c r="A252" s="39"/>
      <c r="B252" s="322"/>
      <c r="C252" s="258"/>
      <c r="D252" s="423"/>
      <c r="E252" s="424"/>
      <c r="F252" s="425"/>
      <c r="G252" s="425"/>
      <c r="H252" s="425"/>
      <c r="I252" s="425"/>
      <c r="J252" s="425"/>
      <c r="K252" s="426"/>
      <c r="L252" s="427"/>
      <c r="M252" s="425"/>
      <c r="N252" s="425"/>
      <c r="O252" s="425"/>
      <c r="P252" s="428"/>
      <c r="Q252" s="428"/>
      <c r="R252" s="428"/>
      <c r="S252" s="428"/>
      <c r="T252" s="428"/>
      <c r="U252" s="428"/>
      <c r="V252" s="428"/>
      <c r="W252" s="428"/>
      <c r="X252" s="426"/>
      <c r="Y252" s="426"/>
      <c r="Z252" s="426"/>
      <c r="AA252" s="426"/>
      <c r="AB252" s="261">
        <f t="shared" si="81"/>
        <v>0</v>
      </c>
      <c r="AC252" s="259">
        <f t="shared" si="82"/>
        <v>0</v>
      </c>
      <c r="AD252" s="260">
        <f t="shared" si="83"/>
        <v>0</v>
      </c>
      <c r="AE252" s="262">
        <f t="shared" si="84"/>
        <v>0</v>
      </c>
      <c r="AF252" s="259"/>
      <c r="AG252" s="259"/>
      <c r="AH252" s="260"/>
      <c r="AI252" s="262"/>
      <c r="AJ252" s="263" t="str">
        <f>'J. Other Liability &amp; Expenses'!D185</f>
        <v>J.1</v>
      </c>
      <c r="AK252" s="264">
        <f>'J. Other Liability &amp; Expenses'!L185</f>
        <v>0</v>
      </c>
      <c r="AL252" s="259"/>
      <c r="AM252" s="263" t="s">
        <v>2048</v>
      </c>
      <c r="AN252" s="264" t="e">
        <f>'N.1 GASB 68 LGERS'!D97</f>
        <v>#VALUE!</v>
      </c>
      <c r="AO252" s="265" t="str">
        <f>'L. Eliminations-Consolidations'!B281</f>
        <v>L.10</v>
      </c>
      <c r="AP252" s="264">
        <f>'L. Eliminations-Consolidations'!J281</f>
        <v>0</v>
      </c>
      <c r="AQ252" s="258"/>
      <c r="AR252" s="263"/>
      <c r="AS252" s="266"/>
      <c r="AT252" s="434"/>
      <c r="AU252" s="435"/>
      <c r="AV252" s="264">
        <f t="shared" si="87"/>
        <v>0</v>
      </c>
      <c r="AW252" s="264" t="e">
        <f t="shared" si="88"/>
        <v>#VALUE!</v>
      </c>
      <c r="AX252" s="288"/>
      <c r="AY252" s="266"/>
      <c r="AZ252" s="287"/>
      <c r="BA252" s="209"/>
    </row>
    <row r="253" spans="1:53" x14ac:dyDescent="0.2">
      <c r="A253" s="39"/>
      <c r="B253" s="322"/>
      <c r="C253" s="258"/>
      <c r="D253" s="423"/>
      <c r="E253" s="424"/>
      <c r="F253" s="425"/>
      <c r="G253" s="425"/>
      <c r="H253" s="425"/>
      <c r="I253" s="425"/>
      <c r="J253" s="425"/>
      <c r="K253" s="426"/>
      <c r="L253" s="427"/>
      <c r="M253" s="425"/>
      <c r="N253" s="425"/>
      <c r="O253" s="425"/>
      <c r="P253" s="428"/>
      <c r="Q253" s="428"/>
      <c r="R253" s="428"/>
      <c r="S253" s="428"/>
      <c r="T253" s="428"/>
      <c r="U253" s="428"/>
      <c r="V253" s="428"/>
      <c r="W253" s="428"/>
      <c r="X253" s="426"/>
      <c r="Y253" s="426"/>
      <c r="Z253" s="426"/>
      <c r="AA253" s="426"/>
      <c r="AB253" s="261"/>
      <c r="AC253" s="259"/>
      <c r="AD253" s="260"/>
      <c r="AE253" s="262"/>
      <c r="AF253" s="259"/>
      <c r="AG253" s="259"/>
      <c r="AH253" s="260"/>
      <c r="AI253" s="262"/>
      <c r="AJ253" s="263" t="s">
        <v>951</v>
      </c>
      <c r="AK253" s="264">
        <f>'F.  Other Cap Asset Entries'!M276</f>
        <v>0</v>
      </c>
      <c r="AL253" s="259"/>
      <c r="AM253" s="263" t="s">
        <v>3893</v>
      </c>
      <c r="AN253" s="264">
        <f>'P. GASB 75 OPEB 1 Entries'!D72+'P. GASB 75 OPEB 2 Entries '!D72+'P. GASB 75 3 OPEB Entries '!D72</f>
        <v>0</v>
      </c>
      <c r="AO253" s="265"/>
      <c r="AP253" s="264"/>
      <c r="AQ253" s="258"/>
      <c r="AR253" s="263"/>
      <c r="AS253" s="266"/>
      <c r="AT253" s="434"/>
      <c r="AU253" s="435"/>
      <c r="AV253" s="264">
        <f t="shared" si="87"/>
        <v>0</v>
      </c>
      <c r="AW253" s="264">
        <f t="shared" si="88"/>
        <v>0</v>
      </c>
      <c r="AX253" s="288"/>
      <c r="AY253" s="266"/>
      <c r="AZ253" s="287"/>
      <c r="BA253" s="209"/>
    </row>
    <row r="254" spans="1:53" x14ac:dyDescent="0.2">
      <c r="A254" s="39"/>
      <c r="B254" s="322"/>
      <c r="C254" s="258"/>
      <c r="D254" s="423"/>
      <c r="E254" s="424"/>
      <c r="F254" s="425"/>
      <c r="G254" s="425"/>
      <c r="H254" s="425"/>
      <c r="I254" s="425"/>
      <c r="J254" s="425"/>
      <c r="K254" s="426"/>
      <c r="L254" s="427"/>
      <c r="M254" s="425"/>
      <c r="N254" s="425"/>
      <c r="O254" s="425"/>
      <c r="P254" s="428"/>
      <c r="Q254" s="428"/>
      <c r="R254" s="428"/>
      <c r="S254" s="428"/>
      <c r="T254" s="428"/>
      <c r="U254" s="428"/>
      <c r="V254" s="428"/>
      <c r="W254" s="428"/>
      <c r="X254" s="426"/>
      <c r="Y254" s="426"/>
      <c r="Z254" s="426"/>
      <c r="AA254" s="426"/>
      <c r="AB254" s="261"/>
      <c r="AC254" s="259"/>
      <c r="AD254" s="260"/>
      <c r="AE254" s="262"/>
      <c r="AF254" s="259"/>
      <c r="AG254" s="259"/>
      <c r="AH254" s="260"/>
      <c r="AI254" s="262"/>
      <c r="AJ254" s="263" t="s">
        <v>2048</v>
      </c>
      <c r="AK254" s="264" t="e">
        <f>'N.1 GASB 68 LGERS'!C97</f>
        <v>#VALUE!</v>
      </c>
      <c r="AL254" s="259"/>
      <c r="AM254" s="263" t="s">
        <v>3931</v>
      </c>
      <c r="AN254" s="264">
        <f>'P. GASB 75 OPEB 1 Entries'!D80+'P. GASB 75 OPEB 2 Entries '!D80+'P. GASB 75 3 OPEB Entries '!D80</f>
        <v>1</v>
      </c>
      <c r="AO254" s="265"/>
      <c r="AP254" s="264"/>
      <c r="AQ254" s="258"/>
      <c r="AR254" s="263"/>
      <c r="AS254" s="266"/>
      <c r="AT254" s="434"/>
      <c r="AU254" s="435"/>
      <c r="AV254" s="264" t="e">
        <f t="shared" si="87"/>
        <v>#VALUE!</v>
      </c>
      <c r="AW254" s="264">
        <f t="shared" si="88"/>
        <v>1</v>
      </c>
      <c r="AX254" s="288"/>
      <c r="AY254" s="266"/>
      <c r="AZ254" s="287"/>
      <c r="BA254" s="209"/>
    </row>
    <row r="255" spans="1:53" x14ac:dyDescent="0.2">
      <c r="A255" s="39"/>
      <c r="B255" s="322"/>
      <c r="C255" s="258"/>
      <c r="D255" s="423"/>
      <c r="E255" s="424"/>
      <c r="F255" s="425"/>
      <c r="G255" s="425"/>
      <c r="H255" s="425"/>
      <c r="I255" s="425"/>
      <c r="J255" s="425"/>
      <c r="K255" s="426"/>
      <c r="L255" s="427"/>
      <c r="M255" s="425"/>
      <c r="N255" s="425"/>
      <c r="O255" s="425"/>
      <c r="P255" s="428"/>
      <c r="Q255" s="428"/>
      <c r="R255" s="428"/>
      <c r="S255" s="428"/>
      <c r="T255" s="428"/>
      <c r="U255" s="428"/>
      <c r="V255" s="428"/>
      <c r="W255" s="428"/>
      <c r="X255" s="426"/>
      <c r="Y255" s="426"/>
      <c r="Z255" s="426"/>
      <c r="AA255" s="426"/>
      <c r="AB255" s="261"/>
      <c r="AC255" s="259"/>
      <c r="AD255" s="260"/>
      <c r="AE255" s="262"/>
      <c r="AF255" s="259"/>
      <c r="AG255" s="259"/>
      <c r="AH255" s="260"/>
      <c r="AI255" s="262"/>
      <c r="AJ255" s="263" t="s">
        <v>3931</v>
      </c>
      <c r="AK255" s="264">
        <f>'P. GASB 75 OPEB 1 Entries'!C58+'P. GASB 75 OPEB 2 Entries '!C58+'P. GASB 75 3 OPEB Entries '!C58</f>
        <v>0</v>
      </c>
      <c r="AL255" s="259"/>
      <c r="AM255" s="263" t="s">
        <v>4858</v>
      </c>
      <c r="AN255" s="264">
        <f>'Q. GASB 87 Lease Entries'!O32</f>
        <v>0</v>
      </c>
      <c r="AO255" s="265"/>
      <c r="AP255" s="264"/>
      <c r="AQ255" s="258"/>
      <c r="AR255" s="263"/>
      <c r="AS255" s="266"/>
      <c r="AT255" s="434"/>
      <c r="AU255" s="435"/>
      <c r="AV255" s="264">
        <f>AD255+AF255+AH255+AK255+AP255+AT255</f>
        <v>0</v>
      </c>
      <c r="AW255" s="264">
        <f>AE255+AG255+AI255+AN255+AS255+AU255</f>
        <v>0</v>
      </c>
      <c r="AX255" s="288"/>
      <c r="AY255" s="266"/>
      <c r="AZ255" s="287"/>
      <c r="BA255" s="209"/>
    </row>
    <row r="256" spans="1:53" x14ac:dyDescent="0.2">
      <c r="A256" s="39"/>
      <c r="B256" s="322"/>
      <c r="C256" s="258"/>
      <c r="D256" s="423"/>
      <c r="E256" s="424"/>
      <c r="F256" s="425"/>
      <c r="G256" s="425"/>
      <c r="H256" s="425"/>
      <c r="I256" s="425"/>
      <c r="J256" s="425"/>
      <c r="K256" s="426"/>
      <c r="L256" s="427"/>
      <c r="M256" s="425"/>
      <c r="N256" s="425"/>
      <c r="O256" s="425"/>
      <c r="P256" s="428"/>
      <c r="Q256" s="428"/>
      <c r="R256" s="428"/>
      <c r="S256" s="428"/>
      <c r="T256" s="428"/>
      <c r="U256" s="428"/>
      <c r="V256" s="428"/>
      <c r="W256" s="428"/>
      <c r="X256" s="426"/>
      <c r="Y256" s="426"/>
      <c r="Z256" s="426"/>
      <c r="AA256" s="426"/>
      <c r="AB256" s="261"/>
      <c r="AC256" s="259"/>
      <c r="AD256" s="260"/>
      <c r="AE256" s="262"/>
      <c r="AF256" s="259"/>
      <c r="AG256" s="259"/>
      <c r="AH256" s="260"/>
      <c r="AI256" s="262"/>
      <c r="AJ256" s="263" t="s">
        <v>4867</v>
      </c>
      <c r="AK256" s="264">
        <f>'Q. GASB 87 Lease Entries'!M68</f>
        <v>0</v>
      </c>
      <c r="AL256" s="259"/>
      <c r="AM256" s="263" t="s">
        <v>4892</v>
      </c>
      <c r="AN256" s="264">
        <f>'R. GASB 96 Subscription Entries'!O32</f>
        <v>0</v>
      </c>
      <c r="AO256" s="265"/>
      <c r="AP256" s="264"/>
      <c r="AQ256" s="258"/>
      <c r="AR256" s="263"/>
      <c r="AS256" s="266"/>
      <c r="AT256" s="434"/>
      <c r="AU256" s="435"/>
      <c r="AV256" s="264"/>
      <c r="AW256" s="264"/>
      <c r="AX256" s="288"/>
      <c r="AY256" s="266"/>
      <c r="AZ256" s="287"/>
      <c r="BA256" s="209"/>
    </row>
    <row r="257" spans="1:53" x14ac:dyDescent="0.2">
      <c r="A257" s="39"/>
      <c r="B257" s="322"/>
      <c r="C257" s="258"/>
      <c r="D257" s="423"/>
      <c r="E257" s="424"/>
      <c r="F257" s="425"/>
      <c r="G257" s="425"/>
      <c r="H257" s="425"/>
      <c r="I257" s="425"/>
      <c r="J257" s="425"/>
      <c r="K257" s="426"/>
      <c r="L257" s="427"/>
      <c r="M257" s="425"/>
      <c r="N257" s="425"/>
      <c r="O257" s="425"/>
      <c r="P257" s="428"/>
      <c r="Q257" s="428"/>
      <c r="R257" s="428"/>
      <c r="S257" s="428"/>
      <c r="T257" s="428"/>
      <c r="U257" s="428"/>
      <c r="V257" s="428"/>
      <c r="W257" s="428"/>
      <c r="X257" s="426"/>
      <c r="Y257" s="426"/>
      <c r="Z257" s="426"/>
      <c r="AA257" s="426"/>
      <c r="AB257" s="261"/>
      <c r="AC257" s="259"/>
      <c r="AD257" s="260"/>
      <c r="AE257" s="262"/>
      <c r="AF257" s="259"/>
      <c r="AG257" s="259"/>
      <c r="AH257" s="260"/>
      <c r="AI257" s="262"/>
      <c r="AJ257" s="641" t="s">
        <v>4894</v>
      </c>
      <c r="AK257" s="258">
        <f>'R. GASB 96 Subscription Entries'!M68</f>
        <v>0</v>
      </c>
      <c r="AL257" s="259"/>
      <c r="AM257" s="263"/>
      <c r="AN257" s="264"/>
      <c r="AO257" s="265"/>
      <c r="AP257" s="264"/>
      <c r="AQ257" s="258"/>
      <c r="AR257" s="263"/>
      <c r="AS257" s="266"/>
      <c r="AT257" s="434"/>
      <c r="AU257" s="435"/>
      <c r="AV257" s="264">
        <f>AD257+AF257+AH257+AK256+AP257+AT257</f>
        <v>0</v>
      </c>
      <c r="AW257" s="264">
        <f>AE257+AG257+AI257+AN257+AS257+AU257</f>
        <v>0</v>
      </c>
      <c r="AX257" s="288"/>
      <c r="AY257" s="266"/>
      <c r="AZ257" s="287"/>
      <c r="BA257" s="209"/>
    </row>
    <row r="258" spans="1:53" x14ac:dyDescent="0.2">
      <c r="A258" s="39"/>
      <c r="C258" s="4"/>
      <c r="D258" s="418"/>
      <c r="E258" s="419"/>
      <c r="F258" s="414"/>
      <c r="G258" s="414"/>
      <c r="H258" s="414"/>
      <c r="I258" s="414"/>
      <c r="J258" s="414"/>
      <c r="K258" s="415"/>
      <c r="L258" s="416"/>
      <c r="M258" s="414"/>
      <c r="N258" s="414"/>
      <c r="O258" s="414"/>
      <c r="P258" s="417"/>
      <c r="Q258" s="417"/>
      <c r="R258" s="417"/>
      <c r="S258" s="417"/>
      <c r="T258" s="417"/>
      <c r="U258" s="417"/>
      <c r="V258" s="417"/>
      <c r="W258" s="417"/>
      <c r="X258" s="415"/>
      <c r="Y258" s="415"/>
      <c r="Z258" s="415"/>
      <c r="AA258" s="415"/>
      <c r="AB258" s="9">
        <f t="shared" si="81"/>
        <v>0</v>
      </c>
      <c r="AC258" s="5">
        <f t="shared" si="82"/>
        <v>0</v>
      </c>
      <c r="AD258" s="26">
        <f t="shared" si="83"/>
        <v>0</v>
      </c>
      <c r="AE258" s="21">
        <f t="shared" si="84"/>
        <v>0</v>
      </c>
      <c r="AF258" s="5"/>
      <c r="AG258" s="5"/>
      <c r="AH258" s="26"/>
      <c r="AI258" s="21"/>
      <c r="AL258" s="5"/>
      <c r="AN258" s="57"/>
      <c r="AO258" s="231"/>
      <c r="AP258" s="57"/>
      <c r="AS258" s="209"/>
      <c r="AT258" s="434"/>
      <c r="AU258" s="435"/>
      <c r="AV258" s="56"/>
      <c r="AW258" s="56"/>
      <c r="AX258" s="293"/>
      <c r="AY258" s="209"/>
      <c r="AZ258" s="287"/>
      <c r="BA258" s="209"/>
    </row>
    <row r="259" spans="1:53" x14ac:dyDescent="0.2">
      <c r="A259" s="39"/>
      <c r="B259" s="322" t="s">
        <v>879</v>
      </c>
      <c r="C259" s="258"/>
      <c r="D259" s="423"/>
      <c r="E259" s="424"/>
      <c r="F259" s="425"/>
      <c r="G259" s="425"/>
      <c r="H259" s="425"/>
      <c r="I259" s="425"/>
      <c r="J259" s="425"/>
      <c r="K259" s="426"/>
      <c r="L259" s="427"/>
      <c r="M259" s="425"/>
      <c r="N259" s="425"/>
      <c r="O259" s="425"/>
      <c r="P259" s="428"/>
      <c r="Q259" s="428"/>
      <c r="R259" s="428"/>
      <c r="S259" s="428"/>
      <c r="T259" s="428"/>
      <c r="U259" s="428"/>
      <c r="V259" s="428"/>
      <c r="W259" s="428"/>
      <c r="X259" s="426"/>
      <c r="Y259" s="426"/>
      <c r="Z259" s="426"/>
      <c r="AA259" s="426"/>
      <c r="AB259" s="261">
        <f t="shared" si="81"/>
        <v>0</v>
      </c>
      <c r="AC259" s="259">
        <f t="shared" si="82"/>
        <v>0</v>
      </c>
      <c r="AD259" s="260">
        <f t="shared" si="83"/>
        <v>0</v>
      </c>
      <c r="AE259" s="262">
        <f t="shared" si="84"/>
        <v>0</v>
      </c>
      <c r="AF259" s="259"/>
      <c r="AG259" s="259"/>
      <c r="AH259" s="260"/>
      <c r="AI259" s="262"/>
      <c r="AJ259" s="263" t="str">
        <f>'D. Depreciation'!A55</f>
        <v>D.1</v>
      </c>
      <c r="AK259" s="264">
        <f>'D. Depreciation'!J56</f>
        <v>0</v>
      </c>
      <c r="AL259" s="259"/>
      <c r="AM259" s="263" t="str">
        <f>'E. Capital Outlay'!D53</f>
        <v>E.1</v>
      </c>
      <c r="AN259" s="264">
        <f>'E. Capital Outlay'!N65</f>
        <v>0</v>
      </c>
      <c r="AO259" s="265" t="str">
        <f>'L. Eliminations-Consolidations'!A243</f>
        <v>L.7</v>
      </c>
      <c r="AP259" s="264">
        <f>'L. Eliminations-Consolidations'!J244</f>
        <v>0</v>
      </c>
      <c r="AQ259" s="258"/>
      <c r="AR259" s="395" t="s">
        <v>671</v>
      </c>
      <c r="AS259" s="266">
        <f>'K.1  Int. Service Fd Allocation'!G208+'K.2  Int. Service Fd Alloca'!G201+'K.3 Int. Service Fd Alloca'!G201</f>
        <v>0</v>
      </c>
      <c r="AT259" s="434"/>
      <c r="AU259" s="435"/>
      <c r="AV259" s="264">
        <f t="shared" si="87"/>
        <v>0</v>
      </c>
      <c r="AW259" s="264">
        <f t="shared" si="88"/>
        <v>0</v>
      </c>
      <c r="AX259" s="288" t="e">
        <f>IF(SUM(AV259:AV268)-SUM(AW259:AW268)&lt;=0," ",SUM(AV259:AV268)-SUM(AW259:AW268))</f>
        <v>#VALUE!</v>
      </c>
      <c r="AY259" s="266" t="e">
        <f>IF(SUM(AV259:AV268)-SUM(AW259:AW268)&gt;=0," ",SUM(AW259:AW268)-SUM(AV259:AV268))</f>
        <v>#VALUE!</v>
      </c>
      <c r="AZ259" s="287"/>
      <c r="BA259" s="209"/>
    </row>
    <row r="260" spans="1:53" x14ac:dyDescent="0.2">
      <c r="A260" s="39"/>
      <c r="B260" s="322"/>
      <c r="C260" s="258"/>
      <c r="D260" s="423"/>
      <c r="E260" s="424"/>
      <c r="F260" s="425"/>
      <c r="G260" s="425"/>
      <c r="H260" s="425"/>
      <c r="I260" s="425"/>
      <c r="J260" s="425"/>
      <c r="K260" s="426"/>
      <c r="L260" s="427"/>
      <c r="M260" s="425"/>
      <c r="N260" s="425"/>
      <c r="O260" s="425"/>
      <c r="P260" s="428"/>
      <c r="Q260" s="428"/>
      <c r="R260" s="428"/>
      <c r="S260" s="428"/>
      <c r="T260" s="428"/>
      <c r="U260" s="428"/>
      <c r="V260" s="428"/>
      <c r="W260" s="428"/>
      <c r="X260" s="426"/>
      <c r="Y260" s="426"/>
      <c r="Z260" s="426"/>
      <c r="AA260" s="426"/>
      <c r="AB260" s="261">
        <f t="shared" si="81"/>
        <v>0</v>
      </c>
      <c r="AC260" s="259">
        <f t="shared" si="82"/>
        <v>0</v>
      </c>
      <c r="AD260" s="260">
        <f t="shared" si="83"/>
        <v>0</v>
      </c>
      <c r="AE260" s="262">
        <f t="shared" si="84"/>
        <v>0</v>
      </c>
      <c r="AF260" s="259"/>
      <c r="AG260" s="259"/>
      <c r="AH260" s="260"/>
      <c r="AI260" s="262"/>
      <c r="AJ260" s="263" t="str">
        <f>'J. Other Liability &amp; Expenses'!D185</f>
        <v>J.1</v>
      </c>
      <c r="AK260" s="264">
        <f>'J. Other Liability &amp; Expenses'!L186</f>
        <v>0</v>
      </c>
      <c r="AL260" s="259"/>
      <c r="AM260" s="263" t="str">
        <f>'I.  Other Asset Entries'!B105</f>
        <v>I.1</v>
      </c>
      <c r="AN260" s="264">
        <f>'I.  Other Asset Entries'!N111</f>
        <v>0</v>
      </c>
      <c r="AO260" s="265"/>
      <c r="AP260" s="264"/>
      <c r="AQ260" s="258"/>
      <c r="AR260" s="263"/>
      <c r="AS260" s="266"/>
      <c r="AT260" s="434"/>
      <c r="AU260" s="435"/>
      <c r="AV260" s="264">
        <f>AD260+AF260+AH260+AK260+AP260+AT260</f>
        <v>0</v>
      </c>
      <c r="AW260" s="264">
        <f t="shared" si="88"/>
        <v>0</v>
      </c>
      <c r="AX260" s="288"/>
      <c r="AY260" s="266"/>
      <c r="AZ260" s="287"/>
      <c r="BA260" s="209"/>
    </row>
    <row r="261" spans="1:53" x14ac:dyDescent="0.2">
      <c r="A261" s="39"/>
      <c r="B261" s="322"/>
      <c r="C261" s="258"/>
      <c r="D261" s="423"/>
      <c r="E261" s="424"/>
      <c r="F261" s="425"/>
      <c r="G261" s="425"/>
      <c r="H261" s="425"/>
      <c r="I261" s="425"/>
      <c r="J261" s="425"/>
      <c r="K261" s="426"/>
      <c r="L261" s="427"/>
      <c r="M261" s="425"/>
      <c r="N261" s="425"/>
      <c r="O261" s="425"/>
      <c r="P261" s="428"/>
      <c r="Q261" s="428"/>
      <c r="R261" s="428"/>
      <c r="S261" s="428"/>
      <c r="T261" s="428"/>
      <c r="U261" s="428"/>
      <c r="V261" s="428"/>
      <c r="W261" s="428"/>
      <c r="X261" s="426"/>
      <c r="Y261" s="426"/>
      <c r="Z261" s="426"/>
      <c r="AA261" s="426"/>
      <c r="AB261" s="261">
        <f t="shared" si="81"/>
        <v>0</v>
      </c>
      <c r="AC261" s="259">
        <f t="shared" si="82"/>
        <v>0</v>
      </c>
      <c r="AD261" s="260">
        <f t="shared" si="83"/>
        <v>0</v>
      </c>
      <c r="AE261" s="262">
        <f t="shared" si="84"/>
        <v>0</v>
      </c>
      <c r="AF261" s="259"/>
      <c r="AG261" s="259"/>
      <c r="AH261" s="260"/>
      <c r="AI261" s="262"/>
      <c r="AJ261" s="263" t="str">
        <f>'F.  Other Cap Asset Entries'!D254</f>
        <v>F.3</v>
      </c>
      <c r="AK261" s="264">
        <f>'F.  Other Cap Asset Entries'!M254</f>
        <v>0</v>
      </c>
      <c r="AL261" s="259"/>
      <c r="AM261" s="263" t="str">
        <f>'J. Other Liability &amp; Expenses'!D185</f>
        <v>J.1</v>
      </c>
      <c r="AN261" s="264">
        <f>'J. Other Liability &amp; Expenses'!N186</f>
        <v>0</v>
      </c>
      <c r="AO261" s="265" t="str">
        <f>'L. Eliminations-Consolidations'!B270</f>
        <v>L.8</v>
      </c>
      <c r="AP261" s="264">
        <f>'L. Eliminations-Consolidations'!J272</f>
        <v>0</v>
      </c>
      <c r="AQ261" s="258"/>
      <c r="AR261" s="263" t="str">
        <f>'L. Eliminations-Consolidations'!B270</f>
        <v>L.8</v>
      </c>
      <c r="AS261" s="266">
        <f>'L. Eliminations-Consolidations'!L272</f>
        <v>0</v>
      </c>
      <c r="AT261" s="434"/>
      <c r="AU261" s="435"/>
      <c r="AV261" s="264">
        <f t="shared" si="87"/>
        <v>0</v>
      </c>
      <c r="AW261" s="264">
        <f t="shared" si="88"/>
        <v>0</v>
      </c>
      <c r="AX261" s="288"/>
      <c r="AY261" s="266"/>
      <c r="AZ261" s="287"/>
      <c r="BA261" s="209"/>
    </row>
    <row r="262" spans="1:53" x14ac:dyDescent="0.2">
      <c r="A262" s="39"/>
      <c r="B262" s="322"/>
      <c r="C262" s="258"/>
      <c r="D262" s="423"/>
      <c r="E262" s="424"/>
      <c r="F262" s="425"/>
      <c r="G262" s="425"/>
      <c r="H262" s="425"/>
      <c r="I262" s="425"/>
      <c r="J262" s="425"/>
      <c r="K262" s="426"/>
      <c r="L262" s="427"/>
      <c r="M262" s="425"/>
      <c r="N262" s="425"/>
      <c r="O262" s="425"/>
      <c r="P262" s="428"/>
      <c r="Q262" s="428"/>
      <c r="R262" s="428"/>
      <c r="S262" s="428"/>
      <c r="T262" s="428"/>
      <c r="U262" s="428"/>
      <c r="V262" s="428"/>
      <c r="W262" s="428"/>
      <c r="X262" s="426"/>
      <c r="Y262" s="426"/>
      <c r="Z262" s="426"/>
      <c r="AA262" s="426"/>
      <c r="AB262" s="261"/>
      <c r="AC262" s="259"/>
      <c r="AD262" s="260"/>
      <c r="AE262" s="262"/>
      <c r="AF262" s="259"/>
      <c r="AG262" s="259"/>
      <c r="AH262" s="260"/>
      <c r="AI262" s="262"/>
      <c r="AJ262" s="263" t="s">
        <v>951</v>
      </c>
      <c r="AK262" s="264">
        <f>'F.  Other Cap Asset Entries'!M277</f>
        <v>0</v>
      </c>
      <c r="AL262" s="259"/>
      <c r="AM262" s="263" t="s">
        <v>2048</v>
      </c>
      <c r="AN262" s="264" t="e">
        <f>'N.1 GASB 68 LGERS'!D98</f>
        <v>#VALUE!</v>
      </c>
      <c r="AO262" s="265"/>
      <c r="AP262" s="264"/>
      <c r="AQ262" s="258"/>
      <c r="AR262" s="263"/>
      <c r="AS262" s="266"/>
      <c r="AT262" s="434"/>
      <c r="AU262" s="435"/>
      <c r="AV262" s="264">
        <f t="shared" si="87"/>
        <v>0</v>
      </c>
      <c r="AW262" s="264" t="e">
        <f t="shared" si="88"/>
        <v>#VALUE!</v>
      </c>
      <c r="AX262" s="288"/>
      <c r="AY262" s="266"/>
      <c r="AZ262" s="287"/>
      <c r="BA262" s="209"/>
    </row>
    <row r="263" spans="1:53" x14ac:dyDescent="0.2">
      <c r="A263" s="39"/>
      <c r="B263" s="322"/>
      <c r="C263" s="258"/>
      <c r="D263" s="423"/>
      <c r="E263" s="424"/>
      <c r="F263" s="425"/>
      <c r="G263" s="425"/>
      <c r="H263" s="425"/>
      <c r="I263" s="425"/>
      <c r="J263" s="425"/>
      <c r="K263" s="426"/>
      <c r="L263" s="427"/>
      <c r="M263" s="425"/>
      <c r="N263" s="425"/>
      <c r="O263" s="425"/>
      <c r="P263" s="428"/>
      <c r="Q263" s="428"/>
      <c r="R263" s="428"/>
      <c r="S263" s="428"/>
      <c r="T263" s="428"/>
      <c r="U263" s="428"/>
      <c r="V263" s="428"/>
      <c r="W263" s="428"/>
      <c r="X263" s="426"/>
      <c r="Y263" s="426"/>
      <c r="Z263" s="426"/>
      <c r="AA263" s="426"/>
      <c r="AB263" s="261"/>
      <c r="AC263" s="259"/>
      <c r="AD263" s="260"/>
      <c r="AE263" s="262"/>
      <c r="AF263" s="259"/>
      <c r="AG263" s="259"/>
      <c r="AH263" s="260"/>
      <c r="AI263" s="262"/>
      <c r="AJ263" s="263" t="s">
        <v>2048</v>
      </c>
      <c r="AK263" s="264" t="e">
        <f>'N.1 GASB 68 LGERS'!C98</f>
        <v>#VALUE!</v>
      </c>
      <c r="AL263" s="259"/>
      <c r="AM263" s="269" t="s">
        <v>3525</v>
      </c>
      <c r="AN263" s="264">
        <f>'O. GASB 73 LEO Entries'!D75</f>
        <v>0</v>
      </c>
      <c r="AO263" s="265"/>
      <c r="AP263" s="264"/>
      <c r="AQ263" s="258"/>
      <c r="AR263" s="263"/>
      <c r="AS263" s="266"/>
      <c r="AT263" s="434"/>
      <c r="AU263" s="435"/>
      <c r="AV263" s="264" t="e">
        <f>AD263+AF263+AH263+AK263+AP263+AT263</f>
        <v>#VALUE!</v>
      </c>
      <c r="AW263" s="264">
        <f>AE263+AG263+AI263+AN263+AS263+AU263</f>
        <v>0</v>
      </c>
      <c r="AX263" s="288"/>
      <c r="AY263" s="266"/>
      <c r="AZ263" s="287"/>
      <c r="BA263" s="209"/>
    </row>
    <row r="264" spans="1:53" x14ac:dyDescent="0.2">
      <c r="A264" s="39"/>
      <c r="B264" s="322"/>
      <c r="C264" s="258"/>
      <c r="D264" s="423"/>
      <c r="E264" s="424"/>
      <c r="F264" s="425"/>
      <c r="G264" s="425"/>
      <c r="H264" s="425"/>
      <c r="I264" s="425"/>
      <c r="J264" s="425"/>
      <c r="K264" s="426"/>
      <c r="L264" s="427"/>
      <c r="M264" s="425"/>
      <c r="N264" s="425"/>
      <c r="O264" s="425"/>
      <c r="P264" s="428"/>
      <c r="Q264" s="428"/>
      <c r="R264" s="428"/>
      <c r="S264" s="428"/>
      <c r="T264" s="428"/>
      <c r="U264" s="428"/>
      <c r="V264" s="428"/>
      <c r="W264" s="428"/>
      <c r="X264" s="426"/>
      <c r="Y264" s="426"/>
      <c r="Z264" s="426"/>
      <c r="AA264" s="426"/>
      <c r="AB264" s="261"/>
      <c r="AC264" s="259"/>
      <c r="AD264" s="260"/>
      <c r="AE264" s="262"/>
      <c r="AF264" s="259"/>
      <c r="AG264" s="259"/>
      <c r="AH264" s="260"/>
      <c r="AI264" s="262"/>
      <c r="AJ264" s="263" t="s">
        <v>2049</v>
      </c>
      <c r="AK264" s="264">
        <f>'N.2 GASB 68 FRSWPF'!C27</f>
        <v>0</v>
      </c>
      <c r="AL264" s="259"/>
      <c r="AM264" s="269" t="s">
        <v>3525</v>
      </c>
      <c r="AN264" s="264">
        <f>'O. GASB 73 LEO Entries'!D76</f>
        <v>0</v>
      </c>
      <c r="AO264" s="265"/>
      <c r="AP264" s="264"/>
      <c r="AQ264" s="258"/>
      <c r="AR264" s="263"/>
      <c r="AS264" s="266"/>
      <c r="AT264" s="434"/>
      <c r="AU264" s="435"/>
      <c r="AV264" s="264">
        <f>AD264+AF264+AH264+AK264+AP264+AT264</f>
        <v>0</v>
      </c>
      <c r="AW264" s="264">
        <f>AE264+AG264+AI264+AN264+AS264+AU264</f>
        <v>0</v>
      </c>
      <c r="AX264" s="288"/>
      <c r="AY264" s="266"/>
      <c r="AZ264" s="287"/>
      <c r="BA264" s="209"/>
    </row>
    <row r="265" spans="1:53" x14ac:dyDescent="0.2">
      <c r="A265" s="39"/>
      <c r="B265" s="322"/>
      <c r="C265" s="258"/>
      <c r="D265" s="423"/>
      <c r="E265" s="424"/>
      <c r="F265" s="425"/>
      <c r="G265" s="425"/>
      <c r="H265" s="425"/>
      <c r="I265" s="425"/>
      <c r="J265" s="425"/>
      <c r="K265" s="426"/>
      <c r="L265" s="427"/>
      <c r="M265" s="425"/>
      <c r="N265" s="425"/>
      <c r="O265" s="425"/>
      <c r="P265" s="428"/>
      <c r="Q265" s="428"/>
      <c r="R265" s="428"/>
      <c r="S265" s="428"/>
      <c r="T265" s="428"/>
      <c r="U265" s="428"/>
      <c r="V265" s="428"/>
      <c r="W265" s="428"/>
      <c r="X265" s="426"/>
      <c r="Y265" s="426"/>
      <c r="Z265" s="426"/>
      <c r="AA265" s="426"/>
      <c r="AB265" s="261"/>
      <c r="AC265" s="259"/>
      <c r="AD265" s="260"/>
      <c r="AE265" s="262"/>
      <c r="AF265" s="259"/>
      <c r="AG265" s="259"/>
      <c r="AH265" s="260"/>
      <c r="AI265" s="262"/>
      <c r="AJ265" s="263" t="s">
        <v>3525</v>
      </c>
      <c r="AK265" s="264">
        <f>'O. GASB 73 LEO Entries'!C68</f>
        <v>0</v>
      </c>
      <c r="AL265" s="259"/>
      <c r="AM265" s="263" t="s">
        <v>3931</v>
      </c>
      <c r="AN265" s="264">
        <f>'P. GASB 75 OPEB 1 Entries'!D81+'P. GASB 75 OPEB 2 Entries '!D81+'P. GASB 75 3 OPEB Entries '!D81</f>
        <v>0</v>
      </c>
      <c r="AO265" s="265"/>
      <c r="AP265" s="264"/>
      <c r="AQ265" s="258"/>
      <c r="AR265" s="263"/>
      <c r="AS265" s="266"/>
      <c r="AT265" s="434"/>
      <c r="AU265" s="435"/>
      <c r="AV265" s="264">
        <f>AD265+AF265+AH265+AK265+AP265+AT265</f>
        <v>0</v>
      </c>
      <c r="AW265" s="264">
        <f>AE265+AG265+AI265+AN265+AS265+AU265</f>
        <v>0</v>
      </c>
      <c r="AX265" s="288"/>
      <c r="AY265" s="266"/>
      <c r="AZ265" s="287"/>
      <c r="BA265" s="209"/>
    </row>
    <row r="266" spans="1:53" x14ac:dyDescent="0.2">
      <c r="A266" s="39"/>
      <c r="B266" s="322"/>
      <c r="C266" s="258"/>
      <c r="D266" s="423"/>
      <c r="E266" s="424"/>
      <c r="F266" s="425"/>
      <c r="G266" s="425"/>
      <c r="H266" s="425"/>
      <c r="I266" s="425"/>
      <c r="J266" s="425"/>
      <c r="K266" s="426"/>
      <c r="L266" s="427"/>
      <c r="M266" s="425"/>
      <c r="N266" s="425"/>
      <c r="O266" s="425"/>
      <c r="P266" s="428"/>
      <c r="Q266" s="428"/>
      <c r="R266" s="428"/>
      <c r="S266" s="428"/>
      <c r="T266" s="428"/>
      <c r="U266" s="428"/>
      <c r="V266" s="428"/>
      <c r="W266" s="428"/>
      <c r="X266" s="426"/>
      <c r="Y266" s="426"/>
      <c r="Z266" s="426"/>
      <c r="AA266" s="426"/>
      <c r="AB266" s="261"/>
      <c r="AC266" s="259"/>
      <c r="AD266" s="260"/>
      <c r="AE266" s="262"/>
      <c r="AF266" s="259"/>
      <c r="AG266" s="259"/>
      <c r="AH266" s="260"/>
      <c r="AI266" s="262"/>
      <c r="AJ266" s="263" t="s">
        <v>3931</v>
      </c>
      <c r="AK266" s="264">
        <f>'P. GASB 75 OPEB 1 Entries'!C59+'P. GASB 75 OPEB 2 Entries '!C59+'P. GASB 75 3 OPEB Entries '!C59</f>
        <v>0</v>
      </c>
      <c r="AL266" s="259"/>
      <c r="AM266" s="269" t="s">
        <v>4858</v>
      </c>
      <c r="AN266" s="264">
        <f>'Q. GASB 87 Lease Entries'!O33</f>
        <v>0</v>
      </c>
      <c r="AO266" s="265"/>
      <c r="AP266" s="264"/>
      <c r="AQ266" s="258"/>
      <c r="AR266" s="263"/>
      <c r="AS266" s="266"/>
      <c r="AT266" s="434"/>
      <c r="AU266" s="435"/>
      <c r="AV266" s="264">
        <f>AD266+AF266+AH266+AK266+AP266+AT266</f>
        <v>0</v>
      </c>
      <c r="AW266" s="264">
        <f>AE266+AG266+AI266+AN266+AS266+AU266</f>
        <v>0</v>
      </c>
      <c r="AX266" s="288"/>
      <c r="AY266" s="266"/>
      <c r="AZ266" s="287"/>
      <c r="BA266" s="209"/>
    </row>
    <row r="267" spans="1:53" x14ac:dyDescent="0.2">
      <c r="A267" s="39"/>
      <c r="B267" s="322"/>
      <c r="C267" s="258"/>
      <c r="D267" s="423"/>
      <c r="E267" s="424"/>
      <c r="F267" s="425"/>
      <c r="G267" s="425"/>
      <c r="H267" s="425"/>
      <c r="I267" s="425"/>
      <c r="J267" s="425"/>
      <c r="K267" s="426"/>
      <c r="L267" s="427"/>
      <c r="M267" s="425"/>
      <c r="N267" s="425"/>
      <c r="O267" s="425"/>
      <c r="P267" s="428"/>
      <c r="Q267" s="428"/>
      <c r="R267" s="428"/>
      <c r="S267" s="428"/>
      <c r="T267" s="428"/>
      <c r="U267" s="428"/>
      <c r="V267" s="428"/>
      <c r="W267" s="428"/>
      <c r="X267" s="426"/>
      <c r="Y267" s="426"/>
      <c r="Z267" s="426"/>
      <c r="AA267" s="426"/>
      <c r="AB267" s="261"/>
      <c r="AC267" s="259"/>
      <c r="AD267" s="260"/>
      <c r="AE267" s="262"/>
      <c r="AF267" s="259"/>
      <c r="AG267" s="259"/>
      <c r="AH267" s="260"/>
      <c r="AI267" s="262"/>
      <c r="AJ267" s="263" t="s">
        <v>4867</v>
      </c>
      <c r="AK267" s="264">
        <f>'Q. GASB 87 Lease Entries'!M69</f>
        <v>0</v>
      </c>
      <c r="AL267" s="259"/>
      <c r="AM267" s="269" t="s">
        <v>4892</v>
      </c>
      <c r="AN267" s="264">
        <f>'R. GASB 96 Subscription Entries'!O33</f>
        <v>0</v>
      </c>
      <c r="AO267" s="265"/>
      <c r="AP267" s="264"/>
      <c r="AQ267" s="258"/>
      <c r="AR267" s="263"/>
      <c r="AS267" s="266"/>
      <c r="AT267" s="434"/>
      <c r="AU267" s="435"/>
      <c r="AV267" s="264"/>
      <c r="AW267" s="264"/>
      <c r="AX267" s="288"/>
      <c r="AY267" s="266"/>
      <c r="AZ267" s="287"/>
      <c r="BA267" s="209"/>
    </row>
    <row r="268" spans="1:53" x14ac:dyDescent="0.2">
      <c r="A268" s="39"/>
      <c r="B268" s="322"/>
      <c r="C268" s="258"/>
      <c r="D268" s="423"/>
      <c r="E268" s="424"/>
      <c r="F268" s="425"/>
      <c r="G268" s="425"/>
      <c r="H268" s="425"/>
      <c r="I268" s="425"/>
      <c r="J268" s="425"/>
      <c r="K268" s="426"/>
      <c r="L268" s="427"/>
      <c r="M268" s="425"/>
      <c r="N268" s="425"/>
      <c r="O268" s="425"/>
      <c r="P268" s="428"/>
      <c r="Q268" s="428"/>
      <c r="R268" s="428"/>
      <c r="S268" s="428"/>
      <c r="T268" s="428"/>
      <c r="U268" s="428"/>
      <c r="V268" s="428"/>
      <c r="W268" s="428"/>
      <c r="X268" s="426"/>
      <c r="Y268" s="426"/>
      <c r="Z268" s="426"/>
      <c r="AA268" s="426"/>
      <c r="AB268" s="261"/>
      <c r="AC268" s="259"/>
      <c r="AD268" s="260"/>
      <c r="AE268" s="262"/>
      <c r="AF268" s="259"/>
      <c r="AG268" s="259"/>
      <c r="AH268" s="260"/>
      <c r="AI268" s="262"/>
      <c r="AJ268" s="263" t="s">
        <v>4894</v>
      </c>
      <c r="AK268" s="264">
        <f>'R. GASB 96 Subscription Entries'!M69</f>
        <v>0</v>
      </c>
      <c r="AL268" s="259"/>
      <c r="AM268" s="269"/>
      <c r="AN268" s="264"/>
      <c r="AO268" s="265"/>
      <c r="AP268" s="264"/>
      <c r="AQ268" s="258"/>
      <c r="AR268" s="263"/>
      <c r="AS268" s="266"/>
      <c r="AT268" s="434"/>
      <c r="AU268" s="435"/>
      <c r="AV268" s="264">
        <f>AD268+AF268+AH268+AK268+AP268+AT268</f>
        <v>0</v>
      </c>
      <c r="AW268" s="264">
        <f>AE268+AG268+AI268+AN268+AS268+AU268</f>
        <v>0</v>
      </c>
      <c r="AX268" s="288"/>
      <c r="AY268" s="266"/>
      <c r="AZ268" s="287"/>
      <c r="BA268" s="209"/>
    </row>
    <row r="269" spans="1:53" x14ac:dyDescent="0.2">
      <c r="A269" s="39"/>
      <c r="D269" s="418"/>
      <c r="E269" s="419"/>
      <c r="F269" s="414"/>
      <c r="G269" s="414"/>
      <c r="H269" s="414"/>
      <c r="I269" s="414"/>
      <c r="J269" s="414"/>
      <c r="K269" s="415"/>
      <c r="L269" s="416"/>
      <c r="M269" s="414"/>
      <c r="N269" s="414"/>
      <c r="O269" s="414"/>
      <c r="P269" s="417"/>
      <c r="Q269" s="417"/>
      <c r="R269" s="417"/>
      <c r="S269" s="417"/>
      <c r="T269" s="417"/>
      <c r="U269" s="417"/>
      <c r="V269" s="417"/>
      <c r="W269" s="417"/>
      <c r="X269" s="415"/>
      <c r="Y269" s="415"/>
      <c r="Z269" s="415"/>
      <c r="AA269" s="415"/>
      <c r="AB269" s="9">
        <f t="shared" ref="AB269:AB363" si="89">L269+N269+P269+R269+T269+V269+X269+Z269</f>
        <v>0</v>
      </c>
      <c r="AC269" s="5">
        <f t="shared" ref="AC269:AC363" si="90">M269+O269+Q269+S269+U269+W269+Y269+AA269</f>
        <v>0</v>
      </c>
      <c r="AD269" s="26">
        <f t="shared" si="83"/>
        <v>0</v>
      </c>
      <c r="AE269" s="21">
        <f t="shared" si="84"/>
        <v>0</v>
      </c>
      <c r="AF269" s="5"/>
      <c r="AG269" s="5"/>
      <c r="AH269" s="26"/>
      <c r="AI269" s="21"/>
      <c r="AL269" s="5"/>
      <c r="AN269" s="57"/>
      <c r="AO269" s="231"/>
      <c r="AP269" s="57"/>
      <c r="AS269" s="209"/>
      <c r="AT269" s="434"/>
      <c r="AU269" s="435"/>
      <c r="AV269" s="56"/>
      <c r="AW269" s="56"/>
      <c r="AX269" s="287" t="str">
        <f>IF(AV269-AW269&lt;=0," ",AV269-AW269)</f>
        <v xml:space="preserve"> </v>
      </c>
      <c r="AY269" s="209"/>
      <c r="AZ269" s="287"/>
      <c r="BA269" s="209"/>
    </row>
    <row r="270" spans="1:53" x14ac:dyDescent="0.2">
      <c r="A270" s="39"/>
      <c r="B270" s="322" t="s">
        <v>880</v>
      </c>
      <c r="C270" s="258"/>
      <c r="D270" s="423"/>
      <c r="E270" s="424"/>
      <c r="F270" s="425"/>
      <c r="G270" s="425"/>
      <c r="H270" s="425"/>
      <c r="I270" s="425"/>
      <c r="J270" s="425"/>
      <c r="K270" s="426"/>
      <c r="L270" s="427"/>
      <c r="M270" s="425"/>
      <c r="N270" s="425"/>
      <c r="O270" s="425"/>
      <c r="P270" s="428"/>
      <c r="Q270" s="428"/>
      <c r="R270" s="428"/>
      <c r="S270" s="428"/>
      <c r="T270" s="428"/>
      <c r="U270" s="428"/>
      <c r="V270" s="428"/>
      <c r="W270" s="428"/>
      <c r="X270" s="426"/>
      <c r="Y270" s="426"/>
      <c r="Z270" s="426"/>
      <c r="AA270" s="426"/>
      <c r="AB270" s="261">
        <f t="shared" si="89"/>
        <v>0</v>
      </c>
      <c r="AC270" s="259">
        <f t="shared" si="90"/>
        <v>0</v>
      </c>
      <c r="AD270" s="260">
        <f t="shared" si="83"/>
        <v>0</v>
      </c>
      <c r="AE270" s="262">
        <f t="shared" si="84"/>
        <v>0</v>
      </c>
      <c r="AF270" s="259"/>
      <c r="AG270" s="259"/>
      <c r="AH270" s="260"/>
      <c r="AI270" s="262"/>
      <c r="AJ270" s="263" t="str">
        <f>'D. Depreciation'!A55</f>
        <v>D.1</v>
      </c>
      <c r="AK270" s="264">
        <f>'D. Depreciation'!J57</f>
        <v>0</v>
      </c>
      <c r="AL270" s="259"/>
      <c r="AM270" s="263" t="str">
        <f>'E. Capital Outlay'!D53</f>
        <v>E.1</v>
      </c>
      <c r="AN270" s="264">
        <f>'E. Capital Outlay'!N66</f>
        <v>0</v>
      </c>
      <c r="AO270" s="265" t="str">
        <f>'L. Eliminations-Consolidations'!A243</f>
        <v>L.7</v>
      </c>
      <c r="AP270" s="264">
        <f>'L. Eliminations-Consolidations'!J245</f>
        <v>0</v>
      </c>
      <c r="AQ270" s="258"/>
      <c r="AR270" s="395" t="s">
        <v>671</v>
      </c>
      <c r="AS270" s="266">
        <f>'K.1  Int. Service Fd Allocation'!G209+'K.2  Int. Service Fd Alloca'!G202+'K.3 Int. Service Fd Alloca'!G202</f>
        <v>0</v>
      </c>
      <c r="AT270" s="434"/>
      <c r="AU270" s="435"/>
      <c r="AV270" s="264">
        <f t="shared" si="87"/>
        <v>0</v>
      </c>
      <c r="AW270" s="264">
        <f t="shared" si="88"/>
        <v>0</v>
      </c>
      <c r="AX270" s="288" t="e">
        <f>IF(SUM(AV270:AV277)-SUM(AW270:AW277)&lt;=0," ",SUM(AV270:AV277)-SUM(AW270:AW277))</f>
        <v>#VALUE!</v>
      </c>
      <c r="AY270" s="266" t="e">
        <f>IF(SUM(AV270:AV277)-SUM(AW270:AW277)&gt;=0," ",SUM(AW270:AW277)-SUM(AV270:AV277))</f>
        <v>#VALUE!</v>
      </c>
      <c r="AZ270" s="287"/>
      <c r="BA270" s="209"/>
    </row>
    <row r="271" spans="1:53" x14ac:dyDescent="0.2">
      <c r="A271" s="39"/>
      <c r="B271" s="322"/>
      <c r="C271" s="258"/>
      <c r="D271" s="423"/>
      <c r="E271" s="424"/>
      <c r="F271" s="425"/>
      <c r="G271" s="425"/>
      <c r="H271" s="425"/>
      <c r="I271" s="425"/>
      <c r="J271" s="425"/>
      <c r="K271" s="426"/>
      <c r="L271" s="427"/>
      <c r="M271" s="425"/>
      <c r="N271" s="425"/>
      <c r="O271" s="425"/>
      <c r="P271" s="428"/>
      <c r="Q271" s="428"/>
      <c r="R271" s="428"/>
      <c r="S271" s="428"/>
      <c r="T271" s="428"/>
      <c r="U271" s="428"/>
      <c r="V271" s="428"/>
      <c r="W271" s="428"/>
      <c r="X271" s="426"/>
      <c r="Y271" s="426"/>
      <c r="Z271" s="426"/>
      <c r="AA271" s="426"/>
      <c r="AB271" s="261">
        <f t="shared" si="89"/>
        <v>0</v>
      </c>
      <c r="AC271" s="259">
        <f t="shared" si="90"/>
        <v>0</v>
      </c>
      <c r="AD271" s="260">
        <f t="shared" si="83"/>
        <v>0</v>
      </c>
      <c r="AE271" s="262">
        <f t="shared" si="84"/>
        <v>0</v>
      </c>
      <c r="AF271" s="259"/>
      <c r="AG271" s="259"/>
      <c r="AH271" s="260"/>
      <c r="AI271" s="262"/>
      <c r="AJ271" s="263" t="str">
        <f>'J. Other Liability &amp; Expenses'!D185</f>
        <v>J.1</v>
      </c>
      <c r="AK271" s="264">
        <f>'J. Other Liability &amp; Expenses'!L187</f>
        <v>0</v>
      </c>
      <c r="AL271" s="259"/>
      <c r="AM271" s="263" t="str">
        <f>'I.  Other Asset Entries'!B105</f>
        <v>I.1</v>
      </c>
      <c r="AN271" s="264">
        <f>'I.  Other Asset Entries'!N112</f>
        <v>0</v>
      </c>
      <c r="AO271" s="265"/>
      <c r="AP271" s="264"/>
      <c r="AQ271" s="258"/>
      <c r="AR271" s="263" t="str">
        <f>'L. Eliminations-Consolidations'!A219</f>
        <v>L.5</v>
      </c>
      <c r="AS271" s="266">
        <f>'L. Eliminations-Consolidations'!L222</f>
        <v>0</v>
      </c>
      <c r="AT271" s="434"/>
      <c r="AU271" s="435"/>
      <c r="AV271" s="264">
        <f t="shared" si="87"/>
        <v>0</v>
      </c>
      <c r="AW271" s="264">
        <f t="shared" si="88"/>
        <v>0</v>
      </c>
      <c r="AX271" s="288"/>
      <c r="AY271" s="266"/>
      <c r="AZ271" s="287"/>
      <c r="BA271" s="209"/>
    </row>
    <row r="272" spans="1:53" x14ac:dyDescent="0.2">
      <c r="A272" s="39"/>
      <c r="B272" s="322"/>
      <c r="C272" s="258"/>
      <c r="D272" s="423"/>
      <c r="E272" s="424"/>
      <c r="F272" s="425"/>
      <c r="G272" s="425"/>
      <c r="H272" s="425"/>
      <c r="I272" s="425"/>
      <c r="J272" s="425"/>
      <c r="K272" s="426"/>
      <c r="L272" s="427"/>
      <c r="M272" s="425"/>
      <c r="N272" s="425"/>
      <c r="O272" s="425"/>
      <c r="P272" s="428"/>
      <c r="Q272" s="428"/>
      <c r="R272" s="428"/>
      <c r="S272" s="428"/>
      <c r="T272" s="428"/>
      <c r="U272" s="428"/>
      <c r="V272" s="428"/>
      <c r="W272" s="428"/>
      <c r="X272" s="426"/>
      <c r="Y272" s="426"/>
      <c r="Z272" s="426"/>
      <c r="AA272" s="426"/>
      <c r="AB272" s="261">
        <f t="shared" si="89"/>
        <v>0</v>
      </c>
      <c r="AC272" s="259">
        <f t="shared" si="90"/>
        <v>0</v>
      </c>
      <c r="AD272" s="260">
        <f t="shared" si="83"/>
        <v>0</v>
      </c>
      <c r="AE272" s="262">
        <f t="shared" si="84"/>
        <v>0</v>
      </c>
      <c r="AF272" s="259"/>
      <c r="AG272" s="259"/>
      <c r="AH272" s="260"/>
      <c r="AI272" s="262"/>
      <c r="AJ272" s="263" t="str">
        <f>'F.  Other Cap Asset Entries'!D254</f>
        <v>F.3</v>
      </c>
      <c r="AK272" s="264">
        <f>'F.  Other Cap Asset Entries'!M255</f>
        <v>0</v>
      </c>
      <c r="AL272" s="259"/>
      <c r="AM272" s="263" t="str">
        <f>'J. Other Liability &amp; Expenses'!D185</f>
        <v>J.1</v>
      </c>
      <c r="AN272" s="264">
        <f>'J. Other Liability &amp; Expenses'!N187</f>
        <v>0</v>
      </c>
      <c r="AO272" s="265" t="str">
        <f>'L. Eliminations-Consolidations'!B270</f>
        <v>L.8</v>
      </c>
      <c r="AP272" s="264">
        <f>'L. Eliminations-Consolidations'!J273</f>
        <v>0</v>
      </c>
      <c r="AQ272" s="258"/>
      <c r="AR272" s="263" t="str">
        <f>'L. Eliminations-Consolidations'!B270</f>
        <v>L.8</v>
      </c>
      <c r="AS272" s="266">
        <f>'L. Eliminations-Consolidations'!L273</f>
        <v>0</v>
      </c>
      <c r="AT272" s="434"/>
      <c r="AU272" s="435"/>
      <c r="AV272" s="264">
        <f t="shared" si="87"/>
        <v>0</v>
      </c>
      <c r="AW272" s="264">
        <f t="shared" si="88"/>
        <v>0</v>
      </c>
      <c r="AX272" s="288"/>
      <c r="AY272" s="266"/>
      <c r="AZ272" s="287"/>
      <c r="BA272" s="209"/>
    </row>
    <row r="273" spans="1:53" x14ac:dyDescent="0.2">
      <c r="A273" s="39"/>
      <c r="B273" s="322"/>
      <c r="C273" s="258"/>
      <c r="D273" s="423"/>
      <c r="E273" s="424"/>
      <c r="F273" s="425"/>
      <c r="G273" s="425"/>
      <c r="H273" s="425"/>
      <c r="I273" s="425"/>
      <c r="J273" s="425"/>
      <c r="K273" s="426"/>
      <c r="L273" s="427"/>
      <c r="M273" s="425"/>
      <c r="N273" s="425"/>
      <c r="O273" s="425"/>
      <c r="P273" s="428"/>
      <c r="Q273" s="428"/>
      <c r="R273" s="428"/>
      <c r="S273" s="428"/>
      <c r="T273" s="428"/>
      <c r="U273" s="428"/>
      <c r="V273" s="428"/>
      <c r="W273" s="428"/>
      <c r="X273" s="426"/>
      <c r="Y273" s="426"/>
      <c r="Z273" s="426"/>
      <c r="AA273" s="426"/>
      <c r="AB273" s="261"/>
      <c r="AC273" s="259"/>
      <c r="AD273" s="260"/>
      <c r="AE273" s="262"/>
      <c r="AF273" s="259"/>
      <c r="AG273" s="259"/>
      <c r="AH273" s="260"/>
      <c r="AI273" s="262"/>
      <c r="AJ273" s="263" t="s">
        <v>951</v>
      </c>
      <c r="AK273" s="264">
        <f>'F.  Other Cap Asset Entries'!M278</f>
        <v>0</v>
      </c>
      <c r="AL273" s="259"/>
      <c r="AM273" s="263" t="s">
        <v>2048</v>
      </c>
      <c r="AN273" s="264" t="e">
        <f>'N.1 GASB 68 LGERS'!D99</f>
        <v>#VALUE!</v>
      </c>
      <c r="AO273" s="265"/>
      <c r="AP273" s="264"/>
      <c r="AQ273" s="258"/>
      <c r="AR273" s="263"/>
      <c r="AS273" s="266"/>
      <c r="AT273" s="434"/>
      <c r="AU273" s="435"/>
      <c r="AV273" s="264">
        <f t="shared" si="87"/>
        <v>0</v>
      </c>
      <c r="AW273" s="264" t="e">
        <f t="shared" si="88"/>
        <v>#VALUE!</v>
      </c>
      <c r="AX273" s="288"/>
      <c r="AY273" s="266"/>
      <c r="AZ273" s="287"/>
      <c r="BA273" s="209"/>
    </row>
    <row r="274" spans="1:53" x14ac:dyDescent="0.2">
      <c r="A274" s="39"/>
      <c r="B274" s="322"/>
      <c r="C274" s="258"/>
      <c r="D274" s="423"/>
      <c r="E274" s="424"/>
      <c r="F274" s="425"/>
      <c r="G274" s="425"/>
      <c r="H274" s="425"/>
      <c r="I274" s="425"/>
      <c r="J274" s="425"/>
      <c r="K274" s="426"/>
      <c r="L274" s="427"/>
      <c r="M274" s="425"/>
      <c r="N274" s="425"/>
      <c r="O274" s="425"/>
      <c r="P274" s="428"/>
      <c r="Q274" s="428"/>
      <c r="R274" s="428"/>
      <c r="S274" s="428"/>
      <c r="T274" s="428"/>
      <c r="U274" s="428"/>
      <c r="V274" s="428"/>
      <c r="W274" s="428"/>
      <c r="X274" s="426"/>
      <c r="Y274" s="426"/>
      <c r="Z274" s="426"/>
      <c r="AA274" s="426"/>
      <c r="AB274" s="261"/>
      <c r="AC274" s="259"/>
      <c r="AD274" s="260"/>
      <c r="AE274" s="262"/>
      <c r="AF274" s="259"/>
      <c r="AG274" s="259"/>
      <c r="AH274" s="260"/>
      <c r="AI274" s="262"/>
      <c r="AJ274" s="263" t="s">
        <v>2048</v>
      </c>
      <c r="AK274" s="264" t="e">
        <f>'N.1 GASB 68 LGERS'!C99</f>
        <v>#VALUE!</v>
      </c>
      <c r="AL274" s="259"/>
      <c r="AM274" s="263" t="s">
        <v>3931</v>
      </c>
      <c r="AN274" s="803">
        <f>'P. GASB 75 OPEB 1 Entries'!D82+'P. GASB 75 OPEB 2 Entries '!D82+'P. GASB 75 3 OPEB Entries '!D82</f>
        <v>0</v>
      </c>
      <c r="AO274" s="265"/>
      <c r="AP274" s="264"/>
      <c r="AQ274" s="258"/>
      <c r="AR274" s="263"/>
      <c r="AS274" s="266"/>
      <c r="AT274" s="434"/>
      <c r="AU274" s="435"/>
      <c r="AV274" s="264" t="e">
        <f>AD274+AF274+AH274+AK274+AP274+AT274</f>
        <v>#VALUE!</v>
      </c>
      <c r="AW274" s="264">
        <f>AE274+AG274+AI274+AN274+AS274+AU274</f>
        <v>0</v>
      </c>
      <c r="AX274" s="288"/>
      <c r="AY274" s="266"/>
      <c r="AZ274" s="287"/>
      <c r="BA274" s="209"/>
    </row>
    <row r="275" spans="1:53" x14ac:dyDescent="0.2">
      <c r="A275" s="39"/>
      <c r="B275" s="322"/>
      <c r="C275" s="258"/>
      <c r="D275" s="423"/>
      <c r="E275" s="424"/>
      <c r="F275" s="425"/>
      <c r="G275" s="425"/>
      <c r="H275" s="425"/>
      <c r="I275" s="425"/>
      <c r="J275" s="425"/>
      <c r="K275" s="426"/>
      <c r="L275" s="427"/>
      <c r="M275" s="425"/>
      <c r="N275" s="425"/>
      <c r="O275" s="425"/>
      <c r="P275" s="428"/>
      <c r="Q275" s="428"/>
      <c r="R275" s="428"/>
      <c r="S275" s="428"/>
      <c r="T275" s="428"/>
      <c r="U275" s="428"/>
      <c r="V275" s="428"/>
      <c r="W275" s="428"/>
      <c r="X275" s="426"/>
      <c r="Y275" s="426"/>
      <c r="Z275" s="426"/>
      <c r="AA275" s="426"/>
      <c r="AB275" s="261"/>
      <c r="AC275" s="259"/>
      <c r="AD275" s="260"/>
      <c r="AE275" s="262"/>
      <c r="AF275" s="259"/>
      <c r="AG275" s="259"/>
      <c r="AH275" s="260"/>
      <c r="AI275" s="262"/>
      <c r="AJ275" s="263" t="s">
        <v>3893</v>
      </c>
      <c r="AK275" s="264">
        <f>'P. GASB 75 OPEB 1 Entries'!C60+'P. GASB 75 OPEB 2 Entries '!C60+'P. GASB 75 3 OPEB Entries '!C60</f>
        <v>0</v>
      </c>
      <c r="AL275" s="259"/>
      <c r="AM275" s="269" t="s">
        <v>4858</v>
      </c>
      <c r="AN275" s="803">
        <f>'Q. GASB 87 Lease Entries'!O34</f>
        <v>0</v>
      </c>
      <c r="AO275" s="265"/>
      <c r="AP275" s="264"/>
      <c r="AQ275" s="258"/>
      <c r="AR275" s="263"/>
      <c r="AS275" s="266"/>
      <c r="AT275" s="434"/>
      <c r="AU275" s="435"/>
      <c r="AV275" s="264">
        <f t="shared" ref="AV275" si="91">AD275+AF275+AH275+AK275+AP275+AT275</f>
        <v>0</v>
      </c>
      <c r="AW275" s="264">
        <f t="shared" ref="AW275:AW277" si="92">AE275+AG275+AI275+AN275+AS275+AU275</f>
        <v>0</v>
      </c>
      <c r="AX275" s="288"/>
      <c r="AY275" s="266"/>
      <c r="AZ275" s="287"/>
      <c r="BA275" s="209"/>
    </row>
    <row r="276" spans="1:53" x14ac:dyDescent="0.2">
      <c r="A276" s="39"/>
      <c r="B276" s="322"/>
      <c r="C276" s="258"/>
      <c r="D276" s="423"/>
      <c r="E276" s="424"/>
      <c r="F276" s="425"/>
      <c r="G276" s="425"/>
      <c r="H276" s="425"/>
      <c r="I276" s="425"/>
      <c r="J276" s="425"/>
      <c r="K276" s="426"/>
      <c r="L276" s="427"/>
      <c r="M276" s="425"/>
      <c r="N276" s="425"/>
      <c r="O276" s="425"/>
      <c r="P276" s="428"/>
      <c r="Q276" s="428"/>
      <c r="R276" s="428"/>
      <c r="S276" s="428"/>
      <c r="T276" s="428"/>
      <c r="U276" s="428"/>
      <c r="V276" s="428"/>
      <c r="W276" s="428"/>
      <c r="X276" s="426"/>
      <c r="Y276" s="426"/>
      <c r="Z276" s="426"/>
      <c r="AA276" s="426"/>
      <c r="AB276" s="261"/>
      <c r="AC276" s="259"/>
      <c r="AD276" s="260"/>
      <c r="AE276" s="262"/>
      <c r="AF276" s="259"/>
      <c r="AG276" s="259"/>
      <c r="AH276" s="260"/>
      <c r="AI276" s="262"/>
      <c r="AJ276" s="263" t="s">
        <v>4867</v>
      </c>
      <c r="AK276" s="264">
        <f>'Q. GASB 87 Lease Entries'!M70</f>
        <v>0</v>
      </c>
      <c r="AL276" s="259"/>
      <c r="AM276" s="269" t="s">
        <v>4892</v>
      </c>
      <c r="AN276" s="803">
        <f>'R. GASB 96 Subscription Entries'!O34</f>
        <v>0</v>
      </c>
      <c r="AO276" s="265"/>
      <c r="AP276" s="264"/>
      <c r="AQ276" s="258"/>
      <c r="AR276" s="263"/>
      <c r="AS276" s="266"/>
      <c r="AT276" s="434"/>
      <c r="AU276" s="435"/>
      <c r="AV276" s="264"/>
      <c r="AW276" s="264"/>
      <c r="AX276" s="288"/>
      <c r="AY276" s="266"/>
      <c r="AZ276" s="287"/>
      <c r="BA276" s="209"/>
    </row>
    <row r="277" spans="1:53" x14ac:dyDescent="0.2">
      <c r="A277" s="39"/>
      <c r="B277" s="322"/>
      <c r="C277" s="258"/>
      <c r="D277" s="423"/>
      <c r="E277" s="424"/>
      <c r="F277" s="425"/>
      <c r="G277" s="425"/>
      <c r="H277" s="425"/>
      <c r="I277" s="425"/>
      <c r="J277" s="425"/>
      <c r="K277" s="426"/>
      <c r="L277" s="427"/>
      <c r="M277" s="425"/>
      <c r="N277" s="425"/>
      <c r="O277" s="425"/>
      <c r="P277" s="428"/>
      <c r="Q277" s="428"/>
      <c r="R277" s="428"/>
      <c r="S277" s="428"/>
      <c r="T277" s="428"/>
      <c r="U277" s="428"/>
      <c r="V277" s="428"/>
      <c r="W277" s="428"/>
      <c r="X277" s="426"/>
      <c r="Y277" s="426"/>
      <c r="Z277" s="426"/>
      <c r="AA277" s="426"/>
      <c r="AB277" s="261"/>
      <c r="AC277" s="259"/>
      <c r="AD277" s="260"/>
      <c r="AE277" s="262"/>
      <c r="AF277" s="259"/>
      <c r="AG277" s="259"/>
      <c r="AH277" s="260"/>
      <c r="AI277" s="262"/>
      <c r="AJ277" s="263" t="s">
        <v>4894</v>
      </c>
      <c r="AK277" s="264">
        <f>'R. GASB 96 Subscription Entries'!M70</f>
        <v>0</v>
      </c>
      <c r="AL277" s="259"/>
      <c r="AM277" s="269"/>
      <c r="AN277" s="803"/>
      <c r="AO277" s="265"/>
      <c r="AP277" s="264"/>
      <c r="AQ277" s="258"/>
      <c r="AR277" s="263"/>
      <c r="AS277" s="266"/>
      <c r="AT277" s="434"/>
      <c r="AU277" s="435"/>
      <c r="AV277" s="264">
        <f>AD277+AF277+AH277+AK277+AP277+AT277</f>
        <v>0</v>
      </c>
      <c r="AW277" s="264">
        <f t="shared" si="92"/>
        <v>0</v>
      </c>
      <c r="AX277" s="288"/>
      <c r="AY277" s="266"/>
      <c r="AZ277" s="287"/>
      <c r="BA277" s="209"/>
    </row>
    <row r="278" spans="1:53" x14ac:dyDescent="0.2">
      <c r="A278" s="39"/>
      <c r="D278" s="418"/>
      <c r="E278" s="419"/>
      <c r="F278" s="414"/>
      <c r="G278" s="414"/>
      <c r="H278" s="414"/>
      <c r="I278" s="414"/>
      <c r="J278" s="414"/>
      <c r="K278" s="415"/>
      <c r="L278" s="416"/>
      <c r="M278" s="414"/>
      <c r="N278" s="414"/>
      <c r="O278" s="414"/>
      <c r="P278" s="417"/>
      <c r="Q278" s="417"/>
      <c r="R278" s="417"/>
      <c r="S278" s="417"/>
      <c r="T278" s="417"/>
      <c r="U278" s="417"/>
      <c r="V278" s="417"/>
      <c r="W278" s="417"/>
      <c r="X278" s="415"/>
      <c r="Y278" s="415"/>
      <c r="Z278" s="415"/>
      <c r="AA278" s="415"/>
      <c r="AB278" s="9">
        <f t="shared" si="89"/>
        <v>0</v>
      </c>
      <c r="AC278" s="5">
        <f t="shared" si="90"/>
        <v>0</v>
      </c>
      <c r="AD278" s="26">
        <f t="shared" ref="AD278:AD363" si="93">D278+F278+H278+J278+AB278</f>
        <v>0</v>
      </c>
      <c r="AE278" s="21">
        <f t="shared" ref="AE278:AE363" si="94">E278+G278+I278+K278+AC278</f>
        <v>0</v>
      </c>
      <c r="AF278" s="5"/>
      <c r="AG278" s="5"/>
      <c r="AH278" s="26"/>
      <c r="AI278" s="21"/>
      <c r="AL278" s="5"/>
      <c r="AN278" s="57"/>
      <c r="AO278" s="231"/>
      <c r="AP278" s="57"/>
      <c r="AS278" s="209"/>
      <c r="AT278" s="434"/>
      <c r="AU278" s="435"/>
      <c r="AV278" s="56"/>
      <c r="AW278" s="56">
        <f t="shared" si="88"/>
        <v>0</v>
      </c>
      <c r="AX278" s="287" t="str">
        <f>IF(AV278-AW278&lt;=0," ",AV278-AW278)</f>
        <v xml:space="preserve"> </v>
      </c>
      <c r="AY278" s="209"/>
      <c r="AZ278" s="287"/>
      <c r="BA278" s="209"/>
    </row>
    <row r="279" spans="1:53" x14ac:dyDescent="0.2">
      <c r="A279" s="39"/>
      <c r="B279" s="322" t="s">
        <v>473</v>
      </c>
      <c r="C279" s="258"/>
      <c r="D279" s="423"/>
      <c r="E279" s="424"/>
      <c r="F279" s="425"/>
      <c r="G279" s="425"/>
      <c r="H279" s="425"/>
      <c r="I279" s="425"/>
      <c r="J279" s="425"/>
      <c r="K279" s="426"/>
      <c r="L279" s="427"/>
      <c r="M279" s="425"/>
      <c r="N279" s="425"/>
      <c r="O279" s="425"/>
      <c r="P279" s="428"/>
      <c r="Q279" s="428"/>
      <c r="R279" s="428"/>
      <c r="S279" s="428"/>
      <c r="T279" s="428"/>
      <c r="U279" s="428"/>
      <c r="V279" s="428"/>
      <c r="W279" s="428"/>
      <c r="X279" s="426"/>
      <c r="Y279" s="426"/>
      <c r="Z279" s="426"/>
      <c r="AA279" s="426"/>
      <c r="AB279" s="261">
        <f t="shared" si="89"/>
        <v>0</v>
      </c>
      <c r="AC279" s="259">
        <f t="shared" si="90"/>
        <v>0</v>
      </c>
      <c r="AD279" s="260">
        <f t="shared" si="93"/>
        <v>0</v>
      </c>
      <c r="AE279" s="262">
        <f t="shared" si="94"/>
        <v>0</v>
      </c>
      <c r="AF279" s="259"/>
      <c r="AG279" s="259"/>
      <c r="AH279" s="260"/>
      <c r="AI279" s="262"/>
      <c r="AJ279" s="263" t="str">
        <f>'D. Depreciation'!A55</f>
        <v>D.1</v>
      </c>
      <c r="AK279" s="264">
        <f>'D. Depreciation'!J58</f>
        <v>0</v>
      </c>
      <c r="AL279" s="259"/>
      <c r="AM279" s="263" t="str">
        <f>'E. Capital Outlay'!D53</f>
        <v>E.1</v>
      </c>
      <c r="AN279" s="264">
        <f>'E. Capital Outlay'!N67</f>
        <v>0</v>
      </c>
      <c r="AO279" s="265" t="str">
        <f>'L. Eliminations-Consolidations'!A243</f>
        <v>L.7</v>
      </c>
      <c r="AP279" s="264">
        <f>'L. Eliminations-Consolidations'!J246</f>
        <v>0</v>
      </c>
      <c r="AQ279" s="258"/>
      <c r="AR279" s="395" t="s">
        <v>671</v>
      </c>
      <c r="AS279" s="266">
        <f>'K.1  Int. Service Fd Allocation'!G210+'K.2  Int. Service Fd Alloca'!G203+'K.3 Int. Service Fd Alloca'!G203</f>
        <v>0</v>
      </c>
      <c r="AT279" s="434"/>
      <c r="AU279" s="435"/>
      <c r="AV279" s="264">
        <f t="shared" si="87"/>
        <v>0</v>
      </c>
      <c r="AW279" s="264">
        <f t="shared" si="88"/>
        <v>0</v>
      </c>
      <c r="AX279" s="288" t="e">
        <f>IF(SUM(AV279:AV286)-SUM(AW279:AW286)&lt;=0," ",SUM(AV279:AV286)-SUM(AW279:AW286))</f>
        <v>#VALUE!</v>
      </c>
      <c r="AY279" s="266" t="e">
        <f>IF(SUM(AV279:AV286)-SUM(AW279:AW286)&gt;=0," ",SUM(AW279:AW286)-SUM(AV279:AV286))</f>
        <v>#VALUE!</v>
      </c>
      <c r="AZ279" s="287"/>
      <c r="BA279" s="209"/>
    </row>
    <row r="280" spans="1:53" x14ac:dyDescent="0.2">
      <c r="A280" s="39"/>
      <c r="B280" s="322"/>
      <c r="C280" s="258"/>
      <c r="D280" s="423"/>
      <c r="E280" s="424"/>
      <c r="F280" s="425"/>
      <c r="G280" s="425"/>
      <c r="H280" s="425"/>
      <c r="I280" s="425"/>
      <c r="J280" s="425"/>
      <c r="K280" s="426"/>
      <c r="L280" s="427"/>
      <c r="M280" s="425"/>
      <c r="N280" s="425"/>
      <c r="O280" s="425"/>
      <c r="P280" s="428"/>
      <c r="Q280" s="428"/>
      <c r="R280" s="428"/>
      <c r="S280" s="428"/>
      <c r="T280" s="428"/>
      <c r="U280" s="428"/>
      <c r="V280" s="428"/>
      <c r="W280" s="428"/>
      <c r="X280" s="426"/>
      <c r="Y280" s="426"/>
      <c r="Z280" s="426"/>
      <c r="AA280" s="426"/>
      <c r="AB280" s="261">
        <f t="shared" si="89"/>
        <v>0</v>
      </c>
      <c r="AC280" s="259">
        <f t="shared" si="90"/>
        <v>0</v>
      </c>
      <c r="AD280" s="260">
        <f t="shared" si="93"/>
        <v>0</v>
      </c>
      <c r="AE280" s="262">
        <f t="shared" si="94"/>
        <v>0</v>
      </c>
      <c r="AF280" s="259"/>
      <c r="AG280" s="259"/>
      <c r="AH280" s="260"/>
      <c r="AI280" s="262"/>
      <c r="AJ280" s="263" t="str">
        <f>'J. Other Liability &amp; Expenses'!D185</f>
        <v>J.1</v>
      </c>
      <c r="AK280" s="264">
        <f>'J. Other Liability &amp; Expenses'!L188</f>
        <v>0</v>
      </c>
      <c r="AL280" s="259"/>
      <c r="AM280" s="269" t="str">
        <f>'I.  Other Asset Entries'!B105</f>
        <v>I.1</v>
      </c>
      <c r="AN280" s="264">
        <f>'I.  Other Asset Entries'!N113</f>
        <v>0</v>
      </c>
      <c r="AO280" s="265"/>
      <c r="AP280" s="264"/>
      <c r="AQ280" s="258"/>
      <c r="AR280" s="263"/>
      <c r="AS280" s="266"/>
      <c r="AT280" s="434"/>
      <c r="AU280" s="435"/>
      <c r="AV280" s="264">
        <f t="shared" si="87"/>
        <v>0</v>
      </c>
      <c r="AW280" s="264">
        <f t="shared" si="88"/>
        <v>0</v>
      </c>
      <c r="AX280" s="288"/>
      <c r="AY280" s="266"/>
      <c r="AZ280" s="287"/>
      <c r="BA280" s="209"/>
    </row>
    <row r="281" spans="1:53" x14ac:dyDescent="0.2">
      <c r="A281" s="39"/>
      <c r="B281" s="322"/>
      <c r="C281" s="258"/>
      <c r="D281" s="423"/>
      <c r="E281" s="424"/>
      <c r="F281" s="425"/>
      <c r="G281" s="425"/>
      <c r="H281" s="425"/>
      <c r="I281" s="425"/>
      <c r="J281" s="425"/>
      <c r="K281" s="426"/>
      <c r="L281" s="427"/>
      <c r="M281" s="425"/>
      <c r="N281" s="425"/>
      <c r="O281" s="425"/>
      <c r="P281" s="428"/>
      <c r="Q281" s="428"/>
      <c r="R281" s="428"/>
      <c r="S281" s="428"/>
      <c r="T281" s="428"/>
      <c r="U281" s="428"/>
      <c r="V281" s="428"/>
      <c r="W281" s="428"/>
      <c r="X281" s="426"/>
      <c r="Y281" s="426"/>
      <c r="Z281" s="426"/>
      <c r="AA281" s="426"/>
      <c r="AB281" s="261">
        <f t="shared" si="89"/>
        <v>0</v>
      </c>
      <c r="AC281" s="259">
        <f t="shared" si="90"/>
        <v>0</v>
      </c>
      <c r="AD281" s="260">
        <f t="shared" si="93"/>
        <v>0</v>
      </c>
      <c r="AE281" s="262">
        <f t="shared" si="94"/>
        <v>0</v>
      </c>
      <c r="AF281" s="259"/>
      <c r="AG281" s="259"/>
      <c r="AH281" s="260"/>
      <c r="AI281" s="262"/>
      <c r="AJ281" s="263" t="str">
        <f>'F.  Other Cap Asset Entries'!D254</f>
        <v>F.3</v>
      </c>
      <c r="AK281" s="264">
        <f>'F.  Other Cap Asset Entries'!M256</f>
        <v>0</v>
      </c>
      <c r="AL281" s="259"/>
      <c r="AM281" s="269" t="str">
        <f>'J. Other Liability &amp; Expenses'!D185</f>
        <v>J.1</v>
      </c>
      <c r="AN281" s="264">
        <f>'J. Other Liability &amp; Expenses'!N188</f>
        <v>0</v>
      </c>
      <c r="AO281" s="265" t="str">
        <f>'L. Eliminations-Consolidations'!B270</f>
        <v>L.8</v>
      </c>
      <c r="AP281" s="264">
        <f>'L. Eliminations-Consolidations'!J274</f>
        <v>0</v>
      </c>
      <c r="AQ281" s="258"/>
      <c r="AR281" s="263" t="str">
        <f>'L. Eliminations-Consolidations'!B270</f>
        <v>L.8</v>
      </c>
      <c r="AS281" s="266">
        <f>'L. Eliminations-Consolidations'!L274</f>
        <v>0</v>
      </c>
      <c r="AT281" s="434"/>
      <c r="AU281" s="435"/>
      <c r="AV281" s="264">
        <f t="shared" si="87"/>
        <v>0</v>
      </c>
      <c r="AW281" s="264">
        <f t="shared" si="88"/>
        <v>0</v>
      </c>
      <c r="AX281" s="288"/>
      <c r="AY281" s="266"/>
      <c r="AZ281" s="287"/>
      <c r="BA281" s="209"/>
    </row>
    <row r="282" spans="1:53" x14ac:dyDescent="0.2">
      <c r="A282" s="39"/>
      <c r="B282" s="322"/>
      <c r="C282" s="258"/>
      <c r="D282" s="423"/>
      <c r="E282" s="424"/>
      <c r="F282" s="425"/>
      <c r="G282" s="425"/>
      <c r="H282" s="425"/>
      <c r="I282" s="425"/>
      <c r="J282" s="425"/>
      <c r="K282" s="426"/>
      <c r="L282" s="427"/>
      <c r="M282" s="425"/>
      <c r="N282" s="425"/>
      <c r="O282" s="425"/>
      <c r="P282" s="428"/>
      <c r="Q282" s="428"/>
      <c r="R282" s="428"/>
      <c r="S282" s="428"/>
      <c r="T282" s="428"/>
      <c r="U282" s="428"/>
      <c r="V282" s="428"/>
      <c r="W282" s="428"/>
      <c r="X282" s="426"/>
      <c r="Y282" s="426"/>
      <c r="Z282" s="426"/>
      <c r="AA282" s="426"/>
      <c r="AB282" s="261"/>
      <c r="AC282" s="259"/>
      <c r="AD282" s="260"/>
      <c r="AE282" s="262"/>
      <c r="AF282" s="259"/>
      <c r="AG282" s="259"/>
      <c r="AH282" s="260"/>
      <c r="AI282" s="262"/>
      <c r="AJ282" s="263" t="s">
        <v>951</v>
      </c>
      <c r="AK282" s="264">
        <f>'F.  Other Cap Asset Entries'!M279</f>
        <v>0</v>
      </c>
      <c r="AL282" s="259"/>
      <c r="AM282" s="269" t="s">
        <v>2048</v>
      </c>
      <c r="AN282" s="264" t="e">
        <f>'N.1 GASB 68 LGERS'!D100</f>
        <v>#VALUE!</v>
      </c>
      <c r="AO282" s="265"/>
      <c r="AP282" s="264"/>
      <c r="AQ282" s="258"/>
      <c r="AR282" s="263"/>
      <c r="AS282" s="266"/>
      <c r="AT282" s="434"/>
      <c r="AU282" s="435"/>
      <c r="AV282" s="264">
        <f t="shared" si="87"/>
        <v>0</v>
      </c>
      <c r="AW282" s="264" t="e">
        <f t="shared" si="88"/>
        <v>#VALUE!</v>
      </c>
      <c r="AX282" s="288"/>
      <c r="AY282" s="266"/>
      <c r="AZ282" s="287"/>
      <c r="BA282" s="209"/>
    </row>
    <row r="283" spans="1:53" x14ac:dyDescent="0.2">
      <c r="A283" s="39"/>
      <c r="B283" s="322"/>
      <c r="C283" s="258"/>
      <c r="D283" s="423"/>
      <c r="E283" s="424"/>
      <c r="F283" s="425"/>
      <c r="G283" s="425"/>
      <c r="H283" s="425"/>
      <c r="I283" s="425"/>
      <c r="J283" s="425"/>
      <c r="K283" s="426"/>
      <c r="L283" s="427"/>
      <c r="M283" s="425"/>
      <c r="N283" s="425"/>
      <c r="O283" s="425"/>
      <c r="P283" s="428"/>
      <c r="Q283" s="428"/>
      <c r="R283" s="428"/>
      <c r="S283" s="428"/>
      <c r="T283" s="428"/>
      <c r="U283" s="428"/>
      <c r="V283" s="428"/>
      <c r="W283" s="428"/>
      <c r="X283" s="426"/>
      <c r="Y283" s="426"/>
      <c r="Z283" s="426"/>
      <c r="AA283" s="426"/>
      <c r="AB283" s="261"/>
      <c r="AC283" s="259"/>
      <c r="AD283" s="260"/>
      <c r="AE283" s="262"/>
      <c r="AF283" s="259"/>
      <c r="AG283" s="259"/>
      <c r="AH283" s="260"/>
      <c r="AI283" s="262"/>
      <c r="AJ283" s="263" t="s">
        <v>2048</v>
      </c>
      <c r="AK283" s="264" t="e">
        <f>'N.1 GASB 68 LGERS'!C100</f>
        <v>#VALUE!</v>
      </c>
      <c r="AL283" s="259"/>
      <c r="AM283" s="263" t="s">
        <v>3931</v>
      </c>
      <c r="AN283" s="264">
        <f>'P. GASB 75 OPEB 1 Entries'!D83+'P. GASB 75 OPEB 2 Entries '!D83+'P. GASB 75 3 OPEB Entries '!D83</f>
        <v>0</v>
      </c>
      <c r="AO283" s="265"/>
      <c r="AP283" s="264"/>
      <c r="AQ283" s="258"/>
      <c r="AR283" s="263"/>
      <c r="AS283" s="266"/>
      <c r="AT283" s="434"/>
      <c r="AU283" s="435"/>
      <c r="AV283" s="264" t="e">
        <f>AD283+AF283+AH283+AK283+AP283+AT283</f>
        <v>#VALUE!</v>
      </c>
      <c r="AW283" s="264">
        <f>AE283+AG283+AI283+AN283+AS283+AU283</f>
        <v>0</v>
      </c>
      <c r="AX283" s="288"/>
      <c r="AY283" s="266"/>
      <c r="AZ283" s="287"/>
      <c r="BA283" s="209"/>
    </row>
    <row r="284" spans="1:53" x14ac:dyDescent="0.2">
      <c r="A284" s="39"/>
      <c r="B284" s="322"/>
      <c r="C284" s="258"/>
      <c r="D284" s="423"/>
      <c r="E284" s="424"/>
      <c r="F284" s="425"/>
      <c r="G284" s="425"/>
      <c r="H284" s="425"/>
      <c r="I284" s="425"/>
      <c r="J284" s="425"/>
      <c r="K284" s="426"/>
      <c r="L284" s="427"/>
      <c r="M284" s="425"/>
      <c r="N284" s="425"/>
      <c r="O284" s="425"/>
      <c r="P284" s="428"/>
      <c r="Q284" s="428"/>
      <c r="R284" s="428"/>
      <c r="S284" s="428"/>
      <c r="T284" s="428"/>
      <c r="U284" s="428"/>
      <c r="V284" s="428"/>
      <c r="W284" s="428"/>
      <c r="X284" s="426"/>
      <c r="Y284" s="426"/>
      <c r="Z284" s="426"/>
      <c r="AA284" s="426"/>
      <c r="AB284" s="261"/>
      <c r="AC284" s="259"/>
      <c r="AD284" s="260"/>
      <c r="AE284" s="262"/>
      <c r="AF284" s="259"/>
      <c r="AG284" s="259"/>
      <c r="AH284" s="260"/>
      <c r="AI284" s="262"/>
      <c r="AJ284" s="263" t="s">
        <v>3931</v>
      </c>
      <c r="AK284" s="264">
        <f>'P. GASB 75 OPEB 1 Entries'!C61+'P. GASB 75 OPEB 2 Entries '!C61+'P. GASB 75 3 OPEB Entries '!C61</f>
        <v>0</v>
      </c>
      <c r="AL284" s="259"/>
      <c r="AM284" s="269" t="s">
        <v>4858</v>
      </c>
      <c r="AN284" s="264">
        <f>'Q. GASB 87 Lease Entries'!O35</f>
        <v>0</v>
      </c>
      <c r="AO284" s="265"/>
      <c r="AP284" s="264"/>
      <c r="AQ284" s="258"/>
      <c r="AR284" s="263"/>
      <c r="AS284" s="266"/>
      <c r="AT284" s="434"/>
      <c r="AU284" s="435"/>
      <c r="AV284" s="264">
        <f t="shared" ref="AV284:AV286" si="95">AD284+AF284+AH284+AK284+AP284+AT284</f>
        <v>0</v>
      </c>
      <c r="AW284" s="264">
        <f t="shared" ref="AW284:AW286" si="96">AE284+AG284+AI284+AN284+AS284+AU284</f>
        <v>0</v>
      </c>
      <c r="AX284" s="288"/>
      <c r="AY284" s="266"/>
      <c r="AZ284" s="287"/>
      <c r="BA284" s="209"/>
    </row>
    <row r="285" spans="1:53" x14ac:dyDescent="0.2">
      <c r="A285" s="39"/>
      <c r="B285" s="322"/>
      <c r="C285" s="258"/>
      <c r="D285" s="423"/>
      <c r="E285" s="424"/>
      <c r="F285" s="425"/>
      <c r="G285" s="425"/>
      <c r="H285" s="425"/>
      <c r="I285" s="425"/>
      <c r="J285" s="425"/>
      <c r="K285" s="426"/>
      <c r="L285" s="427"/>
      <c r="M285" s="425"/>
      <c r="N285" s="425"/>
      <c r="O285" s="425"/>
      <c r="P285" s="428"/>
      <c r="Q285" s="428"/>
      <c r="R285" s="428"/>
      <c r="S285" s="428"/>
      <c r="T285" s="428"/>
      <c r="U285" s="428"/>
      <c r="V285" s="428"/>
      <c r="W285" s="428"/>
      <c r="X285" s="426"/>
      <c r="Y285" s="426"/>
      <c r="Z285" s="426"/>
      <c r="AA285" s="426"/>
      <c r="AB285" s="261"/>
      <c r="AC285" s="259"/>
      <c r="AD285" s="260"/>
      <c r="AE285" s="262"/>
      <c r="AF285" s="259"/>
      <c r="AG285" s="259"/>
      <c r="AH285" s="260"/>
      <c r="AI285" s="262"/>
      <c r="AJ285" s="263" t="s">
        <v>4867</v>
      </c>
      <c r="AK285" s="264">
        <f>'Q. GASB 87 Lease Entries'!M71</f>
        <v>0</v>
      </c>
      <c r="AL285" s="259"/>
      <c r="AM285" s="269" t="s">
        <v>4892</v>
      </c>
      <c r="AN285" s="264">
        <f>'R. GASB 96 Subscription Entries'!O35</f>
        <v>0</v>
      </c>
      <c r="AO285" s="265"/>
      <c r="AP285" s="264"/>
      <c r="AQ285" s="258"/>
      <c r="AR285" s="263"/>
      <c r="AS285" s="266"/>
      <c r="AT285" s="434"/>
      <c r="AU285" s="435"/>
      <c r="AV285" s="264"/>
      <c r="AW285" s="264"/>
      <c r="AX285" s="288"/>
      <c r="AY285" s="266"/>
      <c r="AZ285" s="287"/>
      <c r="BA285" s="209"/>
    </row>
    <row r="286" spans="1:53" x14ac:dyDescent="0.2">
      <c r="A286" s="39"/>
      <c r="B286" s="322"/>
      <c r="C286" s="258"/>
      <c r="D286" s="423"/>
      <c r="E286" s="424"/>
      <c r="F286" s="425"/>
      <c r="G286" s="425"/>
      <c r="H286" s="425"/>
      <c r="I286" s="425"/>
      <c r="J286" s="425"/>
      <c r="K286" s="426"/>
      <c r="L286" s="427"/>
      <c r="M286" s="425"/>
      <c r="N286" s="425"/>
      <c r="O286" s="425"/>
      <c r="P286" s="428"/>
      <c r="Q286" s="428"/>
      <c r="R286" s="428"/>
      <c r="S286" s="428"/>
      <c r="T286" s="428"/>
      <c r="U286" s="428"/>
      <c r="V286" s="428"/>
      <c r="W286" s="428"/>
      <c r="X286" s="426"/>
      <c r="Y286" s="426"/>
      <c r="Z286" s="426"/>
      <c r="AA286" s="426"/>
      <c r="AB286" s="261"/>
      <c r="AC286" s="259"/>
      <c r="AD286" s="260"/>
      <c r="AE286" s="262"/>
      <c r="AF286" s="259"/>
      <c r="AG286" s="259"/>
      <c r="AH286" s="260"/>
      <c r="AI286" s="262"/>
      <c r="AJ286" s="263" t="s">
        <v>4894</v>
      </c>
      <c r="AK286" s="264">
        <f>'R. GASB 96 Subscription Entries'!M71</f>
        <v>0</v>
      </c>
      <c r="AL286" s="259"/>
      <c r="AM286" s="269"/>
      <c r="AN286" s="264"/>
      <c r="AO286" s="265"/>
      <c r="AP286" s="264"/>
      <c r="AQ286" s="258"/>
      <c r="AR286" s="263"/>
      <c r="AS286" s="266"/>
      <c r="AT286" s="434"/>
      <c r="AU286" s="435"/>
      <c r="AV286" s="264">
        <f t="shared" si="95"/>
        <v>0</v>
      </c>
      <c r="AW286" s="264">
        <f t="shared" si="96"/>
        <v>0</v>
      </c>
      <c r="AX286" s="288"/>
      <c r="AY286" s="266"/>
      <c r="AZ286" s="287"/>
      <c r="BA286" s="209"/>
    </row>
    <row r="287" spans="1:53" x14ac:dyDescent="0.2">
      <c r="A287" s="39"/>
      <c r="D287" s="418"/>
      <c r="E287" s="419"/>
      <c r="F287" s="414"/>
      <c r="G287" s="414"/>
      <c r="H287" s="414"/>
      <c r="I287" s="414"/>
      <c r="J287" s="414"/>
      <c r="K287" s="415"/>
      <c r="L287" s="416"/>
      <c r="M287" s="414"/>
      <c r="N287" s="414"/>
      <c r="O287" s="414"/>
      <c r="P287" s="417"/>
      <c r="Q287" s="417"/>
      <c r="R287" s="417"/>
      <c r="S287" s="417"/>
      <c r="T287" s="417"/>
      <c r="U287" s="417"/>
      <c r="V287" s="417"/>
      <c r="W287" s="417"/>
      <c r="X287" s="415"/>
      <c r="Y287" s="415"/>
      <c r="Z287" s="415"/>
      <c r="AA287" s="415"/>
      <c r="AB287" s="9">
        <f t="shared" si="89"/>
        <v>0</v>
      </c>
      <c r="AC287" s="5">
        <f t="shared" si="90"/>
        <v>0</v>
      </c>
      <c r="AD287" s="26">
        <f t="shared" si="93"/>
        <v>0</v>
      </c>
      <c r="AE287" s="21">
        <f t="shared" si="94"/>
        <v>0</v>
      </c>
      <c r="AF287" s="5"/>
      <c r="AG287" s="5"/>
      <c r="AH287" s="26"/>
      <c r="AI287" s="21"/>
      <c r="AL287" s="5"/>
      <c r="AN287" s="57"/>
      <c r="AO287" s="231"/>
      <c r="AP287" s="57"/>
      <c r="AS287" s="209"/>
      <c r="AT287" s="434"/>
      <c r="AU287" s="435"/>
      <c r="AV287" s="56"/>
      <c r="AW287" s="56"/>
      <c r="AX287" s="287" t="str">
        <f>IF(AV287-AW287&lt;=0," ",AV287-AW287)</f>
        <v xml:space="preserve"> </v>
      </c>
      <c r="AY287" s="209"/>
      <c r="AZ287" s="287"/>
      <c r="BA287" s="209"/>
    </row>
    <row r="288" spans="1:53" x14ac:dyDescent="0.2">
      <c r="A288" s="39"/>
      <c r="B288" s="322" t="s">
        <v>881</v>
      </c>
      <c r="C288" s="258"/>
      <c r="D288" s="423"/>
      <c r="E288" s="424"/>
      <c r="F288" s="425"/>
      <c r="G288" s="425"/>
      <c r="H288" s="425"/>
      <c r="I288" s="425"/>
      <c r="J288" s="425"/>
      <c r="K288" s="426"/>
      <c r="L288" s="427"/>
      <c r="M288" s="425"/>
      <c r="N288" s="425"/>
      <c r="O288" s="425"/>
      <c r="P288" s="428"/>
      <c r="Q288" s="428"/>
      <c r="R288" s="428"/>
      <c r="S288" s="428"/>
      <c r="T288" s="428"/>
      <c r="U288" s="428"/>
      <c r="V288" s="428"/>
      <c r="W288" s="428"/>
      <c r="X288" s="426"/>
      <c r="Y288" s="426"/>
      <c r="Z288" s="426"/>
      <c r="AA288" s="426"/>
      <c r="AB288" s="261">
        <f t="shared" si="89"/>
        <v>0</v>
      </c>
      <c r="AC288" s="259">
        <f t="shared" si="90"/>
        <v>0</v>
      </c>
      <c r="AD288" s="260">
        <f t="shared" si="93"/>
        <v>0</v>
      </c>
      <c r="AE288" s="262">
        <f t="shared" si="94"/>
        <v>0</v>
      </c>
      <c r="AF288" s="259"/>
      <c r="AG288" s="259"/>
      <c r="AH288" s="260"/>
      <c r="AI288" s="262"/>
      <c r="AJ288" s="263" t="str">
        <f>'D. Depreciation'!A55</f>
        <v>D.1</v>
      </c>
      <c r="AK288" s="264">
        <f>'D. Depreciation'!J59</f>
        <v>0</v>
      </c>
      <c r="AL288" s="259"/>
      <c r="AM288" s="263" t="str">
        <f>'E. Capital Outlay'!D53</f>
        <v>E.1</v>
      </c>
      <c r="AN288" s="264">
        <f>'E. Capital Outlay'!N68</f>
        <v>0</v>
      </c>
      <c r="AO288" s="265" t="str">
        <f>'L. Eliminations-Consolidations'!A243</f>
        <v>L.7</v>
      </c>
      <c r="AP288" s="264">
        <f>'L. Eliminations-Consolidations'!J247</f>
        <v>0</v>
      </c>
      <c r="AQ288" s="258"/>
      <c r="AR288" s="395" t="s">
        <v>671</v>
      </c>
      <c r="AS288" s="266">
        <f>'K.1  Int. Service Fd Allocation'!G211+'K.2  Int. Service Fd Alloca'!G204+'K.3 Int. Service Fd Alloca'!G204</f>
        <v>0</v>
      </c>
      <c r="AT288" s="434"/>
      <c r="AU288" s="435"/>
      <c r="AV288" s="264">
        <f t="shared" si="87"/>
        <v>0</v>
      </c>
      <c r="AW288" s="264">
        <f t="shared" si="88"/>
        <v>0</v>
      </c>
      <c r="AX288" s="288" t="e">
        <f>IF(SUM(AV288:AV295)-SUM(AW288:AW295)&lt;=0," ",SUM(AV288:AV295)-SUM(AW288:AW295))</f>
        <v>#VALUE!</v>
      </c>
      <c r="AY288" s="266" t="e">
        <f>IF(SUM(AV288:AV295)-SUM(AW288:AW295)&gt;=0," ",SUM(AW288:AW295)-SUM(AV288:AV295))</f>
        <v>#VALUE!</v>
      </c>
      <c r="AZ288" s="287"/>
      <c r="BA288" s="209"/>
    </row>
    <row r="289" spans="1:53" x14ac:dyDescent="0.2">
      <c r="A289" s="39"/>
      <c r="B289" s="322"/>
      <c r="C289" s="258"/>
      <c r="D289" s="423"/>
      <c r="E289" s="424"/>
      <c r="F289" s="425"/>
      <c r="G289" s="425"/>
      <c r="H289" s="425"/>
      <c r="I289" s="425"/>
      <c r="J289" s="425"/>
      <c r="K289" s="426"/>
      <c r="L289" s="427"/>
      <c r="M289" s="425"/>
      <c r="N289" s="425"/>
      <c r="O289" s="425"/>
      <c r="P289" s="428"/>
      <c r="Q289" s="428"/>
      <c r="R289" s="428"/>
      <c r="S289" s="428"/>
      <c r="T289" s="428"/>
      <c r="U289" s="428"/>
      <c r="V289" s="428"/>
      <c r="W289" s="428"/>
      <c r="X289" s="426"/>
      <c r="Y289" s="426"/>
      <c r="Z289" s="426"/>
      <c r="AA289" s="426"/>
      <c r="AB289" s="261">
        <f t="shared" si="89"/>
        <v>0</v>
      </c>
      <c r="AC289" s="259">
        <f t="shared" si="90"/>
        <v>0</v>
      </c>
      <c r="AD289" s="260">
        <f t="shared" si="93"/>
        <v>0</v>
      </c>
      <c r="AE289" s="262">
        <f t="shared" si="94"/>
        <v>0</v>
      </c>
      <c r="AF289" s="259"/>
      <c r="AG289" s="259"/>
      <c r="AH289" s="260"/>
      <c r="AI289" s="262"/>
      <c r="AJ289" s="263" t="str">
        <f>'J. Other Liability &amp; Expenses'!D185</f>
        <v>J.1</v>
      </c>
      <c r="AK289" s="264">
        <f>'J. Other Liability &amp; Expenses'!L189</f>
        <v>0</v>
      </c>
      <c r="AL289" s="259"/>
      <c r="AM289" s="269" t="str">
        <f>'I.  Other Asset Entries'!B105</f>
        <v>I.1</v>
      </c>
      <c r="AN289" s="264">
        <f>'I.  Other Asset Entries'!N114</f>
        <v>0</v>
      </c>
      <c r="AO289" s="265"/>
      <c r="AP289" s="264"/>
      <c r="AQ289" s="258"/>
      <c r="AR289" s="263"/>
      <c r="AS289" s="266"/>
      <c r="AT289" s="434"/>
      <c r="AU289" s="435"/>
      <c r="AV289" s="264">
        <f t="shared" si="87"/>
        <v>0</v>
      </c>
      <c r="AW289" s="264">
        <f t="shared" si="88"/>
        <v>0</v>
      </c>
      <c r="AX289" s="288"/>
      <c r="AY289" s="266"/>
      <c r="AZ289" s="287"/>
      <c r="BA289" s="209"/>
    </row>
    <row r="290" spans="1:53" x14ac:dyDescent="0.2">
      <c r="A290" s="39"/>
      <c r="B290" s="322"/>
      <c r="C290" s="258"/>
      <c r="D290" s="423"/>
      <c r="E290" s="424"/>
      <c r="F290" s="425"/>
      <c r="G290" s="425"/>
      <c r="H290" s="425"/>
      <c r="I290" s="425"/>
      <c r="J290" s="425"/>
      <c r="K290" s="426"/>
      <c r="L290" s="427"/>
      <c r="M290" s="425"/>
      <c r="N290" s="425"/>
      <c r="O290" s="425"/>
      <c r="P290" s="428"/>
      <c r="Q290" s="428"/>
      <c r="R290" s="428"/>
      <c r="S290" s="428"/>
      <c r="T290" s="428"/>
      <c r="U290" s="428"/>
      <c r="V290" s="428"/>
      <c r="W290" s="428"/>
      <c r="X290" s="426"/>
      <c r="Y290" s="426"/>
      <c r="Z290" s="426"/>
      <c r="AA290" s="426"/>
      <c r="AB290" s="261">
        <f t="shared" si="89"/>
        <v>0</v>
      </c>
      <c r="AC290" s="259">
        <f t="shared" si="90"/>
        <v>0</v>
      </c>
      <c r="AD290" s="260">
        <f t="shared" si="93"/>
        <v>0</v>
      </c>
      <c r="AE290" s="262">
        <f t="shared" si="94"/>
        <v>0</v>
      </c>
      <c r="AF290" s="259"/>
      <c r="AG290" s="259"/>
      <c r="AH290" s="260"/>
      <c r="AI290" s="262"/>
      <c r="AJ290" s="263" t="str">
        <f>'F.  Other Cap Asset Entries'!D254</f>
        <v>F.3</v>
      </c>
      <c r="AK290" s="264">
        <f>'F.  Other Cap Asset Entries'!M257</f>
        <v>0</v>
      </c>
      <c r="AL290" s="259"/>
      <c r="AM290" s="269" t="str">
        <f>'J. Other Liability &amp; Expenses'!D185</f>
        <v>J.1</v>
      </c>
      <c r="AN290" s="264">
        <f>'J. Other Liability &amp; Expenses'!N189</f>
        <v>0</v>
      </c>
      <c r="AO290" s="265" t="str">
        <f>'L. Eliminations-Consolidations'!B270</f>
        <v>L.8</v>
      </c>
      <c r="AP290" s="264">
        <f>'L. Eliminations-Consolidations'!J275</f>
        <v>0</v>
      </c>
      <c r="AQ290" s="258"/>
      <c r="AR290" s="263" t="str">
        <f>'L. Eliminations-Consolidations'!B270</f>
        <v>L.8</v>
      </c>
      <c r="AS290" s="266">
        <f>'L. Eliminations-Consolidations'!L275</f>
        <v>0</v>
      </c>
      <c r="AT290" s="434"/>
      <c r="AU290" s="435"/>
      <c r="AV290" s="264">
        <f t="shared" si="87"/>
        <v>0</v>
      </c>
      <c r="AW290" s="264">
        <f t="shared" si="88"/>
        <v>0</v>
      </c>
      <c r="AX290" s="288"/>
      <c r="AY290" s="266"/>
      <c r="AZ290" s="287"/>
      <c r="BA290" s="209"/>
    </row>
    <row r="291" spans="1:53" x14ac:dyDescent="0.2">
      <c r="A291" s="39"/>
      <c r="B291" s="322"/>
      <c r="C291" s="258"/>
      <c r="D291" s="423"/>
      <c r="E291" s="424"/>
      <c r="F291" s="425"/>
      <c r="G291" s="425"/>
      <c r="H291" s="425"/>
      <c r="I291" s="425"/>
      <c r="J291" s="425"/>
      <c r="K291" s="426"/>
      <c r="L291" s="427"/>
      <c r="M291" s="425"/>
      <c r="N291" s="425"/>
      <c r="O291" s="425"/>
      <c r="P291" s="428"/>
      <c r="Q291" s="428"/>
      <c r="R291" s="428"/>
      <c r="S291" s="428"/>
      <c r="T291" s="428"/>
      <c r="U291" s="428"/>
      <c r="V291" s="428"/>
      <c r="W291" s="428"/>
      <c r="X291" s="426"/>
      <c r="Y291" s="426"/>
      <c r="Z291" s="426"/>
      <c r="AA291" s="426"/>
      <c r="AB291" s="261"/>
      <c r="AC291" s="259"/>
      <c r="AD291" s="260"/>
      <c r="AE291" s="262"/>
      <c r="AF291" s="259"/>
      <c r="AG291" s="259"/>
      <c r="AH291" s="260"/>
      <c r="AI291" s="262"/>
      <c r="AJ291" s="263" t="s">
        <v>951</v>
      </c>
      <c r="AK291" s="264">
        <f>'F.  Other Cap Asset Entries'!M280</f>
        <v>0</v>
      </c>
      <c r="AL291" s="259"/>
      <c r="AM291" s="269" t="s">
        <v>2048</v>
      </c>
      <c r="AN291" s="264" t="e">
        <f>'N.1 GASB 68 LGERS'!D101</f>
        <v>#VALUE!</v>
      </c>
      <c r="AO291" s="265"/>
      <c r="AP291" s="264"/>
      <c r="AQ291" s="258"/>
      <c r="AR291" s="263"/>
      <c r="AS291" s="266"/>
      <c r="AT291" s="434"/>
      <c r="AU291" s="435"/>
      <c r="AV291" s="264">
        <f t="shared" si="87"/>
        <v>0</v>
      </c>
      <c r="AW291" s="264" t="e">
        <f t="shared" si="88"/>
        <v>#VALUE!</v>
      </c>
      <c r="AX291" s="288"/>
      <c r="AY291" s="266"/>
      <c r="AZ291" s="287"/>
      <c r="BA291" s="209"/>
    </row>
    <row r="292" spans="1:53" x14ac:dyDescent="0.2">
      <c r="A292" s="39"/>
      <c r="B292" s="322"/>
      <c r="C292" s="258"/>
      <c r="D292" s="423"/>
      <c r="E292" s="424"/>
      <c r="F292" s="425"/>
      <c r="G292" s="425"/>
      <c r="H292" s="425"/>
      <c r="I292" s="425"/>
      <c r="J292" s="425"/>
      <c r="K292" s="426"/>
      <c r="L292" s="427"/>
      <c r="M292" s="425"/>
      <c r="N292" s="425"/>
      <c r="O292" s="425"/>
      <c r="P292" s="428"/>
      <c r="Q292" s="428"/>
      <c r="R292" s="428"/>
      <c r="S292" s="428"/>
      <c r="T292" s="428"/>
      <c r="U292" s="428"/>
      <c r="V292" s="428"/>
      <c r="W292" s="428"/>
      <c r="X292" s="426"/>
      <c r="Y292" s="426"/>
      <c r="Z292" s="426"/>
      <c r="AA292" s="426"/>
      <c r="AB292" s="261"/>
      <c r="AC292" s="259"/>
      <c r="AD292" s="260"/>
      <c r="AE292" s="262"/>
      <c r="AF292" s="259"/>
      <c r="AG292" s="259"/>
      <c r="AH292" s="260"/>
      <c r="AI292" s="262"/>
      <c r="AJ292" s="263" t="s">
        <v>2048</v>
      </c>
      <c r="AK292" s="264" t="e">
        <f>'N.1 GASB 68 LGERS'!C101</f>
        <v>#VALUE!</v>
      </c>
      <c r="AL292" s="259"/>
      <c r="AM292" s="263" t="s">
        <v>3931</v>
      </c>
      <c r="AN292" s="264">
        <f>'P. GASB 75 OPEB 1 Entries'!D84+'P. GASB 75 OPEB 2 Entries '!D84+'P. GASB 75 3 OPEB Entries '!D84</f>
        <v>0</v>
      </c>
      <c r="AO292" s="265"/>
      <c r="AP292" s="264"/>
      <c r="AQ292" s="258"/>
      <c r="AR292" s="263"/>
      <c r="AS292" s="266"/>
      <c r="AT292" s="434"/>
      <c r="AU292" s="435"/>
      <c r="AV292" s="264" t="e">
        <f>AD292+AF292+AH292+AK292+AP292+AT292</f>
        <v>#VALUE!</v>
      </c>
      <c r="AW292" s="264">
        <f>AE292+AG292+AI292+AN292+AS292+AU292</f>
        <v>0</v>
      </c>
      <c r="AX292" s="288"/>
      <c r="AY292" s="266"/>
      <c r="AZ292" s="287"/>
      <c r="BA292" s="209"/>
    </row>
    <row r="293" spans="1:53" x14ac:dyDescent="0.2">
      <c r="A293" s="39"/>
      <c r="B293" s="322"/>
      <c r="C293" s="258"/>
      <c r="D293" s="423"/>
      <c r="E293" s="424"/>
      <c r="F293" s="425"/>
      <c r="G293" s="425"/>
      <c r="H293" s="425"/>
      <c r="I293" s="425"/>
      <c r="J293" s="425"/>
      <c r="K293" s="426"/>
      <c r="L293" s="427"/>
      <c r="M293" s="425"/>
      <c r="N293" s="425"/>
      <c r="O293" s="425"/>
      <c r="P293" s="428"/>
      <c r="Q293" s="428"/>
      <c r="R293" s="428"/>
      <c r="S293" s="428"/>
      <c r="T293" s="428"/>
      <c r="U293" s="428"/>
      <c r="V293" s="428"/>
      <c r="W293" s="428"/>
      <c r="X293" s="426"/>
      <c r="Y293" s="426"/>
      <c r="Z293" s="426"/>
      <c r="AA293" s="426"/>
      <c r="AB293" s="261"/>
      <c r="AC293" s="259"/>
      <c r="AD293" s="260"/>
      <c r="AE293" s="262"/>
      <c r="AF293" s="259"/>
      <c r="AG293" s="259"/>
      <c r="AH293" s="260"/>
      <c r="AI293" s="262"/>
      <c r="AJ293" s="263" t="s">
        <v>3931</v>
      </c>
      <c r="AK293" s="264">
        <f>'P. GASB 75 OPEB 1 Entries'!C62+'P. GASB 75 OPEB 2 Entries '!C62+'P. GASB 75 3 OPEB Entries '!C62</f>
        <v>0</v>
      </c>
      <c r="AL293" s="259"/>
      <c r="AM293" s="269" t="s">
        <v>4858</v>
      </c>
      <c r="AN293" s="264">
        <f>'Q. GASB 87 Lease Entries'!O36</f>
        <v>0</v>
      </c>
      <c r="AO293" s="265"/>
      <c r="AP293" s="264"/>
      <c r="AQ293" s="258"/>
      <c r="AR293" s="263"/>
      <c r="AS293" s="266"/>
      <c r="AT293" s="434"/>
      <c r="AU293" s="435"/>
      <c r="AV293" s="264">
        <f t="shared" ref="AV293" si="97">AD293+AF293+AH293+AK293+AP293+AT293</f>
        <v>0</v>
      </c>
      <c r="AW293" s="264">
        <f t="shared" ref="AW293:AW295" si="98">AE293+AG293+AI293+AN293+AS293+AU293</f>
        <v>0</v>
      </c>
      <c r="AX293" s="288"/>
      <c r="AY293" s="266"/>
      <c r="AZ293" s="287"/>
      <c r="BA293" s="209"/>
    </row>
    <row r="294" spans="1:53" x14ac:dyDescent="0.2">
      <c r="A294" s="39"/>
      <c r="B294" s="322"/>
      <c r="C294" s="258"/>
      <c r="D294" s="423"/>
      <c r="E294" s="424"/>
      <c r="F294" s="425"/>
      <c r="G294" s="425"/>
      <c r="H294" s="425"/>
      <c r="I294" s="425"/>
      <c r="J294" s="425"/>
      <c r="K294" s="426"/>
      <c r="L294" s="427"/>
      <c r="M294" s="425"/>
      <c r="N294" s="425"/>
      <c r="O294" s="425"/>
      <c r="P294" s="428"/>
      <c r="Q294" s="428"/>
      <c r="R294" s="428"/>
      <c r="S294" s="428"/>
      <c r="T294" s="428"/>
      <c r="U294" s="428"/>
      <c r="V294" s="428"/>
      <c r="W294" s="428"/>
      <c r="X294" s="426"/>
      <c r="Y294" s="426"/>
      <c r="Z294" s="426"/>
      <c r="AA294" s="426"/>
      <c r="AB294" s="261"/>
      <c r="AC294" s="259"/>
      <c r="AD294" s="260"/>
      <c r="AE294" s="262"/>
      <c r="AF294" s="259"/>
      <c r="AG294" s="259"/>
      <c r="AH294" s="260"/>
      <c r="AI294" s="262"/>
      <c r="AJ294" s="263" t="s">
        <v>4867</v>
      </c>
      <c r="AK294" s="264">
        <f>'Q. GASB 87 Lease Entries'!M72</f>
        <v>0</v>
      </c>
      <c r="AL294" s="259"/>
      <c r="AM294" s="269" t="s">
        <v>4892</v>
      </c>
      <c r="AN294" s="264">
        <f>'R. GASB 96 Subscription Entries'!O36</f>
        <v>0</v>
      </c>
      <c r="AO294" s="265"/>
      <c r="AP294" s="264"/>
      <c r="AQ294" s="258"/>
      <c r="AR294" s="263"/>
      <c r="AS294" s="266"/>
      <c r="AT294" s="434"/>
      <c r="AU294" s="435"/>
      <c r="AV294" s="264"/>
      <c r="AW294" s="264"/>
      <c r="AX294" s="288"/>
      <c r="AY294" s="266"/>
      <c r="AZ294" s="287"/>
      <c r="BA294" s="209"/>
    </row>
    <row r="295" spans="1:53" x14ac:dyDescent="0.2">
      <c r="A295" s="39"/>
      <c r="B295" s="322"/>
      <c r="C295" s="258"/>
      <c r="D295" s="423"/>
      <c r="E295" s="424"/>
      <c r="F295" s="425"/>
      <c r="G295" s="425"/>
      <c r="H295" s="425"/>
      <c r="I295" s="425"/>
      <c r="J295" s="425"/>
      <c r="K295" s="426"/>
      <c r="L295" s="427"/>
      <c r="M295" s="425"/>
      <c r="N295" s="425"/>
      <c r="O295" s="425"/>
      <c r="P295" s="428"/>
      <c r="Q295" s="428"/>
      <c r="R295" s="428"/>
      <c r="S295" s="428"/>
      <c r="T295" s="428"/>
      <c r="U295" s="428"/>
      <c r="V295" s="428"/>
      <c r="W295" s="428"/>
      <c r="X295" s="426"/>
      <c r="Y295" s="426"/>
      <c r="Z295" s="426"/>
      <c r="AA295" s="426"/>
      <c r="AB295" s="261"/>
      <c r="AC295" s="259"/>
      <c r="AD295" s="260"/>
      <c r="AE295" s="262"/>
      <c r="AF295" s="259"/>
      <c r="AG295" s="259"/>
      <c r="AH295" s="260"/>
      <c r="AI295" s="262"/>
      <c r="AJ295" s="641" t="s">
        <v>4894</v>
      </c>
      <c r="AK295" s="258">
        <f>'R. GASB 96 Subscription Entries'!M72</f>
        <v>0</v>
      </c>
      <c r="AL295" s="259"/>
      <c r="AM295" s="269"/>
      <c r="AN295" s="264"/>
      <c r="AO295" s="265"/>
      <c r="AP295" s="264"/>
      <c r="AQ295" s="258"/>
      <c r="AR295" s="263"/>
      <c r="AS295" s="266"/>
      <c r="AT295" s="434"/>
      <c r="AU295" s="435"/>
      <c r="AV295" s="264">
        <f>AD295+AF295+AH295+AK294+AP295+AT295</f>
        <v>0</v>
      </c>
      <c r="AW295" s="264">
        <f t="shared" si="98"/>
        <v>0</v>
      </c>
      <c r="AX295" s="288"/>
      <c r="AY295" s="266"/>
      <c r="AZ295" s="287"/>
      <c r="BA295" s="209"/>
    </row>
    <row r="296" spans="1:53" x14ac:dyDescent="0.2">
      <c r="A296" s="39"/>
      <c r="D296" s="418"/>
      <c r="E296" s="419"/>
      <c r="F296" s="414"/>
      <c r="G296" s="414"/>
      <c r="H296" s="414"/>
      <c r="I296" s="414"/>
      <c r="J296" s="414"/>
      <c r="K296" s="415"/>
      <c r="L296" s="416"/>
      <c r="M296" s="414"/>
      <c r="N296" s="414"/>
      <c r="O296" s="414"/>
      <c r="P296" s="417"/>
      <c r="Q296" s="417"/>
      <c r="R296" s="417"/>
      <c r="S296" s="417"/>
      <c r="T296" s="417"/>
      <c r="U296" s="417"/>
      <c r="V296" s="417"/>
      <c r="W296" s="417"/>
      <c r="X296" s="415"/>
      <c r="Y296" s="415"/>
      <c r="Z296" s="415"/>
      <c r="AA296" s="415"/>
      <c r="AB296" s="9">
        <f t="shared" si="89"/>
        <v>0</v>
      </c>
      <c r="AC296" s="5">
        <f t="shared" si="90"/>
        <v>0</v>
      </c>
      <c r="AD296" s="26">
        <f t="shared" si="93"/>
        <v>0</v>
      </c>
      <c r="AE296" s="21">
        <f t="shared" si="94"/>
        <v>0</v>
      </c>
      <c r="AF296" s="5"/>
      <c r="AG296" s="5"/>
      <c r="AH296" s="26"/>
      <c r="AI296" s="21"/>
      <c r="AL296" s="5"/>
      <c r="AN296" s="57"/>
      <c r="AO296" s="231"/>
      <c r="AP296" s="57"/>
      <c r="AS296" s="209"/>
      <c r="AT296" s="434"/>
      <c r="AU296" s="435"/>
      <c r="AV296" s="56"/>
      <c r="AW296" s="56"/>
      <c r="AX296" s="287" t="str">
        <f>IF(AV296-AW296&lt;=0," ",AV296-AW296)</f>
        <v xml:space="preserve"> </v>
      </c>
      <c r="AY296" s="209"/>
      <c r="AZ296" s="287"/>
      <c r="BA296" s="209"/>
    </row>
    <row r="297" spans="1:53" x14ac:dyDescent="0.2">
      <c r="A297" s="39"/>
      <c r="B297" s="322" t="s">
        <v>890</v>
      </c>
      <c r="C297" s="258"/>
      <c r="D297" s="423"/>
      <c r="E297" s="424"/>
      <c r="F297" s="425"/>
      <c r="G297" s="425"/>
      <c r="H297" s="425"/>
      <c r="I297" s="425"/>
      <c r="J297" s="425"/>
      <c r="K297" s="426"/>
      <c r="L297" s="427"/>
      <c r="M297" s="425"/>
      <c r="N297" s="425"/>
      <c r="O297" s="425"/>
      <c r="P297" s="428"/>
      <c r="Q297" s="428"/>
      <c r="R297" s="428"/>
      <c r="S297" s="428"/>
      <c r="T297" s="428"/>
      <c r="U297" s="428"/>
      <c r="V297" s="428"/>
      <c r="W297" s="428"/>
      <c r="X297" s="426"/>
      <c r="Y297" s="426"/>
      <c r="Z297" s="426"/>
      <c r="AA297" s="426"/>
      <c r="AB297" s="261">
        <f t="shared" si="89"/>
        <v>0</v>
      </c>
      <c r="AC297" s="259">
        <f t="shared" si="90"/>
        <v>0</v>
      </c>
      <c r="AD297" s="260">
        <f t="shared" si="93"/>
        <v>0</v>
      </c>
      <c r="AE297" s="262">
        <f t="shared" si="94"/>
        <v>0</v>
      </c>
      <c r="AF297" s="259"/>
      <c r="AG297" s="259"/>
      <c r="AH297" s="260"/>
      <c r="AI297" s="262"/>
      <c r="AJ297" s="263" t="str">
        <f>'D. Depreciation'!A55</f>
        <v>D.1</v>
      </c>
      <c r="AK297" s="264">
        <f>'D. Depreciation'!J60</f>
        <v>0</v>
      </c>
      <c r="AL297" s="259"/>
      <c r="AM297" s="263" t="str">
        <f>'E. Capital Outlay'!D53</f>
        <v>E.1</v>
      </c>
      <c r="AN297" s="264">
        <f>'E. Capital Outlay'!N69</f>
        <v>0</v>
      </c>
      <c r="AO297" s="265" t="str">
        <f>'L. Eliminations-Consolidations'!A243</f>
        <v>L.7</v>
      </c>
      <c r="AP297" s="264">
        <f>'L. Eliminations-Consolidations'!J248</f>
        <v>0</v>
      </c>
      <c r="AQ297" s="258"/>
      <c r="AR297" s="395" t="s">
        <v>671</v>
      </c>
      <c r="AS297" s="266">
        <f>'K.1  Int. Service Fd Allocation'!G212+'K.2  Int. Service Fd Alloca'!G205+'K.3 Int. Service Fd Alloca'!G205</f>
        <v>0</v>
      </c>
      <c r="AT297" s="434"/>
      <c r="AU297" s="435"/>
      <c r="AV297" s="264">
        <f t="shared" si="87"/>
        <v>0</v>
      </c>
      <c r="AW297" s="264">
        <f t="shared" si="88"/>
        <v>0</v>
      </c>
      <c r="AX297" s="288" t="e">
        <f>IF(SUM(AV297:AV304)-SUM(AW297:AW304)&lt;=0," ",SUM(AV297:AV304)-SUM(AW297:AW304))</f>
        <v>#VALUE!</v>
      </c>
      <c r="AY297" s="266" t="e">
        <f>IF(SUM(AV297:AV304)-SUM(AW297:AW304)&gt;=0," ",SUM(AW297:AW304)-SUM(AV297:AV304))</f>
        <v>#VALUE!</v>
      </c>
      <c r="AZ297" s="287"/>
      <c r="BA297" s="209"/>
    </row>
    <row r="298" spans="1:53" x14ac:dyDescent="0.2">
      <c r="A298" s="39"/>
      <c r="B298" s="322"/>
      <c r="C298" s="258"/>
      <c r="D298" s="423"/>
      <c r="E298" s="424"/>
      <c r="F298" s="425"/>
      <c r="G298" s="425"/>
      <c r="H298" s="425"/>
      <c r="I298" s="425"/>
      <c r="J298" s="425"/>
      <c r="K298" s="426"/>
      <c r="L298" s="427"/>
      <c r="M298" s="425"/>
      <c r="N298" s="425"/>
      <c r="O298" s="425"/>
      <c r="P298" s="428"/>
      <c r="Q298" s="428"/>
      <c r="R298" s="428"/>
      <c r="S298" s="428"/>
      <c r="T298" s="428"/>
      <c r="U298" s="428"/>
      <c r="V298" s="428"/>
      <c r="W298" s="428"/>
      <c r="X298" s="426"/>
      <c r="Y298" s="426"/>
      <c r="Z298" s="426"/>
      <c r="AA298" s="426"/>
      <c r="AB298" s="261">
        <f t="shared" si="89"/>
        <v>0</v>
      </c>
      <c r="AC298" s="259">
        <f t="shared" si="90"/>
        <v>0</v>
      </c>
      <c r="AD298" s="260">
        <f t="shared" si="93"/>
        <v>0</v>
      </c>
      <c r="AE298" s="262">
        <f t="shared" si="94"/>
        <v>0</v>
      </c>
      <c r="AF298" s="259"/>
      <c r="AG298" s="259"/>
      <c r="AH298" s="260"/>
      <c r="AI298" s="262"/>
      <c r="AJ298" s="263" t="str">
        <f>'J. Other Liability &amp; Expenses'!D185</f>
        <v>J.1</v>
      </c>
      <c r="AK298" s="264">
        <f>'J. Other Liability &amp; Expenses'!L190</f>
        <v>0</v>
      </c>
      <c r="AL298" s="259"/>
      <c r="AM298" s="269" t="str">
        <f>'I.  Other Asset Entries'!B105</f>
        <v>I.1</v>
      </c>
      <c r="AN298" s="264">
        <f>'I.  Other Asset Entries'!N115</f>
        <v>0</v>
      </c>
      <c r="AO298" s="265"/>
      <c r="AP298" s="264"/>
      <c r="AQ298" s="258"/>
      <c r="AR298" s="263"/>
      <c r="AS298" s="266"/>
      <c r="AT298" s="434"/>
      <c r="AU298" s="435"/>
      <c r="AV298" s="264">
        <f t="shared" si="87"/>
        <v>0</v>
      </c>
      <c r="AW298" s="264">
        <f t="shared" si="88"/>
        <v>0</v>
      </c>
      <c r="AX298" s="288"/>
      <c r="AY298" s="266"/>
      <c r="AZ298" s="287"/>
      <c r="BA298" s="209"/>
    </row>
    <row r="299" spans="1:53" x14ac:dyDescent="0.2">
      <c r="A299" s="39"/>
      <c r="B299" s="322"/>
      <c r="C299" s="258"/>
      <c r="D299" s="423"/>
      <c r="E299" s="424"/>
      <c r="F299" s="425"/>
      <c r="G299" s="425"/>
      <c r="H299" s="425"/>
      <c r="I299" s="425"/>
      <c r="J299" s="425"/>
      <c r="K299" s="426"/>
      <c r="L299" s="427"/>
      <c r="M299" s="425"/>
      <c r="N299" s="425"/>
      <c r="O299" s="425"/>
      <c r="P299" s="428"/>
      <c r="Q299" s="428"/>
      <c r="R299" s="428"/>
      <c r="S299" s="428"/>
      <c r="T299" s="428"/>
      <c r="U299" s="428"/>
      <c r="V299" s="428"/>
      <c r="W299" s="428"/>
      <c r="X299" s="426"/>
      <c r="Y299" s="426"/>
      <c r="Z299" s="426"/>
      <c r="AA299" s="426"/>
      <c r="AB299" s="261">
        <f t="shared" si="89"/>
        <v>0</v>
      </c>
      <c r="AC299" s="259">
        <f t="shared" si="90"/>
        <v>0</v>
      </c>
      <c r="AD299" s="260">
        <f t="shared" si="93"/>
        <v>0</v>
      </c>
      <c r="AE299" s="262">
        <f t="shared" si="94"/>
        <v>0</v>
      </c>
      <c r="AF299" s="259"/>
      <c r="AG299" s="259"/>
      <c r="AH299" s="260"/>
      <c r="AI299" s="262"/>
      <c r="AJ299" s="263" t="str">
        <f>'F.  Other Cap Asset Entries'!D254</f>
        <v>F.3</v>
      </c>
      <c r="AK299" s="264">
        <f>'F.  Other Cap Asset Entries'!M258</f>
        <v>0</v>
      </c>
      <c r="AL299" s="259"/>
      <c r="AM299" s="269" t="str">
        <f>'J. Other Liability &amp; Expenses'!D185</f>
        <v>J.1</v>
      </c>
      <c r="AN299" s="264">
        <f>'J. Other Liability &amp; Expenses'!N190</f>
        <v>0</v>
      </c>
      <c r="AO299" s="265" t="str">
        <f>'L. Eliminations-Consolidations'!B270</f>
        <v>L.8</v>
      </c>
      <c r="AP299" s="264">
        <f>'L. Eliminations-Consolidations'!J276</f>
        <v>0</v>
      </c>
      <c r="AQ299" s="258"/>
      <c r="AR299" s="263" t="str">
        <f>'L. Eliminations-Consolidations'!B270</f>
        <v>L.8</v>
      </c>
      <c r="AS299" s="266">
        <f>'L. Eliminations-Consolidations'!L276</f>
        <v>0</v>
      </c>
      <c r="AT299" s="434"/>
      <c r="AU299" s="435"/>
      <c r="AV299" s="264">
        <f t="shared" si="87"/>
        <v>0</v>
      </c>
      <c r="AW299" s="264">
        <f t="shared" si="88"/>
        <v>0</v>
      </c>
      <c r="AX299" s="288"/>
      <c r="AY299" s="266"/>
      <c r="AZ299" s="287"/>
      <c r="BA299" s="209"/>
    </row>
    <row r="300" spans="1:53" x14ac:dyDescent="0.2">
      <c r="A300" s="39"/>
      <c r="B300" s="322"/>
      <c r="C300" s="258"/>
      <c r="D300" s="423"/>
      <c r="E300" s="424"/>
      <c r="F300" s="425"/>
      <c r="G300" s="425"/>
      <c r="H300" s="425"/>
      <c r="I300" s="425"/>
      <c r="J300" s="425"/>
      <c r="K300" s="426"/>
      <c r="L300" s="427"/>
      <c r="M300" s="425"/>
      <c r="N300" s="425"/>
      <c r="O300" s="425"/>
      <c r="P300" s="428"/>
      <c r="Q300" s="428"/>
      <c r="R300" s="428"/>
      <c r="S300" s="428"/>
      <c r="T300" s="428"/>
      <c r="U300" s="428"/>
      <c r="V300" s="428"/>
      <c r="W300" s="428"/>
      <c r="X300" s="426"/>
      <c r="Y300" s="426"/>
      <c r="Z300" s="426"/>
      <c r="AA300" s="426"/>
      <c r="AB300" s="261"/>
      <c r="AC300" s="259"/>
      <c r="AD300" s="260"/>
      <c r="AE300" s="262"/>
      <c r="AF300" s="259"/>
      <c r="AG300" s="259"/>
      <c r="AH300" s="260"/>
      <c r="AI300" s="262"/>
      <c r="AJ300" s="263" t="s">
        <v>951</v>
      </c>
      <c r="AK300" s="264">
        <f>'F.  Other Cap Asset Entries'!M281</f>
        <v>0</v>
      </c>
      <c r="AL300" s="259"/>
      <c r="AM300" s="269" t="s">
        <v>2048</v>
      </c>
      <c r="AN300" s="264" t="e">
        <f>'N.1 GASB 68 LGERS'!D102</f>
        <v>#VALUE!</v>
      </c>
      <c r="AO300" s="265"/>
      <c r="AP300" s="264"/>
      <c r="AQ300" s="258"/>
      <c r="AR300" s="263"/>
      <c r="AS300" s="266"/>
      <c r="AT300" s="434"/>
      <c r="AU300" s="435"/>
      <c r="AV300" s="264">
        <f t="shared" si="87"/>
        <v>0</v>
      </c>
      <c r="AW300" s="264" t="e">
        <f t="shared" si="88"/>
        <v>#VALUE!</v>
      </c>
      <c r="AX300" s="288"/>
      <c r="AY300" s="266"/>
      <c r="AZ300" s="287"/>
      <c r="BA300" s="209"/>
    </row>
    <row r="301" spans="1:53" x14ac:dyDescent="0.2">
      <c r="A301" s="39"/>
      <c r="B301" s="322"/>
      <c r="C301" s="258"/>
      <c r="D301" s="423"/>
      <c r="E301" s="424"/>
      <c r="F301" s="425"/>
      <c r="G301" s="425"/>
      <c r="H301" s="425"/>
      <c r="I301" s="425"/>
      <c r="J301" s="425"/>
      <c r="K301" s="426"/>
      <c r="L301" s="427"/>
      <c r="M301" s="425"/>
      <c r="N301" s="425"/>
      <c r="O301" s="425"/>
      <c r="P301" s="428"/>
      <c r="Q301" s="428"/>
      <c r="R301" s="428"/>
      <c r="S301" s="428"/>
      <c r="T301" s="428"/>
      <c r="U301" s="428"/>
      <c r="V301" s="428"/>
      <c r="W301" s="428"/>
      <c r="X301" s="426"/>
      <c r="Y301" s="426"/>
      <c r="Z301" s="426"/>
      <c r="AA301" s="426"/>
      <c r="AB301" s="261"/>
      <c r="AC301" s="259"/>
      <c r="AD301" s="260"/>
      <c r="AE301" s="262"/>
      <c r="AF301" s="259"/>
      <c r="AG301" s="259"/>
      <c r="AH301" s="260"/>
      <c r="AI301" s="262"/>
      <c r="AJ301" s="263" t="s">
        <v>2048</v>
      </c>
      <c r="AK301" s="264" t="e">
        <f>'N.1 GASB 68 LGERS'!C102</f>
        <v>#VALUE!</v>
      </c>
      <c r="AL301" s="259"/>
      <c r="AM301" s="263" t="s">
        <v>3931</v>
      </c>
      <c r="AN301" s="264">
        <f>'P. GASB 75 OPEB 1 Entries'!D85+'P. GASB 75 OPEB 2 Entries '!D85+'P. GASB 75 3 OPEB Entries '!D85</f>
        <v>0</v>
      </c>
      <c r="AO301" s="265"/>
      <c r="AP301" s="264"/>
      <c r="AQ301" s="258"/>
      <c r="AR301" s="263"/>
      <c r="AS301" s="266"/>
      <c r="AT301" s="434"/>
      <c r="AU301" s="435"/>
      <c r="AV301" s="264" t="e">
        <f>AD301+AF301+AH301+AK301+AP301+AT301</f>
        <v>#VALUE!</v>
      </c>
      <c r="AW301" s="264">
        <f>AE301+AG301+AI301+AN301+AS301+AU301</f>
        <v>0</v>
      </c>
      <c r="AX301" s="288"/>
      <c r="AY301" s="266"/>
      <c r="AZ301" s="287"/>
      <c r="BA301" s="209"/>
    </row>
    <row r="302" spans="1:53" x14ac:dyDescent="0.2">
      <c r="A302" s="39"/>
      <c r="B302" s="322"/>
      <c r="C302" s="258"/>
      <c r="D302" s="423"/>
      <c r="E302" s="424"/>
      <c r="F302" s="425"/>
      <c r="G302" s="425"/>
      <c r="H302" s="425"/>
      <c r="I302" s="425"/>
      <c r="J302" s="425"/>
      <c r="K302" s="426"/>
      <c r="L302" s="427"/>
      <c r="M302" s="425"/>
      <c r="N302" s="425"/>
      <c r="O302" s="425"/>
      <c r="P302" s="428"/>
      <c r="Q302" s="428"/>
      <c r="R302" s="428"/>
      <c r="S302" s="428"/>
      <c r="T302" s="428"/>
      <c r="U302" s="428"/>
      <c r="V302" s="428"/>
      <c r="W302" s="428"/>
      <c r="X302" s="426"/>
      <c r="Y302" s="426"/>
      <c r="Z302" s="426"/>
      <c r="AA302" s="426"/>
      <c r="AB302" s="261"/>
      <c r="AC302" s="259"/>
      <c r="AD302" s="260"/>
      <c r="AE302" s="262"/>
      <c r="AF302" s="259"/>
      <c r="AG302" s="259"/>
      <c r="AH302" s="260"/>
      <c r="AI302" s="262"/>
      <c r="AJ302" s="263" t="s">
        <v>3931</v>
      </c>
      <c r="AK302" s="264">
        <f>'P. GASB 75 OPEB 1 Entries'!C63+'P. GASB 75 OPEB 2 Entries '!C63+'P. GASB 75 3 OPEB Entries '!C63</f>
        <v>0</v>
      </c>
      <c r="AL302" s="259"/>
      <c r="AM302" s="269" t="s">
        <v>4858</v>
      </c>
      <c r="AN302" s="264">
        <f>'Q. GASB 87 Lease Entries'!O37</f>
        <v>0</v>
      </c>
      <c r="AO302" s="265"/>
      <c r="AP302" s="264"/>
      <c r="AQ302" s="258"/>
      <c r="AR302" s="263"/>
      <c r="AS302" s="266"/>
      <c r="AT302" s="434"/>
      <c r="AU302" s="435"/>
      <c r="AV302" s="264">
        <f t="shared" ref="AV302" si="99">AD302+AF302+AH302+AK302+AP302+AT302</f>
        <v>0</v>
      </c>
      <c r="AW302" s="264">
        <f t="shared" ref="AW302:AW304" si="100">AE302+AG302+AI302+AN302+AS302+AU302</f>
        <v>0</v>
      </c>
      <c r="AX302" s="288"/>
      <c r="AY302" s="266"/>
      <c r="AZ302" s="287"/>
      <c r="BA302" s="209"/>
    </row>
    <row r="303" spans="1:53" x14ac:dyDescent="0.2">
      <c r="A303" s="39"/>
      <c r="B303" s="322"/>
      <c r="C303" s="258"/>
      <c r="D303" s="423"/>
      <c r="E303" s="424"/>
      <c r="F303" s="425"/>
      <c r="G303" s="425"/>
      <c r="H303" s="425"/>
      <c r="I303" s="425"/>
      <c r="J303" s="425"/>
      <c r="K303" s="426"/>
      <c r="L303" s="427"/>
      <c r="M303" s="425"/>
      <c r="N303" s="425"/>
      <c r="O303" s="425"/>
      <c r="P303" s="428"/>
      <c r="Q303" s="428"/>
      <c r="R303" s="428"/>
      <c r="S303" s="428"/>
      <c r="T303" s="428"/>
      <c r="U303" s="428"/>
      <c r="V303" s="428"/>
      <c r="W303" s="428"/>
      <c r="X303" s="426"/>
      <c r="Y303" s="426"/>
      <c r="Z303" s="426"/>
      <c r="AA303" s="426"/>
      <c r="AB303" s="261"/>
      <c r="AC303" s="259"/>
      <c r="AD303" s="260"/>
      <c r="AE303" s="262"/>
      <c r="AF303" s="259"/>
      <c r="AG303" s="259"/>
      <c r="AH303" s="260"/>
      <c r="AI303" s="262"/>
      <c r="AJ303" s="263" t="s">
        <v>4867</v>
      </c>
      <c r="AK303" s="264">
        <f>'Q. GASB 87 Lease Entries'!M73</f>
        <v>0</v>
      </c>
      <c r="AL303" s="259"/>
      <c r="AM303" s="269" t="s">
        <v>4892</v>
      </c>
      <c r="AN303" s="264">
        <f>'R. GASB 96 Subscription Entries'!O37</f>
        <v>0</v>
      </c>
      <c r="AO303" s="265"/>
      <c r="AP303" s="264"/>
      <c r="AQ303" s="258"/>
      <c r="AR303" s="263"/>
      <c r="AS303" s="266"/>
      <c r="AT303" s="434"/>
      <c r="AU303" s="435"/>
      <c r="AV303" s="264"/>
      <c r="AW303" s="264"/>
      <c r="AX303" s="288"/>
      <c r="AY303" s="266"/>
      <c r="AZ303" s="287"/>
      <c r="BA303" s="209"/>
    </row>
    <row r="304" spans="1:53" x14ac:dyDescent="0.2">
      <c r="A304" s="39"/>
      <c r="B304" s="322"/>
      <c r="C304" s="258"/>
      <c r="D304" s="423"/>
      <c r="E304" s="424"/>
      <c r="F304" s="425"/>
      <c r="G304" s="425"/>
      <c r="H304" s="425"/>
      <c r="I304" s="425"/>
      <c r="J304" s="425"/>
      <c r="K304" s="426"/>
      <c r="L304" s="427"/>
      <c r="M304" s="425"/>
      <c r="N304" s="425"/>
      <c r="O304" s="425"/>
      <c r="P304" s="428"/>
      <c r="Q304" s="428"/>
      <c r="R304" s="428"/>
      <c r="S304" s="428"/>
      <c r="T304" s="428"/>
      <c r="U304" s="428"/>
      <c r="V304" s="428"/>
      <c r="W304" s="428"/>
      <c r="X304" s="426"/>
      <c r="Y304" s="426"/>
      <c r="Z304" s="426"/>
      <c r="AA304" s="426"/>
      <c r="AB304" s="261"/>
      <c r="AC304" s="259"/>
      <c r="AD304" s="260"/>
      <c r="AE304" s="262"/>
      <c r="AF304" s="259"/>
      <c r="AG304" s="259"/>
      <c r="AH304" s="260"/>
      <c r="AI304" s="262"/>
      <c r="AJ304" s="641" t="s">
        <v>4894</v>
      </c>
      <c r="AK304" s="258">
        <f>'R. GASB 96 Subscription Entries'!M73</f>
        <v>0</v>
      </c>
      <c r="AL304" s="259"/>
      <c r="AM304" s="269"/>
      <c r="AN304" s="264"/>
      <c r="AO304" s="265"/>
      <c r="AP304" s="264"/>
      <c r="AQ304" s="258"/>
      <c r="AR304" s="263"/>
      <c r="AS304" s="266"/>
      <c r="AT304" s="434"/>
      <c r="AU304" s="435"/>
      <c r="AV304" s="264">
        <f>AD304+AF304+AH304+AK303+AP304+AT304</f>
        <v>0</v>
      </c>
      <c r="AW304" s="264">
        <f t="shared" si="100"/>
        <v>0</v>
      </c>
      <c r="AX304" s="288"/>
      <c r="AY304" s="266"/>
      <c r="AZ304" s="287"/>
      <c r="BA304" s="209"/>
    </row>
    <row r="305" spans="1:53" x14ac:dyDescent="0.2">
      <c r="A305" s="39"/>
      <c r="D305" s="418"/>
      <c r="E305" s="419"/>
      <c r="F305" s="414"/>
      <c r="G305" s="414"/>
      <c r="H305" s="414"/>
      <c r="I305" s="414"/>
      <c r="J305" s="414"/>
      <c r="K305" s="415"/>
      <c r="L305" s="416"/>
      <c r="M305" s="414"/>
      <c r="N305" s="414"/>
      <c r="O305" s="414"/>
      <c r="P305" s="417"/>
      <c r="Q305" s="417"/>
      <c r="R305" s="417"/>
      <c r="S305" s="417"/>
      <c r="T305" s="417"/>
      <c r="U305" s="417"/>
      <c r="V305" s="417"/>
      <c r="W305" s="417"/>
      <c r="X305" s="415"/>
      <c r="Y305" s="415"/>
      <c r="Z305" s="415"/>
      <c r="AA305" s="415"/>
      <c r="AB305" s="9">
        <f t="shared" si="89"/>
        <v>0</v>
      </c>
      <c r="AC305" s="5">
        <f t="shared" si="90"/>
        <v>0</v>
      </c>
      <c r="AD305" s="26">
        <f t="shared" si="93"/>
        <v>0</v>
      </c>
      <c r="AE305" s="21">
        <f t="shared" si="94"/>
        <v>0</v>
      </c>
      <c r="AF305" s="5"/>
      <c r="AG305" s="5"/>
      <c r="AH305" s="26"/>
      <c r="AI305" s="21"/>
      <c r="AL305" s="5"/>
      <c r="AN305" s="57"/>
      <c r="AO305" s="231"/>
      <c r="AP305" s="57"/>
      <c r="AS305" s="209"/>
      <c r="AT305" s="434"/>
      <c r="AU305" s="435"/>
      <c r="AV305" s="56"/>
      <c r="AW305" s="56"/>
      <c r="AX305" s="287" t="str">
        <f>IF(AV305-AW305&lt;=0," ",AV305-AW305)</f>
        <v xml:space="preserve"> </v>
      </c>
      <c r="AY305" s="209"/>
      <c r="AZ305" s="287"/>
      <c r="BA305" s="209"/>
    </row>
    <row r="306" spans="1:53" x14ac:dyDescent="0.2">
      <c r="A306" s="39"/>
      <c r="B306" s="322" t="s">
        <v>910</v>
      </c>
      <c r="C306" s="258"/>
      <c r="D306" s="423"/>
      <c r="E306" s="424"/>
      <c r="F306" s="425"/>
      <c r="G306" s="425"/>
      <c r="H306" s="425"/>
      <c r="I306" s="425"/>
      <c r="J306" s="425"/>
      <c r="K306" s="426"/>
      <c r="L306" s="427"/>
      <c r="M306" s="425"/>
      <c r="N306" s="425"/>
      <c r="O306" s="425"/>
      <c r="P306" s="428"/>
      <c r="Q306" s="428"/>
      <c r="R306" s="428"/>
      <c r="S306" s="428"/>
      <c r="T306" s="428"/>
      <c r="U306" s="428"/>
      <c r="V306" s="428"/>
      <c r="W306" s="428"/>
      <c r="X306" s="426"/>
      <c r="Y306" s="426"/>
      <c r="Z306" s="426"/>
      <c r="AA306" s="426"/>
      <c r="AB306" s="261">
        <f t="shared" si="89"/>
        <v>0</v>
      </c>
      <c r="AC306" s="259">
        <f t="shared" si="90"/>
        <v>0</v>
      </c>
      <c r="AD306" s="260">
        <f t="shared" si="93"/>
        <v>0</v>
      </c>
      <c r="AE306" s="262">
        <f t="shared" si="94"/>
        <v>0</v>
      </c>
      <c r="AF306" s="259"/>
      <c r="AG306" s="259"/>
      <c r="AH306" s="260"/>
      <c r="AI306" s="262"/>
      <c r="AJ306" s="263" t="str">
        <f>'D. Depreciation'!A55</f>
        <v>D.1</v>
      </c>
      <c r="AK306" s="264">
        <f>'D. Depreciation'!J61</f>
        <v>0</v>
      </c>
      <c r="AL306" s="259"/>
      <c r="AM306" s="263" t="str">
        <f>'E. Capital Outlay'!D53</f>
        <v>E.1</v>
      </c>
      <c r="AN306" s="264">
        <f>'E. Capital Outlay'!N71</f>
        <v>0</v>
      </c>
      <c r="AO306" s="265" t="str">
        <f>'L. Eliminations-Consolidations'!A243</f>
        <v>L.7</v>
      </c>
      <c r="AP306" s="264">
        <f>'L. Eliminations-Consolidations'!J249</f>
        <v>0</v>
      </c>
      <c r="AQ306" s="258"/>
      <c r="AR306" s="395" t="s">
        <v>671</v>
      </c>
      <c r="AS306" s="266">
        <f>'K.1  Int. Service Fd Allocation'!G213+'K.2  Int. Service Fd Alloca'!G206+'K.3 Int. Service Fd Alloca'!G206</f>
        <v>0</v>
      </c>
      <c r="AT306" s="434"/>
      <c r="AU306" s="435"/>
      <c r="AV306" s="264">
        <f t="shared" si="87"/>
        <v>0</v>
      </c>
      <c r="AW306" s="264">
        <f t="shared" si="88"/>
        <v>0</v>
      </c>
      <c r="AX306" s="288" t="e">
        <f>IF(SUM(AV306:AV313)-SUM(AW306:AW313)&lt;=0," ",SUM(AV306:AV313)-SUM(AW306:AW313))</f>
        <v>#VALUE!</v>
      </c>
      <c r="AY306" s="266" t="e">
        <f>IF(SUM(AV306:AV313)-SUM(AW306:AW313)&gt;=0," ",SUM(AW306:AW313)-SUM(AV306:AV313))</f>
        <v>#VALUE!</v>
      </c>
      <c r="AZ306" s="287"/>
      <c r="BA306" s="209"/>
    </row>
    <row r="307" spans="1:53" x14ac:dyDescent="0.2">
      <c r="A307" s="39"/>
      <c r="B307" s="322"/>
      <c r="C307" s="258"/>
      <c r="D307" s="423"/>
      <c r="E307" s="424"/>
      <c r="F307" s="425"/>
      <c r="G307" s="425"/>
      <c r="H307" s="425"/>
      <c r="I307" s="425"/>
      <c r="J307" s="425"/>
      <c r="K307" s="426"/>
      <c r="L307" s="427"/>
      <c r="M307" s="425"/>
      <c r="N307" s="425"/>
      <c r="O307" s="425"/>
      <c r="P307" s="428"/>
      <c r="Q307" s="428"/>
      <c r="R307" s="428"/>
      <c r="S307" s="428"/>
      <c r="T307" s="428"/>
      <c r="U307" s="428"/>
      <c r="V307" s="428"/>
      <c r="W307" s="428"/>
      <c r="X307" s="426"/>
      <c r="Y307" s="426"/>
      <c r="Z307" s="426"/>
      <c r="AA307" s="426"/>
      <c r="AB307" s="261">
        <f t="shared" si="89"/>
        <v>0</v>
      </c>
      <c r="AC307" s="259">
        <f t="shared" si="90"/>
        <v>0</v>
      </c>
      <c r="AD307" s="260">
        <f t="shared" si="93"/>
        <v>0</v>
      </c>
      <c r="AE307" s="262">
        <f t="shared" si="94"/>
        <v>0</v>
      </c>
      <c r="AF307" s="259"/>
      <c r="AG307" s="259"/>
      <c r="AH307" s="260"/>
      <c r="AI307" s="262"/>
      <c r="AJ307" s="263" t="str">
        <f>'J. Other Liability &amp; Expenses'!D185</f>
        <v>J.1</v>
      </c>
      <c r="AK307" s="264">
        <f>'J. Other Liability &amp; Expenses'!L191</f>
        <v>0</v>
      </c>
      <c r="AL307" s="259"/>
      <c r="AM307" s="269" t="str">
        <f>'I.  Other Asset Entries'!B105</f>
        <v>I.1</v>
      </c>
      <c r="AN307" s="264">
        <f>'I.  Other Asset Entries'!N116</f>
        <v>0</v>
      </c>
      <c r="AO307" s="265"/>
      <c r="AP307" s="264"/>
      <c r="AQ307" s="258"/>
      <c r="AR307" s="263"/>
      <c r="AS307" s="266"/>
      <c r="AT307" s="434"/>
      <c r="AU307" s="435"/>
      <c r="AV307" s="264">
        <f t="shared" si="87"/>
        <v>0</v>
      </c>
      <c r="AW307" s="264">
        <f t="shared" si="88"/>
        <v>0</v>
      </c>
      <c r="AX307" s="288"/>
      <c r="AY307" s="266"/>
      <c r="AZ307" s="287"/>
      <c r="BA307" s="209"/>
    </row>
    <row r="308" spans="1:53" x14ac:dyDescent="0.2">
      <c r="A308" s="39"/>
      <c r="B308" s="322"/>
      <c r="C308" s="258"/>
      <c r="D308" s="423"/>
      <c r="E308" s="424"/>
      <c r="F308" s="425"/>
      <c r="G308" s="425"/>
      <c r="H308" s="425"/>
      <c r="I308" s="425"/>
      <c r="J308" s="425"/>
      <c r="K308" s="426"/>
      <c r="L308" s="427"/>
      <c r="M308" s="425"/>
      <c r="N308" s="425"/>
      <c r="O308" s="425"/>
      <c r="P308" s="428"/>
      <c r="Q308" s="428"/>
      <c r="R308" s="428"/>
      <c r="S308" s="428"/>
      <c r="T308" s="428"/>
      <c r="U308" s="428"/>
      <c r="V308" s="428"/>
      <c r="W308" s="428"/>
      <c r="X308" s="426"/>
      <c r="Y308" s="426"/>
      <c r="Z308" s="426"/>
      <c r="AA308" s="426"/>
      <c r="AB308" s="261">
        <f t="shared" si="89"/>
        <v>0</v>
      </c>
      <c r="AC308" s="259">
        <f t="shared" si="90"/>
        <v>0</v>
      </c>
      <c r="AD308" s="260">
        <f t="shared" si="93"/>
        <v>0</v>
      </c>
      <c r="AE308" s="262">
        <f t="shared" si="94"/>
        <v>0</v>
      </c>
      <c r="AF308" s="259"/>
      <c r="AG308" s="259"/>
      <c r="AH308" s="260"/>
      <c r="AI308" s="262"/>
      <c r="AJ308" s="263" t="str">
        <f>'F.  Other Cap Asset Entries'!D254</f>
        <v>F.3</v>
      </c>
      <c r="AK308" s="264">
        <f>'F.  Other Cap Asset Entries'!M259</f>
        <v>0</v>
      </c>
      <c r="AL308" s="259"/>
      <c r="AM308" s="269" t="str">
        <f>'J. Other Liability &amp; Expenses'!D185</f>
        <v>J.1</v>
      </c>
      <c r="AN308" s="264">
        <f>'J. Other Liability &amp; Expenses'!N191</f>
        <v>0</v>
      </c>
      <c r="AO308" s="265" t="str">
        <f>'L. Eliminations-Consolidations'!B270</f>
        <v>L.8</v>
      </c>
      <c r="AP308" s="264">
        <f>'L. Eliminations-Consolidations'!J277</f>
        <v>0</v>
      </c>
      <c r="AQ308" s="258"/>
      <c r="AR308" s="263" t="str">
        <f>'L. Eliminations-Consolidations'!B270</f>
        <v>L.8</v>
      </c>
      <c r="AS308" s="266">
        <f>'L. Eliminations-Consolidations'!L277</f>
        <v>0</v>
      </c>
      <c r="AT308" s="434"/>
      <c r="AU308" s="435"/>
      <c r="AV308" s="264">
        <f t="shared" si="87"/>
        <v>0</v>
      </c>
      <c r="AW308" s="264">
        <f t="shared" si="88"/>
        <v>0</v>
      </c>
      <c r="AX308" s="288"/>
      <c r="AY308" s="266"/>
      <c r="AZ308" s="287"/>
      <c r="BA308" s="209"/>
    </row>
    <row r="309" spans="1:53" x14ac:dyDescent="0.2">
      <c r="A309" s="39"/>
      <c r="B309" s="322"/>
      <c r="C309" s="258"/>
      <c r="D309" s="423"/>
      <c r="E309" s="424"/>
      <c r="F309" s="425"/>
      <c r="G309" s="425"/>
      <c r="H309" s="425"/>
      <c r="I309" s="425"/>
      <c r="J309" s="425"/>
      <c r="K309" s="426"/>
      <c r="L309" s="427"/>
      <c r="M309" s="425"/>
      <c r="N309" s="425"/>
      <c r="O309" s="425"/>
      <c r="P309" s="428"/>
      <c r="Q309" s="428"/>
      <c r="R309" s="428"/>
      <c r="S309" s="428"/>
      <c r="T309" s="428"/>
      <c r="U309" s="428"/>
      <c r="V309" s="428"/>
      <c r="W309" s="428"/>
      <c r="X309" s="426"/>
      <c r="Y309" s="426"/>
      <c r="Z309" s="426"/>
      <c r="AA309" s="426"/>
      <c r="AB309" s="261"/>
      <c r="AC309" s="259"/>
      <c r="AD309" s="260"/>
      <c r="AE309" s="262"/>
      <c r="AF309" s="259"/>
      <c r="AG309" s="259"/>
      <c r="AH309" s="260"/>
      <c r="AI309" s="262"/>
      <c r="AJ309" s="263" t="s">
        <v>951</v>
      </c>
      <c r="AK309" s="264">
        <f>'F.  Other Cap Asset Entries'!M282</f>
        <v>0</v>
      </c>
      <c r="AL309" s="259"/>
      <c r="AM309" s="269" t="s">
        <v>2048</v>
      </c>
      <c r="AN309" s="264" t="e">
        <f>'N.1 GASB 68 LGERS'!D103</f>
        <v>#VALUE!</v>
      </c>
      <c r="AO309" s="265"/>
      <c r="AP309" s="264"/>
      <c r="AQ309" s="258"/>
      <c r="AR309" s="263"/>
      <c r="AS309" s="266"/>
      <c r="AT309" s="434"/>
      <c r="AU309" s="435"/>
      <c r="AV309" s="264">
        <f t="shared" si="87"/>
        <v>0</v>
      </c>
      <c r="AW309" s="264" t="e">
        <f t="shared" si="88"/>
        <v>#VALUE!</v>
      </c>
      <c r="AX309" s="288"/>
      <c r="AY309" s="266"/>
      <c r="AZ309" s="287"/>
      <c r="BA309" s="209"/>
    </row>
    <row r="310" spans="1:53" x14ac:dyDescent="0.2">
      <c r="A310" s="39"/>
      <c r="B310" s="322"/>
      <c r="C310" s="258"/>
      <c r="D310" s="423"/>
      <c r="E310" s="424"/>
      <c r="F310" s="425"/>
      <c r="G310" s="425"/>
      <c r="H310" s="425"/>
      <c r="I310" s="425"/>
      <c r="J310" s="425"/>
      <c r="K310" s="426"/>
      <c r="L310" s="427"/>
      <c r="M310" s="425"/>
      <c r="N310" s="425"/>
      <c r="O310" s="425"/>
      <c r="P310" s="428"/>
      <c r="Q310" s="428"/>
      <c r="R310" s="428"/>
      <c r="S310" s="428"/>
      <c r="T310" s="428"/>
      <c r="U310" s="428"/>
      <c r="V310" s="428"/>
      <c r="W310" s="428"/>
      <c r="X310" s="426"/>
      <c r="Y310" s="426"/>
      <c r="Z310" s="426"/>
      <c r="AA310" s="426"/>
      <c r="AB310" s="261"/>
      <c r="AC310" s="259"/>
      <c r="AD310" s="260"/>
      <c r="AE310" s="262"/>
      <c r="AF310" s="259"/>
      <c r="AG310" s="259"/>
      <c r="AH310" s="260"/>
      <c r="AI310" s="262"/>
      <c r="AJ310" s="263" t="s">
        <v>2048</v>
      </c>
      <c r="AK310" s="264" t="e">
        <f>'N.1 GASB 68 LGERS'!C103</f>
        <v>#VALUE!</v>
      </c>
      <c r="AL310" s="259"/>
      <c r="AM310" s="263" t="s">
        <v>3931</v>
      </c>
      <c r="AN310" s="264">
        <f>'P. GASB 75 OPEB 1 Entries'!D86+'P. GASB 75 OPEB 2 Entries '!D86+'P. GASB 75 3 OPEB Entries '!D86</f>
        <v>0</v>
      </c>
      <c r="AO310" s="265"/>
      <c r="AP310" s="264"/>
      <c r="AQ310" s="258"/>
      <c r="AR310" s="263"/>
      <c r="AS310" s="266"/>
      <c r="AT310" s="434"/>
      <c r="AU310" s="435"/>
      <c r="AV310" s="264" t="e">
        <f>AD310+AF310+AH310+AK310+AP310+AT310</f>
        <v>#VALUE!</v>
      </c>
      <c r="AW310" s="264">
        <f>AE310+AG310+AI310+AN310+AS310+AU310</f>
        <v>0</v>
      </c>
      <c r="AX310" s="288"/>
      <c r="AY310" s="266"/>
      <c r="AZ310" s="287"/>
      <c r="BA310" s="209"/>
    </row>
    <row r="311" spans="1:53" x14ac:dyDescent="0.2">
      <c r="A311" s="39"/>
      <c r="B311" s="322"/>
      <c r="C311" s="258"/>
      <c r="D311" s="423"/>
      <c r="E311" s="424"/>
      <c r="F311" s="425"/>
      <c r="G311" s="425"/>
      <c r="H311" s="425"/>
      <c r="I311" s="425"/>
      <c r="J311" s="425"/>
      <c r="K311" s="426"/>
      <c r="L311" s="427"/>
      <c r="M311" s="425"/>
      <c r="N311" s="425"/>
      <c r="O311" s="425"/>
      <c r="P311" s="428"/>
      <c r="Q311" s="428"/>
      <c r="R311" s="428"/>
      <c r="S311" s="428"/>
      <c r="T311" s="428"/>
      <c r="U311" s="428"/>
      <c r="V311" s="428"/>
      <c r="W311" s="428"/>
      <c r="X311" s="426"/>
      <c r="Y311" s="426"/>
      <c r="Z311" s="426"/>
      <c r="AA311" s="426"/>
      <c r="AB311" s="261"/>
      <c r="AC311" s="259"/>
      <c r="AD311" s="260"/>
      <c r="AE311" s="262"/>
      <c r="AF311" s="259"/>
      <c r="AG311" s="259"/>
      <c r="AH311" s="260"/>
      <c r="AI311" s="262"/>
      <c r="AJ311" s="263" t="s">
        <v>3931</v>
      </c>
      <c r="AK311" s="264">
        <f>'P. GASB 75 OPEB 1 Entries'!C64+'P. GASB 75 OPEB 2 Entries '!C64+'P. GASB 75 3 OPEB Entries '!C64</f>
        <v>0</v>
      </c>
      <c r="AL311" s="259"/>
      <c r="AM311" s="269" t="s">
        <v>4858</v>
      </c>
      <c r="AN311" s="264">
        <f>'Q. GASB 87 Lease Entries'!O39</f>
        <v>0</v>
      </c>
      <c r="AO311" s="265"/>
      <c r="AP311" s="264"/>
      <c r="AQ311" s="258"/>
      <c r="AR311" s="263"/>
      <c r="AS311" s="266"/>
      <c r="AT311" s="434"/>
      <c r="AU311" s="435"/>
      <c r="AV311" s="264">
        <f t="shared" ref="AV311" si="101">AD311+AF311+AH311+AK311+AP311+AT311</f>
        <v>0</v>
      </c>
      <c r="AW311" s="264">
        <f t="shared" ref="AW311:AW313" si="102">AE311+AG311+AI311+AN311+AS311+AU311</f>
        <v>0</v>
      </c>
      <c r="AX311" s="288"/>
      <c r="AY311" s="266"/>
      <c r="AZ311" s="287"/>
      <c r="BA311" s="209"/>
    </row>
    <row r="312" spans="1:53" x14ac:dyDescent="0.2">
      <c r="A312" s="39"/>
      <c r="B312" s="322"/>
      <c r="C312" s="258"/>
      <c r="D312" s="423"/>
      <c r="E312" s="424"/>
      <c r="F312" s="425"/>
      <c r="G312" s="425"/>
      <c r="H312" s="425"/>
      <c r="I312" s="425"/>
      <c r="J312" s="425"/>
      <c r="K312" s="426"/>
      <c r="L312" s="427"/>
      <c r="M312" s="425"/>
      <c r="N312" s="425"/>
      <c r="O312" s="425"/>
      <c r="P312" s="428"/>
      <c r="Q312" s="428"/>
      <c r="R312" s="428"/>
      <c r="S312" s="428"/>
      <c r="T312" s="428"/>
      <c r="U312" s="428"/>
      <c r="V312" s="428"/>
      <c r="W312" s="428"/>
      <c r="X312" s="426"/>
      <c r="Y312" s="426"/>
      <c r="Z312" s="426"/>
      <c r="AA312" s="426"/>
      <c r="AB312" s="261"/>
      <c r="AC312" s="259"/>
      <c r="AD312" s="260"/>
      <c r="AE312" s="262"/>
      <c r="AF312" s="259"/>
      <c r="AG312" s="259"/>
      <c r="AH312" s="260"/>
      <c r="AI312" s="262"/>
      <c r="AJ312" s="263" t="s">
        <v>4867</v>
      </c>
      <c r="AK312" s="264">
        <f>'Q. GASB 87 Lease Entries'!M75</f>
        <v>0</v>
      </c>
      <c r="AL312" s="259"/>
      <c r="AM312" s="269" t="s">
        <v>4892</v>
      </c>
      <c r="AN312" s="264">
        <f>'R. GASB 96 Subscription Entries'!O39</f>
        <v>0</v>
      </c>
      <c r="AO312" s="265"/>
      <c r="AP312" s="264"/>
      <c r="AQ312" s="258"/>
      <c r="AR312" s="263"/>
      <c r="AS312" s="266"/>
      <c r="AT312" s="434"/>
      <c r="AU312" s="435"/>
      <c r="AV312" s="264"/>
      <c r="AW312" s="264"/>
      <c r="AX312" s="288"/>
      <c r="AY312" s="266"/>
      <c r="AZ312" s="287"/>
      <c r="BA312" s="209"/>
    </row>
    <row r="313" spans="1:53" x14ac:dyDescent="0.2">
      <c r="A313" s="39"/>
      <c r="B313" s="322"/>
      <c r="C313" s="258"/>
      <c r="D313" s="423"/>
      <c r="E313" s="424"/>
      <c r="F313" s="425"/>
      <c r="G313" s="425"/>
      <c r="H313" s="425"/>
      <c r="I313" s="425"/>
      <c r="J313" s="425"/>
      <c r="K313" s="426"/>
      <c r="L313" s="427"/>
      <c r="M313" s="425"/>
      <c r="N313" s="425"/>
      <c r="O313" s="425"/>
      <c r="P313" s="428"/>
      <c r="Q313" s="428"/>
      <c r="R313" s="428"/>
      <c r="S313" s="428"/>
      <c r="T313" s="428"/>
      <c r="U313" s="428"/>
      <c r="V313" s="428"/>
      <c r="W313" s="428"/>
      <c r="X313" s="426"/>
      <c r="Y313" s="426"/>
      <c r="Z313" s="426"/>
      <c r="AA313" s="426"/>
      <c r="AB313" s="261"/>
      <c r="AC313" s="259"/>
      <c r="AD313" s="260"/>
      <c r="AE313" s="262"/>
      <c r="AF313" s="259"/>
      <c r="AG313" s="259"/>
      <c r="AH313" s="260"/>
      <c r="AI313" s="262"/>
      <c r="AJ313" s="641" t="s">
        <v>4894</v>
      </c>
      <c r="AK313" s="258">
        <f>'R. GASB 96 Subscription Entries'!M75</f>
        <v>0</v>
      </c>
      <c r="AL313" s="259"/>
      <c r="AM313" s="269"/>
      <c r="AN313" s="264"/>
      <c r="AO313" s="265"/>
      <c r="AP313" s="264"/>
      <c r="AQ313" s="258"/>
      <c r="AR313" s="263"/>
      <c r="AS313" s="266"/>
      <c r="AT313" s="434"/>
      <c r="AU313" s="435"/>
      <c r="AV313" s="264">
        <f>AD313+AF313+AH313+AK312+AP313+AT313</f>
        <v>0</v>
      </c>
      <c r="AW313" s="264">
        <f t="shared" si="102"/>
        <v>0</v>
      </c>
      <c r="AX313" s="288"/>
      <c r="AY313" s="266"/>
      <c r="AZ313" s="287"/>
      <c r="BA313" s="209"/>
    </row>
    <row r="314" spans="1:53" x14ac:dyDescent="0.2">
      <c r="A314" s="39"/>
      <c r="D314" s="418"/>
      <c r="E314" s="419"/>
      <c r="F314" s="414"/>
      <c r="G314" s="414"/>
      <c r="H314" s="414"/>
      <c r="I314" s="414"/>
      <c r="J314" s="414"/>
      <c r="K314" s="415"/>
      <c r="L314" s="416"/>
      <c r="M314" s="414"/>
      <c r="N314" s="414"/>
      <c r="O314" s="414"/>
      <c r="P314" s="417"/>
      <c r="Q314" s="417"/>
      <c r="R314" s="417"/>
      <c r="S314" s="417"/>
      <c r="T314" s="417"/>
      <c r="U314" s="417"/>
      <c r="V314" s="417"/>
      <c r="W314" s="417"/>
      <c r="X314" s="415"/>
      <c r="Y314" s="415"/>
      <c r="Z314" s="415"/>
      <c r="AA314" s="415"/>
      <c r="AB314" s="9">
        <f t="shared" si="89"/>
        <v>0</v>
      </c>
      <c r="AC314" s="5">
        <f t="shared" si="90"/>
        <v>0</v>
      </c>
      <c r="AD314" s="26">
        <f t="shared" si="93"/>
        <v>0</v>
      </c>
      <c r="AE314" s="21">
        <f t="shared" si="94"/>
        <v>0</v>
      </c>
      <c r="AF314" s="5"/>
      <c r="AG314" s="5"/>
      <c r="AH314" s="26"/>
      <c r="AI314" s="21"/>
      <c r="AL314" s="5"/>
      <c r="AN314" s="57"/>
      <c r="AO314" s="231"/>
      <c r="AP314" s="57"/>
      <c r="AS314" s="209"/>
      <c r="AT314" s="434"/>
      <c r="AU314" s="435"/>
      <c r="AV314" s="56"/>
      <c r="AW314" s="56"/>
      <c r="AX314" s="287" t="str">
        <f>IF(AV314-AW314&lt;=0," ",AV314-AW314)</f>
        <v xml:space="preserve"> </v>
      </c>
      <c r="AY314" s="209"/>
      <c r="AZ314" s="287"/>
      <c r="BA314" s="209"/>
    </row>
    <row r="315" spans="1:53" x14ac:dyDescent="0.2">
      <c r="A315" s="39"/>
      <c r="B315" s="464" t="s">
        <v>201</v>
      </c>
      <c r="C315" s="258"/>
      <c r="D315" s="423"/>
      <c r="E315" s="424"/>
      <c r="F315" s="425"/>
      <c r="G315" s="425"/>
      <c r="H315" s="425"/>
      <c r="I315" s="425"/>
      <c r="J315" s="425"/>
      <c r="K315" s="426"/>
      <c r="L315" s="427"/>
      <c r="M315" s="425"/>
      <c r="N315" s="425"/>
      <c r="O315" s="425"/>
      <c r="P315" s="428"/>
      <c r="Q315" s="428"/>
      <c r="R315" s="428"/>
      <c r="S315" s="428"/>
      <c r="T315" s="428"/>
      <c r="U315" s="428"/>
      <c r="V315" s="428"/>
      <c r="W315" s="428"/>
      <c r="X315" s="426"/>
      <c r="Y315" s="426"/>
      <c r="Z315" s="426"/>
      <c r="AA315" s="426"/>
      <c r="AB315" s="261">
        <f t="shared" si="89"/>
        <v>0</v>
      </c>
      <c r="AC315" s="259">
        <f t="shared" si="90"/>
        <v>0</v>
      </c>
      <c r="AD315" s="260">
        <f t="shared" si="93"/>
        <v>0</v>
      </c>
      <c r="AE315" s="262">
        <f t="shared" si="94"/>
        <v>0</v>
      </c>
      <c r="AF315" s="259"/>
      <c r="AG315" s="259"/>
      <c r="AH315" s="260"/>
      <c r="AI315" s="262"/>
      <c r="AJ315" s="263" t="str">
        <f>'D. Depreciation'!A55</f>
        <v>D.1</v>
      </c>
      <c r="AK315" s="264">
        <f>'D. Depreciation'!J62</f>
        <v>0</v>
      </c>
      <c r="AL315" s="259"/>
      <c r="AM315" s="263" t="str">
        <f>'E. Capital Outlay'!D53</f>
        <v>E.1</v>
      </c>
      <c r="AN315" s="264">
        <f>'E. Capital Outlay'!N72</f>
        <v>0</v>
      </c>
      <c r="AO315" s="265" t="str">
        <f>'L. Eliminations-Consolidations'!A243</f>
        <v>L.7</v>
      </c>
      <c r="AP315" s="264">
        <f>'L. Eliminations-Consolidations'!J250</f>
        <v>0</v>
      </c>
      <c r="AQ315" s="258"/>
      <c r="AR315" s="395" t="s">
        <v>671</v>
      </c>
      <c r="AS315" s="266">
        <f>'K.1  Int. Service Fd Allocation'!G214+'K.2  Int. Service Fd Alloca'!G207+'K.3 Int. Service Fd Alloca'!G207</f>
        <v>0</v>
      </c>
      <c r="AT315" s="434"/>
      <c r="AU315" s="435"/>
      <c r="AV315" s="264">
        <f t="shared" si="87"/>
        <v>0</v>
      </c>
      <c r="AW315" s="264">
        <f t="shared" si="88"/>
        <v>0</v>
      </c>
      <c r="AX315" s="288" t="e">
        <f>IF(SUM(AV315:AV322)-SUM(AW315:AW322)&lt;=0," ",SUM(AV315:AV322)-SUM(AW315:AW322))</f>
        <v>#VALUE!</v>
      </c>
      <c r="AY315" s="266" t="e">
        <f>IF(SUM(AV315:AV322)-SUM(AW315:AW322)&gt;=0," ",SUM(AW315:AW322)-SUM(AV315:AV322))</f>
        <v>#VALUE!</v>
      </c>
      <c r="AZ315" s="287"/>
      <c r="BA315" s="209"/>
    </row>
    <row r="316" spans="1:53" x14ac:dyDescent="0.2">
      <c r="A316" s="39"/>
      <c r="B316" s="322"/>
      <c r="C316" s="258"/>
      <c r="D316" s="423"/>
      <c r="E316" s="424"/>
      <c r="F316" s="425"/>
      <c r="G316" s="425"/>
      <c r="H316" s="425"/>
      <c r="I316" s="425"/>
      <c r="J316" s="425"/>
      <c r="K316" s="426"/>
      <c r="L316" s="427"/>
      <c r="M316" s="425"/>
      <c r="N316" s="425"/>
      <c r="O316" s="425"/>
      <c r="P316" s="428"/>
      <c r="Q316" s="428"/>
      <c r="R316" s="428"/>
      <c r="S316" s="428"/>
      <c r="T316" s="428"/>
      <c r="U316" s="428"/>
      <c r="V316" s="428"/>
      <c r="W316" s="428"/>
      <c r="X316" s="426"/>
      <c r="Y316" s="426"/>
      <c r="Z316" s="426"/>
      <c r="AA316" s="426"/>
      <c r="AB316" s="261">
        <f t="shared" si="89"/>
        <v>0</v>
      </c>
      <c r="AC316" s="259">
        <f t="shared" si="90"/>
        <v>0</v>
      </c>
      <c r="AD316" s="260">
        <f t="shared" si="93"/>
        <v>0</v>
      </c>
      <c r="AE316" s="262">
        <f t="shared" si="94"/>
        <v>0</v>
      </c>
      <c r="AF316" s="259"/>
      <c r="AG316" s="259"/>
      <c r="AH316" s="260"/>
      <c r="AI316" s="262"/>
      <c r="AJ316" s="263" t="str">
        <f>'J. Other Liability &amp; Expenses'!D185</f>
        <v>J.1</v>
      </c>
      <c r="AK316" s="264">
        <f>'J. Other Liability &amp; Expenses'!L192</f>
        <v>0</v>
      </c>
      <c r="AL316" s="259"/>
      <c r="AM316" s="269" t="str">
        <f>'I.  Other Asset Entries'!B105</f>
        <v>I.1</v>
      </c>
      <c r="AN316" s="264">
        <f>'I.  Other Asset Entries'!N117</f>
        <v>0</v>
      </c>
      <c r="AO316" s="265"/>
      <c r="AP316" s="264"/>
      <c r="AQ316" s="258"/>
      <c r="AR316" s="263"/>
      <c r="AS316" s="266"/>
      <c r="AT316" s="434"/>
      <c r="AU316" s="435"/>
      <c r="AV316" s="264">
        <f t="shared" ref="AV316:AV355" si="103">AD316+AF316+AH316+AK316+AP316+AT316</f>
        <v>0</v>
      </c>
      <c r="AW316" s="264">
        <f t="shared" ref="AW316:AW355" si="104">AE316+AG316+AI316+AN316+AS316+AU316</f>
        <v>0</v>
      </c>
      <c r="AX316" s="288"/>
      <c r="AY316" s="266"/>
      <c r="AZ316" s="287"/>
      <c r="BA316" s="209"/>
    </row>
    <row r="317" spans="1:53" x14ac:dyDescent="0.2">
      <c r="A317" s="39"/>
      <c r="B317" s="322"/>
      <c r="C317" s="258"/>
      <c r="D317" s="423"/>
      <c r="E317" s="424"/>
      <c r="F317" s="425"/>
      <c r="G317" s="425"/>
      <c r="H317" s="425"/>
      <c r="I317" s="425"/>
      <c r="J317" s="425"/>
      <c r="K317" s="426"/>
      <c r="L317" s="427"/>
      <c r="M317" s="425"/>
      <c r="N317" s="425"/>
      <c r="O317" s="425"/>
      <c r="P317" s="428"/>
      <c r="Q317" s="428"/>
      <c r="R317" s="428"/>
      <c r="S317" s="428"/>
      <c r="T317" s="428"/>
      <c r="U317" s="428"/>
      <c r="V317" s="428"/>
      <c r="W317" s="428"/>
      <c r="X317" s="426"/>
      <c r="Y317" s="426"/>
      <c r="Z317" s="426"/>
      <c r="AA317" s="426"/>
      <c r="AB317" s="261">
        <f t="shared" si="89"/>
        <v>0</v>
      </c>
      <c r="AC317" s="259">
        <f t="shared" si="90"/>
        <v>0</v>
      </c>
      <c r="AD317" s="260">
        <f t="shared" si="93"/>
        <v>0</v>
      </c>
      <c r="AE317" s="262">
        <f t="shared" si="94"/>
        <v>0</v>
      </c>
      <c r="AF317" s="259"/>
      <c r="AG317" s="259"/>
      <c r="AH317" s="260"/>
      <c r="AI317" s="262"/>
      <c r="AJ317" s="263" t="str">
        <f>'F.  Other Cap Asset Entries'!D254</f>
        <v>F.3</v>
      </c>
      <c r="AK317" s="264">
        <f>'F.  Other Cap Asset Entries'!M260</f>
        <v>0</v>
      </c>
      <c r="AL317" s="259"/>
      <c r="AM317" s="269" t="str">
        <f>'J. Other Liability &amp; Expenses'!D185</f>
        <v>J.1</v>
      </c>
      <c r="AN317" s="264">
        <f>'J. Other Liability &amp; Expenses'!N192</f>
        <v>0</v>
      </c>
      <c r="AO317" s="265" t="str">
        <f>'L. Eliminations-Consolidations'!B270</f>
        <v>L.8</v>
      </c>
      <c r="AP317" s="264">
        <f>'L. Eliminations-Consolidations'!J278</f>
        <v>0</v>
      </c>
      <c r="AQ317" s="258"/>
      <c r="AR317" s="263" t="str">
        <f>'L. Eliminations-Consolidations'!B270</f>
        <v>L.8</v>
      </c>
      <c r="AS317" s="266">
        <f>'L. Eliminations-Consolidations'!L278</f>
        <v>0</v>
      </c>
      <c r="AT317" s="434"/>
      <c r="AU317" s="435"/>
      <c r="AV317" s="264">
        <f t="shared" si="103"/>
        <v>0</v>
      </c>
      <c r="AW317" s="264">
        <f t="shared" si="104"/>
        <v>0</v>
      </c>
      <c r="AX317" s="288"/>
      <c r="AY317" s="266"/>
      <c r="AZ317" s="287"/>
      <c r="BA317" s="209"/>
    </row>
    <row r="318" spans="1:53" x14ac:dyDescent="0.2">
      <c r="A318" s="39"/>
      <c r="B318" s="322"/>
      <c r="C318" s="258"/>
      <c r="D318" s="423"/>
      <c r="E318" s="424"/>
      <c r="F318" s="425"/>
      <c r="G318" s="425"/>
      <c r="H318" s="425"/>
      <c r="I318" s="425"/>
      <c r="J318" s="425"/>
      <c r="K318" s="426"/>
      <c r="L318" s="427"/>
      <c r="M318" s="425"/>
      <c r="N318" s="425"/>
      <c r="O318" s="425"/>
      <c r="P318" s="428"/>
      <c r="Q318" s="428"/>
      <c r="R318" s="428"/>
      <c r="S318" s="428"/>
      <c r="T318" s="428"/>
      <c r="U318" s="428"/>
      <c r="V318" s="428"/>
      <c r="W318" s="428"/>
      <c r="X318" s="426"/>
      <c r="Y318" s="426"/>
      <c r="Z318" s="426"/>
      <c r="AA318" s="426"/>
      <c r="AB318" s="261"/>
      <c r="AC318" s="259"/>
      <c r="AD318" s="260"/>
      <c r="AE318" s="262"/>
      <c r="AF318" s="259"/>
      <c r="AG318" s="259"/>
      <c r="AH318" s="260"/>
      <c r="AI318" s="262"/>
      <c r="AJ318" s="263" t="s">
        <v>951</v>
      </c>
      <c r="AK318" s="264">
        <f>'F.  Other Cap Asset Entries'!M283</f>
        <v>0</v>
      </c>
      <c r="AL318" s="259"/>
      <c r="AM318" s="269" t="s">
        <v>2048</v>
      </c>
      <c r="AN318" s="264" t="e">
        <f>'N.1 GASB 68 LGERS'!D104</f>
        <v>#VALUE!</v>
      </c>
      <c r="AO318" s="265"/>
      <c r="AP318" s="264"/>
      <c r="AQ318" s="258"/>
      <c r="AR318" s="263"/>
      <c r="AS318" s="266"/>
      <c r="AT318" s="434"/>
      <c r="AU318" s="435"/>
      <c r="AV318" s="264">
        <f t="shared" si="103"/>
        <v>0</v>
      </c>
      <c r="AW318" s="264" t="e">
        <f t="shared" si="104"/>
        <v>#VALUE!</v>
      </c>
      <c r="AX318" s="288"/>
      <c r="AY318" s="266"/>
      <c r="AZ318" s="287"/>
      <c r="BA318" s="209"/>
    </row>
    <row r="319" spans="1:53" x14ac:dyDescent="0.2">
      <c r="A319" s="39"/>
      <c r="B319" s="322"/>
      <c r="C319" s="258"/>
      <c r="D319" s="423"/>
      <c r="E319" s="424"/>
      <c r="F319" s="425"/>
      <c r="G319" s="425"/>
      <c r="H319" s="425"/>
      <c r="I319" s="425"/>
      <c r="J319" s="425"/>
      <c r="K319" s="426"/>
      <c r="L319" s="427"/>
      <c r="M319" s="425"/>
      <c r="N319" s="425"/>
      <c r="O319" s="425"/>
      <c r="P319" s="428"/>
      <c r="Q319" s="428"/>
      <c r="R319" s="428"/>
      <c r="S319" s="428"/>
      <c r="T319" s="428"/>
      <c r="U319" s="428"/>
      <c r="V319" s="428"/>
      <c r="W319" s="428"/>
      <c r="X319" s="426"/>
      <c r="Y319" s="426"/>
      <c r="Z319" s="426"/>
      <c r="AA319" s="426"/>
      <c r="AB319" s="261"/>
      <c r="AC319" s="259"/>
      <c r="AD319" s="260"/>
      <c r="AE319" s="262"/>
      <c r="AF319" s="259"/>
      <c r="AG319" s="259"/>
      <c r="AH319" s="260"/>
      <c r="AI319" s="262"/>
      <c r="AJ319" s="263" t="s">
        <v>2048</v>
      </c>
      <c r="AK319" s="264" t="e">
        <f>'N.1 GASB 68 LGERS'!C104</f>
        <v>#VALUE!</v>
      </c>
      <c r="AL319" s="259"/>
      <c r="AM319" s="263" t="s">
        <v>3931</v>
      </c>
      <c r="AN319" s="264">
        <f>'P. GASB 75 OPEB 1 Entries'!D87+'P. GASB 75 OPEB 2 Entries '!D87+'P. GASB 75 3 OPEB Entries '!D87</f>
        <v>0</v>
      </c>
      <c r="AO319" s="265"/>
      <c r="AP319" s="264"/>
      <c r="AQ319" s="258"/>
      <c r="AR319" s="263"/>
      <c r="AS319" s="266"/>
      <c r="AT319" s="434"/>
      <c r="AU319" s="435"/>
      <c r="AV319" s="264" t="e">
        <f>AD319+AF319+AH319+AK319+AP319+AT319</f>
        <v>#VALUE!</v>
      </c>
      <c r="AW319" s="264">
        <f>AE319+AG319+AI319+AN319+AS319+AU319</f>
        <v>0</v>
      </c>
      <c r="AX319" s="288"/>
      <c r="AY319" s="266"/>
      <c r="AZ319" s="287"/>
      <c r="BA319" s="209"/>
    </row>
    <row r="320" spans="1:53" x14ac:dyDescent="0.2">
      <c r="A320" s="39"/>
      <c r="B320" s="322"/>
      <c r="C320" s="258"/>
      <c r="D320" s="423"/>
      <c r="E320" s="424"/>
      <c r="F320" s="425"/>
      <c r="G320" s="425"/>
      <c r="H320" s="425"/>
      <c r="I320" s="425"/>
      <c r="J320" s="425"/>
      <c r="K320" s="426"/>
      <c r="L320" s="427"/>
      <c r="M320" s="425"/>
      <c r="N320" s="425"/>
      <c r="O320" s="425"/>
      <c r="P320" s="428"/>
      <c r="Q320" s="428"/>
      <c r="R320" s="428"/>
      <c r="S320" s="428"/>
      <c r="T320" s="428"/>
      <c r="U320" s="428"/>
      <c r="V320" s="428"/>
      <c r="W320" s="428"/>
      <c r="X320" s="426"/>
      <c r="Y320" s="426"/>
      <c r="Z320" s="426"/>
      <c r="AA320" s="426"/>
      <c r="AB320" s="261"/>
      <c r="AC320" s="259"/>
      <c r="AD320" s="260"/>
      <c r="AE320" s="262"/>
      <c r="AF320" s="259"/>
      <c r="AG320" s="259"/>
      <c r="AH320" s="260"/>
      <c r="AI320" s="262"/>
      <c r="AJ320" s="263" t="s">
        <v>3931</v>
      </c>
      <c r="AK320" s="264">
        <f>'P. GASB 75 OPEB 1 Entries'!C65+'P. GASB 75 OPEB 2 Entries '!C65+'P. GASB 75 3 OPEB Entries '!C65</f>
        <v>0</v>
      </c>
      <c r="AL320" s="259"/>
      <c r="AM320" s="269" t="s">
        <v>4858</v>
      </c>
      <c r="AN320" s="264">
        <f>'Q. GASB 87 Lease Entries'!O40</f>
        <v>0</v>
      </c>
      <c r="AO320" s="265"/>
      <c r="AP320" s="264"/>
      <c r="AQ320" s="258"/>
      <c r="AR320" s="263"/>
      <c r="AS320" s="266"/>
      <c r="AT320" s="434"/>
      <c r="AU320" s="435"/>
      <c r="AV320" s="264">
        <f t="shared" ref="AV320" si="105">AD320+AF320+AH320+AK320+AP320+AT320</f>
        <v>0</v>
      </c>
      <c r="AW320" s="264">
        <f t="shared" ref="AW320:AW322" si="106">AE320+AG320+AI320+AN320+AS320+AU320</f>
        <v>0</v>
      </c>
      <c r="AX320" s="288"/>
      <c r="AY320" s="266"/>
      <c r="AZ320" s="287"/>
      <c r="BA320" s="209"/>
    </row>
    <row r="321" spans="1:53" x14ac:dyDescent="0.2">
      <c r="A321" s="39"/>
      <c r="B321" s="322"/>
      <c r="C321" s="258"/>
      <c r="D321" s="423"/>
      <c r="E321" s="424"/>
      <c r="F321" s="425"/>
      <c r="G321" s="425"/>
      <c r="H321" s="425"/>
      <c r="I321" s="425"/>
      <c r="J321" s="425"/>
      <c r="K321" s="426"/>
      <c r="L321" s="427"/>
      <c r="M321" s="425"/>
      <c r="N321" s="425"/>
      <c r="O321" s="425"/>
      <c r="P321" s="428"/>
      <c r="Q321" s="428"/>
      <c r="R321" s="428"/>
      <c r="S321" s="428"/>
      <c r="T321" s="428"/>
      <c r="U321" s="428"/>
      <c r="V321" s="428"/>
      <c r="W321" s="428"/>
      <c r="X321" s="426"/>
      <c r="Y321" s="426"/>
      <c r="Z321" s="426"/>
      <c r="AA321" s="426"/>
      <c r="AB321" s="261"/>
      <c r="AC321" s="259"/>
      <c r="AD321" s="260"/>
      <c r="AE321" s="262"/>
      <c r="AF321" s="259"/>
      <c r="AG321" s="259"/>
      <c r="AH321" s="260"/>
      <c r="AI321" s="262"/>
      <c r="AJ321" s="263" t="s">
        <v>4867</v>
      </c>
      <c r="AK321" s="264">
        <f>'Q. GASB 87 Lease Entries'!M76</f>
        <v>0</v>
      </c>
      <c r="AL321" s="259"/>
      <c r="AM321" s="269" t="s">
        <v>4892</v>
      </c>
      <c r="AN321" s="264">
        <f>'R. GASB 96 Subscription Entries'!O39</f>
        <v>0</v>
      </c>
      <c r="AO321" s="265"/>
      <c r="AP321" s="264"/>
      <c r="AQ321" s="258"/>
      <c r="AR321" s="263"/>
      <c r="AS321" s="266"/>
      <c r="AT321" s="434"/>
      <c r="AU321" s="435"/>
      <c r="AV321" s="264"/>
      <c r="AW321" s="264"/>
      <c r="AX321" s="288"/>
      <c r="AY321" s="266"/>
      <c r="AZ321" s="287"/>
      <c r="BA321" s="209"/>
    </row>
    <row r="322" spans="1:53" x14ac:dyDescent="0.2">
      <c r="A322" s="39"/>
      <c r="B322" s="322"/>
      <c r="C322" s="258"/>
      <c r="D322" s="423"/>
      <c r="E322" s="424"/>
      <c r="F322" s="425"/>
      <c r="G322" s="425"/>
      <c r="H322" s="425"/>
      <c r="I322" s="425"/>
      <c r="J322" s="425"/>
      <c r="K322" s="426"/>
      <c r="L322" s="427"/>
      <c r="M322" s="425"/>
      <c r="N322" s="425"/>
      <c r="O322" s="425"/>
      <c r="P322" s="428"/>
      <c r="Q322" s="428"/>
      <c r="R322" s="428"/>
      <c r="S322" s="428"/>
      <c r="T322" s="428"/>
      <c r="U322" s="428"/>
      <c r="V322" s="428"/>
      <c r="W322" s="428"/>
      <c r="X322" s="426"/>
      <c r="Y322" s="426"/>
      <c r="Z322" s="426"/>
      <c r="AA322" s="426"/>
      <c r="AB322" s="261"/>
      <c r="AC322" s="259"/>
      <c r="AD322" s="260"/>
      <c r="AE322" s="262"/>
      <c r="AF322" s="259"/>
      <c r="AG322" s="259"/>
      <c r="AH322" s="260"/>
      <c r="AI322" s="262"/>
      <c r="AJ322" s="641" t="s">
        <v>4894</v>
      </c>
      <c r="AK322" s="258">
        <f>'R. GASB 96 Subscription Entries'!M76</f>
        <v>0</v>
      </c>
      <c r="AL322" s="259"/>
      <c r="AM322" s="269"/>
      <c r="AN322" s="264"/>
      <c r="AO322" s="265"/>
      <c r="AP322" s="264"/>
      <c r="AQ322" s="258"/>
      <c r="AR322" s="263"/>
      <c r="AS322" s="266"/>
      <c r="AT322" s="434"/>
      <c r="AU322" s="435"/>
      <c r="AV322" s="264">
        <f>AD322+AF322+AH322+AK321+AP322+AT322</f>
        <v>0</v>
      </c>
      <c r="AW322" s="264">
        <f t="shared" si="106"/>
        <v>0</v>
      </c>
      <c r="AX322" s="288"/>
      <c r="AY322" s="266"/>
      <c r="AZ322" s="287"/>
      <c r="BA322" s="209"/>
    </row>
    <row r="323" spans="1:53" x14ac:dyDescent="0.2">
      <c r="A323" s="39"/>
      <c r="D323" s="418"/>
      <c r="E323" s="419"/>
      <c r="F323" s="414"/>
      <c r="G323" s="414"/>
      <c r="H323" s="414"/>
      <c r="I323" s="414"/>
      <c r="J323" s="414"/>
      <c r="K323" s="415"/>
      <c r="L323" s="416"/>
      <c r="M323" s="414"/>
      <c r="N323" s="414"/>
      <c r="O323" s="414"/>
      <c r="P323" s="417"/>
      <c r="Q323" s="417"/>
      <c r="R323" s="417"/>
      <c r="S323" s="417"/>
      <c r="T323" s="417"/>
      <c r="U323" s="417"/>
      <c r="V323" s="417"/>
      <c r="W323" s="417"/>
      <c r="X323" s="415"/>
      <c r="Y323" s="415"/>
      <c r="Z323" s="415"/>
      <c r="AA323" s="415"/>
      <c r="AB323" s="9">
        <f t="shared" si="89"/>
        <v>0</v>
      </c>
      <c r="AC323" s="5">
        <f t="shared" si="90"/>
        <v>0</v>
      </c>
      <c r="AD323" s="26">
        <f t="shared" si="93"/>
        <v>0</v>
      </c>
      <c r="AE323" s="21">
        <f t="shared" si="94"/>
        <v>0</v>
      </c>
      <c r="AF323" s="5"/>
      <c r="AG323" s="5"/>
      <c r="AH323" s="26"/>
      <c r="AI323" s="21"/>
      <c r="AL323" s="5"/>
      <c r="AN323" s="57"/>
      <c r="AO323" s="231"/>
      <c r="AP323" s="57"/>
      <c r="AS323" s="209"/>
      <c r="AT323" s="434"/>
      <c r="AU323" s="435"/>
      <c r="AV323" s="56"/>
      <c r="AW323" s="56"/>
      <c r="AX323" s="287" t="str">
        <f>IF(AV323-AW323&lt;=0," ",AV323-AW323)</f>
        <v xml:space="preserve"> </v>
      </c>
      <c r="AY323" s="209"/>
      <c r="AZ323" s="287"/>
      <c r="BA323" s="209"/>
    </row>
    <row r="324" spans="1:53" x14ac:dyDescent="0.2">
      <c r="A324" s="39"/>
      <c r="B324" s="322" t="s">
        <v>891</v>
      </c>
      <c r="C324" s="258"/>
      <c r="D324" s="423"/>
      <c r="E324" s="424"/>
      <c r="F324" s="425"/>
      <c r="G324" s="425"/>
      <c r="H324" s="425"/>
      <c r="I324" s="425"/>
      <c r="J324" s="425"/>
      <c r="K324" s="426"/>
      <c r="L324" s="427"/>
      <c r="M324" s="425"/>
      <c r="N324" s="425"/>
      <c r="O324" s="425"/>
      <c r="P324" s="428"/>
      <c r="Q324" s="428"/>
      <c r="R324" s="428"/>
      <c r="S324" s="428"/>
      <c r="T324" s="428"/>
      <c r="U324" s="428"/>
      <c r="V324" s="428"/>
      <c r="W324" s="428"/>
      <c r="X324" s="426"/>
      <c r="Y324" s="426"/>
      <c r="Z324" s="426"/>
      <c r="AA324" s="426"/>
      <c r="AB324" s="261">
        <f t="shared" si="89"/>
        <v>0</v>
      </c>
      <c r="AC324" s="259">
        <f t="shared" si="90"/>
        <v>0</v>
      </c>
      <c r="AD324" s="260">
        <f t="shared" si="93"/>
        <v>0</v>
      </c>
      <c r="AE324" s="262">
        <f t="shared" si="94"/>
        <v>0</v>
      </c>
      <c r="AF324" s="259"/>
      <c r="AG324" s="259"/>
      <c r="AH324" s="260"/>
      <c r="AI324" s="262"/>
      <c r="AJ324" s="263" t="s">
        <v>4894</v>
      </c>
      <c r="AK324" s="264">
        <f>'Q. GASB 87 Lease Entries'!M74</f>
        <v>0</v>
      </c>
      <c r="AL324" s="259"/>
      <c r="AM324" s="263" t="str">
        <f>'E. Capital Outlay'!D53</f>
        <v>E.1</v>
      </c>
      <c r="AN324" s="264">
        <f>'E. Capital Outlay'!N70</f>
        <v>0</v>
      </c>
      <c r="AO324" s="265"/>
      <c r="AP324" s="264"/>
      <c r="AQ324" s="258"/>
      <c r="AR324" s="263"/>
      <c r="AS324" s="266"/>
      <c r="AT324" s="434"/>
      <c r="AU324" s="435"/>
      <c r="AV324" s="264">
        <f t="shared" si="103"/>
        <v>0</v>
      </c>
      <c r="AW324" s="264">
        <f t="shared" si="104"/>
        <v>0</v>
      </c>
      <c r="AX324" s="288" t="str">
        <f>IF(AV324+AV326-(AW324+AW326)&lt;=0," ",AV324+AV326-(AW324+AW326))</f>
        <v xml:space="preserve"> </v>
      </c>
      <c r="AY324" s="266">
        <f>IF(AV324+AV326-(AW324+AW326)&gt;0," ",AW324+AW326-(AV324+AV326))</f>
        <v>0</v>
      </c>
      <c r="AZ324" s="287"/>
      <c r="BA324" s="209"/>
    </row>
    <row r="325" spans="1:53" x14ac:dyDescent="0.2">
      <c r="A325" s="39"/>
      <c r="B325" s="322"/>
      <c r="C325" s="258"/>
      <c r="D325" s="423"/>
      <c r="E325" s="424"/>
      <c r="F325" s="425"/>
      <c r="G325" s="425"/>
      <c r="H325" s="425"/>
      <c r="I325" s="425"/>
      <c r="J325" s="425"/>
      <c r="K325" s="426"/>
      <c r="L325" s="427"/>
      <c r="M325" s="425"/>
      <c r="N325" s="425"/>
      <c r="O325" s="425"/>
      <c r="P325" s="428"/>
      <c r="Q325" s="428"/>
      <c r="R325" s="428"/>
      <c r="S325" s="428"/>
      <c r="T325" s="428"/>
      <c r="U325" s="428"/>
      <c r="V325" s="428"/>
      <c r="W325" s="428"/>
      <c r="X325" s="426"/>
      <c r="Y325" s="426"/>
      <c r="Z325" s="426"/>
      <c r="AA325" s="426"/>
      <c r="AB325" s="261"/>
      <c r="AC325" s="259"/>
      <c r="AD325" s="260"/>
      <c r="AE325" s="262"/>
      <c r="AF325" s="259"/>
      <c r="AG325" s="259"/>
      <c r="AH325" s="260"/>
      <c r="AI325" s="262"/>
      <c r="AJ325" s="263"/>
      <c r="AK325" s="264"/>
      <c r="AL325" s="259"/>
      <c r="AM325" s="263" t="str">
        <f>'F.  Other Cap Asset Entries'!D254</f>
        <v>F.3</v>
      </c>
      <c r="AN325" s="264">
        <f>'F.  Other Cap Asset Entries'!O261</f>
        <v>0</v>
      </c>
      <c r="AO325" s="265"/>
      <c r="AP325" s="264"/>
      <c r="AQ325" s="258"/>
      <c r="AR325" s="263"/>
      <c r="AS325" s="266"/>
      <c r="AT325" s="434"/>
      <c r="AU325" s="435"/>
      <c r="AV325" s="264"/>
      <c r="AW325" s="264"/>
      <c r="AX325" s="288"/>
      <c r="AY325" s="266"/>
      <c r="AZ325" s="287"/>
      <c r="BA325" s="209"/>
    </row>
    <row r="326" spans="1:53" x14ac:dyDescent="0.2">
      <c r="A326" s="39"/>
      <c r="B326" s="322"/>
      <c r="C326" s="258"/>
      <c r="D326" s="423"/>
      <c r="E326" s="424"/>
      <c r="F326" s="425"/>
      <c r="G326" s="425"/>
      <c r="H326" s="425"/>
      <c r="I326" s="425"/>
      <c r="J326" s="425"/>
      <c r="K326" s="426"/>
      <c r="L326" s="427"/>
      <c r="M326" s="425"/>
      <c r="N326" s="425"/>
      <c r="O326" s="425"/>
      <c r="P326" s="428"/>
      <c r="Q326" s="428"/>
      <c r="R326" s="428"/>
      <c r="S326" s="428"/>
      <c r="T326" s="428"/>
      <c r="U326" s="428"/>
      <c r="V326" s="428"/>
      <c r="W326" s="428"/>
      <c r="X326" s="426"/>
      <c r="Y326" s="426"/>
      <c r="Z326" s="426"/>
      <c r="AA326" s="426"/>
      <c r="AB326" s="261"/>
      <c r="AC326" s="259"/>
      <c r="AD326" s="260"/>
      <c r="AE326" s="262"/>
      <c r="AF326" s="259"/>
      <c r="AG326" s="259"/>
      <c r="AH326" s="260"/>
      <c r="AI326" s="262"/>
      <c r="AJ326" s="263"/>
      <c r="AK326" s="264"/>
      <c r="AL326" s="259"/>
      <c r="AM326" s="263" t="s">
        <v>4892</v>
      </c>
      <c r="AN326" s="264">
        <f>'Q. GASB 87 Lease Entries'!O38</f>
        <v>0</v>
      </c>
      <c r="AO326" s="265"/>
      <c r="AP326" s="264"/>
      <c r="AQ326" s="258"/>
      <c r="AR326" s="263"/>
      <c r="AS326" s="266"/>
      <c r="AT326" s="434"/>
      <c r="AU326" s="435"/>
      <c r="AV326" s="264">
        <f t="shared" si="103"/>
        <v>0</v>
      </c>
      <c r="AW326" s="264">
        <f>AE326+AG326+AI326+AN325+AS326+AU326</f>
        <v>0</v>
      </c>
      <c r="AX326" s="288"/>
      <c r="AY326" s="266"/>
      <c r="AZ326" s="287"/>
      <c r="BA326" s="209"/>
    </row>
    <row r="327" spans="1:53" x14ac:dyDescent="0.2">
      <c r="A327" s="39"/>
      <c r="B327" s="4"/>
      <c r="D327" s="418"/>
      <c r="E327" s="419"/>
      <c r="F327" s="414"/>
      <c r="G327" s="414"/>
      <c r="H327" s="414"/>
      <c r="I327" s="414"/>
      <c r="J327" s="414"/>
      <c r="K327" s="415"/>
      <c r="L327" s="416"/>
      <c r="M327" s="414"/>
      <c r="N327" s="414"/>
      <c r="O327" s="414"/>
      <c r="P327" s="417"/>
      <c r="Q327" s="417"/>
      <c r="R327" s="417"/>
      <c r="S327" s="417"/>
      <c r="T327" s="417"/>
      <c r="U327" s="417"/>
      <c r="V327" s="417"/>
      <c r="W327" s="417"/>
      <c r="X327" s="415"/>
      <c r="Y327" s="415"/>
      <c r="Z327" s="415"/>
      <c r="AA327" s="415"/>
      <c r="AB327" s="9">
        <f t="shared" si="89"/>
        <v>0</v>
      </c>
      <c r="AC327" s="5">
        <f t="shared" si="90"/>
        <v>0</v>
      </c>
      <c r="AD327" s="26">
        <f t="shared" si="93"/>
        <v>0</v>
      </c>
      <c r="AE327" s="21">
        <f t="shared" si="94"/>
        <v>0</v>
      </c>
      <c r="AF327" s="5"/>
      <c r="AG327" s="5"/>
      <c r="AH327" s="26"/>
      <c r="AI327" s="21"/>
      <c r="AK327" s="57"/>
      <c r="AL327" s="5"/>
      <c r="AN327" s="57"/>
      <c r="AO327" s="231"/>
      <c r="AP327" s="57"/>
      <c r="AS327" s="209"/>
      <c r="AT327" s="434"/>
      <c r="AU327" s="435"/>
      <c r="AV327" s="270">
        <f t="shared" si="103"/>
        <v>0</v>
      </c>
      <c r="AW327" s="270">
        <f t="shared" si="104"/>
        <v>0</v>
      </c>
      <c r="AX327" s="287" t="str">
        <f>IF(AV327-AW327&lt;=0," ",AV327-AW327)</f>
        <v xml:space="preserve"> </v>
      </c>
      <c r="AY327" s="209"/>
      <c r="AZ327" s="287"/>
      <c r="BA327" s="209"/>
    </row>
    <row r="328" spans="1:53" x14ac:dyDescent="0.2">
      <c r="A328" s="39"/>
      <c r="B328" s="4" t="s">
        <v>882</v>
      </c>
      <c r="D328" s="418"/>
      <c r="E328" s="419"/>
      <c r="F328" s="414"/>
      <c r="G328" s="414"/>
      <c r="H328" s="414"/>
      <c r="I328" s="414"/>
      <c r="J328" s="414"/>
      <c r="K328" s="415"/>
      <c r="L328" s="416"/>
      <c r="M328" s="414"/>
      <c r="N328" s="414"/>
      <c r="O328" s="414"/>
      <c r="P328" s="417"/>
      <c r="Q328" s="417"/>
      <c r="R328" s="417"/>
      <c r="S328" s="417"/>
      <c r="T328" s="417"/>
      <c r="U328" s="417"/>
      <c r="V328" s="417"/>
      <c r="W328" s="417"/>
      <c r="X328" s="415"/>
      <c r="Y328" s="415"/>
      <c r="Z328" s="415"/>
      <c r="AA328" s="415"/>
      <c r="AB328" s="9">
        <f t="shared" si="89"/>
        <v>0</v>
      </c>
      <c r="AC328" s="5">
        <f t="shared" si="90"/>
        <v>0</v>
      </c>
      <c r="AD328" s="26">
        <f t="shared" si="93"/>
        <v>0</v>
      </c>
      <c r="AE328" s="21">
        <f t="shared" si="94"/>
        <v>0</v>
      </c>
      <c r="AF328" s="5"/>
      <c r="AG328" s="5"/>
      <c r="AH328" s="26"/>
      <c r="AI328" s="21"/>
      <c r="AK328" s="57"/>
      <c r="AL328" s="5"/>
      <c r="AN328" s="57"/>
      <c r="AO328" s="231"/>
      <c r="AP328" s="57"/>
      <c r="AS328" s="209"/>
      <c r="AT328" s="434"/>
      <c r="AU328" s="435"/>
      <c r="AV328" s="270">
        <f t="shared" si="103"/>
        <v>0</v>
      </c>
      <c r="AW328" s="270">
        <f t="shared" si="104"/>
        <v>0</v>
      </c>
      <c r="AX328" s="287" t="str">
        <f>IF(AV328-AW328&lt;=0," ",AV328-AW328)</f>
        <v xml:space="preserve"> </v>
      </c>
      <c r="AY328" s="209"/>
      <c r="AZ328" s="287"/>
      <c r="BA328" s="209"/>
    </row>
    <row r="329" spans="1:53" x14ac:dyDescent="0.2">
      <c r="A329" s="39"/>
      <c r="C329" t="s">
        <v>883</v>
      </c>
      <c r="D329" s="418"/>
      <c r="E329" s="419"/>
      <c r="F329" s="414"/>
      <c r="G329" s="414"/>
      <c r="H329" s="414"/>
      <c r="I329" s="414"/>
      <c r="J329" s="414"/>
      <c r="K329" s="415"/>
      <c r="L329" s="416"/>
      <c r="M329" s="414"/>
      <c r="N329" s="414"/>
      <c r="O329" s="414"/>
      <c r="P329" s="417"/>
      <c r="Q329" s="417"/>
      <c r="R329" s="417"/>
      <c r="S329" s="417"/>
      <c r="T329" s="417"/>
      <c r="U329" s="417"/>
      <c r="V329" s="417"/>
      <c r="W329" s="417"/>
      <c r="X329" s="415"/>
      <c r="Y329" s="415"/>
      <c r="Z329" s="415"/>
      <c r="AA329" s="415"/>
      <c r="AB329" s="9">
        <f t="shared" si="89"/>
        <v>0</v>
      </c>
      <c r="AC329" s="5">
        <f t="shared" si="90"/>
        <v>0</v>
      </c>
      <c r="AD329" s="26">
        <f t="shared" si="93"/>
        <v>0</v>
      </c>
      <c r="AE329" s="21">
        <f t="shared" si="94"/>
        <v>0</v>
      </c>
      <c r="AF329" s="5"/>
      <c r="AG329" s="5"/>
      <c r="AH329" s="26"/>
      <c r="AI329" s="21"/>
      <c r="AK329" s="57"/>
      <c r="AL329" s="5"/>
      <c r="AM329" s="226" t="str">
        <f>'G. Debt Service'!D47</f>
        <v>G.1</v>
      </c>
      <c r="AN329" s="57">
        <f>'G. Debt Service'!N52</f>
        <v>0</v>
      </c>
      <c r="AO329" s="231"/>
      <c r="AP329" s="57"/>
      <c r="AS329" s="209"/>
      <c r="AT329" s="434"/>
      <c r="AU329" s="435"/>
      <c r="AV329" s="270">
        <f t="shared" si="103"/>
        <v>0</v>
      </c>
      <c r="AW329" s="270">
        <f t="shared" si="104"/>
        <v>0</v>
      </c>
      <c r="AX329" s="287" t="str">
        <f>IF(AV329-AW329&lt;=0," ",AV329-AW329)</f>
        <v xml:space="preserve"> </v>
      </c>
      <c r="AY329" s="209">
        <f>IF(AV329-AW329&gt;0," ",AW329-AV329)</f>
        <v>0</v>
      </c>
      <c r="AZ329" s="287"/>
      <c r="BA329" s="209"/>
    </row>
    <row r="330" spans="1:53" x14ac:dyDescent="0.2">
      <c r="A330" s="39"/>
      <c r="C330" s="258" t="s">
        <v>884</v>
      </c>
      <c r="D330" s="423"/>
      <c r="E330" s="424"/>
      <c r="F330" s="425"/>
      <c r="G330" s="425"/>
      <c r="H330" s="425"/>
      <c r="I330" s="425"/>
      <c r="J330" s="425"/>
      <c r="K330" s="425"/>
      <c r="L330" s="427"/>
      <c r="M330" s="425"/>
      <c r="N330" s="425"/>
      <c r="O330" s="425"/>
      <c r="P330" s="428"/>
      <c r="Q330" s="428"/>
      <c r="R330" s="428"/>
      <c r="S330" s="428"/>
      <c r="T330" s="428"/>
      <c r="U330" s="428"/>
      <c r="V330" s="428"/>
      <c r="W330" s="428"/>
      <c r="X330" s="426"/>
      <c r="Y330" s="426"/>
      <c r="Z330" s="426"/>
      <c r="AA330" s="426"/>
      <c r="AB330" s="261">
        <f t="shared" si="89"/>
        <v>0</v>
      </c>
      <c r="AC330" s="259">
        <f t="shared" si="90"/>
        <v>0</v>
      </c>
      <c r="AD330" s="260">
        <f t="shared" si="93"/>
        <v>0</v>
      </c>
      <c r="AE330" s="262">
        <f t="shared" si="94"/>
        <v>0</v>
      </c>
      <c r="AF330" s="259"/>
      <c r="AG330" s="259"/>
      <c r="AH330" s="260"/>
      <c r="AI330" s="262"/>
      <c r="AJ330" s="263" t="str">
        <f>'H. Debt Issues'!D77</f>
        <v>H.1</v>
      </c>
      <c r="AK330" s="264">
        <f>'H. Debt Issues'!L89</f>
        <v>0</v>
      </c>
      <c r="AL330" s="259"/>
      <c r="AM330" s="263" t="str">
        <f>'G. Debt Service'!D57</f>
        <v>G.3</v>
      </c>
      <c r="AN330" s="264">
        <f>'G. Debt Service'!N58</f>
        <v>0</v>
      </c>
      <c r="AO330" s="391" t="s">
        <v>671</v>
      </c>
      <c r="AP330" s="264">
        <f>'K.1  Int. Service Fd Allocation'!E203+'K.2  Int. Service Fd Alloca'!E196+'K.3 Int. Service Fd Alloca'!E196</f>
        <v>0</v>
      </c>
      <c r="AQ330" s="258"/>
      <c r="AR330" s="263" t="str">
        <f>'L. Eliminations-Consolidations'!A243</f>
        <v>L.7</v>
      </c>
      <c r="AS330" s="266">
        <f>'L. Eliminations-Consolidations'!L251</f>
        <v>0</v>
      </c>
      <c r="AT330" s="434"/>
      <c r="AU330" s="435"/>
      <c r="AV330" s="264">
        <f t="shared" si="103"/>
        <v>0</v>
      </c>
      <c r="AW330" s="264">
        <f t="shared" si="104"/>
        <v>0</v>
      </c>
      <c r="AX330" s="288">
        <f>IF((AV330+AV331)-(AW330+AW331)&lt;=0,0,(AV330+AV331)-(AW330+AW331))</f>
        <v>0</v>
      </c>
      <c r="AY330" s="266">
        <f>IF((AV330+AV331)-(AW330+AW331)&gt;0,0,(AW330+AW331)-(AV330+AV331))</f>
        <v>0</v>
      </c>
      <c r="AZ330" s="287"/>
      <c r="BA330" s="209"/>
    </row>
    <row r="331" spans="1:53" x14ac:dyDescent="0.2">
      <c r="A331" s="39"/>
      <c r="C331" s="258"/>
      <c r="D331" s="423"/>
      <c r="E331" s="424"/>
      <c r="F331" s="425"/>
      <c r="G331" s="425"/>
      <c r="H331" s="425"/>
      <c r="I331" s="425"/>
      <c r="J331" s="425"/>
      <c r="K331" s="425"/>
      <c r="L331" s="427"/>
      <c r="M331" s="425"/>
      <c r="N331" s="425"/>
      <c r="O331" s="425"/>
      <c r="P331" s="428"/>
      <c r="Q331" s="428"/>
      <c r="R331" s="428"/>
      <c r="S331" s="428"/>
      <c r="T331" s="428"/>
      <c r="U331" s="428"/>
      <c r="V331" s="428"/>
      <c r="W331" s="428"/>
      <c r="X331" s="426"/>
      <c r="Y331" s="426"/>
      <c r="Z331" s="426"/>
      <c r="AA331" s="426"/>
      <c r="AB331" s="261"/>
      <c r="AC331" s="259"/>
      <c r="AD331" s="260"/>
      <c r="AE331" s="262"/>
      <c r="AF331" s="259"/>
      <c r="AG331" s="259"/>
      <c r="AH331" s="260"/>
      <c r="AI331" s="262"/>
      <c r="AJ331" s="263" t="s">
        <v>442</v>
      </c>
      <c r="AK331" s="264">
        <f>'G. Debt Service'!L58</f>
        <v>0</v>
      </c>
      <c r="AL331" s="259"/>
      <c r="AM331" s="263"/>
      <c r="AN331" s="264"/>
      <c r="AO331" s="391"/>
      <c r="AP331" s="264"/>
      <c r="AQ331" s="258"/>
      <c r="AR331" s="263"/>
      <c r="AS331" s="266"/>
      <c r="AT331" s="434"/>
      <c r="AU331" s="435"/>
      <c r="AV331" s="264">
        <f t="shared" si="103"/>
        <v>0</v>
      </c>
      <c r="AW331" s="264">
        <f t="shared" si="104"/>
        <v>0</v>
      </c>
      <c r="AX331" s="288"/>
      <c r="AY331" s="266"/>
      <c r="AZ331" s="287"/>
      <c r="BA331" s="209"/>
    </row>
    <row r="332" spans="1:53" x14ac:dyDescent="0.2">
      <c r="A332" s="39"/>
      <c r="C332" t="s">
        <v>641</v>
      </c>
      <c r="D332" s="418"/>
      <c r="E332" s="419"/>
      <c r="F332" s="414"/>
      <c r="G332" s="414"/>
      <c r="H332" s="414"/>
      <c r="I332" s="414"/>
      <c r="J332" s="414"/>
      <c r="K332" s="414"/>
      <c r="L332" s="416"/>
      <c r="M332" s="414"/>
      <c r="N332" s="414"/>
      <c r="O332" s="414"/>
      <c r="P332" s="417"/>
      <c r="Q332" s="417"/>
      <c r="R332" s="417"/>
      <c r="S332" s="417"/>
      <c r="T332" s="417"/>
      <c r="U332" s="417"/>
      <c r="V332" s="417"/>
      <c r="W332" s="417"/>
      <c r="X332" s="415"/>
      <c r="Y332" s="415"/>
      <c r="Z332" s="415"/>
      <c r="AA332" s="415"/>
      <c r="AB332" s="9">
        <f t="shared" si="89"/>
        <v>0</v>
      </c>
      <c r="AC332" s="5">
        <f t="shared" si="90"/>
        <v>0</v>
      </c>
      <c r="AD332" s="26">
        <f t="shared" si="93"/>
        <v>0</v>
      </c>
      <c r="AE332" s="21">
        <f t="shared" si="94"/>
        <v>0</v>
      </c>
      <c r="AF332" s="5"/>
      <c r="AG332" s="5"/>
      <c r="AH332" s="26"/>
      <c r="AI332" s="21"/>
      <c r="AK332" s="57"/>
      <c r="AL332" s="5"/>
      <c r="AM332" s="226" t="str">
        <f>'H. Debt Issues'!D77</f>
        <v>H.1</v>
      </c>
      <c r="AN332" s="57">
        <f>'H. Debt Issues'!N86</f>
        <v>0</v>
      </c>
      <c r="AO332" s="231"/>
      <c r="AP332" s="57"/>
      <c r="AS332" s="209"/>
      <c r="AT332" s="434"/>
      <c r="AU332" s="435"/>
      <c r="AV332" s="270">
        <f t="shared" si="103"/>
        <v>0</v>
      </c>
      <c r="AW332" s="270">
        <f t="shared" si="104"/>
        <v>0</v>
      </c>
      <c r="AX332" s="287" t="str">
        <f t="shared" ref="AX332:AX348" si="107">IF(AV332-AW332&lt;=0," ",AV332-AW332)</f>
        <v xml:space="preserve"> </v>
      </c>
      <c r="AY332" s="209">
        <f>IF(AV332-AW332&gt;0," ",AW332-AV332)</f>
        <v>0</v>
      </c>
      <c r="AZ332" s="287"/>
      <c r="BA332" s="209"/>
    </row>
    <row r="333" spans="1:53" x14ac:dyDescent="0.2">
      <c r="A333" s="39"/>
      <c r="C333" t="s">
        <v>1107</v>
      </c>
      <c r="D333" s="418"/>
      <c r="E333" s="419"/>
      <c r="F333" s="414"/>
      <c r="G333" s="414"/>
      <c r="H333" s="414"/>
      <c r="I333" s="414"/>
      <c r="J333" s="414"/>
      <c r="K333" s="414"/>
      <c r="L333" s="416"/>
      <c r="M333" s="414"/>
      <c r="N333" s="414"/>
      <c r="O333" s="414"/>
      <c r="P333" s="417"/>
      <c r="Q333" s="417"/>
      <c r="R333" s="417"/>
      <c r="S333" s="417"/>
      <c r="T333" s="417"/>
      <c r="U333" s="417"/>
      <c r="V333" s="417"/>
      <c r="W333" s="417"/>
      <c r="X333" s="415"/>
      <c r="Y333" s="415"/>
      <c r="Z333" s="415"/>
      <c r="AA333" s="415"/>
      <c r="AB333" s="9"/>
      <c r="AD333" s="26"/>
      <c r="AE333" s="21"/>
      <c r="AF333" s="5"/>
      <c r="AG333" s="5"/>
      <c r="AH333" s="26"/>
      <c r="AI333" s="21"/>
      <c r="AK333" s="57"/>
      <c r="AL333" s="5"/>
      <c r="AM333" s="226" t="s">
        <v>824</v>
      </c>
      <c r="AN333" s="57">
        <f>'H. Debt Issues'!N87</f>
        <v>0</v>
      </c>
      <c r="AO333" s="231"/>
      <c r="AP333" s="57"/>
      <c r="AS333" s="209"/>
      <c r="AT333" s="434"/>
      <c r="AU333" s="435"/>
      <c r="AV333" s="270">
        <f>AD333+AF333+AH333+AK333+AP333+AT333</f>
        <v>0</v>
      </c>
      <c r="AW333" s="270">
        <f>AE333+AG333+AI333+AN333+AS333+AU333</f>
        <v>0</v>
      </c>
      <c r="AX333" s="287" t="str">
        <f t="shared" si="107"/>
        <v xml:space="preserve"> </v>
      </c>
      <c r="AY333" s="209">
        <f>IF(AV333-AW333&gt;0," ",AW333-AV333)</f>
        <v>0</v>
      </c>
      <c r="AZ333" s="287"/>
      <c r="BA333" s="209"/>
    </row>
    <row r="334" spans="1:53" x14ac:dyDescent="0.2">
      <c r="A334" s="39"/>
      <c r="C334" t="s">
        <v>642</v>
      </c>
      <c r="D334" s="418"/>
      <c r="E334" s="419"/>
      <c r="F334" s="414"/>
      <c r="G334" s="414"/>
      <c r="H334" s="414"/>
      <c r="I334" s="414"/>
      <c r="J334" s="414"/>
      <c r="K334" s="414"/>
      <c r="L334" s="416"/>
      <c r="M334" s="414"/>
      <c r="N334" s="414"/>
      <c r="O334" s="414"/>
      <c r="P334" s="417"/>
      <c r="Q334" s="417"/>
      <c r="R334" s="417"/>
      <c r="S334" s="417"/>
      <c r="T334" s="417"/>
      <c r="U334" s="417"/>
      <c r="V334" s="417"/>
      <c r="W334" s="417"/>
      <c r="X334" s="415"/>
      <c r="Y334" s="415"/>
      <c r="Z334" s="415"/>
      <c r="AA334" s="415"/>
      <c r="AB334" s="9">
        <f t="shared" si="89"/>
        <v>0</v>
      </c>
      <c r="AC334" s="5">
        <f t="shared" si="90"/>
        <v>0</v>
      </c>
      <c r="AD334" s="26">
        <f t="shared" si="93"/>
        <v>0</v>
      </c>
      <c r="AE334" s="21">
        <f t="shared" si="94"/>
        <v>0</v>
      </c>
      <c r="AF334" s="5"/>
      <c r="AG334" s="5"/>
      <c r="AH334" s="26"/>
      <c r="AI334" s="21"/>
      <c r="AK334" s="57"/>
      <c r="AL334" s="5"/>
      <c r="AM334" s="226" t="str">
        <f>'H. Debt Issues'!D77</f>
        <v>H.1</v>
      </c>
      <c r="AN334" s="57">
        <f>'H. Debt Issues'!N88</f>
        <v>0</v>
      </c>
      <c r="AO334" s="231"/>
      <c r="AP334" s="57"/>
      <c r="AS334" s="209"/>
      <c r="AT334" s="434"/>
      <c r="AU334" s="435"/>
      <c r="AV334" s="270">
        <f t="shared" si="103"/>
        <v>0</v>
      </c>
      <c r="AW334" s="270">
        <f t="shared" si="104"/>
        <v>0</v>
      </c>
      <c r="AX334" s="287" t="str">
        <f t="shared" si="107"/>
        <v xml:space="preserve"> </v>
      </c>
      <c r="AY334" s="209">
        <f>IF(AV334-AW334&gt;0," ",AW334-AV334)</f>
        <v>0</v>
      </c>
      <c r="AZ334" s="287"/>
      <c r="BA334" s="209"/>
    </row>
    <row r="335" spans="1:53" x14ac:dyDescent="0.2">
      <c r="A335" s="39"/>
      <c r="D335" s="418"/>
      <c r="E335" s="419"/>
      <c r="F335" s="414"/>
      <c r="G335" s="414"/>
      <c r="H335" s="414"/>
      <c r="I335" s="414"/>
      <c r="J335" s="414"/>
      <c r="K335" s="414"/>
      <c r="L335" s="416"/>
      <c r="M335" s="414"/>
      <c r="N335" s="414"/>
      <c r="O335" s="414"/>
      <c r="P335" s="417"/>
      <c r="Q335" s="417"/>
      <c r="R335" s="417"/>
      <c r="S335" s="417"/>
      <c r="T335" s="417"/>
      <c r="U335" s="417"/>
      <c r="V335" s="417"/>
      <c r="W335" s="417"/>
      <c r="X335" s="415"/>
      <c r="Y335" s="415"/>
      <c r="Z335" s="415"/>
      <c r="AA335" s="415"/>
      <c r="AB335" s="9">
        <f t="shared" si="89"/>
        <v>0</v>
      </c>
      <c r="AC335" s="5">
        <f t="shared" si="90"/>
        <v>0</v>
      </c>
      <c r="AD335" s="26">
        <f t="shared" si="93"/>
        <v>0</v>
      </c>
      <c r="AE335" s="21">
        <f t="shared" si="94"/>
        <v>0</v>
      </c>
      <c r="AF335" s="5"/>
      <c r="AG335" s="5"/>
      <c r="AH335" s="26"/>
      <c r="AI335" s="21"/>
      <c r="AK335" s="57"/>
      <c r="AL335" s="5"/>
      <c r="AN335" s="57"/>
      <c r="AO335" s="231"/>
      <c r="AP335" s="57"/>
      <c r="AS335" s="209"/>
      <c r="AT335" s="434"/>
      <c r="AU335" s="435"/>
      <c r="AV335" s="270">
        <f t="shared" si="103"/>
        <v>0</v>
      </c>
      <c r="AW335" s="270">
        <f t="shared" si="104"/>
        <v>0</v>
      </c>
      <c r="AX335" s="287" t="str">
        <f t="shared" si="107"/>
        <v xml:space="preserve"> </v>
      </c>
      <c r="AY335" s="209"/>
      <c r="AZ335" s="287"/>
      <c r="BA335" s="209"/>
    </row>
    <row r="336" spans="1:53" x14ac:dyDescent="0.2">
      <c r="A336" s="39"/>
      <c r="B336" s="4" t="s">
        <v>373</v>
      </c>
      <c r="D336" s="418"/>
      <c r="E336" s="419"/>
      <c r="F336" s="414"/>
      <c r="G336" s="414"/>
      <c r="H336" s="414"/>
      <c r="I336" s="414"/>
      <c r="J336" s="414"/>
      <c r="K336" s="414"/>
      <c r="L336" s="416"/>
      <c r="M336" s="414"/>
      <c r="N336" s="414"/>
      <c r="O336" s="414"/>
      <c r="P336" s="417"/>
      <c r="Q336" s="417"/>
      <c r="R336" s="417"/>
      <c r="S336" s="417"/>
      <c r="T336" s="417"/>
      <c r="U336" s="417"/>
      <c r="V336" s="417"/>
      <c r="W336" s="417"/>
      <c r="X336" s="415"/>
      <c r="Y336" s="415"/>
      <c r="Z336" s="415"/>
      <c r="AA336" s="415"/>
      <c r="AB336" s="9">
        <f t="shared" si="89"/>
        <v>0</v>
      </c>
      <c r="AC336" s="5">
        <f t="shared" si="90"/>
        <v>0</v>
      </c>
      <c r="AD336" s="26">
        <f t="shared" si="93"/>
        <v>0</v>
      </c>
      <c r="AE336" s="21">
        <f t="shared" si="94"/>
        <v>0</v>
      </c>
      <c r="AF336" s="5"/>
      <c r="AG336" s="5"/>
      <c r="AH336" s="26"/>
      <c r="AI336" s="21"/>
      <c r="AJ336" s="226" t="str">
        <f>'D. Depreciation'!A55</f>
        <v>D.1</v>
      </c>
      <c r="AK336" s="57">
        <f>'D. Depreciation'!J63</f>
        <v>0</v>
      </c>
      <c r="AL336" s="5"/>
      <c r="AN336" s="57"/>
      <c r="AO336" s="231"/>
      <c r="AP336" s="57"/>
      <c r="AS336" s="209"/>
      <c r="AT336" s="434"/>
      <c r="AU336" s="435"/>
      <c r="AV336" s="270">
        <f t="shared" si="103"/>
        <v>0</v>
      </c>
      <c r="AW336" s="270">
        <f t="shared" si="104"/>
        <v>0</v>
      </c>
      <c r="AX336" s="287" t="str">
        <f t="shared" si="107"/>
        <v xml:space="preserve"> </v>
      </c>
      <c r="AY336" s="209">
        <f>IF(AV336-AW336&gt;0," ",AW336-AV336)</f>
        <v>0</v>
      </c>
      <c r="AZ336" s="287"/>
      <c r="BA336" s="209"/>
    </row>
    <row r="337" spans="1:53" x14ac:dyDescent="0.2">
      <c r="A337" s="39"/>
      <c r="B337" s="4"/>
      <c r="D337" s="418"/>
      <c r="E337" s="419"/>
      <c r="F337" s="414"/>
      <c r="G337" s="414"/>
      <c r="H337" s="414"/>
      <c r="I337" s="414"/>
      <c r="J337" s="414"/>
      <c r="K337" s="415"/>
      <c r="L337" s="416"/>
      <c r="M337" s="414"/>
      <c r="N337" s="414"/>
      <c r="O337" s="414"/>
      <c r="P337" s="417"/>
      <c r="Q337" s="417"/>
      <c r="R337" s="417"/>
      <c r="S337" s="417"/>
      <c r="T337" s="417"/>
      <c r="U337" s="417"/>
      <c r="V337" s="417"/>
      <c r="W337" s="417"/>
      <c r="X337" s="415"/>
      <c r="Y337" s="415"/>
      <c r="Z337" s="415"/>
      <c r="AA337" s="415"/>
      <c r="AB337" s="9">
        <f t="shared" si="89"/>
        <v>0</v>
      </c>
      <c r="AC337" s="5">
        <f t="shared" si="90"/>
        <v>0</v>
      </c>
      <c r="AD337" s="26">
        <f t="shared" si="93"/>
        <v>0</v>
      </c>
      <c r="AE337" s="21">
        <f t="shared" si="94"/>
        <v>0</v>
      </c>
      <c r="AF337" s="5"/>
      <c r="AG337" s="5"/>
      <c r="AH337" s="26"/>
      <c r="AI337" s="21"/>
      <c r="AL337" s="5"/>
      <c r="AN337" s="57"/>
      <c r="AO337" s="231"/>
      <c r="AP337" s="57"/>
      <c r="AS337" s="209"/>
      <c r="AT337" s="434"/>
      <c r="AU337" s="435"/>
      <c r="AV337" s="270">
        <f t="shared" si="103"/>
        <v>0</v>
      </c>
      <c r="AW337" s="270">
        <f t="shared" si="104"/>
        <v>0</v>
      </c>
      <c r="AX337" s="287" t="str">
        <f t="shared" si="107"/>
        <v xml:space="preserve"> </v>
      </c>
      <c r="AY337" s="209"/>
      <c r="AZ337" s="287"/>
      <c r="BA337" s="209"/>
    </row>
    <row r="338" spans="1:53" ht="18" customHeight="1" x14ac:dyDescent="0.2">
      <c r="A338" s="906" t="s">
        <v>907</v>
      </c>
      <c r="B338" s="906"/>
      <c r="C338" s="907"/>
      <c r="D338" s="419"/>
      <c r="E338" s="419"/>
      <c r="F338" s="414"/>
      <c r="G338" s="414"/>
      <c r="H338" s="414"/>
      <c r="I338" s="414"/>
      <c r="J338" s="414"/>
      <c r="K338" s="415"/>
      <c r="L338" s="416"/>
      <c r="M338" s="414"/>
      <c r="N338" s="414"/>
      <c r="O338" s="414"/>
      <c r="P338" s="417"/>
      <c r="Q338" s="417"/>
      <c r="R338" s="417"/>
      <c r="S338" s="417"/>
      <c r="T338" s="417"/>
      <c r="U338" s="417"/>
      <c r="V338" s="417"/>
      <c r="W338" s="417"/>
      <c r="X338" s="415"/>
      <c r="Y338" s="415"/>
      <c r="Z338" s="415"/>
      <c r="AA338" s="415"/>
      <c r="AB338" s="9">
        <f t="shared" si="89"/>
        <v>0</v>
      </c>
      <c r="AC338" s="5">
        <f t="shared" si="90"/>
        <v>0</v>
      </c>
      <c r="AD338" s="26">
        <f t="shared" si="93"/>
        <v>0</v>
      </c>
      <c r="AE338" s="21">
        <f t="shared" si="94"/>
        <v>0</v>
      </c>
      <c r="AF338" s="5"/>
      <c r="AG338" s="5"/>
      <c r="AH338" s="26"/>
      <c r="AI338" s="21"/>
      <c r="AK338" s="57"/>
      <c r="AL338" s="5"/>
      <c r="AN338" s="57"/>
      <c r="AO338" s="231"/>
      <c r="AP338" s="57"/>
      <c r="AS338" s="209"/>
      <c r="AT338" s="434"/>
      <c r="AU338" s="435"/>
      <c r="AV338" s="270">
        <f t="shared" si="103"/>
        <v>0</v>
      </c>
      <c r="AW338" s="270">
        <f t="shared" si="104"/>
        <v>0</v>
      </c>
      <c r="AX338" s="287" t="str">
        <f t="shared" si="107"/>
        <v xml:space="preserve"> </v>
      </c>
      <c r="AY338" s="209"/>
      <c r="AZ338" s="287"/>
      <c r="BA338" s="209"/>
    </row>
    <row r="339" spans="1:53" x14ac:dyDescent="0.2">
      <c r="A339" s="39"/>
      <c r="B339" s="4"/>
      <c r="D339" s="418"/>
      <c r="E339" s="419"/>
      <c r="F339" s="414"/>
      <c r="G339" s="414"/>
      <c r="H339" s="414"/>
      <c r="I339" s="414"/>
      <c r="J339" s="414"/>
      <c r="K339" s="415"/>
      <c r="L339" s="416"/>
      <c r="M339" s="414"/>
      <c r="N339" s="414"/>
      <c r="O339" s="414"/>
      <c r="P339" s="417"/>
      <c r="Q339" s="417"/>
      <c r="R339" s="417"/>
      <c r="S339" s="417"/>
      <c r="T339" s="417"/>
      <c r="U339" s="417"/>
      <c r="V339" s="417"/>
      <c r="W339" s="417"/>
      <c r="X339" s="415"/>
      <c r="Y339" s="415"/>
      <c r="Z339" s="415"/>
      <c r="AA339" s="415"/>
      <c r="AB339" s="9">
        <f t="shared" si="89"/>
        <v>0</v>
      </c>
      <c r="AC339" s="5">
        <f t="shared" si="90"/>
        <v>0</v>
      </c>
      <c r="AD339" s="26">
        <f t="shared" si="93"/>
        <v>0</v>
      </c>
      <c r="AE339" s="21">
        <f t="shared" si="94"/>
        <v>0</v>
      </c>
      <c r="AF339" s="5"/>
      <c r="AG339" s="5"/>
      <c r="AH339" s="26"/>
      <c r="AI339" s="21"/>
      <c r="AK339" s="57"/>
      <c r="AL339" s="5"/>
      <c r="AN339" s="57"/>
      <c r="AO339" s="231"/>
      <c r="AP339" s="57"/>
      <c r="AS339" s="209"/>
      <c r="AT339" s="434"/>
      <c r="AU339" s="435"/>
      <c r="AV339" s="270">
        <f t="shared" si="103"/>
        <v>0</v>
      </c>
      <c r="AW339" s="270">
        <f t="shared" si="104"/>
        <v>0</v>
      </c>
      <c r="AX339" s="287" t="str">
        <f t="shared" si="107"/>
        <v xml:space="preserve"> </v>
      </c>
      <c r="AY339" s="209"/>
      <c r="AZ339" s="287"/>
      <c r="BA339" s="209"/>
    </row>
    <row r="340" spans="1:53" x14ac:dyDescent="0.2">
      <c r="A340" s="39"/>
      <c r="C340" t="s">
        <v>776</v>
      </c>
      <c r="D340" s="418"/>
      <c r="E340" s="419"/>
      <c r="F340" s="414"/>
      <c r="G340" s="414"/>
      <c r="H340" s="414"/>
      <c r="I340" s="414"/>
      <c r="J340" s="414"/>
      <c r="K340" s="415"/>
      <c r="L340" s="416"/>
      <c r="M340" s="414"/>
      <c r="N340" s="414"/>
      <c r="O340" s="414"/>
      <c r="P340" s="417"/>
      <c r="Q340" s="417"/>
      <c r="R340" s="417"/>
      <c r="S340" s="417"/>
      <c r="T340" s="417"/>
      <c r="U340" s="417"/>
      <c r="V340" s="417"/>
      <c r="W340" s="417"/>
      <c r="X340" s="415"/>
      <c r="Y340" s="415"/>
      <c r="Z340" s="415"/>
      <c r="AA340" s="415"/>
      <c r="AB340" s="9">
        <f t="shared" si="89"/>
        <v>0</v>
      </c>
      <c r="AC340" s="5">
        <f t="shared" si="90"/>
        <v>0</v>
      </c>
      <c r="AD340" s="26">
        <f t="shared" si="93"/>
        <v>0</v>
      </c>
      <c r="AE340" s="21">
        <f t="shared" si="94"/>
        <v>0</v>
      </c>
      <c r="AF340" s="5"/>
      <c r="AG340" s="5"/>
      <c r="AH340" s="26"/>
      <c r="AI340" s="21"/>
      <c r="AK340" s="57"/>
      <c r="AL340" s="5"/>
      <c r="AM340" s="226" t="str">
        <f>'F.  Other Cap Asset Entries'!D240</f>
        <v>F.2</v>
      </c>
      <c r="AN340" s="57">
        <f>'F.  Other Cap Asset Entries'!O252</f>
        <v>0</v>
      </c>
      <c r="AO340" s="231" t="str">
        <f>'L. Eliminations-Consolidations'!A200</f>
        <v>L.1</v>
      </c>
      <c r="AP340" s="57">
        <f>'L. Eliminations-Consolidations'!J200</f>
        <v>0</v>
      </c>
      <c r="AR340" s="393" t="s">
        <v>671</v>
      </c>
      <c r="AS340" s="210">
        <f>'K.1  Int. Service Fd Allocation'!G204+'K.2  Int. Service Fd Alloca'!G197+'K.3 Int. Service Fd Alloca'!G197</f>
        <v>0</v>
      </c>
      <c r="AT340" s="434"/>
      <c r="AU340" s="435"/>
      <c r="AV340" s="270">
        <f t="shared" si="103"/>
        <v>0</v>
      </c>
      <c r="AW340" s="270">
        <f t="shared" si="104"/>
        <v>0</v>
      </c>
      <c r="AX340" s="293" t="str">
        <f t="shared" si="107"/>
        <v xml:space="preserve"> </v>
      </c>
      <c r="AY340" s="210">
        <f t="shared" ref="AY340:AY353" si="108">IF(AV340-AW340&gt;0," ",AW340-AV340)</f>
        <v>0</v>
      </c>
      <c r="AZ340" s="287"/>
      <c r="BA340" s="209"/>
    </row>
    <row r="341" spans="1:53" x14ac:dyDescent="0.2">
      <c r="A341" s="39"/>
      <c r="C341" t="s">
        <v>572</v>
      </c>
      <c r="D341" s="433"/>
      <c r="E341" s="419"/>
      <c r="F341" s="414"/>
      <c r="G341" s="414"/>
      <c r="H341" s="414"/>
      <c r="I341" s="414"/>
      <c r="J341" s="414"/>
      <c r="K341" s="415"/>
      <c r="L341" s="416"/>
      <c r="M341" s="414"/>
      <c r="N341" s="414"/>
      <c r="O341" s="414"/>
      <c r="P341" s="417"/>
      <c r="Q341" s="417"/>
      <c r="R341" s="417"/>
      <c r="S341" s="417"/>
      <c r="T341" s="417"/>
      <c r="U341" s="417"/>
      <c r="V341" s="417"/>
      <c r="W341" s="417"/>
      <c r="X341" s="415"/>
      <c r="Y341" s="415"/>
      <c r="Z341" s="415"/>
      <c r="AA341" s="415"/>
      <c r="AB341" s="9">
        <f t="shared" si="89"/>
        <v>0</v>
      </c>
      <c r="AC341" s="5">
        <f t="shared" si="90"/>
        <v>0</v>
      </c>
      <c r="AD341" s="26">
        <f t="shared" si="93"/>
        <v>0</v>
      </c>
      <c r="AE341" s="21">
        <f t="shared" si="94"/>
        <v>0</v>
      </c>
      <c r="AF341" s="5"/>
      <c r="AG341" s="5"/>
      <c r="AH341" s="26"/>
      <c r="AI341" s="21"/>
      <c r="AJ341" s="226" t="str">
        <f>'F.  Other Cap Asset Entries'!D214</f>
        <v>F.1</v>
      </c>
      <c r="AK341" s="57">
        <f>'F.  Other Cap Asset Entries'!M226</f>
        <v>0</v>
      </c>
      <c r="AL341" s="5"/>
      <c r="AN341" s="57"/>
      <c r="AO341" s="390" t="s">
        <v>671</v>
      </c>
      <c r="AP341" s="56">
        <f>'K.1  Int. Service Fd Allocation'!E205+'K.2  Int. Service Fd Alloca'!E198+'K.3 Int. Service Fd Alloca'!E198</f>
        <v>0</v>
      </c>
      <c r="AR341" s="226" t="str">
        <f>'L. Eliminations-Consolidations'!A200</f>
        <v>L.1</v>
      </c>
      <c r="AS341" s="209">
        <f>'L. Eliminations-Consolidations'!L201</f>
        <v>0</v>
      </c>
      <c r="AT341" s="434"/>
      <c r="AU341" s="435"/>
      <c r="AV341" s="270">
        <f t="shared" si="103"/>
        <v>0</v>
      </c>
      <c r="AW341" s="270">
        <f t="shared" si="104"/>
        <v>0</v>
      </c>
      <c r="AX341" s="293" t="str">
        <f t="shared" si="107"/>
        <v xml:space="preserve"> </v>
      </c>
      <c r="AY341" s="210">
        <f t="shared" si="108"/>
        <v>0</v>
      </c>
      <c r="AZ341" s="287"/>
      <c r="BA341" s="209"/>
    </row>
    <row r="342" spans="1:53" x14ac:dyDescent="0.2">
      <c r="A342" s="39"/>
      <c r="B342" s="2"/>
      <c r="C342" t="s">
        <v>4854</v>
      </c>
      <c r="D342" s="418"/>
      <c r="E342" s="419"/>
      <c r="F342" s="414"/>
      <c r="G342" s="414"/>
      <c r="H342" s="414"/>
      <c r="I342" s="414"/>
      <c r="J342" s="414"/>
      <c r="K342" s="414"/>
      <c r="L342" s="416"/>
      <c r="M342" s="414"/>
      <c r="N342" s="414"/>
      <c r="O342" s="414"/>
      <c r="P342" s="417"/>
      <c r="Q342" s="417"/>
      <c r="R342" s="417"/>
      <c r="S342" s="417"/>
      <c r="T342" s="417"/>
      <c r="U342" s="417"/>
      <c r="V342" s="417"/>
      <c r="W342" s="417"/>
      <c r="X342" s="415"/>
      <c r="Y342" s="415"/>
      <c r="Z342" s="415"/>
      <c r="AA342" s="415"/>
      <c r="AB342" s="9">
        <f t="shared" si="89"/>
        <v>0</v>
      </c>
      <c r="AC342" s="5">
        <f t="shared" si="90"/>
        <v>0</v>
      </c>
      <c r="AD342" s="26">
        <f t="shared" si="93"/>
        <v>0</v>
      </c>
      <c r="AE342" s="21">
        <f t="shared" si="94"/>
        <v>0</v>
      </c>
      <c r="AF342" s="5"/>
      <c r="AG342" s="5"/>
      <c r="AH342" s="26"/>
      <c r="AI342" s="21"/>
      <c r="AJ342" s="226" t="str">
        <f>'H. Debt Issues'!D77</f>
        <v>H.1</v>
      </c>
      <c r="AK342" s="57">
        <f>'H. Debt Issues'!L77</f>
        <v>0</v>
      </c>
      <c r="AL342" s="5"/>
      <c r="AN342" s="57"/>
      <c r="AO342" s="231"/>
      <c r="AP342" s="57"/>
      <c r="AS342" s="209"/>
      <c r="AT342" s="434"/>
      <c r="AU342" s="435"/>
      <c r="AV342" s="270">
        <f t="shared" si="103"/>
        <v>0</v>
      </c>
      <c r="AW342" s="270">
        <f t="shared" si="104"/>
        <v>0</v>
      </c>
      <c r="AX342" s="293" t="str">
        <f t="shared" si="107"/>
        <v xml:space="preserve"> </v>
      </c>
      <c r="AY342" s="210">
        <f t="shared" si="108"/>
        <v>0</v>
      </c>
      <c r="AZ342" s="287"/>
      <c r="BA342" s="209"/>
    </row>
    <row r="343" spans="1:53" x14ac:dyDescent="0.2">
      <c r="A343" s="39"/>
      <c r="C343" s="188" t="s">
        <v>777</v>
      </c>
      <c r="D343" s="418"/>
      <c r="E343" s="419"/>
      <c r="F343" s="414"/>
      <c r="G343" s="414"/>
      <c r="H343" s="414"/>
      <c r="I343" s="414"/>
      <c r="J343" s="414"/>
      <c r="K343" s="415"/>
      <c r="L343" s="416"/>
      <c r="M343" s="414"/>
      <c r="N343" s="414"/>
      <c r="O343" s="414"/>
      <c r="P343" s="417"/>
      <c r="Q343" s="417"/>
      <c r="R343" s="417"/>
      <c r="S343" s="417"/>
      <c r="T343" s="417"/>
      <c r="U343" s="417"/>
      <c r="V343" s="417"/>
      <c r="W343" s="417"/>
      <c r="X343" s="415"/>
      <c r="Y343" s="415"/>
      <c r="Z343" s="415"/>
      <c r="AA343" s="415"/>
      <c r="AB343" s="9">
        <f t="shared" si="89"/>
        <v>0</v>
      </c>
      <c r="AC343" s="5">
        <f t="shared" si="90"/>
        <v>0</v>
      </c>
      <c r="AD343" s="26">
        <f t="shared" si="93"/>
        <v>0</v>
      </c>
      <c r="AE343" s="21">
        <f t="shared" si="94"/>
        <v>0</v>
      </c>
      <c r="AF343" s="5"/>
      <c r="AG343" s="5"/>
      <c r="AH343" s="26"/>
      <c r="AI343" s="21"/>
      <c r="AJ343" s="226" t="str">
        <f>'H. Debt Issues'!D77</f>
        <v>H.1</v>
      </c>
      <c r="AK343" s="57">
        <f>'H. Debt Issues'!L79</f>
        <v>0</v>
      </c>
      <c r="AL343" s="5"/>
      <c r="AN343" s="57"/>
      <c r="AO343" s="231"/>
      <c r="AP343" s="57"/>
      <c r="AS343" s="209"/>
      <c r="AT343" s="434"/>
      <c r="AU343" s="435"/>
      <c r="AV343" s="270">
        <f t="shared" si="103"/>
        <v>0</v>
      </c>
      <c r="AW343" s="270">
        <f t="shared" si="104"/>
        <v>0</v>
      </c>
      <c r="AX343" s="287" t="str">
        <f t="shared" si="107"/>
        <v xml:space="preserve"> </v>
      </c>
      <c r="AY343" s="209">
        <f t="shared" si="108"/>
        <v>0</v>
      </c>
      <c r="AZ343" s="287"/>
      <c r="BA343" s="209"/>
    </row>
    <row r="344" spans="1:53" x14ac:dyDescent="0.2">
      <c r="A344" s="39"/>
      <c r="C344" t="s">
        <v>778</v>
      </c>
      <c r="D344" s="418"/>
      <c r="E344" s="419"/>
      <c r="F344" s="414"/>
      <c r="G344" s="414"/>
      <c r="H344" s="414"/>
      <c r="I344" s="414"/>
      <c r="J344" s="414"/>
      <c r="K344" s="415"/>
      <c r="L344" s="416"/>
      <c r="M344" s="414"/>
      <c r="N344" s="414"/>
      <c r="O344" s="414"/>
      <c r="P344" s="417"/>
      <c r="Q344" s="417"/>
      <c r="R344" s="417"/>
      <c r="S344" s="417"/>
      <c r="T344" s="417"/>
      <c r="U344" s="417"/>
      <c r="V344" s="417"/>
      <c r="W344" s="417"/>
      <c r="X344" s="415"/>
      <c r="Y344" s="415"/>
      <c r="Z344" s="415"/>
      <c r="AA344" s="415"/>
      <c r="AB344" s="9">
        <f t="shared" si="89"/>
        <v>0</v>
      </c>
      <c r="AC344" s="5">
        <f t="shared" si="90"/>
        <v>0</v>
      </c>
      <c r="AD344" s="26">
        <f t="shared" si="93"/>
        <v>0</v>
      </c>
      <c r="AE344" s="21">
        <f t="shared" si="94"/>
        <v>0</v>
      </c>
      <c r="AF344" s="5"/>
      <c r="AG344" s="5"/>
      <c r="AH344" s="26"/>
      <c r="AI344" s="21"/>
      <c r="AJ344" s="226" t="str">
        <f>'H. Debt Issues'!D77</f>
        <v>H.1</v>
      </c>
      <c r="AK344" s="57">
        <f>'H. Debt Issues'!L80</f>
        <v>0</v>
      </c>
      <c r="AL344" s="5"/>
      <c r="AN344" s="57"/>
      <c r="AO344" s="231"/>
      <c r="AP344" s="57"/>
      <c r="AS344" s="209"/>
      <c r="AT344" s="434"/>
      <c r="AU344" s="435"/>
      <c r="AV344" s="270">
        <f t="shared" si="103"/>
        <v>0</v>
      </c>
      <c r="AW344" s="270">
        <f t="shared" si="104"/>
        <v>0</v>
      </c>
      <c r="AX344" s="287" t="str">
        <f t="shared" si="107"/>
        <v xml:space="preserve"> </v>
      </c>
      <c r="AY344" s="209">
        <f t="shared" si="108"/>
        <v>0</v>
      </c>
      <c r="AZ344" s="287"/>
      <c r="BA344" s="209"/>
    </row>
    <row r="345" spans="1:53" x14ac:dyDescent="0.2">
      <c r="A345" s="39"/>
      <c r="C345" t="s">
        <v>779</v>
      </c>
      <c r="D345" s="418"/>
      <c r="E345" s="419"/>
      <c r="F345" s="414"/>
      <c r="G345" s="414"/>
      <c r="H345" s="414"/>
      <c r="I345" s="414"/>
      <c r="J345" s="414"/>
      <c r="K345" s="415"/>
      <c r="L345" s="416"/>
      <c r="M345" s="414"/>
      <c r="N345" s="414"/>
      <c r="O345" s="414"/>
      <c r="P345" s="417"/>
      <c r="Q345" s="417"/>
      <c r="R345" s="417"/>
      <c r="S345" s="417"/>
      <c r="T345" s="417"/>
      <c r="U345" s="417"/>
      <c r="V345" s="417"/>
      <c r="W345" s="417"/>
      <c r="X345" s="415"/>
      <c r="Y345" s="415"/>
      <c r="Z345" s="415"/>
      <c r="AA345" s="415"/>
      <c r="AB345" s="9">
        <f t="shared" si="89"/>
        <v>0</v>
      </c>
      <c r="AC345" s="5">
        <f t="shared" si="90"/>
        <v>0</v>
      </c>
      <c r="AD345" s="26">
        <f t="shared" si="93"/>
        <v>0</v>
      </c>
      <c r="AE345" s="21">
        <f t="shared" si="94"/>
        <v>0</v>
      </c>
      <c r="AF345" s="5"/>
      <c r="AG345" s="5"/>
      <c r="AH345" s="26"/>
      <c r="AI345" s="21"/>
      <c r="AJ345" s="226" t="str">
        <f>'H. Debt Issues'!D77</f>
        <v>H.1</v>
      </c>
      <c r="AK345" s="57">
        <f>'H. Debt Issues'!L81</f>
        <v>0</v>
      </c>
      <c r="AL345" s="5"/>
      <c r="AN345" s="57"/>
      <c r="AO345" s="231"/>
      <c r="AP345" s="57"/>
      <c r="AS345" s="209"/>
      <c r="AT345" s="434"/>
      <c r="AU345" s="435"/>
      <c r="AV345" s="270">
        <f t="shared" si="103"/>
        <v>0</v>
      </c>
      <c r="AW345" s="270">
        <f t="shared" si="104"/>
        <v>0</v>
      </c>
      <c r="AX345" s="287" t="str">
        <f t="shared" si="107"/>
        <v xml:space="preserve"> </v>
      </c>
      <c r="AY345" s="209">
        <f t="shared" si="108"/>
        <v>0</v>
      </c>
      <c r="AZ345" s="287"/>
      <c r="BA345" s="209"/>
    </row>
    <row r="346" spans="1:53" x14ac:dyDescent="0.2">
      <c r="A346" s="39"/>
      <c r="C346" t="s">
        <v>780</v>
      </c>
      <c r="D346" s="418"/>
      <c r="E346" s="419"/>
      <c r="F346" s="414"/>
      <c r="G346" s="414"/>
      <c r="H346" s="414"/>
      <c r="I346" s="414"/>
      <c r="J346" s="414"/>
      <c r="K346" s="415"/>
      <c r="L346" s="416"/>
      <c r="M346" s="414"/>
      <c r="N346" s="414"/>
      <c r="O346" s="414"/>
      <c r="P346" s="417"/>
      <c r="Q346" s="417"/>
      <c r="R346" s="417"/>
      <c r="S346" s="417"/>
      <c r="T346" s="417"/>
      <c r="U346" s="417"/>
      <c r="V346" s="417"/>
      <c r="W346" s="417"/>
      <c r="X346" s="415"/>
      <c r="Y346" s="415"/>
      <c r="Z346" s="415"/>
      <c r="AA346" s="415"/>
      <c r="AB346" s="9">
        <f t="shared" si="89"/>
        <v>0</v>
      </c>
      <c r="AC346" s="5">
        <f t="shared" si="90"/>
        <v>0</v>
      </c>
      <c r="AD346" s="26">
        <f t="shared" si="93"/>
        <v>0</v>
      </c>
      <c r="AE346" s="21">
        <f t="shared" si="94"/>
        <v>0</v>
      </c>
      <c r="AF346" s="5"/>
      <c r="AG346" s="5"/>
      <c r="AH346" s="26"/>
      <c r="AI346" s="21"/>
      <c r="AK346" s="57"/>
      <c r="AL346" s="5"/>
      <c r="AM346" s="226" t="str">
        <f>'H. Debt Issues'!D77</f>
        <v>H.1</v>
      </c>
      <c r="AN346" s="57">
        <f>'H. Debt Issues'!N90</f>
        <v>0</v>
      </c>
      <c r="AO346" s="231"/>
      <c r="AP346" s="57"/>
      <c r="AS346" s="209"/>
      <c r="AT346" s="434"/>
      <c r="AU346" s="435"/>
      <c r="AV346" s="270">
        <f t="shared" si="103"/>
        <v>0</v>
      </c>
      <c r="AW346" s="270">
        <f t="shared" si="104"/>
        <v>0</v>
      </c>
      <c r="AX346" s="287" t="str">
        <f t="shared" si="107"/>
        <v xml:space="preserve"> </v>
      </c>
      <c r="AY346" s="209">
        <f t="shared" si="108"/>
        <v>0</v>
      </c>
      <c r="AZ346" s="287"/>
      <c r="BA346" s="209"/>
    </row>
    <row r="347" spans="1:53" x14ac:dyDescent="0.2">
      <c r="A347" s="39"/>
      <c r="C347" t="s">
        <v>781</v>
      </c>
      <c r="D347" s="418"/>
      <c r="E347" s="419"/>
      <c r="F347" s="414"/>
      <c r="G347" s="414"/>
      <c r="H347" s="414"/>
      <c r="I347" s="414"/>
      <c r="J347" s="414"/>
      <c r="K347" s="415"/>
      <c r="L347" s="416"/>
      <c r="M347" s="414"/>
      <c r="N347" s="414"/>
      <c r="O347" s="414"/>
      <c r="P347" s="417"/>
      <c r="Q347" s="417"/>
      <c r="R347" s="417"/>
      <c r="S347" s="417"/>
      <c r="T347" s="417"/>
      <c r="U347" s="417"/>
      <c r="V347" s="417"/>
      <c r="W347" s="417"/>
      <c r="X347" s="415"/>
      <c r="Y347" s="415"/>
      <c r="Z347" s="415"/>
      <c r="AA347" s="415"/>
      <c r="AB347" s="9">
        <f t="shared" si="89"/>
        <v>0</v>
      </c>
      <c r="AC347" s="5">
        <f t="shared" si="90"/>
        <v>0</v>
      </c>
      <c r="AD347" s="26">
        <f t="shared" si="93"/>
        <v>0</v>
      </c>
      <c r="AE347" s="21">
        <f t="shared" si="94"/>
        <v>0</v>
      </c>
      <c r="AF347" s="5"/>
      <c r="AG347" s="5"/>
      <c r="AH347" s="26"/>
      <c r="AI347" s="21"/>
      <c r="AK347" s="57"/>
      <c r="AL347" s="5"/>
      <c r="AM347" s="226" t="str">
        <f>'H. Debt Issues'!D77</f>
        <v>H.1</v>
      </c>
      <c r="AN347" s="57">
        <f>'H. Debt Issues'!N91</f>
        <v>0</v>
      </c>
      <c r="AO347" s="231"/>
      <c r="AP347" s="57"/>
      <c r="AS347" s="209"/>
      <c r="AT347" s="434"/>
      <c r="AU347" s="435"/>
      <c r="AV347" s="270">
        <f t="shared" si="103"/>
        <v>0</v>
      </c>
      <c r="AW347" s="270">
        <f t="shared" si="104"/>
        <v>0</v>
      </c>
      <c r="AX347" s="287" t="str">
        <f t="shared" si="107"/>
        <v xml:space="preserve"> </v>
      </c>
      <c r="AY347" s="209">
        <f t="shared" si="108"/>
        <v>0</v>
      </c>
      <c r="AZ347" s="287"/>
      <c r="BA347" s="209"/>
    </row>
    <row r="348" spans="1:53" x14ac:dyDescent="0.2">
      <c r="A348" s="39"/>
      <c r="C348" t="s">
        <v>825</v>
      </c>
      <c r="D348" s="418"/>
      <c r="E348" s="419"/>
      <c r="F348" s="414"/>
      <c r="G348" s="414"/>
      <c r="H348" s="414"/>
      <c r="I348" s="414"/>
      <c r="J348" s="414"/>
      <c r="K348" s="415"/>
      <c r="L348" s="416"/>
      <c r="M348" s="414"/>
      <c r="N348" s="414"/>
      <c r="O348" s="414"/>
      <c r="P348" s="417"/>
      <c r="Q348" s="417"/>
      <c r="R348" s="417"/>
      <c r="S348" s="417"/>
      <c r="T348" s="417"/>
      <c r="U348" s="417"/>
      <c r="V348" s="417"/>
      <c r="W348" s="417"/>
      <c r="X348" s="415"/>
      <c r="Y348" s="415"/>
      <c r="Z348" s="415"/>
      <c r="AA348" s="415"/>
      <c r="AB348" s="9">
        <f t="shared" si="89"/>
        <v>0</v>
      </c>
      <c r="AC348" s="5">
        <f t="shared" si="90"/>
        <v>0</v>
      </c>
      <c r="AD348" s="26">
        <f t="shared" si="93"/>
        <v>0</v>
      </c>
      <c r="AE348" s="21">
        <f t="shared" si="94"/>
        <v>0</v>
      </c>
      <c r="AF348" s="5"/>
      <c r="AG348" s="5"/>
      <c r="AH348" s="26"/>
      <c r="AI348" s="21"/>
      <c r="AJ348" s="226" t="str">
        <f>'F.  Other Cap Asset Entries'!D214</f>
        <v>F.1</v>
      </c>
      <c r="AK348" s="57">
        <f>'F.  Other Cap Asset Entries'!M223</f>
        <v>0</v>
      </c>
      <c r="AL348" s="5"/>
      <c r="AN348" s="57"/>
      <c r="AO348" s="231"/>
      <c r="AP348" s="57"/>
      <c r="AS348" s="209"/>
      <c r="AT348" s="434"/>
      <c r="AU348" s="435"/>
      <c r="AV348" s="270">
        <f t="shared" si="103"/>
        <v>0</v>
      </c>
      <c r="AW348" s="270">
        <f t="shared" si="104"/>
        <v>0</v>
      </c>
      <c r="AX348" s="287" t="str">
        <f t="shared" si="107"/>
        <v xml:space="preserve"> </v>
      </c>
      <c r="AY348" s="209">
        <f t="shared" si="108"/>
        <v>0</v>
      </c>
      <c r="AZ348" s="287"/>
      <c r="BA348" s="209"/>
    </row>
    <row r="349" spans="1:53" x14ac:dyDescent="0.2">
      <c r="A349" s="39"/>
      <c r="C349" t="s">
        <v>503</v>
      </c>
      <c r="D349" s="418"/>
      <c r="E349" s="419"/>
      <c r="F349" s="414"/>
      <c r="G349" s="414"/>
      <c r="H349" s="414"/>
      <c r="I349" s="414"/>
      <c r="J349" s="414"/>
      <c r="K349" s="415"/>
      <c r="L349" s="416"/>
      <c r="M349" s="414"/>
      <c r="N349" s="414"/>
      <c r="O349" s="414"/>
      <c r="P349" s="417"/>
      <c r="Q349" s="417"/>
      <c r="R349" s="417"/>
      <c r="S349" s="417"/>
      <c r="T349" s="417"/>
      <c r="U349" s="417"/>
      <c r="V349" s="417"/>
      <c r="W349" s="417"/>
      <c r="X349" s="415"/>
      <c r="Y349" s="415"/>
      <c r="Z349" s="415"/>
      <c r="AA349" s="415"/>
      <c r="AB349" s="9"/>
      <c r="AD349" s="26">
        <f t="shared" si="93"/>
        <v>0</v>
      </c>
      <c r="AE349" s="21">
        <f t="shared" si="94"/>
        <v>0</v>
      </c>
      <c r="AF349" s="5"/>
      <c r="AG349" s="5"/>
      <c r="AH349" s="26"/>
      <c r="AI349" s="21"/>
      <c r="AJ349" s="226" t="s">
        <v>951</v>
      </c>
      <c r="AK349" s="57">
        <f>'F.  Other Cap Asset Entries'!M263</f>
        <v>0</v>
      </c>
      <c r="AL349" s="5"/>
      <c r="AN349" s="57"/>
      <c r="AO349" s="231"/>
      <c r="AP349" s="57"/>
      <c r="AS349" s="209"/>
      <c r="AT349" s="434"/>
      <c r="AU349" s="435"/>
      <c r="AV349" s="270">
        <f t="shared" si="103"/>
        <v>0</v>
      </c>
      <c r="AW349" s="270">
        <f t="shared" si="104"/>
        <v>0</v>
      </c>
      <c r="AX349" s="287"/>
      <c r="AY349" s="209">
        <f t="shared" si="108"/>
        <v>0</v>
      </c>
      <c r="AZ349" s="287"/>
      <c r="BA349" s="209"/>
    </row>
    <row r="350" spans="1:53" x14ac:dyDescent="0.2">
      <c r="A350" s="39"/>
      <c r="D350" s="418"/>
      <c r="E350" s="419"/>
      <c r="F350" s="414"/>
      <c r="G350" s="414"/>
      <c r="H350" s="414"/>
      <c r="I350" s="414"/>
      <c r="J350" s="414"/>
      <c r="K350" s="415"/>
      <c r="L350" s="416"/>
      <c r="M350" s="414"/>
      <c r="N350" s="414"/>
      <c r="O350" s="414"/>
      <c r="P350" s="417"/>
      <c r="Q350" s="417"/>
      <c r="R350" s="417"/>
      <c r="S350" s="417"/>
      <c r="T350" s="417"/>
      <c r="U350" s="417"/>
      <c r="V350" s="417"/>
      <c r="W350" s="417"/>
      <c r="X350" s="415"/>
      <c r="Y350" s="415"/>
      <c r="Z350" s="415"/>
      <c r="AA350" s="415"/>
      <c r="AB350" s="9">
        <f t="shared" si="89"/>
        <v>0</v>
      </c>
      <c r="AC350" s="5">
        <f t="shared" si="90"/>
        <v>0</v>
      </c>
      <c r="AD350" s="26">
        <f t="shared" si="93"/>
        <v>0</v>
      </c>
      <c r="AE350" s="21">
        <f t="shared" si="94"/>
        <v>0</v>
      </c>
      <c r="AF350" s="5"/>
      <c r="AG350" s="5"/>
      <c r="AH350" s="26"/>
      <c r="AI350" s="21"/>
      <c r="AK350" s="57"/>
      <c r="AL350" s="5"/>
      <c r="AN350" s="57"/>
      <c r="AO350" s="231"/>
      <c r="AP350" s="57"/>
      <c r="AS350" s="209"/>
      <c r="AT350" s="434"/>
      <c r="AU350" s="435"/>
      <c r="AV350" s="270">
        <f t="shared" si="103"/>
        <v>0</v>
      </c>
      <c r="AW350" s="270">
        <f t="shared" si="104"/>
        <v>0</v>
      </c>
      <c r="AX350" s="287" t="str">
        <f t="shared" ref="AX350:AX356" si="109">IF(AV350-AW350&lt;=0," ",AV350-AW350)</f>
        <v xml:space="preserve"> </v>
      </c>
      <c r="AY350" s="209">
        <f t="shared" si="108"/>
        <v>0</v>
      </c>
      <c r="AZ350" s="287"/>
      <c r="BA350" s="209"/>
    </row>
    <row r="351" spans="1:53" x14ac:dyDescent="0.2">
      <c r="A351" s="39"/>
      <c r="C351" t="s">
        <v>748</v>
      </c>
      <c r="D351" s="418"/>
      <c r="E351" s="419"/>
      <c r="F351" s="414"/>
      <c r="G351" s="414"/>
      <c r="H351" s="414"/>
      <c r="I351" s="414"/>
      <c r="J351" s="414"/>
      <c r="K351" s="415"/>
      <c r="L351" s="416"/>
      <c r="M351" s="414"/>
      <c r="N351" s="414"/>
      <c r="O351" s="414"/>
      <c r="P351" s="417"/>
      <c r="Q351" s="417"/>
      <c r="R351" s="417"/>
      <c r="S351" s="417"/>
      <c r="T351" s="417"/>
      <c r="U351" s="417"/>
      <c r="V351" s="417"/>
      <c r="W351" s="417"/>
      <c r="X351" s="415"/>
      <c r="Y351" s="415"/>
      <c r="Z351" s="415"/>
      <c r="AA351" s="415"/>
      <c r="AB351" s="9">
        <f t="shared" si="89"/>
        <v>0</v>
      </c>
      <c r="AC351" s="5">
        <f t="shared" si="90"/>
        <v>0</v>
      </c>
      <c r="AD351" s="26">
        <f t="shared" si="93"/>
        <v>0</v>
      </c>
      <c r="AE351" s="21">
        <f t="shared" si="94"/>
        <v>0</v>
      </c>
      <c r="AF351" s="5"/>
      <c r="AG351" s="5"/>
      <c r="AH351" s="26"/>
      <c r="AI351" s="21"/>
      <c r="AJ351" s="252" t="str">
        <f>'I.  Other Asset Entries'!B105</f>
        <v>I.1</v>
      </c>
      <c r="AK351" s="57">
        <f>'I.  Other Asset Entries'!L107</f>
        <v>0</v>
      </c>
      <c r="AL351" s="5"/>
      <c r="AN351" s="57"/>
      <c r="AO351" s="231"/>
      <c r="AP351" s="57"/>
      <c r="AS351" s="209"/>
      <c r="AT351" s="434"/>
      <c r="AU351" s="435"/>
      <c r="AV351" s="270">
        <f t="shared" si="103"/>
        <v>0</v>
      </c>
      <c r="AW351" s="270">
        <f t="shared" si="104"/>
        <v>0</v>
      </c>
      <c r="AX351" s="287" t="str">
        <f t="shared" si="109"/>
        <v xml:space="preserve"> </v>
      </c>
      <c r="AY351" s="209">
        <f t="shared" si="108"/>
        <v>0</v>
      </c>
      <c r="AZ351" s="287"/>
      <c r="BA351" s="209"/>
    </row>
    <row r="352" spans="1:53" x14ac:dyDescent="0.2">
      <c r="A352" s="39"/>
      <c r="C352" t="s">
        <v>749</v>
      </c>
      <c r="D352" s="418"/>
      <c r="E352" s="419"/>
      <c r="F352" s="414"/>
      <c r="G352" s="414"/>
      <c r="H352" s="414"/>
      <c r="I352" s="414"/>
      <c r="J352" s="414"/>
      <c r="K352" s="415"/>
      <c r="L352" s="416"/>
      <c r="M352" s="414"/>
      <c r="N352" s="414"/>
      <c r="O352" s="414"/>
      <c r="P352" s="417"/>
      <c r="Q352" s="417"/>
      <c r="R352" s="417"/>
      <c r="S352" s="417"/>
      <c r="T352" s="417"/>
      <c r="U352" s="417"/>
      <c r="V352" s="417"/>
      <c r="W352" s="417"/>
      <c r="X352" s="415"/>
      <c r="Y352" s="415"/>
      <c r="Z352" s="415"/>
      <c r="AA352" s="415"/>
      <c r="AB352" s="9">
        <f t="shared" si="89"/>
        <v>0</v>
      </c>
      <c r="AC352" s="5">
        <f t="shared" si="90"/>
        <v>0</v>
      </c>
      <c r="AD352" s="26">
        <f t="shared" si="93"/>
        <v>0</v>
      </c>
      <c r="AE352" s="21">
        <f t="shared" si="94"/>
        <v>0</v>
      </c>
      <c r="AF352" s="5"/>
      <c r="AG352" s="5"/>
      <c r="AH352" s="26"/>
      <c r="AI352" s="21"/>
      <c r="AJ352" s="252" t="str">
        <f>'I.  Other Asset Entries'!B105</f>
        <v>I.1</v>
      </c>
      <c r="AK352" s="57">
        <f>'I.  Other Asset Entries'!L108</f>
        <v>0</v>
      </c>
      <c r="AL352" s="5"/>
      <c r="AN352" s="57"/>
      <c r="AO352" s="231"/>
      <c r="AP352" s="57"/>
      <c r="AS352" s="209"/>
      <c r="AT352" s="434"/>
      <c r="AU352" s="435"/>
      <c r="AV352" s="270">
        <f t="shared" si="103"/>
        <v>0</v>
      </c>
      <c r="AW352" s="270">
        <f t="shared" si="104"/>
        <v>0</v>
      </c>
      <c r="AX352" s="287" t="str">
        <f t="shared" si="109"/>
        <v xml:space="preserve"> </v>
      </c>
      <c r="AY352" s="209">
        <f t="shared" si="108"/>
        <v>0</v>
      </c>
      <c r="AZ352" s="287"/>
      <c r="BA352" s="209"/>
    </row>
    <row r="353" spans="1:53" x14ac:dyDescent="0.2">
      <c r="A353" s="39"/>
      <c r="D353" s="418"/>
      <c r="E353" s="419"/>
      <c r="F353" s="414"/>
      <c r="G353" s="414"/>
      <c r="H353" s="414"/>
      <c r="I353" s="414"/>
      <c r="J353" s="414"/>
      <c r="K353" s="414"/>
      <c r="L353" s="416"/>
      <c r="M353" s="414"/>
      <c r="N353" s="414"/>
      <c r="O353" s="414"/>
      <c r="P353" s="417"/>
      <c r="Q353" s="417"/>
      <c r="R353" s="417"/>
      <c r="S353" s="417"/>
      <c r="T353" s="417"/>
      <c r="U353" s="417"/>
      <c r="V353" s="417"/>
      <c r="W353" s="417"/>
      <c r="X353" s="415"/>
      <c r="Y353" s="415"/>
      <c r="Z353" s="415"/>
      <c r="AA353" s="415"/>
      <c r="AB353" s="9">
        <f t="shared" si="89"/>
        <v>0</v>
      </c>
      <c r="AC353" s="5">
        <f t="shared" si="90"/>
        <v>0</v>
      </c>
      <c r="AD353" s="26">
        <f t="shared" si="93"/>
        <v>0</v>
      </c>
      <c r="AE353" s="21">
        <f t="shared" si="94"/>
        <v>0</v>
      </c>
      <c r="AF353" s="5"/>
      <c r="AG353" s="5"/>
      <c r="AH353" s="26"/>
      <c r="AI353" s="21"/>
      <c r="AK353" s="57"/>
      <c r="AL353" s="5"/>
      <c r="AN353" s="57"/>
      <c r="AO353" s="231"/>
      <c r="AP353" s="57"/>
      <c r="AS353" s="209"/>
      <c r="AT353" s="434"/>
      <c r="AU353" s="435"/>
      <c r="AV353" s="270">
        <f t="shared" si="103"/>
        <v>0</v>
      </c>
      <c r="AW353" s="270">
        <f t="shared" si="104"/>
        <v>0</v>
      </c>
      <c r="AX353" s="287" t="str">
        <f t="shared" si="109"/>
        <v xml:space="preserve"> </v>
      </c>
      <c r="AY353" s="209">
        <f t="shared" si="108"/>
        <v>0</v>
      </c>
      <c r="AZ353" s="287"/>
      <c r="BA353" s="209"/>
    </row>
    <row r="354" spans="1:53" ht="18.75" customHeight="1" x14ac:dyDescent="0.2">
      <c r="A354" s="314" t="s">
        <v>25</v>
      </c>
      <c r="B354" s="37"/>
      <c r="C354" s="482"/>
      <c r="D354" s="419"/>
      <c r="E354" s="419"/>
      <c r="F354" s="414"/>
      <c r="G354" s="414"/>
      <c r="H354" s="414"/>
      <c r="I354" s="414"/>
      <c r="J354" s="414"/>
      <c r="K354" s="414"/>
      <c r="L354" s="416"/>
      <c r="M354" s="414"/>
      <c r="N354" s="414"/>
      <c r="O354" s="414"/>
      <c r="P354" s="417"/>
      <c r="Q354" s="417"/>
      <c r="R354" s="417"/>
      <c r="S354" s="417"/>
      <c r="T354" s="417"/>
      <c r="U354" s="417"/>
      <c r="V354" s="417"/>
      <c r="W354" s="417"/>
      <c r="X354" s="415"/>
      <c r="Y354" s="415"/>
      <c r="Z354" s="415"/>
      <c r="AA354" s="415"/>
      <c r="AB354" s="9">
        <f t="shared" si="89"/>
        <v>0</v>
      </c>
      <c r="AC354" s="5">
        <f t="shared" si="90"/>
        <v>0</v>
      </c>
      <c r="AD354" s="26">
        <f t="shared" si="93"/>
        <v>0</v>
      </c>
      <c r="AE354" s="21">
        <f t="shared" si="94"/>
        <v>0</v>
      </c>
      <c r="AF354" s="5"/>
      <c r="AG354" s="5"/>
      <c r="AH354" s="26"/>
      <c r="AI354" s="21"/>
      <c r="AK354" s="57"/>
      <c r="AL354" s="5"/>
      <c r="AN354" s="57"/>
      <c r="AO354" s="231"/>
      <c r="AP354" s="57"/>
      <c r="AS354" s="209"/>
      <c r="AT354" s="434"/>
      <c r="AU354" s="435"/>
      <c r="AV354" s="270">
        <f t="shared" si="103"/>
        <v>0</v>
      </c>
      <c r="AW354" s="270">
        <f t="shared" si="104"/>
        <v>0</v>
      </c>
      <c r="AX354" s="287" t="str">
        <f t="shared" si="109"/>
        <v xml:space="preserve"> </v>
      </c>
      <c r="AY354" s="209"/>
      <c r="AZ354" s="287"/>
      <c r="BA354" s="209"/>
    </row>
    <row r="355" spans="1:53" x14ac:dyDescent="0.2">
      <c r="A355" s="39"/>
      <c r="D355" s="418"/>
      <c r="E355" s="419"/>
      <c r="F355" s="414"/>
      <c r="G355" s="414"/>
      <c r="H355" s="414"/>
      <c r="I355" s="414"/>
      <c r="J355" s="414"/>
      <c r="K355" s="414"/>
      <c r="L355" s="416"/>
      <c r="M355" s="414"/>
      <c r="N355" s="414"/>
      <c r="O355" s="414"/>
      <c r="P355" s="417"/>
      <c r="Q355" s="417"/>
      <c r="R355" s="417"/>
      <c r="S355" s="417"/>
      <c r="T355" s="417"/>
      <c r="U355" s="417"/>
      <c r="V355" s="417"/>
      <c r="W355" s="417"/>
      <c r="X355" s="415"/>
      <c r="Y355" s="415"/>
      <c r="Z355" s="415"/>
      <c r="AA355" s="415"/>
      <c r="AB355" s="9">
        <f t="shared" si="89"/>
        <v>0</v>
      </c>
      <c r="AC355" s="5">
        <f t="shared" si="90"/>
        <v>0</v>
      </c>
      <c r="AD355" s="26">
        <f t="shared" si="93"/>
        <v>0</v>
      </c>
      <c r="AE355" s="21">
        <f t="shared" si="94"/>
        <v>0</v>
      </c>
      <c r="AF355" s="5"/>
      <c r="AG355" s="5"/>
      <c r="AH355" s="26"/>
      <c r="AI355" s="21"/>
      <c r="AK355" s="57"/>
      <c r="AL355" s="5"/>
      <c r="AN355" s="57"/>
      <c r="AO355" s="231"/>
      <c r="AP355" s="57"/>
      <c r="AS355" s="209"/>
      <c r="AT355" s="434"/>
      <c r="AU355" s="435"/>
      <c r="AV355" s="270">
        <f t="shared" si="103"/>
        <v>0</v>
      </c>
      <c r="AW355" s="270">
        <f t="shared" si="104"/>
        <v>0</v>
      </c>
      <c r="AX355" s="287" t="str">
        <f t="shared" si="109"/>
        <v xml:space="preserve"> </v>
      </c>
      <c r="AY355" s="209"/>
      <c r="AZ355" s="287"/>
      <c r="BA355" s="209"/>
    </row>
    <row r="356" spans="1:53" x14ac:dyDescent="0.2">
      <c r="A356" s="39"/>
      <c r="B356" s="2"/>
      <c r="C356" t="s">
        <v>717</v>
      </c>
      <c r="D356" s="418"/>
      <c r="E356" s="419"/>
      <c r="F356" s="414"/>
      <c r="G356" s="414"/>
      <c r="H356" s="414"/>
      <c r="I356" s="414"/>
      <c r="J356" s="414"/>
      <c r="K356" s="414"/>
      <c r="L356" s="416"/>
      <c r="M356" s="414"/>
      <c r="N356" s="414"/>
      <c r="O356" s="414"/>
      <c r="P356" s="417"/>
      <c r="Q356" s="417"/>
      <c r="R356" s="417"/>
      <c r="S356" s="417"/>
      <c r="T356" s="417"/>
      <c r="U356" s="417"/>
      <c r="V356" s="417"/>
      <c r="W356" s="417"/>
      <c r="X356" s="415"/>
      <c r="Y356" s="415"/>
      <c r="Z356" s="415"/>
      <c r="AA356" s="415"/>
      <c r="AB356" s="9">
        <f t="shared" si="89"/>
        <v>0</v>
      </c>
      <c r="AC356" s="5">
        <f t="shared" si="90"/>
        <v>0</v>
      </c>
      <c r="AD356" s="26">
        <f t="shared" si="93"/>
        <v>0</v>
      </c>
      <c r="AE356" s="21">
        <f t="shared" si="94"/>
        <v>0</v>
      </c>
      <c r="AG356" s="5"/>
      <c r="AH356" s="26"/>
      <c r="AI356" s="21"/>
      <c r="AJ356" s="226" t="str">
        <f>'J. Other Liability &amp; Expenses'!D185</f>
        <v>J.1</v>
      </c>
      <c r="AK356" s="57">
        <f>'J. Other Liability &amp; Expenses'!L193</f>
        <v>0</v>
      </c>
      <c r="AL356" s="5"/>
      <c r="AM356" s="226" t="str">
        <f>'J. Other Liability &amp; Expenses'!D185</f>
        <v>J.1</v>
      </c>
      <c r="AN356" s="57">
        <f>'J. Other Liability &amp; Expenses'!N193</f>
        <v>0</v>
      </c>
      <c r="AO356" s="231" t="str">
        <f>'L. Eliminations-Consolidations'!B281</f>
        <v>L.10</v>
      </c>
      <c r="AP356" s="57">
        <f>'L. Eliminations-Consolidations'!J282</f>
        <v>0</v>
      </c>
      <c r="AS356" s="209"/>
      <c r="AT356" s="434"/>
      <c r="AU356" s="435"/>
      <c r="AV356" s="270">
        <f t="shared" ref="AV356:AV363" si="110">AD356+AF356+AH356+AK356+AP356+AT356</f>
        <v>0</v>
      </c>
      <c r="AW356" s="270">
        <f t="shared" ref="AW356:AW363" si="111">AE356+AG356+AI356+AN356+AS356+AU356</f>
        <v>0</v>
      </c>
      <c r="AX356" s="287" t="str">
        <f t="shared" si="109"/>
        <v xml:space="preserve"> </v>
      </c>
      <c r="AY356" s="209">
        <f>IF(AV356-AW356&gt;0," ",AW356-AV356)</f>
        <v>0</v>
      </c>
      <c r="AZ356" s="287"/>
      <c r="BA356" s="209"/>
    </row>
    <row r="357" spans="1:53" x14ac:dyDescent="0.2">
      <c r="A357" s="39"/>
      <c r="B357" s="2"/>
      <c r="C357" s="258" t="s">
        <v>26</v>
      </c>
      <c r="D357" s="423"/>
      <c r="E357" s="424"/>
      <c r="F357" s="425"/>
      <c r="G357" s="425"/>
      <c r="H357" s="425"/>
      <c r="I357" s="425"/>
      <c r="J357" s="425"/>
      <c r="K357" s="425"/>
      <c r="L357" s="427"/>
      <c r="M357" s="425"/>
      <c r="N357" s="425"/>
      <c r="O357" s="425"/>
      <c r="P357" s="428"/>
      <c r="Q357" s="428"/>
      <c r="R357" s="428"/>
      <c r="S357" s="428"/>
      <c r="T357" s="428"/>
      <c r="U357" s="428"/>
      <c r="V357" s="428"/>
      <c r="W357" s="428"/>
      <c r="X357" s="426"/>
      <c r="Y357" s="426"/>
      <c r="Z357" s="426"/>
      <c r="AA357" s="426"/>
      <c r="AB357" s="261">
        <f t="shared" si="89"/>
        <v>0</v>
      </c>
      <c r="AC357" s="259">
        <f t="shared" si="90"/>
        <v>0</v>
      </c>
      <c r="AD357" s="260">
        <f t="shared" si="93"/>
        <v>0</v>
      </c>
      <c r="AE357" s="262">
        <f t="shared" si="94"/>
        <v>0</v>
      </c>
      <c r="AF357" s="259"/>
      <c r="AG357" s="259"/>
      <c r="AH357" s="260"/>
      <c r="AI357" s="262"/>
      <c r="AJ357" s="263" t="str">
        <f>'J. Other Liability &amp; Expenses'!D185</f>
        <v>J.1</v>
      </c>
      <c r="AK357" s="264">
        <f>'J. Other Liability &amp; Expenses'!L194</f>
        <v>0</v>
      </c>
      <c r="AL357" s="259"/>
      <c r="AM357" s="263" t="str">
        <f>'J. Other Liability &amp; Expenses'!D185</f>
        <v>J.1</v>
      </c>
      <c r="AN357" s="264">
        <f>'J. Other Liability &amp; Expenses'!N194</f>
        <v>0</v>
      </c>
      <c r="AO357" s="265"/>
      <c r="AP357" s="264"/>
      <c r="AQ357" s="258"/>
      <c r="AR357" s="263"/>
      <c r="AS357" s="266"/>
      <c r="AT357" s="434"/>
      <c r="AU357" s="435"/>
      <c r="AV357" s="270">
        <f t="shared" si="110"/>
        <v>0</v>
      </c>
      <c r="AW357" s="270">
        <f t="shared" si="111"/>
        <v>0</v>
      </c>
      <c r="AX357" s="288" t="str">
        <f>IF(AV357+AV358-(AW357+AW358)&lt;=0," ",AV357+AV358-(AW357+AW358))</f>
        <v xml:space="preserve"> </v>
      </c>
      <c r="AY357" s="266">
        <f>IF(AV357+AV358-(AW357+AW358)&gt;0," ",AW357+AW358-(AV357+AV358))</f>
        <v>0</v>
      </c>
      <c r="AZ357" s="287"/>
      <c r="BA357" s="209"/>
    </row>
    <row r="358" spans="1:53" x14ac:dyDescent="0.2">
      <c r="A358" s="39"/>
      <c r="B358" s="2"/>
      <c r="C358" s="258"/>
      <c r="D358" s="423"/>
      <c r="E358" s="424"/>
      <c r="F358" s="425"/>
      <c r="G358" s="425"/>
      <c r="H358" s="425"/>
      <c r="I358" s="425"/>
      <c r="J358" s="425"/>
      <c r="K358" s="425"/>
      <c r="L358" s="427"/>
      <c r="M358" s="425"/>
      <c r="N358" s="425"/>
      <c r="O358" s="425"/>
      <c r="P358" s="428"/>
      <c r="Q358" s="428"/>
      <c r="R358" s="428"/>
      <c r="S358" s="428"/>
      <c r="T358" s="428"/>
      <c r="U358" s="428"/>
      <c r="V358" s="428"/>
      <c r="W358" s="428"/>
      <c r="X358" s="426"/>
      <c r="Y358" s="426"/>
      <c r="Z358" s="426"/>
      <c r="AA358" s="426"/>
      <c r="AB358" s="261">
        <f>L358+N358+P358+R358+T358+V358+X358+Z358</f>
        <v>0</v>
      </c>
      <c r="AC358" s="259">
        <f>M358+O358+Q358+S358+U358+W358+Y358+AA358</f>
        <v>0</v>
      </c>
      <c r="AD358" s="260">
        <f>D358+F358+H358+J358+AB358</f>
        <v>0</v>
      </c>
      <c r="AE358" s="262">
        <f>E358+G358+I358+K358+AC358</f>
        <v>0</v>
      </c>
      <c r="AF358" s="259"/>
      <c r="AG358" s="259"/>
      <c r="AH358" s="260"/>
      <c r="AI358" s="262"/>
      <c r="AJ358" s="263" t="s">
        <v>951</v>
      </c>
      <c r="AK358" s="264">
        <f>'F.  Other Cap Asset Entries'!M275</f>
        <v>0</v>
      </c>
      <c r="AL358" s="259"/>
      <c r="AM358" s="263"/>
      <c r="AN358" s="264"/>
      <c r="AO358" s="265"/>
      <c r="AP358" s="264"/>
      <c r="AQ358" s="258"/>
      <c r="AR358" s="263"/>
      <c r="AS358" s="266"/>
      <c r="AT358" s="434"/>
      <c r="AU358" s="435"/>
      <c r="AV358" s="270">
        <f>AD358+AF358+AH358+AK358+AP358+AT358</f>
        <v>0</v>
      </c>
      <c r="AW358" s="270">
        <f>AE358+AG358+AI358+AN358+AS358+AU358</f>
        <v>0</v>
      </c>
      <c r="AX358" s="288"/>
      <c r="AY358" s="266"/>
      <c r="AZ358" s="287"/>
      <c r="BA358" s="209"/>
    </row>
    <row r="359" spans="1:53" ht="6" customHeight="1" x14ac:dyDescent="0.2">
      <c r="A359" s="39"/>
      <c r="B359" s="2"/>
      <c r="D359" s="418"/>
      <c r="E359" s="419"/>
      <c r="F359" s="414"/>
      <c r="G359" s="414"/>
      <c r="H359" s="414"/>
      <c r="I359" s="414"/>
      <c r="J359" s="414"/>
      <c r="K359" s="414"/>
      <c r="L359" s="416"/>
      <c r="M359" s="414"/>
      <c r="N359" s="414"/>
      <c r="O359" s="414"/>
      <c r="P359" s="417"/>
      <c r="Q359" s="417"/>
      <c r="R359" s="417"/>
      <c r="S359" s="417"/>
      <c r="T359" s="417"/>
      <c r="U359" s="417"/>
      <c r="V359" s="417"/>
      <c r="W359" s="417"/>
      <c r="X359" s="415"/>
      <c r="Y359" s="415"/>
      <c r="Z359" s="415"/>
      <c r="AA359" s="415"/>
      <c r="AB359" s="9"/>
      <c r="AD359" s="26"/>
      <c r="AE359" s="21"/>
      <c r="AF359" s="5"/>
      <c r="AG359" s="5"/>
      <c r="AH359" s="26"/>
      <c r="AI359" s="21"/>
      <c r="AK359" s="57"/>
      <c r="AL359" s="5"/>
      <c r="AN359" s="57"/>
      <c r="AO359" s="231"/>
      <c r="AP359" s="57"/>
      <c r="AS359" s="209"/>
      <c r="AT359" s="434"/>
      <c r="AU359" s="435"/>
      <c r="AV359" s="270"/>
      <c r="AW359" s="270"/>
      <c r="AX359" s="287"/>
      <c r="AY359" s="209"/>
      <c r="AZ359" s="287"/>
      <c r="BA359" s="209"/>
    </row>
    <row r="360" spans="1:53" x14ac:dyDescent="0.2">
      <c r="A360" s="39"/>
      <c r="B360" s="2"/>
      <c r="C360" s="258" t="s">
        <v>714</v>
      </c>
      <c r="D360" s="423"/>
      <c r="E360" s="424"/>
      <c r="F360" s="425"/>
      <c r="G360" s="425"/>
      <c r="H360" s="425"/>
      <c r="I360" s="425"/>
      <c r="J360" s="425"/>
      <c r="K360" s="425"/>
      <c r="L360" s="427"/>
      <c r="M360" s="425"/>
      <c r="N360" s="425"/>
      <c r="O360" s="425"/>
      <c r="P360" s="428"/>
      <c r="Q360" s="428"/>
      <c r="R360" s="428"/>
      <c r="S360" s="428"/>
      <c r="T360" s="428"/>
      <c r="U360" s="428"/>
      <c r="V360" s="428"/>
      <c r="W360" s="428"/>
      <c r="X360" s="426"/>
      <c r="Y360" s="426"/>
      <c r="Z360" s="426"/>
      <c r="AA360" s="426"/>
      <c r="AB360" s="261">
        <f t="shared" si="89"/>
        <v>0</v>
      </c>
      <c r="AC360" s="259">
        <f t="shared" si="90"/>
        <v>0</v>
      </c>
      <c r="AD360" s="260">
        <f t="shared" si="93"/>
        <v>0</v>
      </c>
      <c r="AE360" s="262">
        <f t="shared" si="94"/>
        <v>0</v>
      </c>
      <c r="AF360" s="259"/>
      <c r="AG360" s="259"/>
      <c r="AH360" s="260">
        <f>'A. Revenue by function'!L105</f>
        <v>0</v>
      </c>
      <c r="AI360" s="262">
        <f>'A. Revenue by function'!N131</f>
        <v>0</v>
      </c>
      <c r="AJ360" s="263" t="str">
        <f>'F.  Other Cap Asset Entries'!D214</f>
        <v>F.1</v>
      </c>
      <c r="AK360" s="264">
        <f>'F.  Other Cap Asset Entries'!M238</f>
        <v>0</v>
      </c>
      <c r="AL360" s="259"/>
      <c r="AM360" s="263" t="str">
        <f>'F.  Other Cap Asset Entries'!D214</f>
        <v>F.1</v>
      </c>
      <c r="AN360" s="264">
        <f>'F.  Other Cap Asset Entries'!O238</f>
        <v>0</v>
      </c>
      <c r="AO360" s="265"/>
      <c r="AP360" s="264"/>
      <c r="AQ360" s="258"/>
      <c r="AR360" s="263"/>
      <c r="AS360" s="266"/>
      <c r="AT360" s="434"/>
      <c r="AU360" s="435"/>
      <c r="AV360" s="270">
        <f t="shared" si="110"/>
        <v>0</v>
      </c>
      <c r="AW360" s="270">
        <f t="shared" si="111"/>
        <v>0</v>
      </c>
      <c r="AX360" s="288" t="str">
        <f>IF(AV360+AV361-(AW360+AW361)&lt;=0," ",AV360+AV361-(AW360+AW361))</f>
        <v xml:space="preserve"> </v>
      </c>
      <c r="AY360" s="266">
        <f>IF(AV360+AV361-(AW360+AW361)&gt;0," ",AW360+AW361-(AV360+AV361))</f>
        <v>0</v>
      </c>
      <c r="AZ360" s="287"/>
      <c r="BA360" s="209"/>
    </row>
    <row r="361" spans="1:53" x14ac:dyDescent="0.2">
      <c r="A361" s="39"/>
      <c r="B361" s="2"/>
      <c r="C361" s="258"/>
      <c r="D361" s="423"/>
      <c r="E361" s="424"/>
      <c r="F361" s="425"/>
      <c r="G361" s="425"/>
      <c r="H361" s="425"/>
      <c r="I361" s="425"/>
      <c r="J361" s="425"/>
      <c r="K361" s="425"/>
      <c r="L361" s="427"/>
      <c r="M361" s="425"/>
      <c r="N361" s="425"/>
      <c r="O361" s="425"/>
      <c r="P361" s="428"/>
      <c r="Q361" s="428"/>
      <c r="R361" s="428"/>
      <c r="S361" s="428"/>
      <c r="T361" s="428"/>
      <c r="U361" s="428"/>
      <c r="V361" s="428"/>
      <c r="W361" s="428"/>
      <c r="X361" s="426"/>
      <c r="Y361" s="426"/>
      <c r="Z361" s="426"/>
      <c r="AA361" s="426"/>
      <c r="AB361" s="261">
        <f>L361+N361+P361+R361+T361+V361+X361+Z361</f>
        <v>0</v>
      </c>
      <c r="AC361" s="259">
        <f>M361+O361+Q361+S361+U361+W361+Y361+AA361</f>
        <v>0</v>
      </c>
      <c r="AD361" s="260">
        <f>D361+F361+H361+J361+AB361</f>
        <v>0</v>
      </c>
      <c r="AE361" s="262">
        <f>E361+G361+I361+K361+AC361</f>
        <v>0</v>
      </c>
      <c r="AF361" s="259"/>
      <c r="AG361" s="259"/>
      <c r="AH361" s="260"/>
      <c r="AI361" s="262"/>
      <c r="AJ361" s="263"/>
      <c r="AK361" s="264"/>
      <c r="AL361" s="259"/>
      <c r="AM361" s="263" t="str">
        <f>'F.  Other Cap Asset Entries'!D240</f>
        <v>F.2</v>
      </c>
      <c r="AN361" s="264">
        <f>'F.  Other Cap Asset Entries'!O251</f>
        <v>0</v>
      </c>
      <c r="AO361" s="265"/>
      <c r="AP361" s="264"/>
      <c r="AQ361" s="258"/>
      <c r="AR361" s="263"/>
      <c r="AS361" s="266"/>
      <c r="AT361" s="434"/>
      <c r="AU361" s="435"/>
      <c r="AV361" s="270">
        <f t="shared" si="110"/>
        <v>0</v>
      </c>
      <c r="AW361" s="270">
        <f t="shared" si="111"/>
        <v>0</v>
      </c>
      <c r="AX361" s="288"/>
      <c r="AY361" s="266"/>
      <c r="AZ361" s="287"/>
      <c r="BA361" s="209"/>
    </row>
    <row r="362" spans="1:53" x14ac:dyDescent="0.2">
      <c r="A362" s="39"/>
      <c r="B362" s="2"/>
      <c r="C362" t="s">
        <v>186</v>
      </c>
      <c r="D362" s="418"/>
      <c r="E362" s="419"/>
      <c r="F362" s="414"/>
      <c r="G362" s="414"/>
      <c r="H362" s="414"/>
      <c r="I362" s="414"/>
      <c r="J362" s="414"/>
      <c r="K362" s="414"/>
      <c r="L362" s="416"/>
      <c r="M362" s="414"/>
      <c r="N362" s="414"/>
      <c r="O362" s="414"/>
      <c r="P362" s="417"/>
      <c r="Q362" s="417"/>
      <c r="R362" s="417"/>
      <c r="S362" s="417"/>
      <c r="T362" s="417"/>
      <c r="U362" s="417"/>
      <c r="V362" s="417"/>
      <c r="W362" s="417"/>
      <c r="X362" s="415"/>
      <c r="Y362" s="415"/>
      <c r="Z362" s="415"/>
      <c r="AA362" s="415"/>
      <c r="AB362" s="9">
        <f t="shared" si="89"/>
        <v>0</v>
      </c>
      <c r="AC362" s="5">
        <f t="shared" si="90"/>
        <v>0</v>
      </c>
      <c r="AD362" s="26">
        <f t="shared" si="93"/>
        <v>0</v>
      </c>
      <c r="AE362" s="21">
        <f t="shared" si="94"/>
        <v>0</v>
      </c>
      <c r="AF362" s="5"/>
      <c r="AG362" s="5"/>
      <c r="AH362" s="26">
        <f>'A. Revenue by function'!L106</f>
        <v>0</v>
      </c>
      <c r="AI362" s="21">
        <f>'A. Revenue by function'!N132</f>
        <v>0</v>
      </c>
      <c r="AK362" s="57"/>
      <c r="AL362" s="5"/>
      <c r="AM362" s="226" t="s">
        <v>951</v>
      </c>
      <c r="AN362" s="57">
        <f>'F.  Other Cap Asset Entries'!O275</f>
        <v>0</v>
      </c>
      <c r="AO362" s="231"/>
      <c r="AP362" s="57"/>
      <c r="AS362" s="209"/>
      <c r="AT362" s="434"/>
      <c r="AU362" s="435"/>
      <c r="AV362" s="270">
        <f>AD362+AF362+AH362+AK362+AP362+AT362</f>
        <v>0</v>
      </c>
      <c r="AW362" s="270">
        <f>AE362+AG362+AI362+AN362+AS362+AU362</f>
        <v>0</v>
      </c>
      <c r="AX362" s="287" t="str">
        <f>IF(AV362-AW362&lt;=0," ",AV362-AW362)</f>
        <v xml:space="preserve"> </v>
      </c>
      <c r="AY362" s="209">
        <f>IF(AV362-AW362&gt;0," ",AW362-AV362)</f>
        <v>0</v>
      </c>
      <c r="AZ362" s="287"/>
      <c r="BA362" s="209"/>
    </row>
    <row r="363" spans="1:53" x14ac:dyDescent="0.2">
      <c r="A363" s="39"/>
      <c r="B363" s="2"/>
      <c r="D363" s="418"/>
      <c r="E363" s="419"/>
      <c r="F363" s="414"/>
      <c r="G363" s="414"/>
      <c r="H363" s="414"/>
      <c r="I363" s="414"/>
      <c r="J363" s="414"/>
      <c r="K363" s="414"/>
      <c r="L363" s="416"/>
      <c r="M363" s="414"/>
      <c r="N363" s="414"/>
      <c r="O363" s="414"/>
      <c r="P363" s="417"/>
      <c r="Q363" s="417"/>
      <c r="R363" s="417"/>
      <c r="S363" s="417"/>
      <c r="T363" s="417"/>
      <c r="U363" s="417"/>
      <c r="V363" s="417"/>
      <c r="W363" s="417"/>
      <c r="X363" s="415"/>
      <c r="Y363" s="415"/>
      <c r="Z363" s="415"/>
      <c r="AA363" s="415"/>
      <c r="AB363" s="9">
        <f t="shared" si="89"/>
        <v>0</v>
      </c>
      <c r="AC363" s="5">
        <f t="shared" si="90"/>
        <v>0</v>
      </c>
      <c r="AD363" s="26">
        <f t="shared" si="93"/>
        <v>0</v>
      </c>
      <c r="AE363" s="21">
        <f t="shared" si="94"/>
        <v>0</v>
      </c>
      <c r="AF363" s="5"/>
      <c r="AG363" s="5"/>
      <c r="AH363" s="26"/>
      <c r="AI363" s="21"/>
      <c r="AK363" s="57"/>
      <c r="AL363" s="5"/>
      <c r="AN363" s="57"/>
      <c r="AO363" s="231"/>
      <c r="AP363" s="57"/>
      <c r="AS363" s="209"/>
      <c r="AT363" s="434"/>
      <c r="AU363" s="435"/>
      <c r="AV363" s="270">
        <f t="shared" si="110"/>
        <v>0</v>
      </c>
      <c r="AW363" s="270">
        <f t="shared" si="111"/>
        <v>0</v>
      </c>
      <c r="AX363" s="39"/>
      <c r="AY363" s="33"/>
      <c r="AZ363" s="287" t="str">
        <f>IF(AV363-AW363&lt;=0," ",AV363-AW363)</f>
        <v xml:space="preserve"> </v>
      </c>
      <c r="BA363" s="209"/>
    </row>
    <row r="364" spans="1:53" ht="13.5" thickBot="1" x14ac:dyDescent="0.25">
      <c r="A364" s="39"/>
      <c r="C364" t="s">
        <v>402</v>
      </c>
      <c r="D364" s="406">
        <f>SUM(D8:D363)</f>
        <v>0</v>
      </c>
      <c r="E364" s="407">
        <f>SUM(E8:E363)</f>
        <v>0</v>
      </c>
      <c r="F364" s="407">
        <f t="shared" ref="F364:Y364" si="112">SUM(F6:F353)</f>
        <v>0</v>
      </c>
      <c r="G364" s="407">
        <f t="shared" si="112"/>
        <v>0</v>
      </c>
      <c r="H364" s="407">
        <f t="shared" si="112"/>
        <v>0</v>
      </c>
      <c r="I364" s="407">
        <f t="shared" si="112"/>
        <v>0</v>
      </c>
      <c r="J364" s="407">
        <f t="shared" si="112"/>
        <v>0</v>
      </c>
      <c r="K364" s="407">
        <f t="shared" si="112"/>
        <v>0</v>
      </c>
      <c r="L364" s="406">
        <f t="shared" si="112"/>
        <v>0</v>
      </c>
      <c r="M364" s="407">
        <f t="shared" si="112"/>
        <v>0</v>
      </c>
      <c r="N364" s="407">
        <f t="shared" si="112"/>
        <v>0</v>
      </c>
      <c r="O364" s="407">
        <f t="shared" si="112"/>
        <v>0</v>
      </c>
      <c r="P364" s="407">
        <f t="shared" si="112"/>
        <v>0</v>
      </c>
      <c r="Q364" s="407">
        <f t="shared" si="112"/>
        <v>0</v>
      </c>
      <c r="R364" s="407">
        <f t="shared" si="112"/>
        <v>0</v>
      </c>
      <c r="S364" s="407">
        <f t="shared" si="112"/>
        <v>0</v>
      </c>
      <c r="T364" s="407">
        <f t="shared" si="112"/>
        <v>0</v>
      </c>
      <c r="U364" s="407">
        <f t="shared" si="112"/>
        <v>0</v>
      </c>
      <c r="V364" s="407">
        <f t="shared" si="112"/>
        <v>0</v>
      </c>
      <c r="W364" s="407">
        <f t="shared" si="112"/>
        <v>0</v>
      </c>
      <c r="X364" s="407">
        <f t="shared" si="112"/>
        <v>0</v>
      </c>
      <c r="Y364" s="407">
        <f t="shared" si="112"/>
        <v>0</v>
      </c>
      <c r="Z364" s="407"/>
      <c r="AA364" s="407"/>
      <c r="AB364" s="408">
        <f>SUM(AB6:AB357)</f>
        <v>0</v>
      </c>
      <c r="AC364" s="399">
        <f>SUM(AC6:AC357)</f>
        <v>0</v>
      </c>
      <c r="AD364" s="398">
        <f t="shared" ref="AD364:AI364" si="113">SUM(AD6:AD362)</f>
        <v>0</v>
      </c>
      <c r="AE364" s="400">
        <f t="shared" si="113"/>
        <v>0</v>
      </c>
      <c r="AF364" s="399" t="e">
        <f t="shared" si="113"/>
        <v>#VALUE!</v>
      </c>
      <c r="AG364" s="399" t="e">
        <f t="shared" si="113"/>
        <v>#VALUE!</v>
      </c>
      <c r="AH364" s="398">
        <f t="shared" si="113"/>
        <v>0</v>
      </c>
      <c r="AI364" s="400">
        <f t="shared" si="113"/>
        <v>0</v>
      </c>
      <c r="AJ364" s="401"/>
      <c r="AK364" s="402" t="e">
        <f>SUM(AK6:AK363)</f>
        <v>#VALUE!</v>
      </c>
      <c r="AL364" s="399"/>
      <c r="AM364" s="401"/>
      <c r="AN364" s="402" t="e">
        <f>SUM(AN6:AN363)</f>
        <v>#VALUE!</v>
      </c>
      <c r="AO364" s="403"/>
      <c r="AP364" s="399">
        <f>SUM(AP6:AP363)</f>
        <v>0</v>
      </c>
      <c r="AQ364" s="399">
        <f>SUM(AQ6:AQ363)</f>
        <v>0</v>
      </c>
      <c r="AR364" s="401"/>
      <c r="AS364" s="400">
        <f t="shared" ref="AS364:BA364" si="114">SUM(AS6:AS363)</f>
        <v>0</v>
      </c>
      <c r="AT364" s="402">
        <f t="shared" si="114"/>
        <v>0</v>
      </c>
      <c r="AU364" s="402">
        <f t="shared" si="114"/>
        <v>0</v>
      </c>
      <c r="AV364" s="402" t="e">
        <f t="shared" si="114"/>
        <v>#VALUE!</v>
      </c>
      <c r="AW364" s="402" t="e">
        <f t="shared" si="114"/>
        <v>#VALUE!</v>
      </c>
      <c r="AX364" s="404" t="e">
        <f t="shared" si="114"/>
        <v>#VALUE!</v>
      </c>
      <c r="AY364" s="405" t="e">
        <f t="shared" si="114"/>
        <v>#VALUE!</v>
      </c>
      <c r="AZ364" s="404" t="e">
        <f t="shared" si="114"/>
        <v>#VALUE!</v>
      </c>
      <c r="BA364" s="405" t="e">
        <f t="shared" si="114"/>
        <v>#VALUE!</v>
      </c>
    </row>
    <row r="365" spans="1:53" ht="13.5" thickTop="1" x14ac:dyDescent="0.2">
      <c r="A365" s="39"/>
      <c r="D365" s="20"/>
      <c r="E365" s="10"/>
      <c r="F365" s="10"/>
      <c r="G365" s="10"/>
      <c r="L365" s="26"/>
      <c r="P365" s="57"/>
      <c r="Q365" s="57"/>
      <c r="R365" s="57"/>
      <c r="S365" s="57"/>
      <c r="T365" s="57"/>
      <c r="U365" s="57"/>
      <c r="V365" s="57"/>
      <c r="W365" s="57"/>
      <c r="AB365" s="7"/>
      <c r="AC365" s="5">
        <f>L365+N365+P365+AB365</f>
        <v>0</v>
      </c>
      <c r="AD365" s="26"/>
      <c r="AE365" s="21">
        <f>D365+H365+K365+AC365</f>
        <v>0</v>
      </c>
      <c r="AF365" s="5"/>
      <c r="AG365" s="5" t="e">
        <f>AF364-AG364</f>
        <v>#VALUE!</v>
      </c>
      <c r="AH365" s="26"/>
      <c r="AI365" s="21"/>
      <c r="AK365" s="57"/>
      <c r="AN365" s="57"/>
      <c r="AO365" s="230"/>
      <c r="AS365" s="33"/>
      <c r="AU365" s="33"/>
      <c r="AV365" s="56"/>
      <c r="AW365" s="56"/>
      <c r="AX365" s="282"/>
      <c r="AY365" s="283"/>
      <c r="AZ365" s="287"/>
      <c r="BA365" s="209"/>
    </row>
    <row r="366" spans="1:53" x14ac:dyDescent="0.2">
      <c r="A366" s="321" t="s">
        <v>1115</v>
      </c>
      <c r="D366" s="20">
        <f>D364-E364</f>
        <v>0</v>
      </c>
      <c r="E366" s="10"/>
      <c r="F366" s="10"/>
      <c r="G366" s="10"/>
      <c r="L366" s="26"/>
      <c r="P366" s="57"/>
      <c r="Q366" s="57"/>
      <c r="R366" s="57"/>
      <c r="S366" s="57"/>
      <c r="T366" s="57"/>
      <c r="U366" s="57"/>
      <c r="V366" s="57"/>
      <c r="W366" s="57"/>
      <c r="AB366" s="7"/>
      <c r="AD366" s="26"/>
      <c r="AE366" s="21"/>
      <c r="AF366" s="5"/>
      <c r="AG366" s="5"/>
      <c r="AH366" s="26"/>
      <c r="AI366" s="21"/>
      <c r="AK366" s="57" t="e">
        <f>AK364-AN364</f>
        <v>#VALUE!</v>
      </c>
      <c r="AN366" s="57"/>
      <c r="AO366" s="230"/>
      <c r="AP366" s="5">
        <f>AP364-AS364</f>
        <v>0</v>
      </c>
      <c r="AS366" s="33"/>
      <c r="AU366" s="33"/>
      <c r="AV366" s="56" t="e">
        <f>AV364-AW364</f>
        <v>#VALUE!</v>
      </c>
      <c r="AW366" s="56"/>
      <c r="AX366" s="289" t="e">
        <f>IF(AY364-AX364&lt;0,0,(AY364-AX364))</f>
        <v>#VALUE!</v>
      </c>
      <c r="AY366" s="290" t="e">
        <f>IF(AY364-AX364&gt;0,0,(AY364-AX364)*-1)</f>
        <v>#VALUE!</v>
      </c>
      <c r="AZ366" s="56" t="e">
        <f>AV366</f>
        <v>#VALUE!</v>
      </c>
      <c r="BA366" s="209"/>
    </row>
    <row r="367" spans="1:53" ht="3.75" customHeight="1" x14ac:dyDescent="0.2">
      <c r="A367" s="39"/>
      <c r="D367" s="20"/>
      <c r="E367" s="10"/>
      <c r="F367" s="10"/>
      <c r="G367" s="10"/>
      <c r="L367" s="26"/>
      <c r="P367" s="57"/>
      <c r="Q367" s="57"/>
      <c r="R367" s="57"/>
      <c r="S367" s="57"/>
      <c r="T367" s="57"/>
      <c r="U367" s="57"/>
      <c r="V367" s="57"/>
      <c r="W367" s="57"/>
      <c r="AB367" s="7"/>
      <c r="AD367" s="26"/>
      <c r="AE367" s="21"/>
      <c r="AF367" s="5"/>
      <c r="AG367" s="5"/>
      <c r="AH367" s="26"/>
      <c r="AI367" s="21"/>
      <c r="AK367" s="57"/>
      <c r="AN367" s="57"/>
      <c r="AO367" s="230"/>
      <c r="AS367" s="33"/>
      <c r="AU367" s="33"/>
      <c r="AV367" s="56"/>
      <c r="AW367" s="56"/>
      <c r="AX367" s="289"/>
      <c r="AY367" s="290"/>
      <c r="AZ367" s="287"/>
      <c r="BA367" s="209"/>
    </row>
    <row r="368" spans="1:53" ht="13.5" thickBot="1" x14ac:dyDescent="0.25">
      <c r="A368" s="39"/>
      <c r="D368" s="20"/>
      <c r="E368" s="10"/>
      <c r="F368" s="10"/>
      <c r="G368" s="10"/>
      <c r="L368" s="26"/>
      <c r="P368" s="57"/>
      <c r="Q368" s="57"/>
      <c r="R368" s="57"/>
      <c r="S368" s="57"/>
      <c r="T368" s="57"/>
      <c r="U368" s="57"/>
      <c r="V368" s="57"/>
      <c r="W368" s="57"/>
      <c r="AB368" s="7"/>
      <c r="AD368" s="26"/>
      <c r="AE368" s="21"/>
      <c r="AF368" s="5"/>
      <c r="AG368" s="5"/>
      <c r="AH368" s="26"/>
      <c r="AI368" s="21"/>
      <c r="AK368" s="57"/>
      <c r="AN368" s="57"/>
      <c r="AO368" s="230"/>
      <c r="AS368" s="33"/>
      <c r="AU368" s="33"/>
      <c r="AV368" s="56"/>
      <c r="AW368" s="56"/>
      <c r="AX368" s="398" t="e">
        <f>AX364+AX366</f>
        <v>#VALUE!</v>
      </c>
      <c r="AY368" s="400" t="e">
        <f>AY364+AY366</f>
        <v>#VALUE!</v>
      </c>
      <c r="AZ368" s="287"/>
      <c r="BA368" s="209"/>
    </row>
    <row r="369" spans="1:53" ht="14.25" thickTop="1" thickBot="1" x14ac:dyDescent="0.25">
      <c r="A369" s="291"/>
      <c r="B369" s="27"/>
      <c r="C369" s="43"/>
      <c r="D369" s="22"/>
      <c r="E369" s="23"/>
      <c r="F369" s="23"/>
      <c r="G369" s="23"/>
      <c r="H369" s="23"/>
      <c r="I369" s="23"/>
      <c r="J369" s="23"/>
      <c r="K369" s="23"/>
      <c r="L369" s="22"/>
      <c r="M369" s="23"/>
      <c r="N369" s="23"/>
      <c r="O369" s="23"/>
      <c r="P369" s="248"/>
      <c r="Q369" s="248"/>
      <c r="R369" s="248"/>
      <c r="S369" s="248"/>
      <c r="T369" s="248"/>
      <c r="U369" s="248"/>
      <c r="V369" s="248"/>
      <c r="W369" s="248"/>
      <c r="X369" s="27"/>
      <c r="Y369" s="27"/>
      <c r="Z369" s="27"/>
      <c r="AA369" s="27"/>
      <c r="AB369" s="30"/>
      <c r="AC369" s="41">
        <f>L369+N369+P369+AB369</f>
        <v>0</v>
      </c>
      <c r="AD369" s="40"/>
      <c r="AE369" s="28">
        <f>D369+H369+K369+AC369</f>
        <v>0</v>
      </c>
      <c r="AF369" s="41"/>
      <c r="AG369" s="41"/>
      <c r="AH369" s="40"/>
      <c r="AI369" s="28"/>
      <c r="AJ369" s="228"/>
      <c r="AK369" s="248"/>
      <c r="AL369" s="27"/>
      <c r="AM369" s="228"/>
      <c r="AN369" s="248"/>
      <c r="AO369" s="232"/>
      <c r="AP369" s="27"/>
      <c r="AQ369" s="27"/>
      <c r="AR369" s="228"/>
      <c r="AS369" s="43"/>
      <c r="AT369" s="27"/>
      <c r="AU369" s="43"/>
      <c r="AV369" s="281"/>
      <c r="AW369" s="281"/>
      <c r="AX369" s="291"/>
      <c r="AY369" s="43"/>
      <c r="AZ369" s="294"/>
      <c r="BA369" s="280"/>
    </row>
    <row r="370" spans="1:53" x14ac:dyDescent="0.2">
      <c r="AC370" s="5">
        <f>L370+N370+P370+AB370</f>
        <v>0</v>
      </c>
      <c r="AE370" s="5">
        <f>D370+H370+K370+AC370</f>
        <v>0</v>
      </c>
      <c r="AF370" s="5"/>
      <c r="AG370" s="5"/>
      <c r="AK370" s="57"/>
      <c r="AN370" s="57"/>
      <c r="AV370" s="56"/>
      <c r="AW370" s="56"/>
      <c r="AZ370" s="57"/>
      <c r="BA370" s="57"/>
    </row>
    <row r="371" spans="1:53" x14ac:dyDescent="0.2">
      <c r="H371" s="1"/>
      <c r="I371" s="1"/>
      <c r="J371" s="1"/>
      <c r="K371" s="1"/>
      <c r="L371" s="10"/>
      <c r="M371" s="10"/>
      <c r="N371" s="1"/>
      <c r="O371" s="1"/>
      <c r="AC371" s="5">
        <f>L371+N371+P371+AB371</f>
        <v>0</v>
      </c>
      <c r="AE371" s="5">
        <f>D371+H371+K371+AC371</f>
        <v>0</v>
      </c>
      <c r="AF371" s="5"/>
      <c r="AG371" s="5"/>
      <c r="AK371" s="276"/>
      <c r="AL371" s="60"/>
      <c r="AM371" s="229"/>
      <c r="AN371" s="278"/>
      <c r="AV371" s="374"/>
      <c r="AW371"/>
      <c r="AX371" s="5"/>
      <c r="AZ371" s="375"/>
      <c r="BA371" s="375"/>
    </row>
    <row r="372" spans="1:53" x14ac:dyDescent="0.2">
      <c r="AF372" s="5"/>
      <c r="AG372" s="5"/>
      <c r="AX372" s="5"/>
      <c r="BA372" s="277"/>
    </row>
    <row r="373" spans="1:53" x14ac:dyDescent="0.2">
      <c r="AX373" s="5"/>
    </row>
    <row r="374" spans="1:53" x14ac:dyDescent="0.2">
      <c r="AP374" s="5"/>
    </row>
    <row r="376" spans="1:53" x14ac:dyDescent="0.2">
      <c r="A376" s="117"/>
      <c r="B376" s="117"/>
      <c r="C376" s="117"/>
      <c r="D376" s="240"/>
      <c r="E376" s="240"/>
      <c r="F376" s="240"/>
      <c r="G376" s="240"/>
      <c r="H376" s="241"/>
      <c r="I376" s="241"/>
      <c r="J376" s="241"/>
      <c r="K376" s="117"/>
      <c r="L376" s="241"/>
      <c r="M376" s="241"/>
      <c r="N376" s="241"/>
      <c r="O376" s="241"/>
      <c r="P376" s="240"/>
      <c r="Q376" s="240"/>
      <c r="R376" s="240"/>
      <c r="S376" s="240"/>
      <c r="T376" s="240"/>
      <c r="U376" s="240"/>
      <c r="V376" s="240"/>
      <c r="W376" s="240"/>
      <c r="X376" s="117"/>
      <c r="Y376" s="117"/>
      <c r="Z376" s="117"/>
      <c r="AA376" s="117"/>
      <c r="AB376" s="117"/>
      <c r="AC376" s="241"/>
      <c r="AD376" s="241"/>
      <c r="AE376" s="117"/>
      <c r="AF376" s="117"/>
      <c r="AG376" s="117"/>
      <c r="AH376" s="241"/>
      <c r="AI376" s="241"/>
      <c r="AJ376" s="254"/>
    </row>
    <row r="377" spans="1:53" x14ac:dyDescent="0.2">
      <c r="A377" s="117"/>
      <c r="B377" s="117"/>
      <c r="C377" s="117"/>
      <c r="D377" s="240"/>
      <c r="E377" s="240"/>
      <c r="F377" s="240"/>
      <c r="G377" s="240"/>
      <c r="H377" s="241"/>
      <c r="I377" s="241"/>
      <c r="J377" s="241"/>
      <c r="K377" s="117"/>
      <c r="L377" s="241"/>
      <c r="M377" s="241"/>
      <c r="N377" s="241"/>
      <c r="O377" s="241"/>
      <c r="P377" s="240"/>
      <c r="Q377" s="240"/>
      <c r="R377" s="240"/>
      <c r="S377" s="240"/>
      <c r="T377" s="240"/>
      <c r="U377" s="240"/>
      <c r="V377" s="240"/>
      <c r="W377" s="240"/>
      <c r="X377" s="117"/>
      <c r="Y377" s="117"/>
      <c r="Z377" s="117"/>
      <c r="AA377" s="117"/>
      <c r="AB377" s="117"/>
      <c r="AC377" s="241"/>
      <c r="AD377" s="241"/>
      <c r="AE377" s="117"/>
      <c r="AF377" s="117"/>
      <c r="AG377" s="117"/>
      <c r="AH377" s="241"/>
      <c r="AI377" s="241"/>
      <c r="AJ377" s="254"/>
    </row>
    <row r="380" spans="1:53" x14ac:dyDescent="0.2">
      <c r="A380" s="4" t="s">
        <v>428</v>
      </c>
    </row>
    <row r="381" spans="1:53" ht="2.25" customHeight="1" x14ac:dyDescent="0.2">
      <c r="A381" s="4"/>
    </row>
    <row r="382" spans="1:53" x14ac:dyDescent="0.2">
      <c r="A382" s="4">
        <v>1</v>
      </c>
      <c r="B382" t="s">
        <v>169</v>
      </c>
    </row>
    <row r="383" spans="1:53" ht="2.25" customHeight="1" x14ac:dyDescent="0.2">
      <c r="A383" s="4"/>
    </row>
    <row r="384" spans="1:53" x14ac:dyDescent="0.2">
      <c r="A384" s="4">
        <v>2</v>
      </c>
      <c r="B384" t="s">
        <v>123</v>
      </c>
    </row>
    <row r="385" spans="1:53" ht="2.25" customHeight="1" x14ac:dyDescent="0.2">
      <c r="A385" s="4"/>
    </row>
    <row r="386" spans="1:53" x14ac:dyDescent="0.2">
      <c r="A386" s="4">
        <v>3</v>
      </c>
      <c r="B386" t="s">
        <v>482</v>
      </c>
    </row>
    <row r="387" spans="1:53" x14ac:dyDescent="0.2">
      <c r="A387" s="4"/>
      <c r="B387" t="s">
        <v>820</v>
      </c>
    </row>
    <row r="388" spans="1:53" ht="2.25" customHeight="1" x14ac:dyDescent="0.2">
      <c r="A388" s="4"/>
    </row>
    <row r="389" spans="1:53" ht="12.75" customHeight="1" x14ac:dyDescent="0.2">
      <c r="A389" s="4">
        <v>4</v>
      </c>
      <c r="B389" s="883" t="s">
        <v>501</v>
      </c>
      <c r="C389" s="883"/>
      <c r="D389" s="883"/>
      <c r="E389" s="883"/>
      <c r="F389" s="883"/>
      <c r="G389" s="883"/>
      <c r="H389" s="883"/>
      <c r="I389" s="883"/>
      <c r="J389" s="883"/>
      <c r="K389" s="883"/>
      <c r="L389" s="883"/>
      <c r="M389" s="883"/>
      <c r="N389" s="883"/>
      <c r="O389" s="883"/>
      <c r="P389" s="883"/>
      <c r="Q389" s="883"/>
      <c r="R389" s="883"/>
      <c r="S389" s="883"/>
      <c r="T389" s="883"/>
      <c r="U389" s="883"/>
      <c r="V389" s="883"/>
      <c r="W389" s="883"/>
      <c r="X389" s="883"/>
      <c r="Y389" s="883"/>
      <c r="Z389" s="883"/>
      <c r="AA389" s="883"/>
      <c r="AB389" s="883"/>
      <c r="AC389" s="883"/>
      <c r="AD389" s="883"/>
      <c r="AE389" s="883"/>
      <c r="AF389" s="883"/>
      <c r="AG389" s="883"/>
      <c r="AH389" s="883"/>
      <c r="AI389" s="883"/>
      <c r="AJ389" s="883"/>
      <c r="AK389" s="883"/>
      <c r="AL389" s="883"/>
      <c r="AM389" s="883"/>
      <c r="AN389" s="243"/>
      <c r="AO389" s="46"/>
      <c r="AP389" s="46"/>
      <c r="AQ389" s="46"/>
      <c r="AR389" s="46"/>
      <c r="AS389" s="46"/>
      <c r="AT389" s="46"/>
      <c r="AU389" s="46"/>
      <c r="AV389" s="243"/>
      <c r="AW389" s="243"/>
      <c r="AX389" s="46"/>
      <c r="AY389" s="46"/>
      <c r="AZ389" s="243"/>
      <c r="BA389" s="243"/>
    </row>
    <row r="390" spans="1:53" ht="12.75" customHeight="1" x14ac:dyDescent="0.2">
      <c r="A390" s="4"/>
      <c r="B390" s="883" t="s">
        <v>502</v>
      </c>
      <c r="C390" s="883"/>
      <c r="D390" s="883"/>
      <c r="E390" s="883"/>
      <c r="F390" s="883"/>
      <c r="G390" s="883"/>
      <c r="H390" s="883"/>
      <c r="I390" s="46"/>
      <c r="J390" s="46"/>
      <c r="K390" s="46"/>
      <c r="L390" s="46"/>
      <c r="M390" s="46"/>
      <c r="N390" s="46"/>
      <c r="O390" s="46"/>
      <c r="P390" s="46"/>
      <c r="Q390" s="46"/>
      <c r="R390" s="46"/>
      <c r="S390" s="46"/>
      <c r="T390" s="46"/>
      <c r="U390" s="46"/>
      <c r="V390" s="46"/>
      <c r="W390" s="46"/>
      <c r="X390" s="46"/>
      <c r="Y390" s="46"/>
      <c r="Z390" s="46"/>
      <c r="AA390" s="46"/>
      <c r="AB390" s="46"/>
      <c r="AC390" s="46"/>
      <c r="AD390" s="46"/>
      <c r="AE390" s="46"/>
      <c r="AF390" s="46"/>
      <c r="AG390" s="46"/>
      <c r="AH390" s="46"/>
      <c r="AI390" s="46"/>
      <c r="AJ390" s="46"/>
      <c r="AK390" s="46"/>
      <c r="AL390" s="46"/>
      <c r="AM390" s="46"/>
      <c r="AN390" s="243"/>
      <c r="AO390" s="46"/>
      <c r="AP390" s="46"/>
      <c r="AQ390" s="46"/>
      <c r="AR390" s="46"/>
      <c r="AS390" s="46"/>
      <c r="AT390" s="46"/>
      <c r="AU390" s="46"/>
      <c r="AV390" s="243"/>
      <c r="AW390" s="243"/>
      <c r="AX390" s="46"/>
      <c r="AY390" s="46"/>
      <c r="AZ390" s="243"/>
      <c r="BA390" s="243"/>
    </row>
    <row r="391" spans="1:53" ht="2.25" customHeight="1" x14ac:dyDescent="0.2">
      <c r="A391" s="4"/>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c r="AB391" s="46"/>
      <c r="AC391" s="46"/>
      <c r="AD391" s="46"/>
      <c r="AE391" s="46"/>
      <c r="AF391" s="46"/>
      <c r="AG391" s="46"/>
      <c r="AH391" s="46"/>
      <c r="AI391" s="46"/>
      <c r="AJ391" s="46"/>
      <c r="AK391" s="46"/>
      <c r="AL391" s="46"/>
      <c r="AM391" s="46"/>
      <c r="AN391" s="243"/>
      <c r="AO391" s="46"/>
      <c r="AP391" s="46"/>
      <c r="AQ391" s="46"/>
      <c r="AR391" s="46"/>
      <c r="AS391" s="46"/>
      <c r="AT391" s="46"/>
      <c r="AU391" s="46"/>
      <c r="AV391" s="243"/>
      <c r="AW391" s="243"/>
      <c r="AX391" s="46"/>
      <c r="AY391" s="46"/>
      <c r="AZ391" s="243"/>
      <c r="BA391" s="243"/>
    </row>
    <row r="392" spans="1:53" ht="14.25" customHeight="1" x14ac:dyDescent="0.2">
      <c r="A392" s="4">
        <v>5</v>
      </c>
      <c r="B392" t="s">
        <v>152</v>
      </c>
    </row>
    <row r="393" spans="1:53" ht="2.25" customHeight="1" x14ac:dyDescent="0.2">
      <c r="A393" s="4"/>
    </row>
    <row r="394" spans="1:53" x14ac:dyDescent="0.2">
      <c r="A394" s="4">
        <v>6</v>
      </c>
      <c r="B394" t="s">
        <v>404</v>
      </c>
    </row>
    <row r="400" spans="1:53" x14ac:dyDescent="0.2">
      <c r="AP400" s="60"/>
      <c r="AQ400" s="60"/>
      <c r="AR400" s="229"/>
      <c r="AS400" s="60"/>
      <c r="AT400" s="60"/>
      <c r="AU400" s="60"/>
      <c r="AV400" s="244"/>
      <c r="AW400" s="244"/>
    </row>
  </sheetData>
  <mergeCells count="56">
    <mergeCell ref="B390:H390"/>
    <mergeCell ref="AB1:AC1"/>
    <mergeCell ref="AB2:AC2"/>
    <mergeCell ref="AX189:AY189"/>
    <mergeCell ref="T4:U4"/>
    <mergeCell ref="V4:W4"/>
    <mergeCell ref="X4:Y4"/>
    <mergeCell ref="Z4:AA4"/>
    <mergeCell ref="AY1:AZ1"/>
    <mergeCell ref="AV1:AW1"/>
    <mergeCell ref="B389:AM389"/>
    <mergeCell ref="AO1:AS1"/>
    <mergeCell ref="AO2:AS2"/>
    <mergeCell ref="AD4:AE4"/>
    <mergeCell ref="AF3:AG3"/>
    <mergeCell ref="AF4:AG4"/>
    <mergeCell ref="AB4:AC4"/>
    <mergeCell ref="AJ1:AN1"/>
    <mergeCell ref="AJ2:AN2"/>
    <mergeCell ref="AD1:AE2"/>
    <mergeCell ref="AZ3:BA3"/>
    <mergeCell ref="AZ4:BA4"/>
    <mergeCell ref="AJ4:AN4"/>
    <mergeCell ref="AX3:AY3"/>
    <mergeCell ref="AX4:AY4"/>
    <mergeCell ref="AO3:AS3"/>
    <mergeCell ref="AO4:AS4"/>
    <mergeCell ref="AV4:AW4"/>
    <mergeCell ref="AH2:AI2"/>
    <mergeCell ref="AF1:AG2"/>
    <mergeCell ref="AH3:AI3"/>
    <mergeCell ref="AH4:AI4"/>
    <mergeCell ref="A338:C338"/>
    <mergeCell ref="B238:B240"/>
    <mergeCell ref="B243:B245"/>
    <mergeCell ref="B233:B235"/>
    <mergeCell ref="AD3:AE3"/>
    <mergeCell ref="B207:B209"/>
    <mergeCell ref="B218:B220"/>
    <mergeCell ref="B223:B225"/>
    <mergeCell ref="A247:C247"/>
    <mergeCell ref="B228:B230"/>
    <mergeCell ref="B212:B215"/>
    <mergeCell ref="P4:Q4"/>
    <mergeCell ref="D4:E4"/>
    <mergeCell ref="H4:I4"/>
    <mergeCell ref="J4:K4"/>
    <mergeCell ref="L4:M4"/>
    <mergeCell ref="N4:O4"/>
    <mergeCell ref="B176:B187"/>
    <mergeCell ref="D1:K1"/>
    <mergeCell ref="L1:P1"/>
    <mergeCell ref="D3:K3"/>
    <mergeCell ref="F4:G4"/>
    <mergeCell ref="L3:S3"/>
    <mergeCell ref="R4:S4"/>
  </mergeCells>
  <phoneticPr fontId="15" type="noConversion"/>
  <pageMargins left="0.26" right="0.22" top="0.91" bottom="0.65" header="0.42" footer="0.5"/>
  <pageSetup paperSize="5" scale="36" fitToHeight="0" orientation="landscape" r:id="rId1"/>
  <headerFooter alignWithMargins="0">
    <oddHeader>&amp;L&amp;D ... &amp;T&amp;C&amp;"Arial,Bold"&amp;14City of Dogwood
&amp;"Arial,Regular"GASB 34 Conversion Worksheet&amp;"Arial,Bold"
&amp;11to prepare the Government-wide Statements - (including  adjustments and consolidations)&amp;R&amp;P</oddHeader>
    <oddFooter>&amp;L&amp;F</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12A47-26D5-4169-AFF5-A0446D679E81}">
  <sheetPr>
    <pageSetUpPr fitToPage="1"/>
  </sheetPr>
  <dimension ref="A1:U1909"/>
  <sheetViews>
    <sheetView workbookViewId="0"/>
  </sheetViews>
  <sheetFormatPr defaultColWidth="9.140625" defaultRowHeight="15" x14ac:dyDescent="0.25"/>
  <cols>
    <col min="1" max="1" width="10.5703125" style="805" customWidth="1"/>
    <col min="2" max="2" width="48.85546875" style="805" customWidth="1"/>
    <col min="3" max="4" width="13.85546875" style="805" customWidth="1"/>
    <col min="5" max="5" width="30.140625" style="805" customWidth="1"/>
    <col min="6" max="6" width="3.85546875" style="805" customWidth="1"/>
    <col min="7" max="7" width="18.28515625" style="805" customWidth="1"/>
    <col min="8" max="8" width="20" style="806" customWidth="1"/>
    <col min="9" max="9" width="16.85546875" style="805" customWidth="1"/>
    <col min="10" max="10" width="19.42578125" style="805" customWidth="1"/>
    <col min="11" max="11" width="20" style="806" customWidth="1"/>
    <col min="12" max="12" width="3.85546875" style="805" customWidth="1"/>
    <col min="13" max="13" width="18.28515625" style="805" customWidth="1"/>
    <col min="14" max="14" width="11.85546875" style="805" customWidth="1"/>
    <col min="15" max="15" width="19.42578125" style="805" customWidth="1"/>
    <col min="16" max="16" width="20" style="806" customWidth="1"/>
    <col min="17" max="17" width="3.85546875" style="805" customWidth="1"/>
    <col min="18" max="18" width="13.85546875" style="805" customWidth="1"/>
    <col min="19" max="19" width="22.42578125" style="805" customWidth="1"/>
    <col min="20" max="20" width="14.85546875" style="805" bestFit="1" customWidth="1"/>
    <col min="21" max="21" width="11.140625" style="805" bestFit="1" customWidth="1"/>
    <col min="22" max="16384" width="9.140625" style="805"/>
  </cols>
  <sheetData>
    <row r="1" spans="1:20" x14ac:dyDescent="0.25">
      <c r="A1" s="805" t="s">
        <v>3940</v>
      </c>
      <c r="H1" s="805"/>
    </row>
    <row r="2" spans="1:20" x14ac:dyDescent="0.25">
      <c r="A2" s="805" t="s">
        <v>3545</v>
      </c>
      <c r="H2" s="805"/>
    </row>
    <row r="3" spans="1:20" x14ac:dyDescent="0.25">
      <c r="H3" s="805"/>
    </row>
    <row r="4" spans="1:20" x14ac:dyDescent="0.25">
      <c r="G4" s="807" t="s">
        <v>1131</v>
      </c>
      <c r="H4" s="807"/>
      <c r="I4" s="807"/>
      <c r="J4" s="807"/>
      <c r="K4" s="808"/>
      <c r="M4" s="807" t="s">
        <v>1132</v>
      </c>
      <c r="N4" s="807"/>
      <c r="O4" s="807"/>
      <c r="P4" s="808"/>
      <c r="R4" s="807" t="s">
        <v>1133</v>
      </c>
      <c r="S4" s="807"/>
      <c r="T4" s="807"/>
    </row>
    <row r="5" spans="1:20" ht="120" x14ac:dyDescent="0.25">
      <c r="A5" s="809" t="s">
        <v>1130</v>
      </c>
      <c r="B5" s="809" t="s">
        <v>1134</v>
      </c>
      <c r="C5" s="809" t="s">
        <v>2090</v>
      </c>
      <c r="D5" s="809" t="s">
        <v>2091</v>
      </c>
      <c r="E5" s="809" t="s">
        <v>1143</v>
      </c>
      <c r="F5" s="809"/>
      <c r="G5" s="809" t="s">
        <v>1136</v>
      </c>
      <c r="H5" s="810" t="s">
        <v>1137</v>
      </c>
      <c r="I5" s="809" t="s">
        <v>1138</v>
      </c>
      <c r="J5" s="809" t="s">
        <v>1139</v>
      </c>
      <c r="K5" s="810" t="s">
        <v>3546</v>
      </c>
      <c r="L5" s="809"/>
      <c r="M5" s="809" t="s">
        <v>1136</v>
      </c>
      <c r="N5" s="809" t="s">
        <v>1138</v>
      </c>
      <c r="O5" s="809" t="s">
        <v>1139</v>
      </c>
      <c r="P5" s="810" t="s">
        <v>3547</v>
      </c>
      <c r="Q5" s="809"/>
      <c r="R5" s="809" t="s">
        <v>1140</v>
      </c>
      <c r="S5" s="809" t="s">
        <v>1141</v>
      </c>
      <c r="T5" s="809" t="s">
        <v>1142</v>
      </c>
    </row>
    <row r="6" spans="1:20" x14ac:dyDescent="0.25">
      <c r="A6" s="811" t="s">
        <v>480</v>
      </c>
      <c r="B6" s="812" t="s">
        <v>2094</v>
      </c>
      <c r="C6" s="809"/>
      <c r="D6" s="809"/>
      <c r="E6" s="809"/>
      <c r="F6" s="809"/>
      <c r="G6" s="809"/>
      <c r="H6" s="810"/>
      <c r="I6" s="809"/>
      <c r="J6" s="809"/>
      <c r="K6" s="810"/>
      <c r="L6" s="809"/>
      <c r="M6" s="809"/>
      <c r="N6" s="809"/>
      <c r="O6" s="809"/>
      <c r="P6" s="810"/>
      <c r="Q6" s="809"/>
      <c r="R6" s="809"/>
      <c r="S6" s="809"/>
      <c r="T6" s="809"/>
    </row>
    <row r="7" spans="1:20" x14ac:dyDescent="0.25">
      <c r="A7" s="813">
        <v>70505</v>
      </c>
      <c r="B7" s="814" t="s">
        <v>2547</v>
      </c>
      <c r="C7" s="815">
        <v>3.6600000000000001E-4</v>
      </c>
      <c r="D7" s="815">
        <v>4.147E-4</v>
      </c>
      <c r="E7" s="816">
        <v>868277</v>
      </c>
      <c r="F7" s="816"/>
      <c r="G7" s="817">
        <v>133955</v>
      </c>
      <c r="H7" s="818">
        <v>119188</v>
      </c>
      <c r="I7" s="817">
        <v>230407</v>
      </c>
      <c r="J7" s="816">
        <v>0</v>
      </c>
      <c r="K7" s="818">
        <f t="shared" ref="K7:K70" si="0">G7+H7+I7+J7</f>
        <v>483550</v>
      </c>
      <c r="L7" s="816"/>
      <c r="M7" s="817">
        <v>4495</v>
      </c>
      <c r="N7" s="817">
        <v>0</v>
      </c>
      <c r="O7" s="816">
        <v>53689</v>
      </c>
      <c r="P7" s="818">
        <f t="shared" ref="P7:P70" si="1">M7+N7+O7</f>
        <v>58184</v>
      </c>
      <c r="Q7" s="816"/>
      <c r="R7" s="817">
        <v>241184</v>
      </c>
      <c r="S7" s="816">
        <v>-22825</v>
      </c>
      <c r="T7" s="819">
        <v>218359</v>
      </c>
    </row>
    <row r="8" spans="1:20" x14ac:dyDescent="0.25">
      <c r="A8" s="813">
        <v>72265</v>
      </c>
      <c r="B8" s="814" t="s">
        <v>2549</v>
      </c>
      <c r="C8" s="815">
        <v>1.538E-4</v>
      </c>
      <c r="D8" s="815">
        <v>1.4009999999999999E-4</v>
      </c>
      <c r="E8" s="816">
        <v>364866</v>
      </c>
      <c r="F8" s="816"/>
      <c r="G8" s="817">
        <v>56290</v>
      </c>
      <c r="H8" s="818">
        <v>50085</v>
      </c>
      <c r="I8" s="817">
        <v>96821</v>
      </c>
      <c r="J8" s="816">
        <v>10295</v>
      </c>
      <c r="K8" s="818">
        <f t="shared" si="0"/>
        <v>213491</v>
      </c>
      <c r="L8" s="816"/>
      <c r="M8" s="817">
        <v>1889</v>
      </c>
      <c r="N8" s="817">
        <v>0</v>
      </c>
      <c r="O8" s="816">
        <v>2396</v>
      </c>
      <c r="P8" s="818">
        <f t="shared" si="1"/>
        <v>4285</v>
      </c>
      <c r="Q8" s="816"/>
      <c r="R8" s="817">
        <v>101350</v>
      </c>
      <c r="S8" s="816">
        <v>5014</v>
      </c>
      <c r="T8" s="819">
        <v>106364</v>
      </c>
    </row>
    <row r="9" spans="1:20" x14ac:dyDescent="0.25">
      <c r="A9" s="813">
        <v>72593</v>
      </c>
      <c r="B9" s="814" t="s">
        <v>3941</v>
      </c>
      <c r="C9" s="815">
        <v>6.0000000000000002E-6</v>
      </c>
      <c r="D9" s="815">
        <v>5.9000000000000003E-6</v>
      </c>
      <c r="E9" s="816">
        <v>14234</v>
      </c>
      <c r="F9" s="816"/>
      <c r="G9" s="817">
        <v>2196</v>
      </c>
      <c r="H9" s="818">
        <v>1954</v>
      </c>
      <c r="I9" s="817">
        <v>3777</v>
      </c>
      <c r="J9" s="816">
        <v>2261</v>
      </c>
      <c r="K9" s="818">
        <f t="shared" si="0"/>
        <v>10188</v>
      </c>
      <c r="L9" s="816"/>
      <c r="M9" s="817">
        <v>74</v>
      </c>
      <c r="N9" s="817">
        <v>0</v>
      </c>
      <c r="O9" s="816">
        <v>590</v>
      </c>
      <c r="P9" s="818">
        <f t="shared" si="1"/>
        <v>664</v>
      </c>
      <c r="Q9" s="816"/>
      <c r="R9" s="817">
        <v>3954</v>
      </c>
      <c r="S9" s="816">
        <v>605</v>
      </c>
      <c r="T9" s="819">
        <v>4559</v>
      </c>
    </row>
    <row r="10" spans="1:20" x14ac:dyDescent="0.25">
      <c r="A10" s="813">
        <v>72657</v>
      </c>
      <c r="B10" s="814" t="s">
        <v>3942</v>
      </c>
      <c r="C10" s="815">
        <v>3.9199999999999997E-5</v>
      </c>
      <c r="D10" s="815">
        <v>3.9900000000000001E-5</v>
      </c>
      <c r="E10" s="816">
        <v>92996</v>
      </c>
      <c r="F10" s="816"/>
      <c r="G10" s="817">
        <v>14347</v>
      </c>
      <c r="H10" s="818">
        <v>12765</v>
      </c>
      <c r="I10" s="817">
        <v>24677</v>
      </c>
      <c r="J10" s="816">
        <v>0</v>
      </c>
      <c r="K10" s="818">
        <f t="shared" si="0"/>
        <v>51789</v>
      </c>
      <c r="L10" s="816"/>
      <c r="M10" s="817">
        <v>481</v>
      </c>
      <c r="N10" s="817">
        <v>0</v>
      </c>
      <c r="O10" s="816">
        <v>6011</v>
      </c>
      <c r="P10" s="818">
        <f t="shared" si="1"/>
        <v>6492</v>
      </c>
      <c r="Q10" s="816"/>
      <c r="R10" s="817">
        <v>25832</v>
      </c>
      <c r="S10" s="816">
        <v>356</v>
      </c>
      <c r="T10" s="819">
        <v>26188</v>
      </c>
    </row>
    <row r="11" spans="1:20" x14ac:dyDescent="0.25">
      <c r="A11" s="813">
        <v>90001</v>
      </c>
      <c r="B11" s="814" t="s">
        <v>2551</v>
      </c>
      <c r="C11" s="815">
        <v>8.61E-4</v>
      </c>
      <c r="D11" s="815">
        <v>8.6030000000000004E-4</v>
      </c>
      <c r="E11" s="816">
        <v>2042586</v>
      </c>
      <c r="F11" s="816"/>
      <c r="G11" s="817">
        <v>315123</v>
      </c>
      <c r="H11" s="818">
        <v>280386</v>
      </c>
      <c r="I11" s="817">
        <v>542024</v>
      </c>
      <c r="J11" s="816">
        <v>7657</v>
      </c>
      <c r="K11" s="818">
        <f t="shared" si="0"/>
        <v>1145190</v>
      </c>
      <c r="L11" s="816"/>
      <c r="M11" s="817">
        <v>10574</v>
      </c>
      <c r="N11" s="817">
        <v>0</v>
      </c>
      <c r="O11" s="816">
        <v>10725</v>
      </c>
      <c r="P11" s="818">
        <f t="shared" si="1"/>
        <v>21299</v>
      </c>
      <c r="Q11" s="816"/>
      <c r="R11" s="817">
        <v>567376</v>
      </c>
      <c r="S11" s="816">
        <v>1195</v>
      </c>
      <c r="T11" s="819">
        <v>568571</v>
      </c>
    </row>
    <row r="12" spans="1:20" x14ac:dyDescent="0.25">
      <c r="A12" s="813">
        <v>90002</v>
      </c>
      <c r="B12" s="814" t="s">
        <v>2552</v>
      </c>
      <c r="C12" s="815">
        <v>9.5000000000000005E-6</v>
      </c>
      <c r="D12" s="815">
        <v>1.06E-5</v>
      </c>
      <c r="E12" s="816">
        <v>22537</v>
      </c>
      <c r="F12" s="816"/>
      <c r="G12" s="817">
        <v>3477</v>
      </c>
      <c r="H12" s="818">
        <v>3094</v>
      </c>
      <c r="I12" s="817">
        <v>5981</v>
      </c>
      <c r="J12" s="816">
        <v>1636</v>
      </c>
      <c r="K12" s="818">
        <f t="shared" si="0"/>
        <v>14188</v>
      </c>
      <c r="L12" s="816"/>
      <c r="M12" s="817">
        <v>117</v>
      </c>
      <c r="N12" s="817">
        <v>0</v>
      </c>
      <c r="O12" s="816">
        <v>0</v>
      </c>
      <c r="P12" s="818">
        <f t="shared" si="1"/>
        <v>117</v>
      </c>
      <c r="Q12" s="816"/>
      <c r="R12" s="817">
        <v>6260</v>
      </c>
      <c r="S12" s="816">
        <v>737</v>
      </c>
      <c r="T12" s="819">
        <v>6997</v>
      </c>
    </row>
    <row r="13" spans="1:20" x14ac:dyDescent="0.25">
      <c r="A13" s="813">
        <v>90011</v>
      </c>
      <c r="B13" s="814" t="s">
        <v>3943</v>
      </c>
      <c r="C13" s="815">
        <v>1.916E-4</v>
      </c>
      <c r="D13" s="815">
        <v>1.974E-4</v>
      </c>
      <c r="E13" s="816">
        <v>454541</v>
      </c>
      <c r="F13" s="816"/>
      <c r="G13" s="817">
        <v>70125</v>
      </c>
      <c r="H13" s="818">
        <v>62395</v>
      </c>
      <c r="I13" s="817">
        <v>120618</v>
      </c>
      <c r="J13" s="816">
        <v>0</v>
      </c>
      <c r="K13" s="818">
        <f t="shared" si="0"/>
        <v>253138</v>
      </c>
      <c r="L13" s="816"/>
      <c r="M13" s="817">
        <v>2353</v>
      </c>
      <c r="N13" s="817">
        <v>0</v>
      </c>
      <c r="O13" s="816">
        <v>27708</v>
      </c>
      <c r="P13" s="818">
        <f t="shared" si="1"/>
        <v>30061</v>
      </c>
      <c r="Q13" s="816"/>
      <c r="R13" s="817">
        <v>126259</v>
      </c>
      <c r="S13" s="816">
        <v>-9526</v>
      </c>
      <c r="T13" s="819">
        <v>116733</v>
      </c>
    </row>
    <row r="14" spans="1:20" x14ac:dyDescent="0.25">
      <c r="A14" s="813">
        <v>90092</v>
      </c>
      <c r="B14" s="814" t="s">
        <v>2554</v>
      </c>
      <c r="C14" s="815">
        <v>3.547E-4</v>
      </c>
      <c r="D14" s="815">
        <v>3.5349999999999997E-4</v>
      </c>
      <c r="E14" s="816">
        <v>841470</v>
      </c>
      <c r="F14" s="816"/>
      <c r="G14" s="817">
        <v>129819</v>
      </c>
      <c r="H14" s="818">
        <v>115509</v>
      </c>
      <c r="I14" s="817">
        <v>223294</v>
      </c>
      <c r="J14" s="816">
        <v>14687</v>
      </c>
      <c r="K14" s="818">
        <f t="shared" si="0"/>
        <v>483309</v>
      </c>
      <c r="L14" s="816"/>
      <c r="M14" s="817">
        <v>4356</v>
      </c>
      <c r="N14" s="817">
        <v>0</v>
      </c>
      <c r="O14" s="816">
        <v>40510</v>
      </c>
      <c r="P14" s="818">
        <f t="shared" si="1"/>
        <v>44866</v>
      </c>
      <c r="Q14" s="816"/>
      <c r="R14" s="817">
        <v>233738</v>
      </c>
      <c r="S14" s="816">
        <v>-38987</v>
      </c>
      <c r="T14" s="819">
        <v>194751</v>
      </c>
    </row>
    <row r="15" spans="1:20" x14ac:dyDescent="0.25">
      <c r="A15" s="813">
        <v>90096</v>
      </c>
      <c r="B15" s="814" t="s">
        <v>2555</v>
      </c>
      <c r="C15" s="815">
        <v>9.1730000000000002E-4</v>
      </c>
      <c r="D15" s="815">
        <v>9.7559999999999997E-4</v>
      </c>
      <c r="E15" s="816">
        <v>2176149</v>
      </c>
      <c r="F15" s="816"/>
      <c r="G15" s="817">
        <v>335728</v>
      </c>
      <c r="H15" s="818">
        <v>298720</v>
      </c>
      <c r="I15" s="817">
        <v>577466</v>
      </c>
      <c r="J15" s="816">
        <v>43181</v>
      </c>
      <c r="K15" s="818">
        <f t="shared" si="0"/>
        <v>1255095</v>
      </c>
      <c r="L15" s="816"/>
      <c r="M15" s="817">
        <v>11265</v>
      </c>
      <c r="N15" s="817">
        <v>0</v>
      </c>
      <c r="O15" s="816">
        <v>175620</v>
      </c>
      <c r="P15" s="818">
        <f t="shared" si="1"/>
        <v>186885</v>
      </c>
      <c r="Q15" s="816"/>
      <c r="R15" s="817">
        <v>604476</v>
      </c>
      <c r="S15" s="816">
        <v>-19105</v>
      </c>
      <c r="T15" s="819">
        <v>585371</v>
      </c>
    </row>
    <row r="16" spans="1:20" x14ac:dyDescent="0.25">
      <c r="A16" s="813">
        <v>90098</v>
      </c>
      <c r="B16" s="814" t="s">
        <v>2556</v>
      </c>
      <c r="C16" s="815">
        <v>3.1510000000000002E-4</v>
      </c>
      <c r="D16" s="815">
        <v>2.9599999999999998E-4</v>
      </c>
      <c r="E16" s="816">
        <v>747525</v>
      </c>
      <c r="F16" s="816"/>
      <c r="G16" s="817">
        <v>115325</v>
      </c>
      <c r="H16" s="818">
        <v>102613</v>
      </c>
      <c r="I16" s="817">
        <v>198364</v>
      </c>
      <c r="J16" s="816">
        <v>19294</v>
      </c>
      <c r="K16" s="818">
        <f t="shared" si="0"/>
        <v>435596</v>
      </c>
      <c r="L16" s="816"/>
      <c r="M16" s="817">
        <v>3870</v>
      </c>
      <c r="N16" s="817">
        <v>0</v>
      </c>
      <c r="O16" s="816">
        <v>58299</v>
      </c>
      <c r="P16" s="818">
        <f t="shared" si="1"/>
        <v>62169</v>
      </c>
      <c r="Q16" s="816"/>
      <c r="R16" s="817">
        <v>207642</v>
      </c>
      <c r="S16" s="816">
        <v>-47420</v>
      </c>
      <c r="T16" s="819">
        <v>160222</v>
      </c>
    </row>
    <row r="17" spans="1:20" x14ac:dyDescent="0.25">
      <c r="A17" s="813">
        <v>90099</v>
      </c>
      <c r="B17" s="814" t="s">
        <v>2557</v>
      </c>
      <c r="C17" s="815">
        <v>6.8800000000000003E-4</v>
      </c>
      <c r="D17" s="815">
        <v>6.6330000000000002E-4</v>
      </c>
      <c r="E17" s="816">
        <v>1632171</v>
      </c>
      <c r="F17" s="816"/>
      <c r="G17" s="817">
        <v>251805</v>
      </c>
      <c r="H17" s="818">
        <v>224048</v>
      </c>
      <c r="I17" s="817">
        <v>433115</v>
      </c>
      <c r="J17" s="816">
        <v>65504</v>
      </c>
      <c r="K17" s="818">
        <f t="shared" si="0"/>
        <v>974472</v>
      </c>
      <c r="L17" s="816"/>
      <c r="M17" s="817">
        <v>8449</v>
      </c>
      <c r="N17" s="817">
        <v>0</v>
      </c>
      <c r="O17" s="816">
        <v>31571</v>
      </c>
      <c r="P17" s="818">
        <f t="shared" si="1"/>
        <v>40020</v>
      </c>
      <c r="Q17" s="816"/>
      <c r="R17" s="817">
        <v>453373</v>
      </c>
      <c r="S17" s="816">
        <v>6742</v>
      </c>
      <c r="T17" s="819">
        <v>460115</v>
      </c>
    </row>
    <row r="18" spans="1:20" x14ac:dyDescent="0.25">
      <c r="A18" s="813">
        <v>90101</v>
      </c>
      <c r="B18" s="814" t="s">
        <v>2558</v>
      </c>
      <c r="C18" s="815">
        <v>6.4729000000000002E-3</v>
      </c>
      <c r="D18" s="815">
        <v>6.6312000000000003E-3</v>
      </c>
      <c r="E18" s="816">
        <v>15355933</v>
      </c>
      <c r="F18" s="816"/>
      <c r="G18" s="817">
        <v>2369056</v>
      </c>
      <c r="H18" s="818">
        <v>2107912</v>
      </c>
      <c r="I18" s="817">
        <v>4074872</v>
      </c>
      <c r="J18" s="816">
        <v>152067</v>
      </c>
      <c r="K18" s="818">
        <f t="shared" si="0"/>
        <v>8703907</v>
      </c>
      <c r="L18" s="816"/>
      <c r="M18" s="817">
        <v>79494</v>
      </c>
      <c r="N18" s="817">
        <v>0</v>
      </c>
      <c r="O18" s="816">
        <v>140729</v>
      </c>
      <c r="P18" s="818">
        <f t="shared" si="1"/>
        <v>220223</v>
      </c>
      <c r="Q18" s="816"/>
      <c r="R18" s="817">
        <v>4265466</v>
      </c>
      <c r="S18" s="816">
        <v>32971</v>
      </c>
      <c r="T18" s="819">
        <v>4298437</v>
      </c>
    </row>
    <row r="19" spans="1:20" x14ac:dyDescent="0.25">
      <c r="A19" s="813">
        <v>90111</v>
      </c>
      <c r="B19" s="814" t="s">
        <v>2559</v>
      </c>
      <c r="C19" s="815">
        <v>5.0667999999999998E-3</v>
      </c>
      <c r="D19" s="815">
        <v>4.9740000000000001E-3</v>
      </c>
      <c r="E19" s="816">
        <v>12020182</v>
      </c>
      <c r="F19" s="816"/>
      <c r="G19" s="817">
        <v>1854429</v>
      </c>
      <c r="H19" s="818">
        <v>1650013</v>
      </c>
      <c r="I19" s="817">
        <v>3189692</v>
      </c>
      <c r="J19" s="816">
        <v>18312</v>
      </c>
      <c r="K19" s="818">
        <f t="shared" si="0"/>
        <v>6712446</v>
      </c>
      <c r="L19" s="816"/>
      <c r="M19" s="817">
        <v>62225</v>
      </c>
      <c r="N19" s="817">
        <v>0</v>
      </c>
      <c r="O19" s="816">
        <v>49468</v>
      </c>
      <c r="P19" s="818">
        <f t="shared" si="1"/>
        <v>111693</v>
      </c>
      <c r="Q19" s="816"/>
      <c r="R19" s="817">
        <v>3338884</v>
      </c>
      <c r="S19" s="816">
        <v>-51615</v>
      </c>
      <c r="T19" s="819">
        <v>3287269</v>
      </c>
    </row>
    <row r="20" spans="1:20" x14ac:dyDescent="0.25">
      <c r="A20" s="813">
        <v>90114</v>
      </c>
      <c r="B20" s="814" t="s">
        <v>2560</v>
      </c>
      <c r="C20" s="815">
        <v>1.0735E-3</v>
      </c>
      <c r="D20" s="815">
        <v>1.0919E-3</v>
      </c>
      <c r="E20" s="816">
        <v>2546709</v>
      </c>
      <c r="F20" s="816"/>
      <c r="G20" s="817">
        <v>392897</v>
      </c>
      <c r="H20" s="818">
        <v>349588</v>
      </c>
      <c r="I20" s="817">
        <v>675798</v>
      </c>
      <c r="J20" s="816">
        <v>1231689</v>
      </c>
      <c r="K20" s="818">
        <f t="shared" si="0"/>
        <v>2649972</v>
      </c>
      <c r="L20" s="816"/>
      <c r="M20" s="817">
        <v>13184</v>
      </c>
      <c r="N20" s="817">
        <v>0</v>
      </c>
      <c r="O20" s="816">
        <v>0</v>
      </c>
      <c r="P20" s="818">
        <f t="shared" si="1"/>
        <v>13184</v>
      </c>
      <c r="Q20" s="816"/>
      <c r="R20" s="817">
        <v>707408</v>
      </c>
      <c r="S20" s="816">
        <v>502556</v>
      </c>
      <c r="T20" s="819">
        <v>1209964</v>
      </c>
    </row>
    <row r="21" spans="1:20" x14ac:dyDescent="0.25">
      <c r="A21" s="813">
        <v>90117</v>
      </c>
      <c r="B21" s="814" t="s">
        <v>2561</v>
      </c>
      <c r="C21" s="815">
        <v>1.36E-4</v>
      </c>
      <c r="D21" s="815">
        <v>1.407E-4</v>
      </c>
      <c r="E21" s="816">
        <v>322639</v>
      </c>
      <c r="F21" s="816"/>
      <c r="G21" s="817">
        <v>49775</v>
      </c>
      <c r="H21" s="818">
        <v>44288</v>
      </c>
      <c r="I21" s="817">
        <v>85616</v>
      </c>
      <c r="J21" s="816">
        <v>40224</v>
      </c>
      <c r="K21" s="818">
        <f t="shared" si="0"/>
        <v>219903</v>
      </c>
      <c r="L21" s="816"/>
      <c r="M21" s="817">
        <v>1670</v>
      </c>
      <c r="N21" s="817">
        <v>0</v>
      </c>
      <c r="O21" s="816">
        <v>0</v>
      </c>
      <c r="P21" s="818">
        <f t="shared" si="1"/>
        <v>1670</v>
      </c>
      <c r="Q21" s="816"/>
      <c r="R21" s="817">
        <v>89620</v>
      </c>
      <c r="S21" s="816">
        <v>21821</v>
      </c>
      <c r="T21" s="819">
        <v>111441</v>
      </c>
    </row>
    <row r="22" spans="1:20" x14ac:dyDescent="0.25">
      <c r="A22" s="813">
        <v>90121</v>
      </c>
      <c r="B22" s="814" t="s">
        <v>2562</v>
      </c>
      <c r="C22" s="815">
        <v>1.0601E-3</v>
      </c>
      <c r="D22" s="815">
        <v>1.0991E-3</v>
      </c>
      <c r="E22" s="816">
        <v>2514920</v>
      </c>
      <c r="F22" s="816"/>
      <c r="G22" s="817">
        <v>387992</v>
      </c>
      <c r="H22" s="818">
        <v>345223</v>
      </c>
      <c r="I22" s="817">
        <v>667363</v>
      </c>
      <c r="J22" s="816">
        <v>0</v>
      </c>
      <c r="K22" s="818">
        <f t="shared" si="0"/>
        <v>1400578</v>
      </c>
      <c r="L22" s="816"/>
      <c r="M22" s="817">
        <v>13019</v>
      </c>
      <c r="N22" s="817">
        <v>0</v>
      </c>
      <c r="O22" s="816">
        <v>126217</v>
      </c>
      <c r="P22" s="818">
        <f t="shared" si="1"/>
        <v>139236</v>
      </c>
      <c r="Q22" s="816"/>
      <c r="R22" s="817">
        <v>698577</v>
      </c>
      <c r="S22" s="816">
        <v>-43331</v>
      </c>
      <c r="T22" s="819">
        <v>655246</v>
      </c>
    </row>
    <row r="23" spans="1:20" x14ac:dyDescent="0.25">
      <c r="A23" s="813">
        <v>90131</v>
      </c>
      <c r="B23" s="814" t="s">
        <v>3944</v>
      </c>
      <c r="C23" s="815">
        <v>4.7830000000000003E-4</v>
      </c>
      <c r="D23" s="815">
        <v>4.7639999999999998E-4</v>
      </c>
      <c r="E23" s="816">
        <v>1134691</v>
      </c>
      <c r="F23" s="816"/>
      <c r="G23" s="817">
        <v>175056</v>
      </c>
      <c r="H23" s="818">
        <v>155759</v>
      </c>
      <c r="I23" s="817">
        <v>301103</v>
      </c>
      <c r="J23" s="816">
        <v>0</v>
      </c>
      <c r="K23" s="818">
        <f t="shared" si="0"/>
        <v>631918</v>
      </c>
      <c r="L23" s="816"/>
      <c r="M23" s="817">
        <v>5874</v>
      </c>
      <c r="N23" s="817">
        <v>0</v>
      </c>
      <c r="O23" s="816">
        <v>36391</v>
      </c>
      <c r="P23" s="818">
        <f t="shared" si="1"/>
        <v>42265</v>
      </c>
      <c r="Q23" s="816"/>
      <c r="R23" s="817">
        <v>315187</v>
      </c>
      <c r="S23" s="816">
        <v>-18431</v>
      </c>
      <c r="T23" s="819">
        <v>296756</v>
      </c>
    </row>
    <row r="24" spans="1:20" x14ac:dyDescent="0.25">
      <c r="A24" s="813">
        <v>90141</v>
      </c>
      <c r="B24" s="814" t="s">
        <v>3945</v>
      </c>
      <c r="C24" s="815">
        <v>1.4770000000000001E-4</v>
      </c>
      <c r="D24" s="815">
        <v>1.4779999999999999E-4</v>
      </c>
      <c r="E24" s="816">
        <v>350395</v>
      </c>
      <c r="F24" s="816"/>
      <c r="G24" s="817">
        <v>54058</v>
      </c>
      <c r="H24" s="818">
        <v>48099</v>
      </c>
      <c r="I24" s="817">
        <v>92981</v>
      </c>
      <c r="J24" s="816">
        <v>5965</v>
      </c>
      <c r="K24" s="818">
        <f t="shared" si="0"/>
        <v>201103</v>
      </c>
      <c r="L24" s="816"/>
      <c r="M24" s="817">
        <v>1814</v>
      </c>
      <c r="N24" s="817">
        <v>0</v>
      </c>
      <c r="O24" s="816">
        <v>9422</v>
      </c>
      <c r="P24" s="818">
        <f t="shared" si="1"/>
        <v>11236</v>
      </c>
      <c r="Q24" s="816"/>
      <c r="R24" s="817">
        <v>97330</v>
      </c>
      <c r="S24" s="816">
        <v>-1562</v>
      </c>
      <c r="T24" s="819">
        <v>95768</v>
      </c>
    </row>
    <row r="25" spans="1:20" x14ac:dyDescent="0.25">
      <c r="A25" s="813">
        <v>90151</v>
      </c>
      <c r="B25" s="814" t="s">
        <v>3946</v>
      </c>
      <c r="C25" s="815">
        <v>9.7000000000000003E-6</v>
      </c>
      <c r="D25" s="815">
        <v>9.9000000000000001E-6</v>
      </c>
      <c r="E25" s="816">
        <v>23012</v>
      </c>
      <c r="F25" s="816"/>
      <c r="G25" s="817">
        <v>3550</v>
      </c>
      <c r="H25" s="818">
        <v>3159</v>
      </c>
      <c r="I25" s="817">
        <v>6106</v>
      </c>
      <c r="J25" s="816">
        <v>0</v>
      </c>
      <c r="K25" s="818">
        <f t="shared" si="0"/>
        <v>12815</v>
      </c>
      <c r="L25" s="816"/>
      <c r="M25" s="817">
        <v>119</v>
      </c>
      <c r="N25" s="817">
        <v>0</v>
      </c>
      <c r="O25" s="816">
        <v>2941</v>
      </c>
      <c r="P25" s="818">
        <f t="shared" si="1"/>
        <v>3060</v>
      </c>
      <c r="Q25" s="816"/>
      <c r="R25" s="817">
        <v>6392</v>
      </c>
      <c r="S25" s="816">
        <v>-1416</v>
      </c>
      <c r="T25" s="819">
        <v>4976</v>
      </c>
    </row>
    <row r="26" spans="1:20" x14ac:dyDescent="0.25">
      <c r="A26" s="813">
        <v>90161</v>
      </c>
      <c r="B26" s="814" t="s">
        <v>3947</v>
      </c>
      <c r="C26" s="815">
        <v>4.3999999999999999E-5</v>
      </c>
      <c r="D26" s="815">
        <v>3.4199999999999998E-5</v>
      </c>
      <c r="E26" s="816">
        <v>104383</v>
      </c>
      <c r="F26" s="816"/>
      <c r="G26" s="817">
        <v>16104</v>
      </c>
      <c r="H26" s="818">
        <v>14329</v>
      </c>
      <c r="I26" s="817">
        <v>27699</v>
      </c>
      <c r="J26" s="816">
        <v>4975</v>
      </c>
      <c r="K26" s="818">
        <f t="shared" si="0"/>
        <v>63107</v>
      </c>
      <c r="L26" s="816"/>
      <c r="M26" s="817">
        <v>540</v>
      </c>
      <c r="N26" s="817">
        <v>0</v>
      </c>
      <c r="O26" s="816">
        <v>347</v>
      </c>
      <c r="P26" s="818">
        <f t="shared" si="1"/>
        <v>887</v>
      </c>
      <c r="Q26" s="816"/>
      <c r="R26" s="817">
        <v>28995</v>
      </c>
      <c r="S26" s="816">
        <v>2254</v>
      </c>
      <c r="T26" s="819">
        <v>31249</v>
      </c>
    </row>
    <row r="27" spans="1:20" x14ac:dyDescent="0.25">
      <c r="A27" s="813">
        <v>90201</v>
      </c>
      <c r="B27" s="814" t="s">
        <v>2567</v>
      </c>
      <c r="C27" s="815">
        <v>1.1705999999999999E-3</v>
      </c>
      <c r="D27" s="815">
        <v>1.2126999999999999E-3</v>
      </c>
      <c r="E27" s="816">
        <v>2777064</v>
      </c>
      <c r="F27" s="816"/>
      <c r="G27" s="817">
        <v>428435</v>
      </c>
      <c r="H27" s="818">
        <v>381209</v>
      </c>
      <c r="I27" s="817">
        <v>736925</v>
      </c>
      <c r="J27" s="816">
        <v>2854</v>
      </c>
      <c r="K27" s="818">
        <f t="shared" si="0"/>
        <v>1549423</v>
      </c>
      <c r="L27" s="816"/>
      <c r="M27" s="817">
        <v>14376</v>
      </c>
      <c r="N27" s="817">
        <v>0</v>
      </c>
      <c r="O27" s="816">
        <v>52999</v>
      </c>
      <c r="P27" s="818">
        <f t="shared" si="1"/>
        <v>67375</v>
      </c>
      <c r="Q27" s="816"/>
      <c r="R27" s="817">
        <v>771394</v>
      </c>
      <c r="S27" s="816">
        <v>18200</v>
      </c>
      <c r="T27" s="819">
        <v>789594</v>
      </c>
    </row>
    <row r="28" spans="1:20" x14ac:dyDescent="0.25">
      <c r="A28" s="813">
        <v>90203</v>
      </c>
      <c r="B28" s="814" t="s">
        <v>2568</v>
      </c>
      <c r="C28" s="815">
        <v>1.9909999999999999E-4</v>
      </c>
      <c r="D28" s="815">
        <v>1.994E-4</v>
      </c>
      <c r="E28" s="816">
        <v>472333</v>
      </c>
      <c r="F28" s="816"/>
      <c r="G28" s="817">
        <v>72870</v>
      </c>
      <c r="H28" s="818">
        <v>64837</v>
      </c>
      <c r="I28" s="817">
        <v>125339</v>
      </c>
      <c r="J28" s="816">
        <v>4091</v>
      </c>
      <c r="K28" s="818">
        <f t="shared" si="0"/>
        <v>267137</v>
      </c>
      <c r="L28" s="816"/>
      <c r="M28" s="817">
        <v>2445</v>
      </c>
      <c r="N28" s="817">
        <v>0</v>
      </c>
      <c r="O28" s="816">
        <v>29936</v>
      </c>
      <c r="P28" s="818">
        <f t="shared" si="1"/>
        <v>32381</v>
      </c>
      <c r="Q28" s="816"/>
      <c r="R28" s="817">
        <v>131202</v>
      </c>
      <c r="S28" s="816">
        <v>-17176</v>
      </c>
      <c r="T28" s="819">
        <v>114026</v>
      </c>
    </row>
    <row r="29" spans="1:20" x14ac:dyDescent="0.25">
      <c r="A29" s="813">
        <v>90205</v>
      </c>
      <c r="B29" s="814" t="s">
        <v>2569</v>
      </c>
      <c r="C29" s="815">
        <v>3.2499999999999997E-5</v>
      </c>
      <c r="D29" s="815">
        <v>3.0000000000000001E-5</v>
      </c>
      <c r="E29" s="816">
        <v>77101</v>
      </c>
      <c r="F29" s="816"/>
      <c r="G29" s="817">
        <v>11895</v>
      </c>
      <c r="H29" s="818">
        <v>10583</v>
      </c>
      <c r="I29" s="817">
        <v>20460</v>
      </c>
      <c r="J29" s="816">
        <v>2535</v>
      </c>
      <c r="K29" s="818">
        <f t="shared" si="0"/>
        <v>45473</v>
      </c>
      <c r="L29" s="816"/>
      <c r="M29" s="817">
        <v>399</v>
      </c>
      <c r="N29" s="817">
        <v>0</v>
      </c>
      <c r="O29" s="816">
        <v>1911</v>
      </c>
      <c r="P29" s="818">
        <f t="shared" si="1"/>
        <v>2310</v>
      </c>
      <c r="Q29" s="816"/>
      <c r="R29" s="817">
        <v>21417</v>
      </c>
      <c r="S29" s="816">
        <v>484</v>
      </c>
      <c r="T29" s="819">
        <v>21901</v>
      </c>
    </row>
    <row r="30" spans="1:20" x14ac:dyDescent="0.25">
      <c r="A30" s="813">
        <v>90206</v>
      </c>
      <c r="B30" s="814" t="s">
        <v>2570</v>
      </c>
      <c r="C30" s="815">
        <v>4.1950000000000001E-4</v>
      </c>
      <c r="D30" s="815">
        <v>4.2069999999999998E-4</v>
      </c>
      <c r="E30" s="816">
        <v>995197</v>
      </c>
      <c r="F30" s="816"/>
      <c r="G30" s="817">
        <v>153535</v>
      </c>
      <c r="H30" s="818">
        <v>136611</v>
      </c>
      <c r="I30" s="817">
        <v>264087</v>
      </c>
      <c r="J30" s="816">
        <v>0</v>
      </c>
      <c r="K30" s="818">
        <f t="shared" si="0"/>
        <v>554233</v>
      </c>
      <c r="L30" s="816"/>
      <c r="M30" s="817">
        <v>5152</v>
      </c>
      <c r="N30" s="817">
        <v>0</v>
      </c>
      <c r="O30" s="816">
        <v>23372</v>
      </c>
      <c r="P30" s="818">
        <f t="shared" si="1"/>
        <v>28524</v>
      </c>
      <c r="Q30" s="816"/>
      <c r="R30" s="817">
        <v>276439</v>
      </c>
      <c r="S30" s="816">
        <v>-212</v>
      </c>
      <c r="T30" s="819">
        <v>276227</v>
      </c>
    </row>
    <row r="31" spans="1:20" x14ac:dyDescent="0.25">
      <c r="A31" s="813">
        <v>90211</v>
      </c>
      <c r="B31" s="814" t="s">
        <v>3948</v>
      </c>
      <c r="C31" s="815">
        <v>1.5330000000000001E-4</v>
      </c>
      <c r="D31" s="815">
        <v>1.4799999999999999E-4</v>
      </c>
      <c r="E31" s="816">
        <v>363680</v>
      </c>
      <c r="F31" s="816"/>
      <c r="G31" s="817">
        <v>56107</v>
      </c>
      <c r="H31" s="818">
        <v>49922</v>
      </c>
      <c r="I31" s="817">
        <v>96507</v>
      </c>
      <c r="J31" s="816">
        <v>7134</v>
      </c>
      <c r="K31" s="818">
        <f t="shared" si="0"/>
        <v>209670</v>
      </c>
      <c r="L31" s="816"/>
      <c r="M31" s="817">
        <v>1883</v>
      </c>
      <c r="N31" s="817">
        <v>0</v>
      </c>
      <c r="O31" s="816">
        <v>9218</v>
      </c>
      <c r="P31" s="818">
        <f t="shared" si="1"/>
        <v>11101</v>
      </c>
      <c r="Q31" s="816"/>
      <c r="R31" s="817">
        <v>101021</v>
      </c>
      <c r="S31" s="816">
        <v>-4342</v>
      </c>
      <c r="T31" s="819">
        <v>96679</v>
      </c>
    </row>
    <row r="32" spans="1:20" x14ac:dyDescent="0.25">
      <c r="A32" s="813">
        <v>90301</v>
      </c>
      <c r="B32" s="814" t="s">
        <v>2572</v>
      </c>
      <c r="C32" s="815">
        <v>7.0640000000000004E-4</v>
      </c>
      <c r="D32" s="815">
        <v>6.7040000000000003E-4</v>
      </c>
      <c r="E32" s="816">
        <v>1675822</v>
      </c>
      <c r="F32" s="816"/>
      <c r="G32" s="817">
        <v>258540</v>
      </c>
      <c r="H32" s="818">
        <v>230041</v>
      </c>
      <c r="I32" s="817">
        <v>444699</v>
      </c>
      <c r="J32" s="816">
        <v>1945</v>
      </c>
      <c r="K32" s="818">
        <f t="shared" si="0"/>
        <v>935225</v>
      </c>
      <c r="L32" s="816"/>
      <c r="M32" s="817">
        <v>8675</v>
      </c>
      <c r="N32" s="817">
        <v>0</v>
      </c>
      <c r="O32" s="816">
        <v>11529</v>
      </c>
      <c r="P32" s="818">
        <f t="shared" si="1"/>
        <v>20204</v>
      </c>
      <c r="Q32" s="816"/>
      <c r="R32" s="817">
        <v>465499</v>
      </c>
      <c r="S32" s="816">
        <v>-7033</v>
      </c>
      <c r="T32" s="819">
        <v>458466</v>
      </c>
    </row>
    <row r="33" spans="1:20" x14ac:dyDescent="0.25">
      <c r="A33" s="813">
        <v>90305</v>
      </c>
      <c r="B33" s="814" t="s">
        <v>2573</v>
      </c>
      <c r="C33" s="815">
        <v>1.4909999999999999E-4</v>
      </c>
      <c r="D33" s="815">
        <v>1.617E-4</v>
      </c>
      <c r="E33" s="816">
        <v>353716</v>
      </c>
      <c r="F33" s="816"/>
      <c r="G33" s="817">
        <v>54570</v>
      </c>
      <c r="H33" s="818">
        <v>48554</v>
      </c>
      <c r="I33" s="817">
        <v>93863</v>
      </c>
      <c r="J33" s="816">
        <v>12323</v>
      </c>
      <c r="K33" s="818">
        <f t="shared" si="0"/>
        <v>209310</v>
      </c>
      <c r="L33" s="816"/>
      <c r="M33" s="817">
        <v>1831</v>
      </c>
      <c r="N33" s="817">
        <v>0</v>
      </c>
      <c r="O33" s="816">
        <v>0</v>
      </c>
      <c r="P33" s="818">
        <f t="shared" si="1"/>
        <v>1831</v>
      </c>
      <c r="Q33" s="816"/>
      <c r="R33" s="817">
        <v>98253</v>
      </c>
      <c r="S33" s="816">
        <v>10409</v>
      </c>
      <c r="T33" s="819">
        <v>108662</v>
      </c>
    </row>
    <row r="34" spans="1:20" x14ac:dyDescent="0.25">
      <c r="A34" s="813">
        <v>90307</v>
      </c>
      <c r="B34" s="814" t="s">
        <v>3949</v>
      </c>
      <c r="C34" s="815">
        <v>6.6000000000000003E-6</v>
      </c>
      <c r="D34" s="815">
        <v>7.7999999999999999E-6</v>
      </c>
      <c r="E34" s="816">
        <v>15657</v>
      </c>
      <c r="F34" s="816"/>
      <c r="G34" s="817">
        <v>2416</v>
      </c>
      <c r="H34" s="818">
        <v>2149</v>
      </c>
      <c r="I34" s="817">
        <v>4155</v>
      </c>
      <c r="J34" s="816">
        <v>447</v>
      </c>
      <c r="K34" s="818">
        <f t="shared" si="0"/>
        <v>9167</v>
      </c>
      <c r="L34" s="816"/>
      <c r="M34" s="817">
        <v>81</v>
      </c>
      <c r="N34" s="817">
        <v>0</v>
      </c>
      <c r="O34" s="816">
        <v>32</v>
      </c>
      <c r="P34" s="818">
        <f t="shared" si="1"/>
        <v>113</v>
      </c>
      <c r="Q34" s="816"/>
      <c r="R34" s="817">
        <v>4349</v>
      </c>
      <c r="S34" s="816">
        <v>151</v>
      </c>
      <c r="T34" s="819">
        <v>4500</v>
      </c>
    </row>
    <row r="35" spans="1:20" x14ac:dyDescent="0.25">
      <c r="A35" s="813">
        <v>90401</v>
      </c>
      <c r="B35" s="814" t="s">
        <v>2575</v>
      </c>
      <c r="C35" s="815">
        <v>1.2583E-3</v>
      </c>
      <c r="D35" s="815">
        <v>1.3270999999999999E-3</v>
      </c>
      <c r="E35" s="816">
        <v>2985118</v>
      </c>
      <c r="F35" s="816"/>
      <c r="G35" s="817">
        <v>460533</v>
      </c>
      <c r="H35" s="818">
        <v>409768</v>
      </c>
      <c r="I35" s="817">
        <v>792135</v>
      </c>
      <c r="J35" s="816">
        <v>17301</v>
      </c>
      <c r="K35" s="818">
        <f t="shared" si="0"/>
        <v>1679737</v>
      </c>
      <c r="L35" s="816"/>
      <c r="M35" s="817">
        <v>15453</v>
      </c>
      <c r="N35" s="817">
        <v>0</v>
      </c>
      <c r="O35" s="816">
        <v>18146</v>
      </c>
      <c r="P35" s="818">
        <f t="shared" si="1"/>
        <v>33599</v>
      </c>
      <c r="Q35" s="816"/>
      <c r="R35" s="817">
        <v>829186</v>
      </c>
      <c r="S35" s="816">
        <v>21476</v>
      </c>
      <c r="T35" s="819">
        <v>850662</v>
      </c>
    </row>
    <row r="36" spans="1:20" x14ac:dyDescent="0.25">
      <c r="A36" s="813">
        <v>90411</v>
      </c>
      <c r="B36" s="814" t="s">
        <v>3950</v>
      </c>
      <c r="C36" s="815">
        <v>3.5110000000000002E-4</v>
      </c>
      <c r="D36" s="815">
        <v>3.5100000000000002E-4</v>
      </c>
      <c r="E36" s="816">
        <v>832929</v>
      </c>
      <c r="F36" s="816"/>
      <c r="G36" s="817">
        <v>128501</v>
      </c>
      <c r="H36" s="818">
        <v>114336</v>
      </c>
      <c r="I36" s="817">
        <v>221027</v>
      </c>
      <c r="J36" s="816">
        <v>0</v>
      </c>
      <c r="K36" s="818">
        <f t="shared" si="0"/>
        <v>463864</v>
      </c>
      <c r="L36" s="816"/>
      <c r="M36" s="817">
        <v>4312</v>
      </c>
      <c r="N36" s="817">
        <v>0</v>
      </c>
      <c r="O36" s="816">
        <v>35756</v>
      </c>
      <c r="P36" s="818">
        <f t="shared" si="1"/>
        <v>40068</v>
      </c>
      <c r="Q36" s="816"/>
      <c r="R36" s="817">
        <v>231365</v>
      </c>
      <c r="S36" s="816">
        <v>-18400</v>
      </c>
      <c r="T36" s="819">
        <v>212965</v>
      </c>
    </row>
    <row r="37" spans="1:20" x14ac:dyDescent="0.25">
      <c r="A37" s="813">
        <v>90413</v>
      </c>
      <c r="B37" s="814" t="s">
        <v>2577</v>
      </c>
      <c r="C37" s="815">
        <v>3.4700000000000003E-5</v>
      </c>
      <c r="D37" s="815">
        <v>3.4600000000000001E-5</v>
      </c>
      <c r="E37" s="816">
        <v>82320</v>
      </c>
      <c r="F37" s="816"/>
      <c r="G37" s="817">
        <v>12700</v>
      </c>
      <c r="H37" s="818">
        <v>11300</v>
      </c>
      <c r="I37" s="817">
        <v>21845</v>
      </c>
      <c r="J37" s="816">
        <v>4037</v>
      </c>
      <c r="K37" s="818">
        <f t="shared" si="0"/>
        <v>49882</v>
      </c>
      <c r="L37" s="816"/>
      <c r="M37" s="817">
        <v>426</v>
      </c>
      <c r="N37" s="817">
        <v>0</v>
      </c>
      <c r="O37" s="816">
        <v>687</v>
      </c>
      <c r="P37" s="818">
        <f t="shared" si="1"/>
        <v>1113</v>
      </c>
      <c r="Q37" s="816"/>
      <c r="R37" s="817">
        <v>22866</v>
      </c>
      <c r="S37" s="816">
        <v>3839</v>
      </c>
      <c r="T37" s="819">
        <v>26705</v>
      </c>
    </row>
    <row r="38" spans="1:20" x14ac:dyDescent="0.25">
      <c r="A38" s="813">
        <v>90417</v>
      </c>
      <c r="B38" s="814" t="s">
        <v>2578</v>
      </c>
      <c r="C38" s="815">
        <v>1.19E-5</v>
      </c>
      <c r="D38" s="815">
        <v>1.17E-5</v>
      </c>
      <c r="E38" s="816">
        <v>28231</v>
      </c>
      <c r="F38" s="816"/>
      <c r="G38" s="817">
        <v>4355</v>
      </c>
      <c r="H38" s="818">
        <v>3875</v>
      </c>
      <c r="I38" s="817">
        <v>7491</v>
      </c>
      <c r="J38" s="816">
        <v>4872</v>
      </c>
      <c r="K38" s="818">
        <f t="shared" si="0"/>
        <v>20593</v>
      </c>
      <c r="L38" s="816"/>
      <c r="M38" s="817">
        <v>146</v>
      </c>
      <c r="N38" s="817">
        <v>0</v>
      </c>
      <c r="O38" s="816">
        <v>0</v>
      </c>
      <c r="P38" s="818">
        <f t="shared" si="1"/>
        <v>146</v>
      </c>
      <c r="Q38" s="816"/>
      <c r="R38" s="817">
        <v>7842</v>
      </c>
      <c r="S38" s="816">
        <v>1871</v>
      </c>
      <c r="T38" s="819">
        <v>9713</v>
      </c>
    </row>
    <row r="39" spans="1:20" x14ac:dyDescent="0.25">
      <c r="A39" s="813">
        <v>90421</v>
      </c>
      <c r="B39" s="814" t="s">
        <v>3951</v>
      </c>
      <c r="C39" s="815">
        <v>2.09E-5</v>
      </c>
      <c r="D39" s="815">
        <v>2.19E-5</v>
      </c>
      <c r="E39" s="816">
        <v>49582</v>
      </c>
      <c r="F39" s="816"/>
      <c r="G39" s="817">
        <v>7649</v>
      </c>
      <c r="H39" s="818">
        <v>6806</v>
      </c>
      <c r="I39" s="817">
        <v>13157</v>
      </c>
      <c r="J39" s="816">
        <v>0</v>
      </c>
      <c r="K39" s="818">
        <f t="shared" si="0"/>
        <v>27612</v>
      </c>
      <c r="L39" s="816"/>
      <c r="M39" s="817">
        <v>257</v>
      </c>
      <c r="N39" s="817">
        <v>0</v>
      </c>
      <c r="O39" s="816">
        <v>4614</v>
      </c>
      <c r="P39" s="818">
        <f t="shared" si="1"/>
        <v>4871</v>
      </c>
      <c r="Q39" s="816"/>
      <c r="R39" s="817">
        <v>13773</v>
      </c>
      <c r="S39" s="816">
        <v>-2235</v>
      </c>
      <c r="T39" s="819">
        <v>11538</v>
      </c>
    </row>
    <row r="40" spans="1:20" x14ac:dyDescent="0.25">
      <c r="A40" s="813">
        <v>90431</v>
      </c>
      <c r="B40" s="814" t="s">
        <v>3952</v>
      </c>
      <c r="C40" s="815">
        <v>4.5099999999999998E-5</v>
      </c>
      <c r="D40" s="815">
        <v>4.8300000000000002E-5</v>
      </c>
      <c r="E40" s="816">
        <v>106993</v>
      </c>
      <c r="F40" s="816"/>
      <c r="G40" s="817">
        <v>16506</v>
      </c>
      <c r="H40" s="818">
        <v>14687</v>
      </c>
      <c r="I40" s="817">
        <v>28392</v>
      </c>
      <c r="J40" s="816">
        <v>4577</v>
      </c>
      <c r="K40" s="818">
        <f t="shared" si="0"/>
        <v>64162</v>
      </c>
      <c r="L40" s="816"/>
      <c r="M40" s="817">
        <v>554</v>
      </c>
      <c r="N40" s="817">
        <v>0</v>
      </c>
      <c r="O40" s="816">
        <v>2267</v>
      </c>
      <c r="P40" s="818">
        <f t="shared" si="1"/>
        <v>2821</v>
      </c>
      <c r="Q40" s="816"/>
      <c r="R40" s="817">
        <v>29720</v>
      </c>
      <c r="S40" s="816">
        <v>3281</v>
      </c>
      <c r="T40" s="819">
        <v>33001</v>
      </c>
    </row>
    <row r="41" spans="1:20" x14ac:dyDescent="0.25">
      <c r="A41" s="813">
        <v>90441</v>
      </c>
      <c r="B41" s="814" t="s">
        <v>3953</v>
      </c>
      <c r="C41" s="815">
        <v>7.5000000000000002E-6</v>
      </c>
      <c r="D41" s="815">
        <v>8.3999999999999992E-6</v>
      </c>
      <c r="E41" s="816">
        <v>17793</v>
      </c>
      <c r="F41" s="816" t="s">
        <v>763</v>
      </c>
      <c r="G41" s="817">
        <v>2745</v>
      </c>
      <c r="H41" s="818">
        <v>2443</v>
      </c>
      <c r="I41" s="817">
        <v>4721</v>
      </c>
      <c r="J41" s="816">
        <v>827</v>
      </c>
      <c r="K41" s="818">
        <f t="shared" si="0"/>
        <v>10736</v>
      </c>
      <c r="L41" s="816"/>
      <c r="M41" s="817">
        <v>92</v>
      </c>
      <c r="N41" s="817">
        <v>0</v>
      </c>
      <c r="O41" s="816">
        <v>58</v>
      </c>
      <c r="P41" s="818">
        <f t="shared" si="1"/>
        <v>150</v>
      </c>
      <c r="Q41" s="816"/>
      <c r="R41" s="817">
        <v>4942</v>
      </c>
      <c r="S41" s="816">
        <v>771</v>
      </c>
      <c r="T41" s="819">
        <v>5713</v>
      </c>
    </row>
    <row r="42" spans="1:20" x14ac:dyDescent="0.25">
      <c r="A42" s="813">
        <v>90451</v>
      </c>
      <c r="B42" s="814" t="s">
        <v>3954</v>
      </c>
      <c r="C42" s="815">
        <v>2.05E-5</v>
      </c>
      <c r="D42" s="815">
        <v>1.6699999999999999E-5</v>
      </c>
      <c r="E42" s="816">
        <v>48633</v>
      </c>
      <c r="F42" s="816" t="s">
        <v>763</v>
      </c>
      <c r="G42" s="817">
        <v>7503</v>
      </c>
      <c r="H42" s="818">
        <v>6676</v>
      </c>
      <c r="I42" s="817">
        <v>12905</v>
      </c>
      <c r="J42" s="816">
        <v>3881</v>
      </c>
      <c r="K42" s="818">
        <f t="shared" si="0"/>
        <v>30965</v>
      </c>
      <c r="L42" s="816"/>
      <c r="M42" s="817">
        <v>252</v>
      </c>
      <c r="N42" s="817">
        <v>0</v>
      </c>
      <c r="O42" s="816">
        <v>623</v>
      </c>
      <c r="P42" s="818">
        <f t="shared" si="1"/>
        <v>875</v>
      </c>
      <c r="Q42" s="816"/>
      <c r="R42" s="817">
        <v>13509</v>
      </c>
      <c r="S42" s="816">
        <v>1281</v>
      </c>
      <c r="T42" s="819">
        <v>14790</v>
      </c>
    </row>
    <row r="43" spans="1:20" x14ac:dyDescent="0.25">
      <c r="A43" s="813">
        <v>90461</v>
      </c>
      <c r="B43" s="814" t="s">
        <v>3955</v>
      </c>
      <c r="C43" s="815">
        <v>5.5999999999999997E-6</v>
      </c>
      <c r="D43" s="815">
        <v>7.4000000000000003E-6</v>
      </c>
      <c r="E43" s="816">
        <v>13285</v>
      </c>
      <c r="F43" s="816" t="s">
        <v>763</v>
      </c>
      <c r="G43" s="817">
        <v>2050</v>
      </c>
      <c r="H43" s="818">
        <v>1823</v>
      </c>
      <c r="I43" s="817">
        <v>3525</v>
      </c>
      <c r="J43" s="816">
        <v>1470</v>
      </c>
      <c r="K43" s="818">
        <f t="shared" si="0"/>
        <v>8868</v>
      </c>
      <c r="L43" s="816"/>
      <c r="M43" s="817">
        <v>69</v>
      </c>
      <c r="N43" s="817">
        <v>0</v>
      </c>
      <c r="O43" s="816">
        <v>4983</v>
      </c>
      <c r="P43" s="818">
        <f t="shared" si="1"/>
        <v>5052</v>
      </c>
      <c r="Q43" s="816"/>
      <c r="R43" s="817">
        <v>3690</v>
      </c>
      <c r="S43" s="816">
        <v>-968</v>
      </c>
      <c r="T43" s="819">
        <v>2722</v>
      </c>
    </row>
    <row r="44" spans="1:20" x14ac:dyDescent="0.25">
      <c r="A44" s="813">
        <v>90501</v>
      </c>
      <c r="B44" s="814" t="s">
        <v>2584</v>
      </c>
      <c r="C44" s="815">
        <v>1.3675E-3</v>
      </c>
      <c r="D44" s="815">
        <v>1.4176E-3</v>
      </c>
      <c r="E44" s="816">
        <v>3244178</v>
      </c>
      <c r="F44" s="816" t="s">
        <v>763</v>
      </c>
      <c r="G44" s="817">
        <v>500500</v>
      </c>
      <c r="H44" s="818">
        <v>445329</v>
      </c>
      <c r="I44" s="817">
        <v>860880</v>
      </c>
      <c r="J44" s="816">
        <v>26910</v>
      </c>
      <c r="K44" s="818">
        <f t="shared" si="0"/>
        <v>1833619</v>
      </c>
      <c r="L44" s="816"/>
      <c r="M44" s="817">
        <v>16794</v>
      </c>
      <c r="N44" s="817">
        <v>0</v>
      </c>
      <c r="O44" s="816">
        <v>5948</v>
      </c>
      <c r="P44" s="818">
        <f t="shared" si="1"/>
        <v>22742</v>
      </c>
      <c r="Q44" s="816"/>
      <c r="R44" s="817">
        <v>901146</v>
      </c>
      <c r="S44" s="816">
        <v>25526</v>
      </c>
      <c r="T44" s="819">
        <v>926672</v>
      </c>
    </row>
    <row r="45" spans="1:20" x14ac:dyDescent="0.25">
      <c r="A45" s="813">
        <v>90507</v>
      </c>
      <c r="B45" s="814" t="s">
        <v>1182</v>
      </c>
      <c r="C45" s="815">
        <v>6.3999999999999997E-6</v>
      </c>
      <c r="D45" s="815">
        <v>6.6000000000000003E-6</v>
      </c>
      <c r="E45" s="816">
        <v>15183</v>
      </c>
      <c r="F45" s="816" t="s">
        <v>763</v>
      </c>
      <c r="G45" s="817">
        <v>2342</v>
      </c>
      <c r="H45" s="818">
        <v>2084</v>
      </c>
      <c r="I45" s="817">
        <v>4029</v>
      </c>
      <c r="J45" s="816">
        <v>13580</v>
      </c>
      <c r="K45" s="818">
        <f t="shared" si="0"/>
        <v>22035</v>
      </c>
      <c r="L45" s="816"/>
      <c r="M45" s="817">
        <v>79</v>
      </c>
      <c r="N45" s="817">
        <v>0</v>
      </c>
      <c r="O45" s="816">
        <v>0</v>
      </c>
      <c r="P45" s="818">
        <f t="shared" si="1"/>
        <v>79</v>
      </c>
      <c r="Q45" s="816"/>
      <c r="R45" s="817">
        <v>4217</v>
      </c>
      <c r="S45" s="816">
        <v>5652</v>
      </c>
      <c r="T45" s="819">
        <v>9869</v>
      </c>
    </row>
    <row r="46" spans="1:20" x14ac:dyDescent="0.25">
      <c r="A46" s="813">
        <v>90511</v>
      </c>
      <c r="B46" s="814" t="s">
        <v>3956</v>
      </c>
      <c r="C46" s="815">
        <v>8.25E-5</v>
      </c>
      <c r="D46" s="815">
        <v>8.7000000000000001E-5</v>
      </c>
      <c r="E46" s="816">
        <v>195718</v>
      </c>
      <c r="F46" s="816" t="s">
        <v>763</v>
      </c>
      <c r="G46" s="817">
        <v>30195</v>
      </c>
      <c r="H46" s="818">
        <v>26866</v>
      </c>
      <c r="I46" s="817">
        <v>51936</v>
      </c>
      <c r="J46" s="816">
        <v>16195</v>
      </c>
      <c r="K46" s="818">
        <f t="shared" si="0"/>
        <v>125192</v>
      </c>
      <c r="L46" s="816"/>
      <c r="M46" s="817">
        <v>1013</v>
      </c>
      <c r="N46" s="817">
        <v>0</v>
      </c>
      <c r="O46" s="816">
        <v>0</v>
      </c>
      <c r="P46" s="818">
        <f t="shared" si="1"/>
        <v>1013</v>
      </c>
      <c r="Q46" s="816"/>
      <c r="R46" s="817">
        <v>54365</v>
      </c>
      <c r="S46" s="816">
        <v>8520</v>
      </c>
      <c r="T46" s="819">
        <v>62885</v>
      </c>
    </row>
    <row r="47" spans="1:20" x14ac:dyDescent="0.25">
      <c r="A47" s="813">
        <v>90521</v>
      </c>
      <c r="B47" s="814" t="s">
        <v>3957</v>
      </c>
      <c r="C47" s="815">
        <v>1.281E-4</v>
      </c>
      <c r="D47" s="815">
        <v>1.3880000000000001E-4</v>
      </c>
      <c r="E47" s="816">
        <v>303897</v>
      </c>
      <c r="F47" s="816" t="s">
        <v>763</v>
      </c>
      <c r="G47" s="817">
        <v>46884</v>
      </c>
      <c r="H47" s="818">
        <v>41717</v>
      </c>
      <c r="I47" s="817">
        <v>80643</v>
      </c>
      <c r="J47" s="816">
        <v>0</v>
      </c>
      <c r="K47" s="818">
        <f t="shared" si="0"/>
        <v>169244</v>
      </c>
      <c r="L47" s="816"/>
      <c r="M47" s="817">
        <v>1573</v>
      </c>
      <c r="N47" s="817">
        <v>0</v>
      </c>
      <c r="O47" s="816">
        <v>24197</v>
      </c>
      <c r="P47" s="818">
        <f t="shared" si="1"/>
        <v>25770</v>
      </c>
      <c r="Q47" s="816"/>
      <c r="R47" s="817">
        <v>84414</v>
      </c>
      <c r="S47" s="816">
        <v>-10337</v>
      </c>
      <c r="T47" s="819">
        <v>74077</v>
      </c>
    </row>
    <row r="48" spans="1:20" x14ac:dyDescent="0.25">
      <c r="A48" s="813">
        <v>90601</v>
      </c>
      <c r="B48" s="814" t="s">
        <v>2587</v>
      </c>
      <c r="C48" s="815">
        <v>1.1383999999999999E-3</v>
      </c>
      <c r="D48" s="815">
        <v>1.1888000000000001E-3</v>
      </c>
      <c r="E48" s="816">
        <v>2700674</v>
      </c>
      <c r="F48" s="816" t="s">
        <v>763</v>
      </c>
      <c r="G48" s="817">
        <v>416650</v>
      </c>
      <c r="H48" s="818">
        <v>370722</v>
      </c>
      <c r="I48" s="817">
        <v>716655</v>
      </c>
      <c r="J48" s="816">
        <v>5621</v>
      </c>
      <c r="K48" s="818">
        <f t="shared" si="0"/>
        <v>1509648</v>
      </c>
      <c r="L48" s="816"/>
      <c r="M48" s="817">
        <v>13981</v>
      </c>
      <c r="N48" s="817">
        <v>0</v>
      </c>
      <c r="O48" s="816">
        <v>38880</v>
      </c>
      <c r="P48" s="818">
        <f t="shared" si="1"/>
        <v>52861</v>
      </c>
      <c r="Q48" s="816"/>
      <c r="R48" s="817">
        <v>750175</v>
      </c>
      <c r="S48" s="816">
        <v>1751</v>
      </c>
      <c r="T48" s="819">
        <v>751926</v>
      </c>
    </row>
    <row r="49" spans="1:20" x14ac:dyDescent="0.25">
      <c r="A49" s="813">
        <v>90602</v>
      </c>
      <c r="B49" s="814" t="s">
        <v>2095</v>
      </c>
      <c r="C49" s="815">
        <v>6.3100000000000002E-5</v>
      </c>
      <c r="D49" s="815">
        <v>6.3899999999999995E-5</v>
      </c>
      <c r="E49" s="816">
        <v>149695</v>
      </c>
      <c r="F49" s="816" t="s">
        <v>763</v>
      </c>
      <c r="G49" s="817">
        <v>23094</v>
      </c>
      <c r="H49" s="818">
        <v>20549</v>
      </c>
      <c r="I49" s="817">
        <v>39723</v>
      </c>
      <c r="J49" s="816">
        <v>34569</v>
      </c>
      <c r="K49" s="818">
        <f t="shared" si="0"/>
        <v>117935</v>
      </c>
      <c r="L49" s="816"/>
      <c r="M49" s="817">
        <v>775</v>
      </c>
      <c r="N49" s="817">
        <v>0</v>
      </c>
      <c r="O49" s="816">
        <v>0</v>
      </c>
      <c r="P49" s="818">
        <f t="shared" si="1"/>
        <v>775</v>
      </c>
      <c r="Q49" s="816"/>
      <c r="R49" s="817">
        <v>41581</v>
      </c>
      <c r="S49" s="816">
        <v>16640</v>
      </c>
      <c r="T49" s="819">
        <v>58221</v>
      </c>
    </row>
    <row r="50" spans="1:20" x14ac:dyDescent="0.25">
      <c r="A50" s="813">
        <v>90605</v>
      </c>
      <c r="B50" s="814" t="s">
        <v>2588</v>
      </c>
      <c r="C50" s="815">
        <v>3.9199999999999997E-5</v>
      </c>
      <c r="D50" s="815">
        <v>4.1999999999999998E-5</v>
      </c>
      <c r="E50" s="816">
        <v>92996</v>
      </c>
      <c r="F50" s="816" t="s">
        <v>763</v>
      </c>
      <c r="G50" s="817">
        <v>14347</v>
      </c>
      <c r="H50" s="818">
        <v>12765</v>
      </c>
      <c r="I50" s="817">
        <v>24677</v>
      </c>
      <c r="J50" s="816">
        <v>14565</v>
      </c>
      <c r="K50" s="818">
        <f t="shared" si="0"/>
        <v>66354</v>
      </c>
      <c r="L50" s="816"/>
      <c r="M50" s="817">
        <v>481</v>
      </c>
      <c r="N50" s="817">
        <v>0</v>
      </c>
      <c r="O50" s="816">
        <v>0</v>
      </c>
      <c r="P50" s="818">
        <f t="shared" si="1"/>
        <v>481</v>
      </c>
      <c r="Q50" s="816"/>
      <c r="R50" s="817">
        <v>25832</v>
      </c>
      <c r="S50" s="816">
        <v>6805</v>
      </c>
      <c r="T50" s="819">
        <v>32637</v>
      </c>
    </row>
    <row r="51" spans="1:20" x14ac:dyDescent="0.25">
      <c r="A51" s="813">
        <v>90611</v>
      </c>
      <c r="B51" s="814" t="s">
        <v>3958</v>
      </c>
      <c r="C51" s="815">
        <v>1.4009999999999999E-4</v>
      </c>
      <c r="D51" s="815">
        <v>1.4880000000000001E-4</v>
      </c>
      <c r="E51" s="816">
        <v>332365</v>
      </c>
      <c r="F51" s="816" t="s">
        <v>763</v>
      </c>
      <c r="G51" s="817">
        <v>51276</v>
      </c>
      <c r="H51" s="818">
        <v>45624</v>
      </c>
      <c r="I51" s="817">
        <v>88197</v>
      </c>
      <c r="J51" s="816">
        <v>0</v>
      </c>
      <c r="K51" s="818">
        <f t="shared" si="0"/>
        <v>185097</v>
      </c>
      <c r="L51" s="816"/>
      <c r="M51" s="817">
        <v>1721</v>
      </c>
      <c r="N51" s="817">
        <v>0</v>
      </c>
      <c r="O51" s="816">
        <v>20888</v>
      </c>
      <c r="P51" s="818">
        <f t="shared" si="1"/>
        <v>22609</v>
      </c>
      <c r="Q51" s="816"/>
      <c r="R51" s="817">
        <v>92322</v>
      </c>
      <c r="S51" s="816">
        <v>-5234</v>
      </c>
      <c r="T51" s="819">
        <v>87088</v>
      </c>
    </row>
    <row r="52" spans="1:20" x14ac:dyDescent="0.25">
      <c r="A52" s="813">
        <v>90617</v>
      </c>
      <c r="B52" s="814" t="s">
        <v>2590</v>
      </c>
      <c r="C52" s="815">
        <v>2.72E-5</v>
      </c>
      <c r="D52" s="815">
        <v>2.5999999999999998E-5</v>
      </c>
      <c r="E52" s="816">
        <v>64528</v>
      </c>
      <c r="F52" s="816" t="s">
        <v>763</v>
      </c>
      <c r="G52" s="817">
        <v>9955</v>
      </c>
      <c r="H52" s="818">
        <v>8857</v>
      </c>
      <c r="I52" s="817">
        <v>17123</v>
      </c>
      <c r="J52" s="816">
        <v>5515</v>
      </c>
      <c r="K52" s="818">
        <f t="shared" si="0"/>
        <v>41450</v>
      </c>
      <c r="L52" s="816"/>
      <c r="M52" s="817">
        <v>334</v>
      </c>
      <c r="N52" s="817">
        <v>0</v>
      </c>
      <c r="O52" s="816">
        <v>0</v>
      </c>
      <c r="P52" s="818">
        <f t="shared" si="1"/>
        <v>334</v>
      </c>
      <c r="Q52" s="816"/>
      <c r="R52" s="817">
        <v>17924</v>
      </c>
      <c r="S52" s="816">
        <v>4552</v>
      </c>
      <c r="T52" s="819">
        <v>22476</v>
      </c>
    </row>
    <row r="53" spans="1:20" x14ac:dyDescent="0.25">
      <c r="A53" s="813">
        <v>90621</v>
      </c>
      <c r="B53" s="814" t="s">
        <v>3959</v>
      </c>
      <c r="C53" s="815">
        <v>6.5699999999999998E-5</v>
      </c>
      <c r="D53" s="815">
        <v>6.3999999999999997E-5</v>
      </c>
      <c r="E53" s="816">
        <v>155863</v>
      </c>
      <c r="F53" s="816" t="s">
        <v>763</v>
      </c>
      <c r="G53" s="817">
        <v>24046</v>
      </c>
      <c r="H53" s="818">
        <v>21396</v>
      </c>
      <c r="I53" s="817">
        <v>41360</v>
      </c>
      <c r="J53" s="816">
        <v>0</v>
      </c>
      <c r="K53" s="818">
        <f t="shared" si="0"/>
        <v>86802</v>
      </c>
      <c r="L53" s="816"/>
      <c r="M53" s="817">
        <v>807</v>
      </c>
      <c r="N53" s="817">
        <v>0</v>
      </c>
      <c r="O53" s="816">
        <v>15822</v>
      </c>
      <c r="P53" s="818">
        <f t="shared" si="1"/>
        <v>16629</v>
      </c>
      <c r="Q53" s="816"/>
      <c r="R53" s="817">
        <v>43295</v>
      </c>
      <c r="S53" s="816">
        <v>-6033</v>
      </c>
      <c r="T53" s="819">
        <v>37262</v>
      </c>
    </row>
    <row r="54" spans="1:20" x14ac:dyDescent="0.25">
      <c r="A54" s="813">
        <v>90631</v>
      </c>
      <c r="B54" s="814" t="s">
        <v>3960</v>
      </c>
      <c r="C54" s="815">
        <v>3.7120000000000002E-4</v>
      </c>
      <c r="D54" s="815">
        <v>3.9560000000000002E-4</v>
      </c>
      <c r="E54" s="816">
        <v>880613</v>
      </c>
      <c r="F54" s="816" t="s">
        <v>763</v>
      </c>
      <c r="G54" s="817">
        <v>135858</v>
      </c>
      <c r="H54" s="818">
        <v>120882</v>
      </c>
      <c r="I54" s="817">
        <v>233681</v>
      </c>
      <c r="J54" s="816">
        <v>12101</v>
      </c>
      <c r="K54" s="818">
        <f t="shared" si="0"/>
        <v>502522</v>
      </c>
      <c r="L54" s="816"/>
      <c r="M54" s="817">
        <v>4559</v>
      </c>
      <c r="N54" s="817">
        <v>0</v>
      </c>
      <c r="O54" s="816">
        <v>18351</v>
      </c>
      <c r="P54" s="818">
        <f t="shared" si="1"/>
        <v>22910</v>
      </c>
      <c r="Q54" s="816"/>
      <c r="R54" s="817">
        <v>244611</v>
      </c>
      <c r="S54" s="816">
        <v>-4506</v>
      </c>
      <c r="T54" s="819">
        <v>240105</v>
      </c>
    </row>
    <row r="55" spans="1:20" x14ac:dyDescent="0.25">
      <c r="A55" s="813">
        <v>90641</v>
      </c>
      <c r="B55" s="814" t="s">
        <v>3961</v>
      </c>
      <c r="C55" s="815">
        <v>1.2999999999999999E-5</v>
      </c>
      <c r="D55" s="815">
        <v>1.38E-5</v>
      </c>
      <c r="E55" s="816">
        <v>30840</v>
      </c>
      <c r="F55" s="816" t="s">
        <v>763</v>
      </c>
      <c r="G55" s="817">
        <v>4758</v>
      </c>
      <c r="H55" s="818">
        <v>4233</v>
      </c>
      <c r="I55" s="817">
        <v>8184</v>
      </c>
      <c r="J55" s="816">
        <v>250</v>
      </c>
      <c r="K55" s="818">
        <f t="shared" si="0"/>
        <v>17425</v>
      </c>
      <c r="L55" s="816"/>
      <c r="M55" s="817">
        <v>160</v>
      </c>
      <c r="N55" s="817">
        <v>0</v>
      </c>
      <c r="O55" s="816">
        <v>254</v>
      </c>
      <c r="P55" s="818">
        <f t="shared" si="1"/>
        <v>414</v>
      </c>
      <c r="Q55" s="816"/>
      <c r="R55" s="817">
        <v>8567</v>
      </c>
      <c r="S55" s="816">
        <v>-102</v>
      </c>
      <c r="T55" s="819">
        <v>8465</v>
      </c>
    </row>
    <row r="56" spans="1:20" x14ac:dyDescent="0.25">
      <c r="A56" s="813">
        <v>90651</v>
      </c>
      <c r="B56" s="814" t="s">
        <v>3962</v>
      </c>
      <c r="C56" s="815">
        <v>1.064E-4</v>
      </c>
      <c r="D56" s="815">
        <v>1E-4</v>
      </c>
      <c r="E56" s="816">
        <v>252417</v>
      </c>
      <c r="F56" s="816" t="s">
        <v>763</v>
      </c>
      <c r="G56" s="817">
        <v>38942</v>
      </c>
      <c r="H56" s="818">
        <v>34650</v>
      </c>
      <c r="I56" s="817">
        <v>66982</v>
      </c>
      <c r="J56" s="816">
        <v>100554</v>
      </c>
      <c r="K56" s="818">
        <f t="shared" si="0"/>
        <v>241128</v>
      </c>
      <c r="L56" s="816"/>
      <c r="M56" s="817">
        <v>1307</v>
      </c>
      <c r="N56" s="817">
        <v>0</v>
      </c>
      <c r="O56" s="816">
        <v>0</v>
      </c>
      <c r="P56" s="818">
        <f t="shared" si="1"/>
        <v>1307</v>
      </c>
      <c r="Q56" s="816"/>
      <c r="R56" s="817">
        <v>70115</v>
      </c>
      <c r="S56" s="816">
        <v>36979</v>
      </c>
      <c r="T56" s="819">
        <v>107094</v>
      </c>
    </row>
    <row r="57" spans="1:20" x14ac:dyDescent="0.25">
      <c r="A57" s="813">
        <v>90701</v>
      </c>
      <c r="B57" s="814" t="s">
        <v>3549</v>
      </c>
      <c r="C57" s="815">
        <v>2.6327999999999998E-3</v>
      </c>
      <c r="D57" s="815">
        <v>2.6581E-3</v>
      </c>
      <c r="E57" s="816">
        <v>6245902</v>
      </c>
      <c r="F57" s="816" t="s">
        <v>763</v>
      </c>
      <c r="G57" s="817">
        <v>963594</v>
      </c>
      <c r="H57" s="818">
        <v>857376</v>
      </c>
      <c r="I57" s="817">
        <v>1657421</v>
      </c>
      <c r="J57" s="816">
        <v>84751</v>
      </c>
      <c r="K57" s="818">
        <f t="shared" si="0"/>
        <v>3563142</v>
      </c>
      <c r="L57" s="816"/>
      <c r="M57" s="817">
        <v>32333</v>
      </c>
      <c r="N57" s="817">
        <v>0</v>
      </c>
      <c r="O57" s="816">
        <v>109908</v>
      </c>
      <c r="P57" s="818">
        <f t="shared" si="1"/>
        <v>142241</v>
      </c>
      <c r="Q57" s="816"/>
      <c r="R57" s="817">
        <v>1734944</v>
      </c>
      <c r="S57" s="816">
        <v>11083</v>
      </c>
      <c r="T57" s="819">
        <v>1746027</v>
      </c>
    </row>
    <row r="58" spans="1:20" x14ac:dyDescent="0.25">
      <c r="A58" s="813">
        <v>90704</v>
      </c>
      <c r="B58" s="814" t="s">
        <v>2596</v>
      </c>
      <c r="C58" s="815">
        <v>3.4100000000000002E-5</v>
      </c>
      <c r="D58" s="815">
        <v>3.3300000000000003E-5</v>
      </c>
      <c r="E58" s="816">
        <v>80897</v>
      </c>
      <c r="F58" s="816" t="s">
        <v>763</v>
      </c>
      <c r="G58" s="817">
        <v>12480</v>
      </c>
      <c r="H58" s="818">
        <v>11105</v>
      </c>
      <c r="I58" s="817">
        <v>21467</v>
      </c>
      <c r="J58" s="816">
        <v>17851</v>
      </c>
      <c r="K58" s="818">
        <f t="shared" si="0"/>
        <v>62903</v>
      </c>
      <c r="L58" s="816"/>
      <c r="M58" s="817">
        <v>419</v>
      </c>
      <c r="N58" s="817">
        <v>0</v>
      </c>
      <c r="O58" s="816">
        <v>0</v>
      </c>
      <c r="P58" s="818">
        <f t="shared" si="1"/>
        <v>419</v>
      </c>
      <c r="Q58" s="816"/>
      <c r="R58" s="817">
        <v>22471</v>
      </c>
      <c r="S58" s="816">
        <v>7847</v>
      </c>
      <c r="T58" s="819">
        <v>30318</v>
      </c>
    </row>
    <row r="59" spans="1:20" x14ac:dyDescent="0.25">
      <c r="A59" s="813">
        <v>90705</v>
      </c>
      <c r="B59" s="814" t="s">
        <v>2597</v>
      </c>
      <c r="C59" s="815">
        <v>3.6000000000000001E-5</v>
      </c>
      <c r="D59" s="815">
        <v>5.3000000000000001E-5</v>
      </c>
      <c r="E59" s="816">
        <v>85404</v>
      </c>
      <c r="F59" s="816" t="s">
        <v>763</v>
      </c>
      <c r="G59" s="817">
        <v>13176</v>
      </c>
      <c r="H59" s="818">
        <v>11723</v>
      </c>
      <c r="I59" s="817">
        <v>22663</v>
      </c>
      <c r="J59" s="816">
        <v>12180</v>
      </c>
      <c r="K59" s="818">
        <f t="shared" si="0"/>
        <v>59742</v>
      </c>
      <c r="L59" s="816"/>
      <c r="M59" s="817">
        <v>442</v>
      </c>
      <c r="N59" s="817">
        <v>0</v>
      </c>
      <c r="O59" s="816">
        <v>7440</v>
      </c>
      <c r="P59" s="818">
        <f t="shared" si="1"/>
        <v>7882</v>
      </c>
      <c r="Q59" s="816"/>
      <c r="R59" s="817">
        <v>23723</v>
      </c>
      <c r="S59" s="816">
        <v>4327</v>
      </c>
      <c r="T59" s="819">
        <v>28050</v>
      </c>
    </row>
    <row r="60" spans="1:20" x14ac:dyDescent="0.25">
      <c r="A60" s="813">
        <v>90709</v>
      </c>
      <c r="B60" s="814" t="s">
        <v>2598</v>
      </c>
      <c r="C60" s="815">
        <v>1.683E-4</v>
      </c>
      <c r="D60" s="815">
        <v>1.2650000000000001E-4</v>
      </c>
      <c r="E60" s="816">
        <v>399265</v>
      </c>
      <c r="F60" s="816" t="s">
        <v>763</v>
      </c>
      <c r="G60" s="817">
        <v>61597</v>
      </c>
      <c r="H60" s="818">
        <v>54807</v>
      </c>
      <c r="I60" s="817">
        <v>105950</v>
      </c>
      <c r="J60" s="816">
        <v>39082</v>
      </c>
      <c r="K60" s="818">
        <f t="shared" si="0"/>
        <v>261436</v>
      </c>
      <c r="L60" s="816"/>
      <c r="M60" s="817">
        <v>2067</v>
      </c>
      <c r="N60" s="817">
        <v>0</v>
      </c>
      <c r="O60" s="816">
        <v>28001</v>
      </c>
      <c r="P60" s="818">
        <f t="shared" si="1"/>
        <v>30068</v>
      </c>
      <c r="Q60" s="816"/>
      <c r="R60" s="817">
        <v>110905</v>
      </c>
      <c r="S60" s="816">
        <v>346</v>
      </c>
      <c r="T60" s="819">
        <v>111251</v>
      </c>
    </row>
    <row r="61" spans="1:20" x14ac:dyDescent="0.25">
      <c r="A61" s="813">
        <v>90711</v>
      </c>
      <c r="B61" s="814" t="s">
        <v>2599</v>
      </c>
      <c r="C61" s="815">
        <v>1.6165000000000001E-3</v>
      </c>
      <c r="D61" s="815">
        <v>1.6877000000000001E-3</v>
      </c>
      <c r="E61" s="816">
        <v>3834891</v>
      </c>
      <c r="F61" s="816" t="s">
        <v>763</v>
      </c>
      <c r="G61" s="817">
        <v>591633</v>
      </c>
      <c r="H61" s="818">
        <v>526416</v>
      </c>
      <c r="I61" s="817">
        <v>1017632</v>
      </c>
      <c r="J61" s="816">
        <v>0</v>
      </c>
      <c r="K61" s="818">
        <f t="shared" si="0"/>
        <v>2135681</v>
      </c>
      <c r="L61" s="816"/>
      <c r="M61" s="817">
        <v>19852</v>
      </c>
      <c r="N61" s="817">
        <v>0</v>
      </c>
      <c r="O61" s="816">
        <v>152515</v>
      </c>
      <c r="P61" s="818">
        <f t="shared" si="1"/>
        <v>172367</v>
      </c>
      <c r="Q61" s="816"/>
      <c r="R61" s="817">
        <v>1065230</v>
      </c>
      <c r="S61" s="816">
        <v>-83743</v>
      </c>
      <c r="T61" s="819">
        <v>981487</v>
      </c>
    </row>
    <row r="62" spans="1:20" x14ac:dyDescent="0.25">
      <c r="A62" s="813">
        <v>90721</v>
      </c>
      <c r="B62" s="814" t="s">
        <v>3963</v>
      </c>
      <c r="C62" s="815">
        <v>2.8200000000000001E-5</v>
      </c>
      <c r="D62" s="815">
        <v>2.8600000000000001E-5</v>
      </c>
      <c r="E62" s="816">
        <v>66900</v>
      </c>
      <c r="F62" s="816" t="s">
        <v>763</v>
      </c>
      <c r="G62" s="817">
        <v>10321</v>
      </c>
      <c r="H62" s="818">
        <v>9183</v>
      </c>
      <c r="I62" s="817">
        <v>17753</v>
      </c>
      <c r="J62" s="816">
        <v>792</v>
      </c>
      <c r="K62" s="818">
        <f t="shared" si="0"/>
        <v>38049</v>
      </c>
      <c r="L62" s="816"/>
      <c r="M62" s="817">
        <v>346</v>
      </c>
      <c r="N62" s="817">
        <v>0</v>
      </c>
      <c r="O62" s="816">
        <v>3624</v>
      </c>
      <c r="P62" s="818">
        <f t="shared" si="1"/>
        <v>3970</v>
      </c>
      <c r="Q62" s="816"/>
      <c r="R62" s="817">
        <v>18583</v>
      </c>
      <c r="S62" s="816">
        <v>1108</v>
      </c>
      <c r="T62" s="819">
        <v>19691</v>
      </c>
    </row>
    <row r="63" spans="1:20" x14ac:dyDescent="0.25">
      <c r="A63" s="813">
        <v>90731</v>
      </c>
      <c r="B63" s="814" t="s">
        <v>3964</v>
      </c>
      <c r="C63" s="815">
        <v>1.4919999999999999E-4</v>
      </c>
      <c r="D63" s="815">
        <v>1.741E-4</v>
      </c>
      <c r="E63" s="816">
        <v>353953</v>
      </c>
      <c r="F63" s="816" t="s">
        <v>763</v>
      </c>
      <c r="G63" s="817">
        <v>54607</v>
      </c>
      <c r="H63" s="818">
        <v>48587</v>
      </c>
      <c r="I63" s="817">
        <v>93926</v>
      </c>
      <c r="J63" s="816">
        <v>0</v>
      </c>
      <c r="K63" s="818">
        <f t="shared" si="0"/>
        <v>197120</v>
      </c>
      <c r="L63" s="816"/>
      <c r="M63" s="817">
        <v>1832</v>
      </c>
      <c r="N63" s="817">
        <v>0</v>
      </c>
      <c r="O63" s="816">
        <v>24103</v>
      </c>
      <c r="P63" s="818">
        <f t="shared" si="1"/>
        <v>25935</v>
      </c>
      <c r="Q63" s="816"/>
      <c r="R63" s="817">
        <v>98319</v>
      </c>
      <c r="S63" s="816">
        <v>-10239</v>
      </c>
      <c r="T63" s="819">
        <v>88080</v>
      </c>
    </row>
    <row r="64" spans="1:20" x14ac:dyDescent="0.25">
      <c r="A64" s="813">
        <v>90741</v>
      </c>
      <c r="B64" s="814" t="s">
        <v>3965</v>
      </c>
      <c r="C64" s="815">
        <v>1.52E-5</v>
      </c>
      <c r="D64" s="815">
        <v>9.0999999999999993E-6</v>
      </c>
      <c r="E64" s="816">
        <v>36060</v>
      </c>
      <c r="F64" s="816" t="s">
        <v>763</v>
      </c>
      <c r="G64" s="817">
        <v>5563</v>
      </c>
      <c r="H64" s="818">
        <v>4950</v>
      </c>
      <c r="I64" s="817">
        <v>9569</v>
      </c>
      <c r="J64" s="816">
        <v>5141</v>
      </c>
      <c r="K64" s="818">
        <f t="shared" si="0"/>
        <v>25223</v>
      </c>
      <c r="L64" s="816"/>
      <c r="M64" s="817">
        <v>187</v>
      </c>
      <c r="N64" s="817">
        <v>0</v>
      </c>
      <c r="O64" s="816">
        <v>155</v>
      </c>
      <c r="P64" s="818">
        <f t="shared" si="1"/>
        <v>342</v>
      </c>
      <c r="Q64" s="816"/>
      <c r="R64" s="817">
        <v>10016</v>
      </c>
      <c r="S64" s="816">
        <v>1246</v>
      </c>
      <c r="T64" s="819">
        <v>11262</v>
      </c>
    </row>
    <row r="65" spans="1:20" x14ac:dyDescent="0.25">
      <c r="A65" s="813">
        <v>90751</v>
      </c>
      <c r="B65" s="814" t="s">
        <v>3966</v>
      </c>
      <c r="C65" s="815">
        <v>7.9499999999999994E-5</v>
      </c>
      <c r="D65" s="815">
        <v>6.8700000000000003E-5</v>
      </c>
      <c r="E65" s="816">
        <v>188601</v>
      </c>
      <c r="F65" s="816" t="s">
        <v>763</v>
      </c>
      <c r="G65" s="817">
        <v>29097</v>
      </c>
      <c r="H65" s="818">
        <v>25890</v>
      </c>
      <c r="I65" s="817">
        <v>50047</v>
      </c>
      <c r="J65" s="816">
        <v>3763</v>
      </c>
      <c r="K65" s="818">
        <f t="shared" si="0"/>
        <v>108797</v>
      </c>
      <c r="L65" s="816"/>
      <c r="M65" s="817">
        <v>976</v>
      </c>
      <c r="N65" s="817">
        <v>0</v>
      </c>
      <c r="O65" s="816">
        <v>810</v>
      </c>
      <c r="P65" s="818">
        <f t="shared" si="1"/>
        <v>1786</v>
      </c>
      <c r="Q65" s="816"/>
      <c r="R65" s="817">
        <v>52388</v>
      </c>
      <c r="S65" s="816">
        <v>3994</v>
      </c>
      <c r="T65" s="819">
        <v>56382</v>
      </c>
    </row>
    <row r="66" spans="1:20" x14ac:dyDescent="0.25">
      <c r="A66" s="813">
        <v>90801</v>
      </c>
      <c r="B66" s="814" t="s">
        <v>2604</v>
      </c>
      <c r="C66" s="815">
        <v>1.338E-3</v>
      </c>
      <c r="D66" s="815">
        <v>1.3064000000000001E-3</v>
      </c>
      <c r="E66" s="816">
        <v>3174194</v>
      </c>
      <c r="F66" s="816" t="s">
        <v>763</v>
      </c>
      <c r="G66" s="817">
        <v>489703</v>
      </c>
      <c r="H66" s="818">
        <v>435722</v>
      </c>
      <c r="I66" s="817">
        <v>842308</v>
      </c>
      <c r="J66" s="816">
        <v>86295</v>
      </c>
      <c r="K66" s="818">
        <f t="shared" si="0"/>
        <v>1854028</v>
      </c>
      <c r="L66" s="816"/>
      <c r="M66" s="817">
        <v>16432</v>
      </c>
      <c r="N66" s="817">
        <v>0</v>
      </c>
      <c r="O66" s="816">
        <v>50464</v>
      </c>
      <c r="P66" s="818">
        <f t="shared" si="1"/>
        <v>66896</v>
      </c>
      <c r="Q66" s="816"/>
      <c r="R66" s="817">
        <v>881706</v>
      </c>
      <c r="S66" s="816">
        <v>52732</v>
      </c>
      <c r="T66" s="819">
        <v>934438</v>
      </c>
    </row>
    <row r="67" spans="1:20" x14ac:dyDescent="0.25">
      <c r="A67" s="813">
        <v>90804</v>
      </c>
      <c r="B67" s="814" t="s">
        <v>2605</v>
      </c>
      <c r="C67" s="815">
        <v>6.0000000000000002E-6</v>
      </c>
      <c r="D67" s="815">
        <v>6.1999999999999999E-6</v>
      </c>
      <c r="E67" s="816">
        <v>14234</v>
      </c>
      <c r="F67" s="816" t="s">
        <v>763</v>
      </c>
      <c r="G67" s="817">
        <v>2196</v>
      </c>
      <c r="H67" s="818">
        <v>1954</v>
      </c>
      <c r="I67" s="817">
        <v>3777</v>
      </c>
      <c r="J67" s="816">
        <v>574</v>
      </c>
      <c r="K67" s="818">
        <f t="shared" si="0"/>
        <v>8501</v>
      </c>
      <c r="L67" s="816"/>
      <c r="M67" s="817">
        <v>74</v>
      </c>
      <c r="N67" s="817">
        <v>0</v>
      </c>
      <c r="O67" s="816">
        <v>215</v>
      </c>
      <c r="P67" s="818">
        <f t="shared" si="1"/>
        <v>289</v>
      </c>
      <c r="Q67" s="816"/>
      <c r="R67" s="817">
        <v>3954</v>
      </c>
      <c r="S67" s="816">
        <v>834</v>
      </c>
      <c r="T67" s="819">
        <v>4788</v>
      </c>
    </row>
    <row r="68" spans="1:20" x14ac:dyDescent="0.25">
      <c r="A68" s="813">
        <v>90805</v>
      </c>
      <c r="B68" s="814" t="s">
        <v>2606</v>
      </c>
      <c r="C68" s="815">
        <v>6.6600000000000006E-5</v>
      </c>
      <c r="D68" s="815">
        <v>5.1900000000000001E-5</v>
      </c>
      <c r="E68" s="816">
        <v>157998</v>
      </c>
      <c r="F68" s="816" t="s">
        <v>763</v>
      </c>
      <c r="G68" s="817">
        <v>24375</v>
      </c>
      <c r="H68" s="818">
        <v>21688</v>
      </c>
      <c r="I68" s="817">
        <v>41927</v>
      </c>
      <c r="J68" s="816">
        <v>29750</v>
      </c>
      <c r="K68" s="818">
        <f t="shared" si="0"/>
        <v>117740</v>
      </c>
      <c r="L68" s="816"/>
      <c r="M68" s="817">
        <v>818</v>
      </c>
      <c r="N68" s="817">
        <v>0</v>
      </c>
      <c r="O68" s="816">
        <v>0</v>
      </c>
      <c r="P68" s="818">
        <f t="shared" si="1"/>
        <v>818</v>
      </c>
      <c r="Q68" s="816"/>
      <c r="R68" s="817">
        <v>43888</v>
      </c>
      <c r="S68" s="816">
        <v>13705</v>
      </c>
      <c r="T68" s="819">
        <v>57593</v>
      </c>
    </row>
    <row r="69" spans="1:20" x14ac:dyDescent="0.25">
      <c r="A69" s="813">
        <v>90808</v>
      </c>
      <c r="B69" s="814" t="s">
        <v>2607</v>
      </c>
      <c r="C69" s="815">
        <v>1.0119999999999999E-4</v>
      </c>
      <c r="D69" s="815">
        <v>1.131E-4</v>
      </c>
      <c r="E69" s="816">
        <v>240081</v>
      </c>
      <c r="F69" s="816" t="s">
        <v>763</v>
      </c>
      <c r="G69" s="817">
        <v>37039</v>
      </c>
      <c r="H69" s="818">
        <v>32956</v>
      </c>
      <c r="I69" s="817">
        <v>63708</v>
      </c>
      <c r="J69" s="816">
        <v>3985</v>
      </c>
      <c r="K69" s="818">
        <f t="shared" si="0"/>
        <v>137688</v>
      </c>
      <c r="L69" s="816"/>
      <c r="M69" s="817">
        <v>1243</v>
      </c>
      <c r="N69" s="817">
        <v>0</v>
      </c>
      <c r="O69" s="816">
        <v>1338</v>
      </c>
      <c r="P69" s="818">
        <f t="shared" si="1"/>
        <v>2581</v>
      </c>
      <c r="Q69" s="816"/>
      <c r="R69" s="817">
        <v>66688</v>
      </c>
      <c r="S69" s="816">
        <v>662</v>
      </c>
      <c r="T69" s="819">
        <v>67350</v>
      </c>
    </row>
    <row r="70" spans="1:20" x14ac:dyDescent="0.25">
      <c r="A70" s="813">
        <v>90811</v>
      </c>
      <c r="B70" s="814" t="s">
        <v>3967</v>
      </c>
      <c r="C70" s="815">
        <v>3.6199999999999999E-5</v>
      </c>
      <c r="D70" s="815">
        <v>3.3599999999999997E-5</v>
      </c>
      <c r="E70" s="816">
        <v>85879</v>
      </c>
      <c r="F70" s="816" t="s">
        <v>763</v>
      </c>
      <c r="G70" s="817">
        <v>13249</v>
      </c>
      <c r="H70" s="818">
        <v>11789</v>
      </c>
      <c r="I70" s="817">
        <v>22789</v>
      </c>
      <c r="J70" s="816">
        <v>0</v>
      </c>
      <c r="K70" s="818">
        <f t="shared" si="0"/>
        <v>47827</v>
      </c>
      <c r="L70" s="816"/>
      <c r="M70" s="817">
        <v>445</v>
      </c>
      <c r="N70" s="817">
        <v>0</v>
      </c>
      <c r="O70" s="816">
        <v>9224</v>
      </c>
      <c r="P70" s="818">
        <f t="shared" si="1"/>
        <v>9669</v>
      </c>
      <c r="Q70" s="816"/>
      <c r="R70" s="817">
        <v>23855</v>
      </c>
      <c r="S70" s="816">
        <v>-2702</v>
      </c>
      <c r="T70" s="819">
        <v>21153</v>
      </c>
    </row>
    <row r="71" spans="1:20" x14ac:dyDescent="0.25">
      <c r="A71" s="813">
        <v>90812</v>
      </c>
      <c r="B71" s="814" t="s">
        <v>3968</v>
      </c>
      <c r="C71" s="815">
        <v>2.2489999999999999E-4</v>
      </c>
      <c r="D71" s="815">
        <v>2.2900000000000001E-4</v>
      </c>
      <c r="E71" s="816">
        <v>533540</v>
      </c>
      <c r="F71" s="816" t="s">
        <v>763</v>
      </c>
      <c r="G71" s="817">
        <v>82313</v>
      </c>
      <c r="H71" s="818">
        <v>73239</v>
      </c>
      <c r="I71" s="817">
        <v>141581</v>
      </c>
      <c r="J71" s="816">
        <v>8319</v>
      </c>
      <c r="K71" s="818">
        <f t="shared" ref="K71:K135" si="2">G71+H71+I71+J71</f>
        <v>305452</v>
      </c>
      <c r="L71" s="816"/>
      <c r="M71" s="817">
        <v>2762</v>
      </c>
      <c r="N71" s="817">
        <v>0</v>
      </c>
      <c r="O71" s="816">
        <v>11401</v>
      </c>
      <c r="P71" s="818">
        <f t="shared" ref="P71:P135" si="3">M71+N71+O71</f>
        <v>14163</v>
      </c>
      <c r="Q71" s="816"/>
      <c r="R71" s="817">
        <v>148203</v>
      </c>
      <c r="S71" s="816">
        <v>1945</v>
      </c>
      <c r="T71" s="819">
        <v>150148</v>
      </c>
    </row>
    <row r="72" spans="1:20" x14ac:dyDescent="0.25">
      <c r="A72" s="813">
        <v>90813</v>
      </c>
      <c r="B72" s="814" t="s">
        <v>3969</v>
      </c>
      <c r="C72" s="815">
        <v>5.0000000000000004E-6</v>
      </c>
      <c r="D72" s="815">
        <v>5.3000000000000001E-6</v>
      </c>
      <c r="E72" s="816">
        <v>11862</v>
      </c>
      <c r="F72" s="816" t="s">
        <v>763</v>
      </c>
      <c r="G72" s="817">
        <v>1830</v>
      </c>
      <c r="H72" s="818">
        <v>1628</v>
      </c>
      <c r="I72" s="817">
        <v>3148</v>
      </c>
      <c r="J72" s="816">
        <v>0</v>
      </c>
      <c r="K72" s="818">
        <f t="shared" si="2"/>
        <v>6606</v>
      </c>
      <c r="L72" s="816"/>
      <c r="M72" s="817">
        <v>61</v>
      </c>
      <c r="N72" s="817">
        <v>0</v>
      </c>
      <c r="O72" s="816">
        <v>1028</v>
      </c>
      <c r="P72" s="818">
        <f t="shared" si="3"/>
        <v>1089</v>
      </c>
      <c r="Q72" s="816"/>
      <c r="R72" s="817">
        <v>3295</v>
      </c>
      <c r="S72" s="816">
        <v>-607</v>
      </c>
      <c r="T72" s="819">
        <v>2688</v>
      </c>
    </row>
    <row r="73" spans="1:20" x14ac:dyDescent="0.25">
      <c r="A73" s="813">
        <v>90861</v>
      </c>
      <c r="B73" s="814" t="s">
        <v>3970</v>
      </c>
      <c r="C73" s="815">
        <v>7.7999999999999999E-6</v>
      </c>
      <c r="D73" s="815">
        <v>4.1999999999999996E-6</v>
      </c>
      <c r="E73" s="816">
        <v>18504</v>
      </c>
      <c r="F73" s="816" t="s">
        <v>763</v>
      </c>
      <c r="G73" s="817">
        <v>2855</v>
      </c>
      <c r="H73" s="818">
        <v>2540</v>
      </c>
      <c r="I73" s="817">
        <v>4910</v>
      </c>
      <c r="J73" s="816">
        <v>6531</v>
      </c>
      <c r="K73" s="818">
        <f t="shared" si="2"/>
        <v>16836</v>
      </c>
      <c r="L73" s="816"/>
      <c r="M73" s="817">
        <v>96</v>
      </c>
      <c r="N73" s="817">
        <v>0</v>
      </c>
      <c r="O73" s="816">
        <v>0</v>
      </c>
      <c r="P73" s="818">
        <f t="shared" si="3"/>
        <v>96</v>
      </c>
      <c r="Q73" s="816"/>
      <c r="R73" s="817">
        <v>5140</v>
      </c>
      <c r="S73" s="816">
        <v>1362</v>
      </c>
      <c r="T73" s="819">
        <v>6502</v>
      </c>
    </row>
    <row r="74" spans="1:20" x14ac:dyDescent="0.25">
      <c r="A74" s="813">
        <v>90901</v>
      </c>
      <c r="B74" s="814" t="s">
        <v>2612</v>
      </c>
      <c r="C74" s="815">
        <v>2.1440000000000001E-3</v>
      </c>
      <c r="D74" s="815">
        <v>2.1814999999999998E-3</v>
      </c>
      <c r="E74" s="816">
        <v>5086301</v>
      </c>
      <c r="F74" s="816" t="s">
        <v>763</v>
      </c>
      <c r="G74" s="817">
        <v>784695</v>
      </c>
      <c r="H74" s="818">
        <v>698198</v>
      </c>
      <c r="I74" s="817">
        <v>1349708</v>
      </c>
      <c r="J74" s="816">
        <v>13390</v>
      </c>
      <c r="K74" s="818">
        <f t="shared" si="2"/>
        <v>2845991</v>
      </c>
      <c r="L74" s="816"/>
      <c r="M74" s="817">
        <v>26330</v>
      </c>
      <c r="N74" s="817">
        <v>0</v>
      </c>
      <c r="O74" s="816">
        <v>28266</v>
      </c>
      <c r="P74" s="818">
        <f t="shared" si="3"/>
        <v>54596</v>
      </c>
      <c r="Q74" s="816"/>
      <c r="R74" s="817">
        <v>1412838</v>
      </c>
      <c r="S74" s="816">
        <v>-7333</v>
      </c>
      <c r="T74" s="819">
        <v>1405505</v>
      </c>
    </row>
    <row r="75" spans="1:20" x14ac:dyDescent="0.25">
      <c r="A75" s="813">
        <v>90911</v>
      </c>
      <c r="B75" s="814" t="s">
        <v>3971</v>
      </c>
      <c r="C75" s="815">
        <v>4.037E-4</v>
      </c>
      <c r="D75" s="815">
        <v>3.9780000000000002E-4</v>
      </c>
      <c r="E75" s="816">
        <v>957714</v>
      </c>
      <c r="F75" s="816" t="s">
        <v>763</v>
      </c>
      <c r="G75" s="817">
        <v>147753</v>
      </c>
      <c r="H75" s="818">
        <v>131466</v>
      </c>
      <c r="I75" s="817">
        <v>254140</v>
      </c>
      <c r="J75" s="816">
        <v>5104</v>
      </c>
      <c r="K75" s="818">
        <f t="shared" si="2"/>
        <v>538463</v>
      </c>
      <c r="L75" s="816"/>
      <c r="M75" s="817">
        <v>4958</v>
      </c>
      <c r="N75" s="817">
        <v>0</v>
      </c>
      <c r="O75" s="816">
        <v>27769</v>
      </c>
      <c r="P75" s="818">
        <f t="shared" si="3"/>
        <v>32727</v>
      </c>
      <c r="Q75" s="816"/>
      <c r="R75" s="817">
        <v>266027</v>
      </c>
      <c r="S75" s="816">
        <v>-22253</v>
      </c>
      <c r="T75" s="819">
        <v>243774</v>
      </c>
    </row>
    <row r="76" spans="1:20" x14ac:dyDescent="0.25">
      <c r="A76" s="813">
        <v>90917</v>
      </c>
      <c r="B76" s="814" t="s">
        <v>2614</v>
      </c>
      <c r="C76" s="815">
        <v>1.1800000000000001E-5</v>
      </c>
      <c r="D76" s="815">
        <v>1.4399999999999999E-5</v>
      </c>
      <c r="E76" s="816">
        <v>27994</v>
      </c>
      <c r="F76" s="816" t="s">
        <v>185</v>
      </c>
      <c r="G76" s="817">
        <v>4319</v>
      </c>
      <c r="H76" s="818">
        <v>3843</v>
      </c>
      <c r="I76" s="817">
        <v>7428</v>
      </c>
      <c r="J76" s="816">
        <v>910</v>
      </c>
      <c r="K76" s="818">
        <f t="shared" si="2"/>
        <v>16500</v>
      </c>
      <c r="L76" s="816"/>
      <c r="M76" s="817">
        <v>145</v>
      </c>
      <c r="N76" s="817">
        <v>0</v>
      </c>
      <c r="O76" s="816">
        <v>1772</v>
      </c>
      <c r="P76" s="818">
        <f t="shared" si="3"/>
        <v>1917</v>
      </c>
      <c r="Q76" s="816"/>
      <c r="R76" s="817">
        <v>7776</v>
      </c>
      <c r="S76" s="816">
        <v>-363</v>
      </c>
      <c r="T76" s="819">
        <v>7413</v>
      </c>
    </row>
    <row r="77" spans="1:20" x14ac:dyDescent="0.25">
      <c r="A77" s="813">
        <v>90918</v>
      </c>
      <c r="B77" s="814" t="s">
        <v>2615</v>
      </c>
      <c r="C77" s="815">
        <v>1.13E-5</v>
      </c>
      <c r="D77" s="815">
        <v>1.19E-5</v>
      </c>
      <c r="E77" s="816">
        <v>26807</v>
      </c>
      <c r="F77" s="816" t="s">
        <v>185</v>
      </c>
      <c r="G77" s="817">
        <v>4136</v>
      </c>
      <c r="H77" s="818">
        <v>3680</v>
      </c>
      <c r="I77" s="817">
        <v>7114</v>
      </c>
      <c r="J77" s="816">
        <v>0</v>
      </c>
      <c r="K77" s="818">
        <f t="shared" si="2"/>
        <v>14930</v>
      </c>
      <c r="L77" s="816"/>
      <c r="M77" s="817">
        <v>139</v>
      </c>
      <c r="N77" s="817">
        <v>0</v>
      </c>
      <c r="O77" s="816">
        <v>2292</v>
      </c>
      <c r="P77" s="818">
        <f t="shared" si="3"/>
        <v>2431</v>
      </c>
      <c r="Q77" s="816"/>
      <c r="R77" s="817">
        <v>7446</v>
      </c>
      <c r="S77" s="816">
        <v>-1290</v>
      </c>
      <c r="T77" s="819">
        <v>6156</v>
      </c>
    </row>
    <row r="78" spans="1:20" x14ac:dyDescent="0.25">
      <c r="A78" s="813">
        <v>90921</v>
      </c>
      <c r="B78" s="814" t="s">
        <v>3972</v>
      </c>
      <c r="C78" s="815">
        <v>1.2789999999999999E-4</v>
      </c>
      <c r="D78" s="815">
        <v>1.2970000000000001E-4</v>
      </c>
      <c r="E78" s="816">
        <v>303423</v>
      </c>
      <c r="F78" s="816" t="s">
        <v>185</v>
      </c>
      <c r="G78" s="817">
        <v>46811</v>
      </c>
      <c r="H78" s="818">
        <v>41651</v>
      </c>
      <c r="I78" s="817">
        <v>80517</v>
      </c>
      <c r="J78" s="816">
        <v>22540</v>
      </c>
      <c r="K78" s="818">
        <f t="shared" si="2"/>
        <v>191519</v>
      </c>
      <c r="L78" s="816"/>
      <c r="M78" s="817">
        <v>1571</v>
      </c>
      <c r="N78" s="817">
        <v>0</v>
      </c>
      <c r="O78" s="816">
        <v>4483</v>
      </c>
      <c r="P78" s="818">
        <f t="shared" si="3"/>
        <v>6054</v>
      </c>
      <c r="Q78" s="816"/>
      <c r="R78" s="817">
        <v>84283</v>
      </c>
      <c r="S78" s="816">
        <v>4862</v>
      </c>
      <c r="T78" s="819">
        <v>89145</v>
      </c>
    </row>
    <row r="79" spans="1:20" x14ac:dyDescent="0.25">
      <c r="A79" s="813">
        <v>90931</v>
      </c>
      <c r="B79" s="814" t="s">
        <v>3973</v>
      </c>
      <c r="C79" s="815">
        <v>3.8099999999999998E-5</v>
      </c>
      <c r="D79" s="815">
        <v>4.07E-5</v>
      </c>
      <c r="E79" s="816">
        <v>90386</v>
      </c>
      <c r="F79" s="816" t="s">
        <v>185</v>
      </c>
      <c r="G79" s="817">
        <v>13944</v>
      </c>
      <c r="H79" s="818">
        <v>12407</v>
      </c>
      <c r="I79" s="817">
        <v>23985</v>
      </c>
      <c r="J79" s="816">
        <v>1061</v>
      </c>
      <c r="K79" s="818">
        <f t="shared" si="2"/>
        <v>51397</v>
      </c>
      <c r="L79" s="816"/>
      <c r="M79" s="817">
        <v>468</v>
      </c>
      <c r="N79" s="817">
        <v>0</v>
      </c>
      <c r="O79" s="816">
        <v>13836</v>
      </c>
      <c r="P79" s="818">
        <f t="shared" si="3"/>
        <v>14304</v>
      </c>
      <c r="Q79" s="816"/>
      <c r="R79" s="817">
        <v>25107</v>
      </c>
      <c r="S79" s="816">
        <v>-2235</v>
      </c>
      <c r="T79" s="819">
        <v>22872</v>
      </c>
    </row>
    <row r="80" spans="1:20" x14ac:dyDescent="0.25">
      <c r="A80" s="813">
        <v>90941</v>
      </c>
      <c r="B80" s="814" t="s">
        <v>3974</v>
      </c>
      <c r="C80" s="815">
        <v>8.2000000000000001E-5</v>
      </c>
      <c r="D80" s="815">
        <v>7.0300000000000001E-5</v>
      </c>
      <c r="E80" s="816">
        <v>194532</v>
      </c>
      <c r="F80" s="816" t="s">
        <v>185</v>
      </c>
      <c r="G80" s="817">
        <v>30012</v>
      </c>
      <c r="H80" s="818">
        <v>26704</v>
      </c>
      <c r="I80" s="817">
        <v>51621</v>
      </c>
      <c r="J80" s="816">
        <v>8606</v>
      </c>
      <c r="K80" s="818">
        <f t="shared" si="2"/>
        <v>116943</v>
      </c>
      <c r="L80" s="816"/>
      <c r="M80" s="817">
        <v>1007</v>
      </c>
      <c r="N80" s="817">
        <v>0</v>
      </c>
      <c r="O80" s="816">
        <v>10455</v>
      </c>
      <c r="P80" s="818">
        <f t="shared" si="3"/>
        <v>11462</v>
      </c>
      <c r="Q80" s="816"/>
      <c r="R80" s="817">
        <v>54036</v>
      </c>
      <c r="S80" s="816">
        <v>-3109</v>
      </c>
      <c r="T80" s="819">
        <v>50927</v>
      </c>
    </row>
    <row r="81" spans="1:20" x14ac:dyDescent="0.25">
      <c r="A81" s="813">
        <v>91001</v>
      </c>
      <c r="B81" s="814" t="s">
        <v>2619</v>
      </c>
      <c r="C81" s="815">
        <v>6.6366999999999997E-3</v>
      </c>
      <c r="D81" s="815">
        <v>6.6703999999999999E-3</v>
      </c>
      <c r="E81" s="816">
        <v>15744522</v>
      </c>
      <c r="F81" s="816" t="s">
        <v>185</v>
      </c>
      <c r="G81" s="817">
        <v>2429006</v>
      </c>
      <c r="H81" s="818">
        <v>2161254</v>
      </c>
      <c r="I81" s="817">
        <v>4177988</v>
      </c>
      <c r="J81" s="816">
        <v>0</v>
      </c>
      <c r="K81" s="818">
        <f t="shared" si="2"/>
        <v>8768248</v>
      </c>
      <c r="L81" s="816"/>
      <c r="M81" s="817">
        <v>81505</v>
      </c>
      <c r="N81" s="817">
        <v>0</v>
      </c>
      <c r="O81" s="816">
        <v>332799</v>
      </c>
      <c r="P81" s="818">
        <f t="shared" si="3"/>
        <v>414304</v>
      </c>
      <c r="Q81" s="816"/>
      <c r="R81" s="817">
        <v>4373406</v>
      </c>
      <c r="S81" s="816">
        <v>-87933</v>
      </c>
      <c r="T81" s="819">
        <v>4285473</v>
      </c>
    </row>
    <row r="82" spans="1:20" x14ac:dyDescent="0.25">
      <c r="A82" s="813">
        <v>91002</v>
      </c>
      <c r="B82" s="814" t="s">
        <v>3975</v>
      </c>
      <c r="C82" s="815">
        <v>9.4410000000000002E-4</v>
      </c>
      <c r="D82" s="815">
        <v>6.8860000000000004E-4</v>
      </c>
      <c r="E82" s="816">
        <v>2239728</v>
      </c>
      <c r="F82" s="816" t="s">
        <v>185</v>
      </c>
      <c r="G82" s="817">
        <v>345537</v>
      </c>
      <c r="H82" s="818">
        <v>307448</v>
      </c>
      <c r="I82" s="817">
        <v>594337</v>
      </c>
      <c r="J82" s="816">
        <v>166396</v>
      </c>
      <c r="K82" s="818">
        <f t="shared" si="2"/>
        <v>1413718</v>
      </c>
      <c r="L82" s="816"/>
      <c r="M82" s="817">
        <v>11594</v>
      </c>
      <c r="N82" s="817">
        <v>0</v>
      </c>
      <c r="O82" s="816">
        <v>27902</v>
      </c>
      <c r="P82" s="818">
        <f t="shared" si="3"/>
        <v>39496</v>
      </c>
      <c r="Q82" s="816"/>
      <c r="R82" s="817">
        <v>622136</v>
      </c>
      <c r="S82" s="816">
        <v>25830</v>
      </c>
      <c r="T82" s="819">
        <v>647966</v>
      </c>
    </row>
    <row r="83" spans="1:20" x14ac:dyDescent="0.25">
      <c r="A83" s="813">
        <v>91003</v>
      </c>
      <c r="B83" s="814" t="s">
        <v>2621</v>
      </c>
      <c r="C83" s="815">
        <v>5.354E-4</v>
      </c>
      <c r="D83" s="815">
        <v>5.7260000000000004E-4</v>
      </c>
      <c r="E83" s="816">
        <v>1270152</v>
      </c>
      <c r="F83" s="816" t="s">
        <v>185</v>
      </c>
      <c r="G83" s="817">
        <v>195954</v>
      </c>
      <c r="H83" s="818">
        <v>174354</v>
      </c>
      <c r="I83" s="817">
        <v>337049</v>
      </c>
      <c r="J83" s="816">
        <v>10600</v>
      </c>
      <c r="K83" s="818">
        <f t="shared" si="2"/>
        <v>717957</v>
      </c>
      <c r="L83" s="816"/>
      <c r="M83" s="817">
        <v>6575</v>
      </c>
      <c r="N83" s="817">
        <v>0</v>
      </c>
      <c r="O83" s="816">
        <v>38265</v>
      </c>
      <c r="P83" s="818">
        <f t="shared" si="3"/>
        <v>44840</v>
      </c>
      <c r="Q83" s="816"/>
      <c r="R83" s="817">
        <v>352814</v>
      </c>
      <c r="S83" s="816">
        <v>2232</v>
      </c>
      <c r="T83" s="819">
        <v>355046</v>
      </c>
    </row>
    <row r="84" spans="1:20" x14ac:dyDescent="0.25">
      <c r="A84" s="813">
        <v>91004</v>
      </c>
      <c r="B84" s="814" t="s">
        <v>2622</v>
      </c>
      <c r="C84" s="815">
        <v>3.6600000000000002E-5</v>
      </c>
      <c r="D84" s="815">
        <v>2.58E-5</v>
      </c>
      <c r="E84" s="816">
        <v>86828</v>
      </c>
      <c r="F84" s="816" t="s">
        <v>185</v>
      </c>
      <c r="G84" s="817">
        <v>13395</v>
      </c>
      <c r="H84" s="818">
        <v>11919</v>
      </c>
      <c r="I84" s="817">
        <v>23041</v>
      </c>
      <c r="J84" s="816">
        <v>15071</v>
      </c>
      <c r="K84" s="818">
        <f t="shared" si="2"/>
        <v>63426</v>
      </c>
      <c r="L84" s="816"/>
      <c r="M84" s="817">
        <v>449</v>
      </c>
      <c r="N84" s="817">
        <v>0</v>
      </c>
      <c r="O84" s="816">
        <v>0</v>
      </c>
      <c r="P84" s="818">
        <f t="shared" si="3"/>
        <v>449</v>
      </c>
      <c r="Q84" s="816"/>
      <c r="R84" s="817">
        <v>24118</v>
      </c>
      <c r="S84" s="816">
        <v>6104</v>
      </c>
      <c r="T84" s="819">
        <v>30222</v>
      </c>
    </row>
    <row r="85" spans="1:20" x14ac:dyDescent="0.25">
      <c r="A85" s="813">
        <v>91006</v>
      </c>
      <c r="B85" s="814" t="s">
        <v>2623</v>
      </c>
      <c r="C85" s="815">
        <v>1.0660999999999999E-3</v>
      </c>
      <c r="D85" s="815">
        <v>1.0317E-3</v>
      </c>
      <c r="E85" s="816">
        <v>2529154</v>
      </c>
      <c r="F85" s="816" t="s">
        <v>185</v>
      </c>
      <c r="G85" s="817">
        <v>390188</v>
      </c>
      <c r="H85" s="818">
        <v>347177</v>
      </c>
      <c r="I85" s="817">
        <v>671140</v>
      </c>
      <c r="J85" s="816">
        <v>7631</v>
      </c>
      <c r="K85" s="818">
        <f t="shared" si="2"/>
        <v>1416136</v>
      </c>
      <c r="L85" s="816"/>
      <c r="M85" s="817">
        <v>13093</v>
      </c>
      <c r="N85" s="817">
        <v>0</v>
      </c>
      <c r="O85" s="816">
        <v>29301</v>
      </c>
      <c r="P85" s="818">
        <f t="shared" si="3"/>
        <v>42394</v>
      </c>
      <c r="Q85" s="816"/>
      <c r="R85" s="817">
        <v>702531</v>
      </c>
      <c r="S85" s="816">
        <v>-205</v>
      </c>
      <c r="T85" s="819">
        <v>702326</v>
      </c>
    </row>
    <row r="86" spans="1:20" x14ac:dyDescent="0.25">
      <c r="A86" s="813">
        <v>91007</v>
      </c>
      <c r="B86" s="814" t="s">
        <v>2624</v>
      </c>
      <c r="C86" s="815">
        <v>8.4999999999999999E-6</v>
      </c>
      <c r="D86" s="815">
        <v>9.5000000000000005E-6</v>
      </c>
      <c r="E86" s="816">
        <v>20165</v>
      </c>
      <c r="F86" s="816" t="s">
        <v>185</v>
      </c>
      <c r="G86" s="817">
        <v>3111</v>
      </c>
      <c r="H86" s="818">
        <v>2768</v>
      </c>
      <c r="I86" s="817">
        <v>5351</v>
      </c>
      <c r="J86" s="816">
        <v>4888</v>
      </c>
      <c r="K86" s="818">
        <f t="shared" si="2"/>
        <v>16118</v>
      </c>
      <c r="L86" s="816"/>
      <c r="M86" s="817">
        <v>104</v>
      </c>
      <c r="N86" s="817">
        <v>0</v>
      </c>
      <c r="O86" s="816">
        <v>0</v>
      </c>
      <c r="P86" s="818">
        <f t="shared" si="3"/>
        <v>104</v>
      </c>
      <c r="Q86" s="816"/>
      <c r="R86" s="817">
        <v>5601</v>
      </c>
      <c r="S86" s="816">
        <v>2173</v>
      </c>
      <c r="T86" s="819">
        <v>7774</v>
      </c>
    </row>
    <row r="87" spans="1:20" x14ac:dyDescent="0.25">
      <c r="A87" s="813">
        <v>91008</v>
      </c>
      <c r="B87" s="814" t="s">
        <v>2625</v>
      </c>
      <c r="C87" s="815">
        <v>1.3909999999999999E-4</v>
      </c>
      <c r="D87" s="815">
        <v>1.236E-4</v>
      </c>
      <c r="E87" s="816">
        <v>329993</v>
      </c>
      <c r="F87" s="816" t="s">
        <v>185</v>
      </c>
      <c r="G87" s="817">
        <v>50910</v>
      </c>
      <c r="H87" s="818">
        <v>45298</v>
      </c>
      <c r="I87" s="817">
        <v>87567</v>
      </c>
      <c r="J87" s="816">
        <v>36233</v>
      </c>
      <c r="K87" s="818">
        <f t="shared" si="2"/>
        <v>220008</v>
      </c>
      <c r="L87" s="816"/>
      <c r="M87" s="817">
        <v>1708</v>
      </c>
      <c r="N87" s="817">
        <v>0</v>
      </c>
      <c r="O87" s="816">
        <v>0</v>
      </c>
      <c r="P87" s="818">
        <f t="shared" si="3"/>
        <v>1708</v>
      </c>
      <c r="Q87" s="816"/>
      <c r="R87" s="817">
        <v>91663</v>
      </c>
      <c r="S87" s="816">
        <v>21688</v>
      </c>
      <c r="T87" s="819">
        <v>113351</v>
      </c>
    </row>
    <row r="88" spans="1:20" x14ac:dyDescent="0.25">
      <c r="A88" s="813">
        <v>91009</v>
      </c>
      <c r="B88" s="814" t="s">
        <v>2626</v>
      </c>
      <c r="C88" s="815">
        <v>1.59E-5</v>
      </c>
      <c r="D88" s="815">
        <v>1.7499999999999998E-5</v>
      </c>
      <c r="E88" s="816">
        <v>37720</v>
      </c>
      <c r="F88" s="816" t="s">
        <v>185</v>
      </c>
      <c r="G88" s="817">
        <v>5819</v>
      </c>
      <c r="H88" s="818">
        <v>5178</v>
      </c>
      <c r="I88" s="817">
        <v>10009</v>
      </c>
      <c r="J88" s="816">
        <v>5304</v>
      </c>
      <c r="K88" s="818">
        <f t="shared" si="2"/>
        <v>26310</v>
      </c>
      <c r="L88" s="816"/>
      <c r="M88" s="817">
        <v>195</v>
      </c>
      <c r="N88" s="817">
        <v>0</v>
      </c>
      <c r="O88" s="816">
        <v>1101</v>
      </c>
      <c r="P88" s="818">
        <f t="shared" si="3"/>
        <v>1296</v>
      </c>
      <c r="Q88" s="816"/>
      <c r="R88" s="817">
        <v>10478</v>
      </c>
      <c r="S88" s="816">
        <v>660</v>
      </c>
      <c r="T88" s="819">
        <v>11138</v>
      </c>
    </row>
    <row r="89" spans="1:20" x14ac:dyDescent="0.25">
      <c r="A89" s="813">
        <v>91010</v>
      </c>
      <c r="B89" s="814" t="s">
        <v>3976</v>
      </c>
      <c r="C89" s="815">
        <v>5.8699999999999997E-5</v>
      </c>
      <c r="D89" s="815">
        <v>7.0099999999999996E-5</v>
      </c>
      <c r="E89" s="816">
        <v>139256</v>
      </c>
      <c r="F89" s="816" t="s">
        <v>185</v>
      </c>
      <c r="G89" s="817">
        <v>21484</v>
      </c>
      <c r="H89" s="818">
        <v>19115</v>
      </c>
      <c r="I89" s="817">
        <v>36953</v>
      </c>
      <c r="J89" s="816">
        <v>2787</v>
      </c>
      <c r="K89" s="818">
        <f t="shared" si="2"/>
        <v>80339</v>
      </c>
      <c r="L89" s="816"/>
      <c r="M89" s="817">
        <v>721</v>
      </c>
      <c r="N89" s="817">
        <v>0</v>
      </c>
      <c r="O89" s="816">
        <v>6905</v>
      </c>
      <c r="P89" s="818">
        <f t="shared" si="3"/>
        <v>7626</v>
      </c>
      <c r="Q89" s="816"/>
      <c r="R89" s="817">
        <v>38682</v>
      </c>
      <c r="S89" s="816">
        <v>3034</v>
      </c>
      <c r="T89" s="819">
        <v>41716</v>
      </c>
    </row>
    <row r="90" spans="1:20" x14ac:dyDescent="0.25">
      <c r="A90" s="813">
        <v>91011</v>
      </c>
      <c r="B90" s="814" t="s">
        <v>2628</v>
      </c>
      <c r="C90" s="815">
        <v>3.6509999999999998E-4</v>
      </c>
      <c r="D90" s="815">
        <v>3.5760000000000002E-4</v>
      </c>
      <c r="E90" s="816">
        <v>866142</v>
      </c>
      <c r="F90" s="816" t="s">
        <v>185</v>
      </c>
      <c r="G90" s="817">
        <v>133625</v>
      </c>
      <c r="H90" s="818">
        <v>118896</v>
      </c>
      <c r="I90" s="817">
        <v>229841</v>
      </c>
      <c r="J90" s="816">
        <v>27536</v>
      </c>
      <c r="K90" s="818">
        <f t="shared" si="2"/>
        <v>509898</v>
      </c>
      <c r="L90" s="816"/>
      <c r="M90" s="817">
        <v>4484</v>
      </c>
      <c r="N90" s="817">
        <v>0</v>
      </c>
      <c r="O90" s="816">
        <v>1497</v>
      </c>
      <c r="P90" s="818">
        <f t="shared" si="3"/>
        <v>5981</v>
      </c>
      <c r="Q90" s="816"/>
      <c r="R90" s="817">
        <v>240591</v>
      </c>
      <c r="S90" s="816">
        <v>15734</v>
      </c>
      <c r="T90" s="819">
        <v>256325</v>
      </c>
    </row>
    <row r="91" spans="1:20" x14ac:dyDescent="0.25">
      <c r="A91" s="813">
        <v>91012</v>
      </c>
      <c r="B91" s="814" t="s">
        <v>2629</v>
      </c>
      <c r="C91" s="815">
        <v>1.42E-5</v>
      </c>
      <c r="D91" s="815">
        <v>1.9300000000000002E-5</v>
      </c>
      <c r="E91" s="816">
        <v>33687</v>
      </c>
      <c r="F91" s="816" t="s">
        <v>185</v>
      </c>
      <c r="G91" s="817">
        <v>5197</v>
      </c>
      <c r="H91" s="818">
        <v>4624</v>
      </c>
      <c r="I91" s="817">
        <v>8939</v>
      </c>
      <c r="J91" s="816">
        <v>3786</v>
      </c>
      <c r="K91" s="818">
        <f t="shared" si="2"/>
        <v>22546</v>
      </c>
      <c r="L91" s="816"/>
      <c r="M91" s="817">
        <v>174</v>
      </c>
      <c r="N91" s="817">
        <v>0</v>
      </c>
      <c r="O91" s="816">
        <v>3306</v>
      </c>
      <c r="P91" s="818">
        <f t="shared" si="3"/>
        <v>3480</v>
      </c>
      <c r="Q91" s="816"/>
      <c r="R91" s="817">
        <v>9357</v>
      </c>
      <c r="S91" s="816">
        <v>-1418</v>
      </c>
      <c r="T91" s="819">
        <v>7939</v>
      </c>
    </row>
    <row r="92" spans="1:20" x14ac:dyDescent="0.25">
      <c r="A92" s="813">
        <v>91013</v>
      </c>
      <c r="B92" s="814" t="s">
        <v>2630</v>
      </c>
      <c r="C92" s="815">
        <v>1.9899999999999999E-5</v>
      </c>
      <c r="D92" s="815">
        <v>2.34E-5</v>
      </c>
      <c r="E92" s="816">
        <v>47210</v>
      </c>
      <c r="F92" s="816" t="s">
        <v>185</v>
      </c>
      <c r="G92" s="817">
        <v>7283</v>
      </c>
      <c r="H92" s="818">
        <v>6481</v>
      </c>
      <c r="I92" s="817">
        <v>12528</v>
      </c>
      <c r="J92" s="816">
        <v>39132</v>
      </c>
      <c r="K92" s="818">
        <f t="shared" si="2"/>
        <v>65424</v>
      </c>
      <c r="L92" s="816"/>
      <c r="M92" s="817">
        <v>244</v>
      </c>
      <c r="N92" s="817">
        <v>0</v>
      </c>
      <c r="O92" s="816">
        <v>0</v>
      </c>
      <c r="P92" s="818">
        <f t="shared" si="3"/>
        <v>244</v>
      </c>
      <c r="Q92" s="816"/>
      <c r="R92" s="817">
        <v>13114</v>
      </c>
      <c r="S92" s="816">
        <v>13739</v>
      </c>
      <c r="T92" s="819">
        <v>26853</v>
      </c>
    </row>
    <row r="93" spans="1:20" x14ac:dyDescent="0.25">
      <c r="A93" s="813">
        <v>91014</v>
      </c>
      <c r="B93" s="814" t="s">
        <v>3977</v>
      </c>
      <c r="C93" s="815">
        <v>2.02E-4</v>
      </c>
      <c r="D93" s="815">
        <v>2.22E-4</v>
      </c>
      <c r="E93" s="816">
        <v>479213</v>
      </c>
      <c r="F93" s="816" t="s">
        <v>185</v>
      </c>
      <c r="G93" s="817">
        <v>73931</v>
      </c>
      <c r="H93" s="818">
        <v>65782</v>
      </c>
      <c r="I93" s="817">
        <v>127165</v>
      </c>
      <c r="J93" s="816">
        <v>986</v>
      </c>
      <c r="K93" s="818">
        <f t="shared" si="2"/>
        <v>267864</v>
      </c>
      <c r="L93" s="816"/>
      <c r="M93" s="817">
        <v>2481</v>
      </c>
      <c r="N93" s="817">
        <v>0</v>
      </c>
      <c r="O93" s="816">
        <v>19420</v>
      </c>
      <c r="P93" s="818">
        <f t="shared" si="3"/>
        <v>21901</v>
      </c>
      <c r="Q93" s="816"/>
      <c r="R93" s="817">
        <v>133113</v>
      </c>
      <c r="S93" s="816">
        <v>-9738</v>
      </c>
      <c r="T93" s="819">
        <v>123375</v>
      </c>
    </row>
    <row r="94" spans="1:20" x14ac:dyDescent="0.25">
      <c r="A94" s="813">
        <v>91015</v>
      </c>
      <c r="B94" s="814" t="s">
        <v>3845</v>
      </c>
      <c r="C94" s="815">
        <v>1.9400000000000001E-5</v>
      </c>
      <c r="D94" s="815">
        <v>0</v>
      </c>
      <c r="E94" s="816">
        <v>46023</v>
      </c>
      <c r="F94" s="816" t="s">
        <v>185</v>
      </c>
      <c r="G94" s="817">
        <v>7100</v>
      </c>
      <c r="H94" s="818">
        <v>6317</v>
      </c>
      <c r="I94" s="817">
        <v>12213</v>
      </c>
      <c r="J94" s="816">
        <v>20258</v>
      </c>
      <c r="K94" s="818">
        <f t="shared" si="2"/>
        <v>45888</v>
      </c>
      <c r="L94" s="816"/>
      <c r="M94" s="817">
        <v>238</v>
      </c>
      <c r="N94" s="817">
        <v>0</v>
      </c>
      <c r="O94" s="816">
        <v>0</v>
      </c>
      <c r="P94" s="818">
        <f t="shared" si="3"/>
        <v>238</v>
      </c>
      <c r="Q94" s="816"/>
      <c r="R94" s="817">
        <v>12784</v>
      </c>
      <c r="S94" s="816">
        <v>5064</v>
      </c>
      <c r="T94" s="819">
        <v>17848</v>
      </c>
    </row>
    <row r="95" spans="1:20" x14ac:dyDescent="0.25">
      <c r="A95" s="813">
        <v>91017</v>
      </c>
      <c r="B95" s="814" t="s">
        <v>2632</v>
      </c>
      <c r="C95" s="815">
        <v>2.3499999999999999E-5</v>
      </c>
      <c r="D95" s="815">
        <v>2.4300000000000001E-5</v>
      </c>
      <c r="E95" s="816">
        <v>55750</v>
      </c>
      <c r="F95" s="816" t="s">
        <v>185</v>
      </c>
      <c r="G95" s="817">
        <v>8601</v>
      </c>
      <c r="H95" s="818">
        <v>7653</v>
      </c>
      <c r="I95" s="817">
        <v>14794</v>
      </c>
      <c r="J95" s="816">
        <v>6947</v>
      </c>
      <c r="K95" s="818">
        <f t="shared" si="2"/>
        <v>37995</v>
      </c>
      <c r="L95" s="816"/>
      <c r="M95" s="817">
        <v>289</v>
      </c>
      <c r="N95" s="817">
        <v>0</v>
      </c>
      <c r="O95" s="816">
        <v>0</v>
      </c>
      <c r="P95" s="818">
        <f t="shared" si="3"/>
        <v>289</v>
      </c>
      <c r="Q95" s="816"/>
      <c r="R95" s="817">
        <v>15486</v>
      </c>
      <c r="S95" s="816">
        <v>4203</v>
      </c>
      <c r="T95" s="819">
        <v>19689</v>
      </c>
    </row>
    <row r="96" spans="1:20" x14ac:dyDescent="0.25">
      <c r="A96" s="813">
        <v>91020</v>
      </c>
      <c r="B96" s="814" t="s">
        <v>3978</v>
      </c>
      <c r="C96" s="815">
        <v>2.9200000000000002E-5</v>
      </c>
      <c r="D96" s="815">
        <v>2.27E-5</v>
      </c>
      <c r="E96" s="816">
        <v>69272</v>
      </c>
      <c r="F96" s="816" t="s">
        <v>185</v>
      </c>
      <c r="G96" s="817">
        <v>10687</v>
      </c>
      <c r="H96" s="818">
        <v>9509</v>
      </c>
      <c r="I96" s="817">
        <v>18382</v>
      </c>
      <c r="J96" s="816">
        <v>6791</v>
      </c>
      <c r="K96" s="818">
        <f t="shared" si="2"/>
        <v>45369</v>
      </c>
      <c r="L96" s="816"/>
      <c r="M96" s="817">
        <v>359</v>
      </c>
      <c r="N96" s="817">
        <v>0</v>
      </c>
      <c r="O96" s="816">
        <v>170</v>
      </c>
      <c r="P96" s="818">
        <f t="shared" si="3"/>
        <v>529</v>
      </c>
      <c r="Q96" s="816"/>
      <c r="R96" s="817">
        <v>19242</v>
      </c>
      <c r="S96" s="816">
        <v>2303</v>
      </c>
      <c r="T96" s="819">
        <v>21545</v>
      </c>
    </row>
    <row r="97" spans="1:20" x14ac:dyDescent="0.25">
      <c r="A97" s="813">
        <v>91021</v>
      </c>
      <c r="B97" s="814" t="s">
        <v>3979</v>
      </c>
      <c r="C97" s="815">
        <v>8.8009999999999998E-4</v>
      </c>
      <c r="D97" s="815">
        <v>8.6450000000000003E-4</v>
      </c>
      <c r="E97" s="816">
        <v>2087898</v>
      </c>
      <c r="F97" s="816" t="s">
        <v>185</v>
      </c>
      <c r="G97" s="817">
        <v>322113</v>
      </c>
      <c r="H97" s="818">
        <v>286606</v>
      </c>
      <c r="I97" s="817">
        <v>554048</v>
      </c>
      <c r="J97" s="816">
        <v>16435</v>
      </c>
      <c r="K97" s="818">
        <f t="shared" si="2"/>
        <v>1179202</v>
      </c>
      <c r="L97" s="816"/>
      <c r="M97" s="817">
        <v>10809</v>
      </c>
      <c r="N97" s="817">
        <v>0</v>
      </c>
      <c r="O97" s="816">
        <v>34261</v>
      </c>
      <c r="P97" s="818">
        <f t="shared" si="3"/>
        <v>45070</v>
      </c>
      <c r="Q97" s="816"/>
      <c r="R97" s="817">
        <v>579962</v>
      </c>
      <c r="S97" s="816">
        <v>-44308</v>
      </c>
      <c r="T97" s="819">
        <v>535654</v>
      </c>
    </row>
    <row r="98" spans="1:20" x14ac:dyDescent="0.25">
      <c r="A98" s="813">
        <v>91024</v>
      </c>
      <c r="B98" s="814" t="s">
        <v>3980</v>
      </c>
      <c r="C98" s="815">
        <v>9.3800000000000003E-5</v>
      </c>
      <c r="D98" s="815">
        <v>7.2999999999999999E-5</v>
      </c>
      <c r="E98" s="816">
        <v>222526</v>
      </c>
      <c r="F98" s="816" t="s">
        <v>185</v>
      </c>
      <c r="G98" s="817">
        <v>34330</v>
      </c>
      <c r="H98" s="818">
        <v>30546</v>
      </c>
      <c r="I98" s="817">
        <v>59050</v>
      </c>
      <c r="J98" s="816">
        <v>29168</v>
      </c>
      <c r="K98" s="818">
        <f t="shared" si="2"/>
        <v>153094</v>
      </c>
      <c r="L98" s="816"/>
      <c r="M98" s="817">
        <v>1152</v>
      </c>
      <c r="N98" s="817">
        <v>0</v>
      </c>
      <c r="O98" s="816">
        <v>0</v>
      </c>
      <c r="P98" s="818">
        <f t="shared" si="3"/>
        <v>1152</v>
      </c>
      <c r="Q98" s="816"/>
      <c r="R98" s="817">
        <v>61812</v>
      </c>
      <c r="S98" s="816">
        <v>14801</v>
      </c>
      <c r="T98" s="819">
        <v>76613</v>
      </c>
    </row>
    <row r="99" spans="1:20" x14ac:dyDescent="0.25">
      <c r="A99" s="813">
        <v>91026</v>
      </c>
      <c r="B99" s="814" t="s">
        <v>3981</v>
      </c>
      <c r="C99" s="815">
        <v>4.5599999999999997E-5</v>
      </c>
      <c r="D99" s="815">
        <v>4.18E-5</v>
      </c>
      <c r="E99" s="816">
        <v>108179</v>
      </c>
      <c r="F99" s="816" t="s">
        <v>185</v>
      </c>
      <c r="G99" s="817">
        <v>16689</v>
      </c>
      <c r="H99" s="818">
        <v>14849</v>
      </c>
      <c r="I99" s="817">
        <v>28706</v>
      </c>
      <c r="J99" s="816">
        <v>42442</v>
      </c>
      <c r="K99" s="818">
        <f t="shared" si="2"/>
        <v>102686</v>
      </c>
      <c r="L99" s="816"/>
      <c r="M99" s="817">
        <v>560</v>
      </c>
      <c r="N99" s="817">
        <v>0</v>
      </c>
      <c r="O99" s="816">
        <v>0</v>
      </c>
      <c r="P99" s="818">
        <f t="shared" si="3"/>
        <v>560</v>
      </c>
      <c r="Q99" s="816"/>
      <c r="R99" s="817">
        <v>30049</v>
      </c>
      <c r="S99" s="816">
        <v>17241</v>
      </c>
      <c r="T99" s="819">
        <v>47290</v>
      </c>
    </row>
    <row r="100" spans="1:20" x14ac:dyDescent="0.25">
      <c r="A100" s="813">
        <v>91027</v>
      </c>
      <c r="B100" s="814" t="s">
        <v>2636</v>
      </c>
      <c r="C100" s="815">
        <v>1.6699999999999999E-5</v>
      </c>
      <c r="D100" s="815">
        <v>1.4E-5</v>
      </c>
      <c r="E100" s="816">
        <v>39618</v>
      </c>
      <c r="F100" s="816" t="s">
        <v>185</v>
      </c>
      <c r="G100" s="817">
        <v>6112</v>
      </c>
      <c r="H100" s="818">
        <v>5439</v>
      </c>
      <c r="I100" s="817">
        <v>10513</v>
      </c>
      <c r="J100" s="816">
        <v>16743</v>
      </c>
      <c r="K100" s="818">
        <f t="shared" si="2"/>
        <v>38807</v>
      </c>
      <c r="L100" s="816"/>
      <c r="M100" s="817">
        <v>205</v>
      </c>
      <c r="N100" s="817">
        <v>0</v>
      </c>
      <c r="O100" s="816">
        <v>0</v>
      </c>
      <c r="P100" s="818">
        <f t="shared" si="3"/>
        <v>205</v>
      </c>
      <c r="Q100" s="816"/>
      <c r="R100" s="817">
        <v>11005</v>
      </c>
      <c r="S100" s="816">
        <v>8336</v>
      </c>
      <c r="T100" s="819">
        <v>19341</v>
      </c>
    </row>
    <row r="101" spans="1:20" x14ac:dyDescent="0.25">
      <c r="A101" s="813">
        <v>91032</v>
      </c>
      <c r="B101" s="814" t="s">
        <v>3982</v>
      </c>
      <c r="C101" s="815">
        <v>1.6399999999999999E-5</v>
      </c>
      <c r="D101" s="815">
        <v>1.8E-5</v>
      </c>
      <c r="E101" s="816">
        <v>38906</v>
      </c>
      <c r="F101" s="816" t="s">
        <v>185</v>
      </c>
      <c r="G101" s="817">
        <v>6002</v>
      </c>
      <c r="H101" s="818">
        <v>5341</v>
      </c>
      <c r="I101" s="817">
        <v>10324</v>
      </c>
      <c r="J101" s="816">
        <v>16497</v>
      </c>
      <c r="K101" s="818">
        <f t="shared" si="2"/>
        <v>38164</v>
      </c>
      <c r="L101" s="816"/>
      <c r="M101" s="817">
        <v>201</v>
      </c>
      <c r="N101" s="817">
        <v>0</v>
      </c>
      <c r="O101" s="816">
        <v>0</v>
      </c>
      <c r="P101" s="818">
        <f t="shared" si="3"/>
        <v>201</v>
      </c>
      <c r="Q101" s="816"/>
      <c r="R101" s="817">
        <v>10807</v>
      </c>
      <c r="S101" s="816">
        <v>8433</v>
      </c>
      <c r="T101" s="819">
        <v>19240</v>
      </c>
    </row>
    <row r="102" spans="1:20" x14ac:dyDescent="0.25">
      <c r="A102" s="813">
        <v>91041</v>
      </c>
      <c r="B102" s="814" t="s">
        <v>3983</v>
      </c>
      <c r="C102" s="815">
        <v>4.373E-4</v>
      </c>
      <c r="D102" s="815">
        <v>4.0400000000000001E-4</v>
      </c>
      <c r="E102" s="816">
        <v>1037425</v>
      </c>
      <c r="F102" s="816" t="s">
        <v>185</v>
      </c>
      <c r="G102" s="817">
        <v>160050</v>
      </c>
      <c r="H102" s="818">
        <v>142408</v>
      </c>
      <c r="I102" s="817">
        <v>275293</v>
      </c>
      <c r="J102" s="816">
        <v>0</v>
      </c>
      <c r="K102" s="818">
        <f t="shared" si="2"/>
        <v>577751</v>
      </c>
      <c r="L102" s="816"/>
      <c r="M102" s="817">
        <v>5370</v>
      </c>
      <c r="N102" s="817">
        <v>0</v>
      </c>
      <c r="O102" s="816">
        <v>74844</v>
      </c>
      <c r="P102" s="818">
        <f t="shared" si="3"/>
        <v>80214</v>
      </c>
      <c r="Q102" s="816"/>
      <c r="R102" s="817">
        <v>288169</v>
      </c>
      <c r="S102" s="816">
        <v>-40195</v>
      </c>
      <c r="T102" s="819">
        <v>247974</v>
      </c>
    </row>
    <row r="103" spans="1:20" x14ac:dyDescent="0.25">
      <c r="A103" s="813">
        <v>91042</v>
      </c>
      <c r="B103" s="814" t="s">
        <v>2639</v>
      </c>
      <c r="C103" s="815">
        <v>2.6630000000000002E-4</v>
      </c>
      <c r="D103" s="815">
        <v>2.3360000000000001E-4</v>
      </c>
      <c r="E103" s="816">
        <v>631755</v>
      </c>
      <c r="F103" s="816" t="s">
        <v>185</v>
      </c>
      <c r="G103" s="817">
        <v>97465</v>
      </c>
      <c r="H103" s="818">
        <v>86722</v>
      </c>
      <c r="I103" s="817">
        <v>167643</v>
      </c>
      <c r="J103" s="816">
        <v>20600</v>
      </c>
      <c r="K103" s="818">
        <f t="shared" si="2"/>
        <v>372430</v>
      </c>
      <c r="L103" s="816"/>
      <c r="M103" s="817">
        <v>3270</v>
      </c>
      <c r="N103" s="817">
        <v>0</v>
      </c>
      <c r="O103" s="816">
        <v>4544</v>
      </c>
      <c r="P103" s="818">
        <f t="shared" si="3"/>
        <v>7814</v>
      </c>
      <c r="Q103" s="816"/>
      <c r="R103" s="817">
        <v>175485</v>
      </c>
      <c r="S103" s="816">
        <v>3567</v>
      </c>
      <c r="T103" s="819">
        <v>179052</v>
      </c>
    </row>
    <row r="104" spans="1:20" x14ac:dyDescent="0.25">
      <c r="A104" s="813">
        <v>91047</v>
      </c>
      <c r="B104" s="814" t="s">
        <v>3984</v>
      </c>
      <c r="C104" s="815">
        <v>1.24E-5</v>
      </c>
      <c r="D104" s="815">
        <v>1.31E-5</v>
      </c>
      <c r="E104" s="816">
        <v>29417</v>
      </c>
      <c r="F104" s="816" t="s">
        <v>185</v>
      </c>
      <c r="G104" s="817">
        <v>4538</v>
      </c>
      <c r="H104" s="818">
        <v>4038</v>
      </c>
      <c r="I104" s="817">
        <v>7806</v>
      </c>
      <c r="J104" s="816">
        <v>22020</v>
      </c>
      <c r="K104" s="818">
        <f t="shared" si="2"/>
        <v>38402</v>
      </c>
      <c r="L104" s="816"/>
      <c r="M104" s="817">
        <v>152</v>
      </c>
      <c r="N104" s="817">
        <v>0</v>
      </c>
      <c r="O104" s="816">
        <v>0</v>
      </c>
      <c r="P104" s="818">
        <f t="shared" si="3"/>
        <v>152</v>
      </c>
      <c r="Q104" s="816"/>
      <c r="R104" s="817">
        <v>8171</v>
      </c>
      <c r="S104" s="816">
        <v>9821</v>
      </c>
      <c r="T104" s="819">
        <v>17992</v>
      </c>
    </row>
    <row r="105" spans="1:20" x14ac:dyDescent="0.25">
      <c r="A105" s="813">
        <v>91051</v>
      </c>
      <c r="B105" s="814" t="s">
        <v>3985</v>
      </c>
      <c r="C105" s="815">
        <v>6.7999999999999999E-5</v>
      </c>
      <c r="D105" s="815">
        <v>6.6400000000000001E-5</v>
      </c>
      <c r="E105" s="816">
        <v>161319</v>
      </c>
      <c r="F105" s="816" t="s">
        <v>185</v>
      </c>
      <c r="G105" s="817">
        <v>24888</v>
      </c>
      <c r="H105" s="818">
        <v>22144</v>
      </c>
      <c r="I105" s="817">
        <v>42808</v>
      </c>
      <c r="J105" s="816">
        <v>1891</v>
      </c>
      <c r="K105" s="818">
        <f t="shared" si="2"/>
        <v>91731</v>
      </c>
      <c r="L105" s="816"/>
      <c r="M105" s="817">
        <v>835</v>
      </c>
      <c r="N105" s="817">
        <v>0</v>
      </c>
      <c r="O105" s="816">
        <v>5967</v>
      </c>
      <c r="P105" s="818">
        <f t="shared" si="3"/>
        <v>6802</v>
      </c>
      <c r="Q105" s="816"/>
      <c r="R105" s="817">
        <v>44810</v>
      </c>
      <c r="S105" s="816">
        <v>-1282</v>
      </c>
      <c r="T105" s="819">
        <v>43528</v>
      </c>
    </row>
    <row r="106" spans="1:20" x14ac:dyDescent="0.25">
      <c r="A106" s="813">
        <v>91057</v>
      </c>
      <c r="B106" s="814" t="s">
        <v>2642</v>
      </c>
      <c r="C106" s="815">
        <v>1.3699999999999999E-5</v>
      </c>
      <c r="D106" s="815">
        <v>1.4399999999999999E-5</v>
      </c>
      <c r="E106" s="816">
        <v>32501</v>
      </c>
      <c r="F106" s="816" t="s">
        <v>185</v>
      </c>
      <c r="G106" s="817">
        <v>5014</v>
      </c>
      <c r="H106" s="818">
        <v>4461</v>
      </c>
      <c r="I106" s="817">
        <v>8625</v>
      </c>
      <c r="J106" s="816">
        <v>6313</v>
      </c>
      <c r="K106" s="818">
        <f t="shared" si="2"/>
        <v>24413</v>
      </c>
      <c r="L106" s="816"/>
      <c r="M106" s="817">
        <v>168</v>
      </c>
      <c r="N106" s="817">
        <v>0</v>
      </c>
      <c r="O106" s="816">
        <v>0</v>
      </c>
      <c r="P106" s="818">
        <f t="shared" si="3"/>
        <v>168</v>
      </c>
      <c r="Q106" s="816"/>
      <c r="R106" s="817">
        <v>9028</v>
      </c>
      <c r="S106" s="816">
        <v>2864</v>
      </c>
      <c r="T106" s="819">
        <v>11892</v>
      </c>
    </row>
    <row r="107" spans="1:20" x14ac:dyDescent="0.25">
      <c r="A107" s="813">
        <v>91061</v>
      </c>
      <c r="B107" s="814" t="s">
        <v>3986</v>
      </c>
      <c r="C107" s="815">
        <v>3.657E-4</v>
      </c>
      <c r="D107" s="815">
        <v>4.104E-4</v>
      </c>
      <c r="E107" s="816">
        <v>867565</v>
      </c>
      <c r="F107" s="816" t="s">
        <v>185</v>
      </c>
      <c r="G107" s="817">
        <v>133845</v>
      </c>
      <c r="H107" s="818">
        <v>119091</v>
      </c>
      <c r="I107" s="817">
        <v>230218</v>
      </c>
      <c r="J107" s="816">
        <v>13475</v>
      </c>
      <c r="K107" s="818">
        <f t="shared" si="2"/>
        <v>496629</v>
      </c>
      <c r="L107" s="816"/>
      <c r="M107" s="817">
        <v>4491</v>
      </c>
      <c r="N107" s="817">
        <v>0</v>
      </c>
      <c r="O107" s="816">
        <v>35188</v>
      </c>
      <c r="P107" s="818">
        <f t="shared" si="3"/>
        <v>39679</v>
      </c>
      <c r="Q107" s="816"/>
      <c r="R107" s="817">
        <v>240986</v>
      </c>
      <c r="S107" s="816">
        <v>-19918</v>
      </c>
      <c r="T107" s="819">
        <v>221068</v>
      </c>
    </row>
    <row r="108" spans="1:20" x14ac:dyDescent="0.25">
      <c r="A108" s="813">
        <v>91067</v>
      </c>
      <c r="B108" s="814" t="s">
        <v>2644</v>
      </c>
      <c r="C108" s="815">
        <v>1.6900000000000001E-5</v>
      </c>
      <c r="D108" s="815">
        <v>1.5699999999999999E-5</v>
      </c>
      <c r="E108" s="816">
        <v>40093</v>
      </c>
      <c r="F108" s="816" t="s">
        <v>185</v>
      </c>
      <c r="G108" s="817">
        <v>6185</v>
      </c>
      <c r="H108" s="818">
        <v>5503</v>
      </c>
      <c r="I108" s="817">
        <v>10639</v>
      </c>
      <c r="J108" s="816">
        <v>2715</v>
      </c>
      <c r="K108" s="818">
        <f t="shared" si="2"/>
        <v>25042</v>
      </c>
      <c r="L108" s="816"/>
      <c r="M108" s="817">
        <v>208</v>
      </c>
      <c r="N108" s="817">
        <v>0</v>
      </c>
      <c r="O108" s="816">
        <v>305</v>
      </c>
      <c r="P108" s="818">
        <f t="shared" si="3"/>
        <v>513</v>
      </c>
      <c r="Q108" s="816"/>
      <c r="R108" s="817">
        <v>11137</v>
      </c>
      <c r="S108" s="816">
        <v>1543</v>
      </c>
      <c r="T108" s="819">
        <v>12680</v>
      </c>
    </row>
    <row r="109" spans="1:20" x14ac:dyDescent="0.25">
      <c r="A109" s="813">
        <v>91071</v>
      </c>
      <c r="B109" s="814" t="s">
        <v>2645</v>
      </c>
      <c r="C109" s="815">
        <v>2.354E-4</v>
      </c>
      <c r="D109" s="815">
        <v>2.2770000000000001E-4</v>
      </c>
      <c r="E109" s="816">
        <v>558449</v>
      </c>
      <c r="F109" s="816" t="s">
        <v>185</v>
      </c>
      <c r="G109" s="817">
        <v>86155</v>
      </c>
      <c r="H109" s="818">
        <v>76659</v>
      </c>
      <c r="I109" s="817">
        <v>148191</v>
      </c>
      <c r="J109" s="816">
        <v>0</v>
      </c>
      <c r="K109" s="818">
        <f t="shared" si="2"/>
        <v>311005</v>
      </c>
      <c r="L109" s="816"/>
      <c r="M109" s="817">
        <v>2891</v>
      </c>
      <c r="N109" s="817">
        <v>0</v>
      </c>
      <c r="O109" s="816">
        <v>17112</v>
      </c>
      <c r="P109" s="818">
        <f t="shared" si="3"/>
        <v>20003</v>
      </c>
      <c r="Q109" s="816"/>
      <c r="R109" s="817">
        <v>155122</v>
      </c>
      <c r="S109" s="816">
        <v>2083</v>
      </c>
      <c r="T109" s="819">
        <v>157205</v>
      </c>
    </row>
    <row r="110" spans="1:20" x14ac:dyDescent="0.25">
      <c r="A110" s="813">
        <v>91077</v>
      </c>
      <c r="B110" s="814" t="s">
        <v>2646</v>
      </c>
      <c r="C110" s="815">
        <v>3.1E-6</v>
      </c>
      <c r="D110" s="815">
        <v>3.5999999999999998E-6</v>
      </c>
      <c r="E110" s="816">
        <v>7354</v>
      </c>
      <c r="F110" s="816" t="s">
        <v>185</v>
      </c>
      <c r="G110" s="817">
        <v>1135</v>
      </c>
      <c r="H110" s="818">
        <v>1009</v>
      </c>
      <c r="I110" s="817">
        <v>1952</v>
      </c>
      <c r="J110" s="816">
        <v>1928</v>
      </c>
      <c r="K110" s="818">
        <f t="shared" si="2"/>
        <v>6024</v>
      </c>
      <c r="L110" s="816"/>
      <c r="M110" s="817">
        <v>38</v>
      </c>
      <c r="N110" s="817">
        <v>0</v>
      </c>
      <c r="O110" s="816">
        <v>0</v>
      </c>
      <c r="P110" s="818">
        <f t="shared" si="3"/>
        <v>38</v>
      </c>
      <c r="Q110" s="816"/>
      <c r="R110" s="817">
        <v>2043</v>
      </c>
      <c r="S110" s="816">
        <v>728</v>
      </c>
      <c r="T110" s="819">
        <v>2771</v>
      </c>
    </row>
    <row r="111" spans="1:20" x14ac:dyDescent="0.25">
      <c r="A111" s="813">
        <v>91081</v>
      </c>
      <c r="B111" s="814" t="s">
        <v>3987</v>
      </c>
      <c r="C111" s="815">
        <v>3.8870000000000002E-4</v>
      </c>
      <c r="D111" s="815">
        <v>3.6240000000000003E-4</v>
      </c>
      <c r="E111" s="816">
        <v>922129</v>
      </c>
      <c r="F111" s="816" t="s">
        <v>185</v>
      </c>
      <c r="G111" s="817">
        <v>142263</v>
      </c>
      <c r="H111" s="818">
        <v>126581</v>
      </c>
      <c r="I111" s="817">
        <v>244698</v>
      </c>
      <c r="J111" s="816">
        <v>20151</v>
      </c>
      <c r="K111" s="818">
        <f t="shared" si="2"/>
        <v>533693</v>
      </c>
      <c r="L111" s="816"/>
      <c r="M111" s="817">
        <v>4774</v>
      </c>
      <c r="N111" s="817">
        <v>0</v>
      </c>
      <c r="O111" s="816">
        <v>0</v>
      </c>
      <c r="P111" s="818">
        <f t="shared" si="3"/>
        <v>4774</v>
      </c>
      <c r="Q111" s="816"/>
      <c r="R111" s="817">
        <v>256143</v>
      </c>
      <c r="S111" s="816">
        <v>-8184</v>
      </c>
      <c r="T111" s="819">
        <v>247959</v>
      </c>
    </row>
    <row r="112" spans="1:20" x14ac:dyDescent="0.25">
      <c r="A112" s="813">
        <v>91091</v>
      </c>
      <c r="B112" s="814" t="s">
        <v>3988</v>
      </c>
      <c r="C112" s="815">
        <v>5.0319999999999998E-4</v>
      </c>
      <c r="D112" s="815">
        <v>5.3790000000000001E-4</v>
      </c>
      <c r="E112" s="816">
        <v>1193762</v>
      </c>
      <c r="F112" s="816" t="s">
        <v>185</v>
      </c>
      <c r="G112" s="817">
        <v>184169</v>
      </c>
      <c r="H112" s="818">
        <v>163868</v>
      </c>
      <c r="I112" s="817">
        <v>316778</v>
      </c>
      <c r="J112" s="816">
        <v>0</v>
      </c>
      <c r="K112" s="818">
        <f t="shared" si="2"/>
        <v>664815</v>
      </c>
      <c r="L112" s="816"/>
      <c r="M112" s="817">
        <v>6180</v>
      </c>
      <c r="N112" s="817">
        <v>0</v>
      </c>
      <c r="O112" s="816">
        <v>63597</v>
      </c>
      <c r="P112" s="818">
        <f t="shared" si="3"/>
        <v>69777</v>
      </c>
      <c r="Q112" s="816"/>
      <c r="R112" s="817">
        <v>331595</v>
      </c>
      <c r="S112" s="816">
        <v>-37735</v>
      </c>
      <c r="T112" s="819">
        <v>293860</v>
      </c>
    </row>
    <row r="113" spans="1:20" x14ac:dyDescent="0.25">
      <c r="A113" s="813">
        <v>91101</v>
      </c>
      <c r="B113" s="814" t="s">
        <v>2649</v>
      </c>
      <c r="C113" s="815">
        <v>1.3608800000000001E-2</v>
      </c>
      <c r="D113" s="815">
        <v>1.35581E-2</v>
      </c>
      <c r="E113" s="816">
        <v>32284728</v>
      </c>
      <c r="F113" s="816" t="s">
        <v>185</v>
      </c>
      <c r="G113" s="817">
        <v>4980766</v>
      </c>
      <c r="H113" s="818">
        <v>4431733</v>
      </c>
      <c r="I113" s="817">
        <v>8567121</v>
      </c>
      <c r="J113" s="816">
        <v>153266</v>
      </c>
      <c r="K113" s="818">
        <f t="shared" si="2"/>
        <v>18132886</v>
      </c>
      <c r="L113" s="816"/>
      <c r="M113" s="817">
        <v>167130</v>
      </c>
      <c r="N113" s="817">
        <v>0</v>
      </c>
      <c r="O113" s="816">
        <v>611807</v>
      </c>
      <c r="P113" s="818">
        <f t="shared" si="3"/>
        <v>778937</v>
      </c>
      <c r="Q113" s="816"/>
      <c r="R113" s="817">
        <v>8967832</v>
      </c>
      <c r="S113" s="816">
        <v>97540</v>
      </c>
      <c r="T113" s="819">
        <v>9065372</v>
      </c>
    </row>
    <row r="114" spans="1:20" x14ac:dyDescent="0.25">
      <c r="A114" s="813">
        <v>91102</v>
      </c>
      <c r="B114" s="814" t="s">
        <v>2650</v>
      </c>
      <c r="C114" s="815">
        <v>3.2509999999999999E-4</v>
      </c>
      <c r="D114" s="815">
        <v>3.2919999999999998E-4</v>
      </c>
      <c r="E114" s="816">
        <v>771248</v>
      </c>
      <c r="F114" s="816" t="s">
        <v>185</v>
      </c>
      <c r="G114" s="817">
        <v>118985</v>
      </c>
      <c r="H114" s="818">
        <v>105870</v>
      </c>
      <c r="I114" s="817">
        <v>204660</v>
      </c>
      <c r="J114" s="816">
        <v>24895</v>
      </c>
      <c r="K114" s="818">
        <f t="shared" si="2"/>
        <v>454410</v>
      </c>
      <c r="L114" s="816"/>
      <c r="M114" s="817">
        <v>3993</v>
      </c>
      <c r="N114" s="817">
        <v>0</v>
      </c>
      <c r="O114" s="816">
        <v>16541</v>
      </c>
      <c r="P114" s="818">
        <f t="shared" si="3"/>
        <v>20534</v>
      </c>
      <c r="Q114" s="816"/>
      <c r="R114" s="817">
        <v>214232</v>
      </c>
      <c r="S114" s="816">
        <v>-8634</v>
      </c>
      <c r="T114" s="819">
        <v>205598</v>
      </c>
    </row>
    <row r="115" spans="1:20" x14ac:dyDescent="0.25">
      <c r="A115" s="813">
        <v>91104</v>
      </c>
      <c r="B115" s="814" t="s">
        <v>2651</v>
      </c>
      <c r="C115" s="815">
        <v>6.9999999999999999E-6</v>
      </c>
      <c r="D115" s="815">
        <v>7.9000000000000006E-6</v>
      </c>
      <c r="E115" s="816">
        <v>16606</v>
      </c>
      <c r="F115" s="816" t="s">
        <v>185</v>
      </c>
      <c r="G115" s="817">
        <v>2562</v>
      </c>
      <c r="H115" s="818">
        <v>2279</v>
      </c>
      <c r="I115" s="817">
        <v>4407</v>
      </c>
      <c r="J115" s="816">
        <v>4377</v>
      </c>
      <c r="K115" s="818">
        <f t="shared" si="2"/>
        <v>13625</v>
      </c>
      <c r="L115" s="816"/>
      <c r="M115" s="817">
        <v>86</v>
      </c>
      <c r="N115" s="817">
        <v>0</v>
      </c>
      <c r="O115" s="816">
        <v>0</v>
      </c>
      <c r="P115" s="818">
        <f t="shared" si="3"/>
        <v>86</v>
      </c>
      <c r="Q115" s="816"/>
      <c r="R115" s="817">
        <v>4613</v>
      </c>
      <c r="S115" s="816">
        <v>1311</v>
      </c>
      <c r="T115" s="819">
        <v>5924</v>
      </c>
    </row>
    <row r="116" spans="1:20" x14ac:dyDescent="0.25">
      <c r="A116" s="813">
        <v>91107</v>
      </c>
      <c r="B116" s="814" t="s">
        <v>3550</v>
      </c>
      <c r="C116" s="815">
        <v>5.8999999999999998E-5</v>
      </c>
      <c r="D116" s="815">
        <v>7.08E-5</v>
      </c>
      <c r="E116" s="816">
        <v>139968</v>
      </c>
      <c r="F116" s="816" t="s">
        <v>185</v>
      </c>
      <c r="G116" s="817">
        <v>21594</v>
      </c>
      <c r="H116" s="818">
        <v>19214</v>
      </c>
      <c r="I116" s="817">
        <v>37142</v>
      </c>
      <c r="J116" s="816">
        <v>7995</v>
      </c>
      <c r="K116" s="818">
        <f t="shared" si="2"/>
        <v>85945</v>
      </c>
      <c r="L116" s="816"/>
      <c r="M116" s="817">
        <v>725</v>
      </c>
      <c r="N116" s="817">
        <v>0</v>
      </c>
      <c r="O116" s="816">
        <v>3010</v>
      </c>
      <c r="P116" s="818">
        <f t="shared" si="3"/>
        <v>3735</v>
      </c>
      <c r="Q116" s="816"/>
      <c r="R116" s="817">
        <v>38879</v>
      </c>
      <c r="S116" s="816">
        <v>4395</v>
      </c>
      <c r="T116" s="819">
        <v>43274</v>
      </c>
    </row>
    <row r="117" spans="1:20" x14ac:dyDescent="0.25">
      <c r="A117" s="813">
        <v>91108</v>
      </c>
      <c r="B117" s="814" t="s">
        <v>2653</v>
      </c>
      <c r="C117" s="815">
        <v>1.2019000000000001E-3</v>
      </c>
      <c r="D117" s="815">
        <v>1.2413999999999999E-3</v>
      </c>
      <c r="E117" s="816">
        <v>2851318</v>
      </c>
      <c r="F117" s="816" t="s">
        <v>185</v>
      </c>
      <c r="G117" s="817">
        <v>439891</v>
      </c>
      <c r="H117" s="818">
        <v>391401</v>
      </c>
      <c r="I117" s="817">
        <v>756630</v>
      </c>
      <c r="J117" s="816">
        <v>64196</v>
      </c>
      <c r="K117" s="818">
        <f t="shared" si="2"/>
        <v>1652118</v>
      </c>
      <c r="L117" s="816"/>
      <c r="M117" s="817">
        <v>14761</v>
      </c>
      <c r="N117" s="817">
        <v>0</v>
      </c>
      <c r="O117" s="816">
        <v>0</v>
      </c>
      <c r="P117" s="818">
        <f t="shared" si="3"/>
        <v>14761</v>
      </c>
      <c r="Q117" s="816"/>
      <c r="R117" s="817">
        <v>792020</v>
      </c>
      <c r="S117" s="816">
        <v>40803</v>
      </c>
      <c r="T117" s="819">
        <v>832823</v>
      </c>
    </row>
    <row r="118" spans="1:20" x14ac:dyDescent="0.25">
      <c r="A118" s="813">
        <v>91109</v>
      </c>
      <c r="B118" s="814" t="s">
        <v>2654</v>
      </c>
      <c r="C118" s="815">
        <v>1E-4</v>
      </c>
      <c r="D118" s="815">
        <v>9.9599999999999995E-5</v>
      </c>
      <c r="E118" s="816">
        <v>237234</v>
      </c>
      <c r="F118" s="816" t="s">
        <v>185</v>
      </c>
      <c r="G118" s="817">
        <v>36600</v>
      </c>
      <c r="H118" s="818">
        <v>32565</v>
      </c>
      <c r="I118" s="817">
        <v>62953</v>
      </c>
      <c r="J118" s="816">
        <v>7411</v>
      </c>
      <c r="K118" s="818">
        <f t="shared" si="2"/>
        <v>139529</v>
      </c>
      <c r="L118" s="816"/>
      <c r="M118" s="817">
        <v>1228</v>
      </c>
      <c r="N118" s="817">
        <v>0</v>
      </c>
      <c r="O118" s="816">
        <v>235</v>
      </c>
      <c r="P118" s="818">
        <f t="shared" si="3"/>
        <v>1463</v>
      </c>
      <c r="Q118" s="816"/>
      <c r="R118" s="817">
        <v>65897</v>
      </c>
      <c r="S118" s="816">
        <v>2068</v>
      </c>
      <c r="T118" s="819">
        <v>67965</v>
      </c>
    </row>
    <row r="119" spans="1:20" x14ac:dyDescent="0.25">
      <c r="A119" s="813">
        <v>91111</v>
      </c>
      <c r="B119" s="814" t="s">
        <v>3989</v>
      </c>
      <c r="C119" s="815">
        <v>2.3499999999999999E-4</v>
      </c>
      <c r="D119" s="815">
        <v>2.2719999999999999E-4</v>
      </c>
      <c r="E119" s="816">
        <v>557500</v>
      </c>
      <c r="F119" s="816" t="s">
        <v>185</v>
      </c>
      <c r="G119" s="817">
        <v>86009</v>
      </c>
      <c r="H119" s="818">
        <v>76528</v>
      </c>
      <c r="I119" s="817">
        <v>147939</v>
      </c>
      <c r="J119" s="816">
        <v>19329</v>
      </c>
      <c r="K119" s="818">
        <f t="shared" si="2"/>
        <v>329805</v>
      </c>
      <c r="L119" s="816"/>
      <c r="M119" s="817">
        <v>2886</v>
      </c>
      <c r="N119" s="817">
        <v>0</v>
      </c>
      <c r="O119" s="816">
        <v>0</v>
      </c>
      <c r="P119" s="818">
        <f t="shared" si="3"/>
        <v>2886</v>
      </c>
      <c r="Q119" s="816"/>
      <c r="R119" s="817">
        <v>154859</v>
      </c>
      <c r="S119" s="816">
        <v>11947</v>
      </c>
      <c r="T119" s="819">
        <v>166806</v>
      </c>
    </row>
    <row r="120" spans="1:20" x14ac:dyDescent="0.25">
      <c r="A120" s="813">
        <v>91119</v>
      </c>
      <c r="B120" s="814" t="s">
        <v>1254</v>
      </c>
      <c r="C120" s="815">
        <v>0</v>
      </c>
      <c r="D120" s="815">
        <v>0</v>
      </c>
      <c r="E120" s="816">
        <v>0</v>
      </c>
      <c r="F120" s="816" t="s">
        <v>185</v>
      </c>
      <c r="G120" s="817">
        <v>0</v>
      </c>
      <c r="H120" s="818">
        <v>0</v>
      </c>
      <c r="I120" s="817">
        <v>0</v>
      </c>
      <c r="J120" s="816">
        <v>0</v>
      </c>
      <c r="K120" s="818">
        <f t="shared" si="2"/>
        <v>0</v>
      </c>
      <c r="L120" s="816"/>
      <c r="M120" s="817">
        <v>0</v>
      </c>
      <c r="N120" s="817">
        <v>0</v>
      </c>
      <c r="O120" s="816">
        <v>0</v>
      </c>
      <c r="P120" s="818">
        <f t="shared" si="3"/>
        <v>0</v>
      </c>
      <c r="Q120" s="816"/>
      <c r="R120" s="817">
        <v>0</v>
      </c>
      <c r="S120" s="816">
        <v>-321091</v>
      </c>
      <c r="T120" s="819">
        <v>-321091</v>
      </c>
    </row>
    <row r="121" spans="1:20" x14ac:dyDescent="0.25">
      <c r="A121" s="813">
        <v>91120</v>
      </c>
      <c r="B121" s="814" t="s">
        <v>2656</v>
      </c>
      <c r="C121" s="815">
        <v>1.2679999999999999E-4</v>
      </c>
      <c r="D121" s="815">
        <v>1.3019999999999999E-4</v>
      </c>
      <c r="E121" s="816">
        <v>300813</v>
      </c>
      <c r="F121" s="816" t="s">
        <v>185</v>
      </c>
      <c r="G121" s="817">
        <v>46408</v>
      </c>
      <c r="H121" s="818">
        <v>41293</v>
      </c>
      <c r="I121" s="817">
        <v>79824</v>
      </c>
      <c r="J121" s="816">
        <v>0</v>
      </c>
      <c r="K121" s="818">
        <f t="shared" si="2"/>
        <v>167525</v>
      </c>
      <c r="L121" s="816"/>
      <c r="M121" s="817">
        <v>1557</v>
      </c>
      <c r="N121" s="817">
        <v>0</v>
      </c>
      <c r="O121" s="816">
        <v>20743</v>
      </c>
      <c r="P121" s="818">
        <f t="shared" si="3"/>
        <v>22300</v>
      </c>
      <c r="Q121" s="816"/>
      <c r="R121" s="817">
        <v>83558</v>
      </c>
      <c r="S121" s="816">
        <v>-14819</v>
      </c>
      <c r="T121" s="819">
        <v>68739</v>
      </c>
    </row>
    <row r="122" spans="1:20" x14ac:dyDescent="0.25">
      <c r="A122" s="813">
        <v>91121</v>
      </c>
      <c r="B122" s="814" t="s">
        <v>2657</v>
      </c>
      <c r="C122" s="815">
        <v>1.02925E-2</v>
      </c>
      <c r="D122" s="815">
        <v>9.9927999999999996E-3</v>
      </c>
      <c r="E122" s="816">
        <v>24417330</v>
      </c>
      <c r="F122" s="816" t="s">
        <v>185</v>
      </c>
      <c r="G122" s="817">
        <v>3767014</v>
      </c>
      <c r="H122" s="818">
        <v>3351774</v>
      </c>
      <c r="I122" s="817">
        <v>6479417</v>
      </c>
      <c r="J122" s="816">
        <v>0</v>
      </c>
      <c r="K122" s="818">
        <f t="shared" si="2"/>
        <v>13598205</v>
      </c>
      <c r="L122" s="816"/>
      <c r="M122" s="817">
        <v>126402</v>
      </c>
      <c r="N122" s="817">
        <v>0</v>
      </c>
      <c r="O122" s="816">
        <v>408831</v>
      </c>
      <c r="P122" s="818">
        <f t="shared" si="3"/>
        <v>535233</v>
      </c>
      <c r="Q122" s="816"/>
      <c r="R122" s="817">
        <v>6782480</v>
      </c>
      <c r="S122" s="816">
        <v>-342903</v>
      </c>
      <c r="T122" s="819">
        <v>6439577</v>
      </c>
    </row>
    <row r="123" spans="1:20" x14ac:dyDescent="0.25">
      <c r="A123" s="813">
        <v>91127</v>
      </c>
      <c r="B123" s="814" t="s">
        <v>2658</v>
      </c>
      <c r="C123" s="815">
        <v>2.8370000000000001E-4</v>
      </c>
      <c r="D123" s="815">
        <v>2.6879999999999997E-4</v>
      </c>
      <c r="E123" s="816">
        <v>673033</v>
      </c>
      <c r="F123" s="816" t="s">
        <v>185</v>
      </c>
      <c r="G123" s="817">
        <v>103833</v>
      </c>
      <c r="H123" s="818">
        <v>92387</v>
      </c>
      <c r="I123" s="817">
        <v>178597</v>
      </c>
      <c r="J123" s="816">
        <v>49510</v>
      </c>
      <c r="K123" s="818">
        <f t="shared" si="2"/>
        <v>424327</v>
      </c>
      <c r="L123" s="816"/>
      <c r="M123" s="817">
        <v>3484</v>
      </c>
      <c r="N123" s="817">
        <v>0</v>
      </c>
      <c r="O123" s="816">
        <v>0</v>
      </c>
      <c r="P123" s="818">
        <f t="shared" si="3"/>
        <v>3484</v>
      </c>
      <c r="Q123" s="816"/>
      <c r="R123" s="817">
        <v>186951</v>
      </c>
      <c r="S123" s="816">
        <v>31849</v>
      </c>
      <c r="T123" s="819">
        <v>218800</v>
      </c>
    </row>
    <row r="124" spans="1:20" x14ac:dyDescent="0.25">
      <c r="A124" s="813">
        <v>91128</v>
      </c>
      <c r="B124" s="814" t="s">
        <v>2659</v>
      </c>
      <c r="C124" s="815">
        <v>5.1060000000000005E-4</v>
      </c>
      <c r="D124" s="815">
        <v>5.2380000000000005E-4</v>
      </c>
      <c r="E124" s="816">
        <v>1211318</v>
      </c>
      <c r="F124" s="816" t="s">
        <v>185</v>
      </c>
      <c r="G124" s="817">
        <v>186878</v>
      </c>
      <c r="H124" s="818">
        <v>166278</v>
      </c>
      <c r="I124" s="817">
        <v>321437</v>
      </c>
      <c r="J124" s="816">
        <v>9519</v>
      </c>
      <c r="K124" s="818">
        <f t="shared" si="2"/>
        <v>684112</v>
      </c>
      <c r="L124" s="816"/>
      <c r="M124" s="817">
        <v>6271</v>
      </c>
      <c r="N124" s="817">
        <v>0</v>
      </c>
      <c r="O124" s="816">
        <v>11235</v>
      </c>
      <c r="P124" s="818">
        <f t="shared" si="3"/>
        <v>17506</v>
      </c>
      <c r="Q124" s="816"/>
      <c r="R124" s="817">
        <v>336472</v>
      </c>
      <c r="S124" s="816">
        <v>-3424</v>
      </c>
      <c r="T124" s="819">
        <v>333048</v>
      </c>
    </row>
    <row r="125" spans="1:20" x14ac:dyDescent="0.25">
      <c r="A125" s="813">
        <v>91138</v>
      </c>
      <c r="B125" s="814" t="s">
        <v>2660</v>
      </c>
      <c r="C125" s="815">
        <v>4.8819999999999999E-4</v>
      </c>
      <c r="D125" s="815">
        <v>6.2629999999999999E-4</v>
      </c>
      <c r="E125" s="816">
        <v>1158177</v>
      </c>
      <c r="F125" s="816" t="s">
        <v>185</v>
      </c>
      <c r="G125" s="817">
        <v>178679</v>
      </c>
      <c r="H125" s="818">
        <v>158983</v>
      </c>
      <c r="I125" s="817">
        <v>307336</v>
      </c>
      <c r="J125" s="816">
        <v>0</v>
      </c>
      <c r="K125" s="818">
        <f t="shared" si="2"/>
        <v>644998</v>
      </c>
      <c r="L125" s="816"/>
      <c r="M125" s="817">
        <v>5996</v>
      </c>
      <c r="N125" s="817">
        <v>0</v>
      </c>
      <c r="O125" s="816">
        <v>212777</v>
      </c>
      <c r="P125" s="818">
        <f t="shared" si="3"/>
        <v>218773</v>
      </c>
      <c r="Q125" s="816"/>
      <c r="R125" s="817">
        <v>321711</v>
      </c>
      <c r="S125" s="816">
        <v>-81735</v>
      </c>
      <c r="T125" s="819">
        <v>239976</v>
      </c>
    </row>
    <row r="126" spans="1:20" x14ac:dyDescent="0.25">
      <c r="A126" s="813">
        <v>91141</v>
      </c>
      <c r="B126" s="814" t="s">
        <v>3990</v>
      </c>
      <c r="C126" s="815">
        <v>5.5960000000000005E-4</v>
      </c>
      <c r="D126" s="815">
        <v>5.7569999999999995E-4</v>
      </c>
      <c r="E126" s="816">
        <v>1327563</v>
      </c>
      <c r="F126" s="816" t="s">
        <v>185</v>
      </c>
      <c r="G126" s="817">
        <v>204811</v>
      </c>
      <c r="H126" s="818">
        <v>182235</v>
      </c>
      <c r="I126" s="817">
        <v>352284</v>
      </c>
      <c r="J126" s="816">
        <v>0</v>
      </c>
      <c r="K126" s="818">
        <f t="shared" si="2"/>
        <v>739330</v>
      </c>
      <c r="L126" s="816"/>
      <c r="M126" s="817">
        <v>6872</v>
      </c>
      <c r="N126" s="817">
        <v>0</v>
      </c>
      <c r="O126" s="816">
        <v>65730</v>
      </c>
      <c r="P126" s="818">
        <f t="shared" si="3"/>
        <v>72602</v>
      </c>
      <c r="Q126" s="816"/>
      <c r="R126" s="817">
        <v>368761</v>
      </c>
      <c r="S126" s="816">
        <v>-43880</v>
      </c>
      <c r="T126" s="819">
        <v>324881</v>
      </c>
    </row>
    <row r="127" spans="1:20" x14ac:dyDescent="0.25">
      <c r="A127" s="813">
        <v>91147</v>
      </c>
      <c r="B127" s="814" t="s">
        <v>2662</v>
      </c>
      <c r="C127" s="815">
        <v>2.87E-5</v>
      </c>
      <c r="D127" s="815">
        <v>2.6699999999999998E-5</v>
      </c>
      <c r="E127" s="816">
        <v>68086</v>
      </c>
      <c r="F127" s="816" t="s">
        <v>185</v>
      </c>
      <c r="G127" s="817">
        <v>10504</v>
      </c>
      <c r="H127" s="818">
        <v>9346</v>
      </c>
      <c r="I127" s="817">
        <v>18067</v>
      </c>
      <c r="J127" s="816">
        <v>5905</v>
      </c>
      <c r="K127" s="818">
        <f t="shared" si="2"/>
        <v>43822</v>
      </c>
      <c r="L127" s="816"/>
      <c r="M127" s="817">
        <v>352</v>
      </c>
      <c r="N127" s="817">
        <v>0</v>
      </c>
      <c r="O127" s="816">
        <v>0</v>
      </c>
      <c r="P127" s="818">
        <f t="shared" si="3"/>
        <v>352</v>
      </c>
      <c r="Q127" s="816"/>
      <c r="R127" s="817">
        <v>18913</v>
      </c>
      <c r="S127" s="816">
        <v>4757</v>
      </c>
      <c r="T127" s="819">
        <v>23670</v>
      </c>
    </row>
    <row r="128" spans="1:20" x14ac:dyDescent="0.25">
      <c r="A128" s="813">
        <v>91151</v>
      </c>
      <c r="B128" s="814" t="s">
        <v>3991</v>
      </c>
      <c r="C128" s="815">
        <v>6.2589999999999998E-4</v>
      </c>
      <c r="D128" s="815">
        <v>6.3409999999999996E-4</v>
      </c>
      <c r="E128" s="816">
        <v>1484849</v>
      </c>
      <c r="F128" s="816" t="s">
        <v>185</v>
      </c>
      <c r="G128" s="817">
        <v>229077</v>
      </c>
      <c r="H128" s="818">
        <v>203826</v>
      </c>
      <c r="I128" s="817">
        <v>394022</v>
      </c>
      <c r="J128" s="816">
        <v>3112</v>
      </c>
      <c r="K128" s="818">
        <f t="shared" si="2"/>
        <v>830037</v>
      </c>
      <c r="L128" s="816"/>
      <c r="M128" s="817">
        <v>7687</v>
      </c>
      <c r="N128" s="817">
        <v>0</v>
      </c>
      <c r="O128" s="816">
        <v>68725</v>
      </c>
      <c r="P128" s="818">
        <f t="shared" si="3"/>
        <v>76412</v>
      </c>
      <c r="Q128" s="816"/>
      <c r="R128" s="817">
        <v>412451</v>
      </c>
      <c r="S128" s="816">
        <v>-24854</v>
      </c>
      <c r="T128" s="819">
        <v>387597</v>
      </c>
    </row>
    <row r="129" spans="1:20" x14ac:dyDescent="0.25">
      <c r="A129" s="813">
        <v>91154</v>
      </c>
      <c r="B129" s="814" t="s">
        <v>2664</v>
      </c>
      <c r="C129" s="815">
        <v>2.41E-5</v>
      </c>
      <c r="D129" s="815">
        <v>2.6299999999999999E-5</v>
      </c>
      <c r="E129" s="816">
        <v>57173</v>
      </c>
      <c r="F129" s="816" t="s">
        <v>185</v>
      </c>
      <c r="G129" s="817">
        <v>8821</v>
      </c>
      <c r="H129" s="818">
        <v>7848</v>
      </c>
      <c r="I129" s="817">
        <v>15172</v>
      </c>
      <c r="J129" s="816">
        <v>4369</v>
      </c>
      <c r="K129" s="818">
        <f t="shared" si="2"/>
        <v>36210</v>
      </c>
      <c r="L129" s="816"/>
      <c r="M129" s="817">
        <v>296</v>
      </c>
      <c r="N129" s="817">
        <v>0</v>
      </c>
      <c r="O129" s="816">
        <v>2182</v>
      </c>
      <c r="P129" s="818">
        <f t="shared" si="3"/>
        <v>2478</v>
      </c>
      <c r="Q129" s="816"/>
      <c r="R129" s="817">
        <v>15881</v>
      </c>
      <c r="S129" s="816">
        <v>2411</v>
      </c>
      <c r="T129" s="819">
        <v>18292</v>
      </c>
    </row>
    <row r="130" spans="1:20" x14ac:dyDescent="0.25">
      <c r="A130" s="813">
        <v>91161</v>
      </c>
      <c r="B130" s="814" t="s">
        <v>3992</v>
      </c>
      <c r="C130" s="815">
        <v>7.9699999999999999E-5</v>
      </c>
      <c r="D130" s="815">
        <v>9.2600000000000001E-5</v>
      </c>
      <c r="E130" s="816">
        <v>189076</v>
      </c>
      <c r="F130" s="816" t="s">
        <v>185</v>
      </c>
      <c r="G130" s="817">
        <v>29170</v>
      </c>
      <c r="H130" s="818">
        <v>25954</v>
      </c>
      <c r="I130" s="817">
        <v>50173</v>
      </c>
      <c r="J130" s="816">
        <v>2466</v>
      </c>
      <c r="K130" s="818">
        <f t="shared" si="2"/>
        <v>107763</v>
      </c>
      <c r="L130" s="816"/>
      <c r="M130" s="817">
        <v>979</v>
      </c>
      <c r="N130" s="817">
        <v>0</v>
      </c>
      <c r="O130" s="816">
        <v>9902</v>
      </c>
      <c r="P130" s="818">
        <f t="shared" si="3"/>
        <v>10881</v>
      </c>
      <c r="Q130" s="816"/>
      <c r="R130" s="817">
        <v>52520</v>
      </c>
      <c r="S130" s="816">
        <v>-1236</v>
      </c>
      <c r="T130" s="819">
        <v>51284</v>
      </c>
    </row>
    <row r="131" spans="1:20" x14ac:dyDescent="0.25">
      <c r="A131" s="813">
        <v>91171</v>
      </c>
      <c r="B131" s="814" t="s">
        <v>3993</v>
      </c>
      <c r="C131" s="815">
        <v>2.3790000000000001E-4</v>
      </c>
      <c r="D131" s="815">
        <v>1.95E-4</v>
      </c>
      <c r="E131" s="816">
        <v>564380</v>
      </c>
      <c r="F131" s="816" t="s">
        <v>185</v>
      </c>
      <c r="G131" s="817">
        <v>87070</v>
      </c>
      <c r="H131" s="818">
        <v>77473</v>
      </c>
      <c r="I131" s="817">
        <v>149765</v>
      </c>
      <c r="J131" s="816">
        <v>24306</v>
      </c>
      <c r="K131" s="818">
        <f t="shared" si="2"/>
        <v>338614</v>
      </c>
      <c r="L131" s="816"/>
      <c r="M131" s="817">
        <v>2922</v>
      </c>
      <c r="N131" s="817">
        <v>0</v>
      </c>
      <c r="O131" s="816">
        <v>36666</v>
      </c>
      <c r="P131" s="818">
        <f t="shared" si="3"/>
        <v>39588</v>
      </c>
      <c r="Q131" s="816"/>
      <c r="R131" s="817">
        <v>156770</v>
      </c>
      <c r="S131" s="816">
        <v>-15275</v>
      </c>
      <c r="T131" s="819">
        <v>141495</v>
      </c>
    </row>
    <row r="132" spans="1:20" x14ac:dyDescent="0.25">
      <c r="A132" s="813">
        <v>91201</v>
      </c>
      <c r="B132" s="814" t="s">
        <v>2667</v>
      </c>
      <c r="C132" s="815">
        <v>2.2587000000000002E-3</v>
      </c>
      <c r="D132" s="815">
        <v>2.2878E-3</v>
      </c>
      <c r="E132" s="816">
        <v>5358409</v>
      </c>
      <c r="F132" s="816" t="s">
        <v>185</v>
      </c>
      <c r="G132" s="817">
        <v>826675</v>
      </c>
      <c r="H132" s="818">
        <v>735550</v>
      </c>
      <c r="I132" s="817">
        <v>1421915</v>
      </c>
      <c r="J132" s="816">
        <v>15312</v>
      </c>
      <c r="K132" s="818">
        <f t="shared" si="2"/>
        <v>2999452</v>
      </c>
      <c r="L132" s="816"/>
      <c r="M132" s="817">
        <v>27739</v>
      </c>
      <c r="N132" s="817">
        <v>0</v>
      </c>
      <c r="O132" s="816">
        <v>131332</v>
      </c>
      <c r="P132" s="818">
        <f t="shared" si="3"/>
        <v>159071</v>
      </c>
      <c r="Q132" s="816"/>
      <c r="R132" s="817">
        <v>1488422</v>
      </c>
      <c r="S132" s="816">
        <v>-15775</v>
      </c>
      <c r="T132" s="819">
        <v>1472647</v>
      </c>
    </row>
    <row r="133" spans="1:20" x14ac:dyDescent="0.25">
      <c r="A133" s="813">
        <v>91202</v>
      </c>
      <c r="B133" s="814" t="s">
        <v>2668</v>
      </c>
      <c r="C133" s="815">
        <v>1.9579999999999999E-4</v>
      </c>
      <c r="D133" s="815">
        <v>1.9330000000000001E-4</v>
      </c>
      <c r="E133" s="816">
        <v>464505</v>
      </c>
      <c r="F133" s="816" t="s">
        <v>185</v>
      </c>
      <c r="G133" s="817">
        <v>71662</v>
      </c>
      <c r="H133" s="818">
        <v>63762</v>
      </c>
      <c r="I133" s="817">
        <v>123262</v>
      </c>
      <c r="J133" s="816">
        <v>19480</v>
      </c>
      <c r="K133" s="818">
        <f t="shared" si="2"/>
        <v>278166</v>
      </c>
      <c r="L133" s="816"/>
      <c r="M133" s="817">
        <v>2405</v>
      </c>
      <c r="N133" s="817">
        <v>0</v>
      </c>
      <c r="O133" s="816">
        <v>0</v>
      </c>
      <c r="P133" s="818">
        <f t="shared" si="3"/>
        <v>2405</v>
      </c>
      <c r="Q133" s="816"/>
      <c r="R133" s="817">
        <v>129027</v>
      </c>
      <c r="S133" s="816">
        <v>13312</v>
      </c>
      <c r="T133" s="819">
        <v>142339</v>
      </c>
    </row>
    <row r="134" spans="1:20" x14ac:dyDescent="0.25">
      <c r="A134" s="813">
        <v>91203</v>
      </c>
      <c r="B134" s="814" t="s">
        <v>2669</v>
      </c>
      <c r="C134" s="815">
        <v>2.3000000000000001E-4</v>
      </c>
      <c r="D134" s="815">
        <v>2.1939999999999999E-4</v>
      </c>
      <c r="E134" s="816">
        <v>545639</v>
      </c>
      <c r="F134" s="816" t="s">
        <v>185</v>
      </c>
      <c r="G134" s="817">
        <v>84179</v>
      </c>
      <c r="H134" s="818">
        <v>74900</v>
      </c>
      <c r="I134" s="817">
        <v>144791</v>
      </c>
      <c r="J134" s="816">
        <v>39994</v>
      </c>
      <c r="K134" s="818">
        <f t="shared" si="2"/>
        <v>343864</v>
      </c>
      <c r="L134" s="816"/>
      <c r="M134" s="817">
        <v>2825</v>
      </c>
      <c r="N134" s="817">
        <v>0</v>
      </c>
      <c r="O134" s="816">
        <v>0</v>
      </c>
      <c r="P134" s="818">
        <f t="shared" si="3"/>
        <v>2825</v>
      </c>
      <c r="Q134" s="816"/>
      <c r="R134" s="817">
        <v>151564</v>
      </c>
      <c r="S134" s="816">
        <v>19261</v>
      </c>
      <c r="T134" s="819">
        <v>170825</v>
      </c>
    </row>
    <row r="135" spans="1:20" x14ac:dyDescent="0.25">
      <c r="A135" s="813">
        <v>91206</v>
      </c>
      <c r="B135" s="814" t="s">
        <v>2670</v>
      </c>
      <c r="C135" s="815">
        <v>9.0660000000000003E-4</v>
      </c>
      <c r="D135" s="815">
        <v>8.6450000000000003E-4</v>
      </c>
      <c r="E135" s="816">
        <v>2150765</v>
      </c>
      <c r="F135" s="816" t="s">
        <v>185</v>
      </c>
      <c r="G135" s="817">
        <v>331812</v>
      </c>
      <c r="H135" s="818">
        <v>295237</v>
      </c>
      <c r="I135" s="817">
        <v>570730</v>
      </c>
      <c r="J135" s="816">
        <v>45439</v>
      </c>
      <c r="K135" s="818">
        <f t="shared" si="2"/>
        <v>1243218</v>
      </c>
      <c r="L135" s="816"/>
      <c r="M135" s="817">
        <v>11134</v>
      </c>
      <c r="N135" s="817">
        <v>0</v>
      </c>
      <c r="O135" s="816">
        <v>736</v>
      </c>
      <c r="P135" s="818">
        <f t="shared" si="3"/>
        <v>11870</v>
      </c>
      <c r="Q135" s="816"/>
      <c r="R135" s="817">
        <v>597425</v>
      </c>
      <c r="S135" s="816">
        <v>22732</v>
      </c>
      <c r="T135" s="819">
        <v>620157</v>
      </c>
    </row>
    <row r="136" spans="1:20" x14ac:dyDescent="0.25">
      <c r="A136" s="813">
        <v>91208</v>
      </c>
      <c r="B136" s="814" t="s">
        <v>2671</v>
      </c>
      <c r="C136" s="815">
        <v>1.3200000000000001E-5</v>
      </c>
      <c r="D136" s="815">
        <v>1.42E-5</v>
      </c>
      <c r="E136" s="816">
        <v>31315</v>
      </c>
      <c r="F136" s="816" t="s">
        <v>185</v>
      </c>
      <c r="G136" s="817">
        <v>4831</v>
      </c>
      <c r="H136" s="818">
        <v>4299</v>
      </c>
      <c r="I136" s="817">
        <v>8310</v>
      </c>
      <c r="J136" s="816">
        <v>529</v>
      </c>
      <c r="K136" s="818">
        <f t="shared" ref="K136:K199" si="4">G136+H136+I136+J136</f>
        <v>17969</v>
      </c>
      <c r="L136" s="816"/>
      <c r="M136" s="817">
        <v>162</v>
      </c>
      <c r="N136" s="817">
        <v>0</v>
      </c>
      <c r="O136" s="816">
        <v>522</v>
      </c>
      <c r="P136" s="818">
        <f t="shared" ref="P136:P199" si="5">M136+N136+O136</f>
        <v>684</v>
      </c>
      <c r="Q136" s="816"/>
      <c r="R136" s="817">
        <v>8698</v>
      </c>
      <c r="S136" s="816">
        <v>3299</v>
      </c>
      <c r="T136" s="819">
        <v>11997</v>
      </c>
    </row>
    <row r="137" spans="1:20" x14ac:dyDescent="0.25">
      <c r="A137" s="813">
        <v>91211</v>
      </c>
      <c r="B137" s="814" t="s">
        <v>3994</v>
      </c>
      <c r="C137" s="815">
        <v>4.526E-4</v>
      </c>
      <c r="D137" s="815">
        <v>4.5530000000000001E-4</v>
      </c>
      <c r="E137" s="816">
        <v>1073722</v>
      </c>
      <c r="F137" s="816" t="s">
        <v>185</v>
      </c>
      <c r="G137" s="817">
        <v>165650</v>
      </c>
      <c r="H137" s="818">
        <v>147390</v>
      </c>
      <c r="I137" s="817">
        <v>284924</v>
      </c>
      <c r="J137" s="816">
        <v>3586</v>
      </c>
      <c r="K137" s="818">
        <f t="shared" si="4"/>
        <v>601550</v>
      </c>
      <c r="L137" s="816"/>
      <c r="M137" s="817">
        <v>5558</v>
      </c>
      <c r="N137" s="817">
        <v>0</v>
      </c>
      <c r="O137" s="816">
        <v>16402</v>
      </c>
      <c r="P137" s="818">
        <f t="shared" si="5"/>
        <v>21960</v>
      </c>
      <c r="Q137" s="816"/>
      <c r="R137" s="817">
        <v>298251</v>
      </c>
      <c r="S137" s="816">
        <v>-2389</v>
      </c>
      <c r="T137" s="819">
        <v>295862</v>
      </c>
    </row>
    <row r="138" spans="1:20" x14ac:dyDescent="0.25">
      <c r="A138" s="813">
        <v>91213</v>
      </c>
      <c r="B138" s="814" t="s">
        <v>2673</v>
      </c>
      <c r="C138" s="815">
        <v>2.4700000000000001E-5</v>
      </c>
      <c r="D138" s="815">
        <v>3.2499999999999997E-5</v>
      </c>
      <c r="E138" s="816">
        <v>58597</v>
      </c>
      <c r="F138" s="816" t="s">
        <v>185</v>
      </c>
      <c r="G138" s="817">
        <v>9040</v>
      </c>
      <c r="H138" s="818">
        <v>8043</v>
      </c>
      <c r="I138" s="817">
        <v>15549</v>
      </c>
      <c r="J138" s="816">
        <v>0</v>
      </c>
      <c r="K138" s="818">
        <f t="shared" si="4"/>
        <v>32632</v>
      </c>
      <c r="L138" s="816"/>
      <c r="M138" s="817">
        <v>303</v>
      </c>
      <c r="N138" s="817">
        <v>0</v>
      </c>
      <c r="O138" s="816">
        <v>10895</v>
      </c>
      <c r="P138" s="818">
        <f t="shared" si="5"/>
        <v>11198</v>
      </c>
      <c r="Q138" s="816"/>
      <c r="R138" s="817">
        <v>16277</v>
      </c>
      <c r="S138" s="816">
        <v>-4124</v>
      </c>
      <c r="T138" s="819">
        <v>12153</v>
      </c>
    </row>
    <row r="139" spans="1:20" x14ac:dyDescent="0.25">
      <c r="A139" s="813">
        <v>91214</v>
      </c>
      <c r="B139" s="814" t="s">
        <v>3995</v>
      </c>
      <c r="C139" s="815">
        <v>3.0499999999999999E-5</v>
      </c>
      <c r="D139" s="815">
        <v>2.9300000000000001E-5</v>
      </c>
      <c r="E139" s="816">
        <v>72356</v>
      </c>
      <c r="F139" s="816" t="s">
        <v>185</v>
      </c>
      <c r="G139" s="817">
        <v>11163</v>
      </c>
      <c r="H139" s="818">
        <v>9932</v>
      </c>
      <c r="I139" s="817">
        <v>19201</v>
      </c>
      <c r="J139" s="816">
        <v>530</v>
      </c>
      <c r="K139" s="818">
        <f t="shared" si="4"/>
        <v>40826</v>
      </c>
      <c r="L139" s="816"/>
      <c r="M139" s="817">
        <v>375</v>
      </c>
      <c r="N139" s="817">
        <v>0</v>
      </c>
      <c r="O139" s="816">
        <v>4250</v>
      </c>
      <c r="P139" s="818">
        <f t="shared" si="5"/>
        <v>4625</v>
      </c>
      <c r="Q139" s="816"/>
      <c r="R139" s="817">
        <v>20099</v>
      </c>
      <c r="S139" s="816">
        <v>-694</v>
      </c>
      <c r="T139" s="819">
        <v>19405</v>
      </c>
    </row>
    <row r="140" spans="1:20" x14ac:dyDescent="0.25">
      <c r="A140" s="813">
        <v>91217</v>
      </c>
      <c r="B140" s="814" t="s">
        <v>2675</v>
      </c>
      <c r="C140" s="815">
        <v>1.77E-5</v>
      </c>
      <c r="D140" s="815">
        <v>2.8799999999999999E-5</v>
      </c>
      <c r="E140" s="816">
        <v>41990</v>
      </c>
      <c r="F140" s="816" t="s">
        <v>185</v>
      </c>
      <c r="G140" s="817">
        <v>6478</v>
      </c>
      <c r="H140" s="818">
        <v>5764</v>
      </c>
      <c r="I140" s="817">
        <v>11143</v>
      </c>
      <c r="J140" s="816">
        <v>6480</v>
      </c>
      <c r="K140" s="818">
        <f t="shared" si="4"/>
        <v>29865</v>
      </c>
      <c r="L140" s="816"/>
      <c r="M140" s="817">
        <v>217</v>
      </c>
      <c r="N140" s="817">
        <v>0</v>
      </c>
      <c r="O140" s="816">
        <v>3242</v>
      </c>
      <c r="P140" s="818">
        <f t="shared" si="5"/>
        <v>3459</v>
      </c>
      <c r="Q140" s="816"/>
      <c r="R140" s="817">
        <v>11664</v>
      </c>
      <c r="S140" s="816">
        <v>3494</v>
      </c>
      <c r="T140" s="819">
        <v>15158</v>
      </c>
    </row>
    <row r="141" spans="1:20" x14ac:dyDescent="0.25">
      <c r="A141" s="813">
        <v>91221</v>
      </c>
      <c r="B141" s="814" t="s">
        <v>3996</v>
      </c>
      <c r="C141" s="815">
        <v>1.2329999999999999E-4</v>
      </c>
      <c r="D141" s="815">
        <v>1.3359999999999999E-4</v>
      </c>
      <c r="E141" s="816">
        <v>292510</v>
      </c>
      <c r="F141" s="816" t="s">
        <v>185</v>
      </c>
      <c r="G141" s="817">
        <v>45127</v>
      </c>
      <c r="H141" s="818">
        <v>40153</v>
      </c>
      <c r="I141" s="817">
        <v>77621</v>
      </c>
      <c r="J141" s="816">
        <v>981</v>
      </c>
      <c r="K141" s="818">
        <f t="shared" si="4"/>
        <v>163882</v>
      </c>
      <c r="L141" s="816"/>
      <c r="M141" s="817">
        <v>1514</v>
      </c>
      <c r="N141" s="817">
        <v>0</v>
      </c>
      <c r="O141" s="816">
        <v>13939</v>
      </c>
      <c r="P141" s="818">
        <f t="shared" si="5"/>
        <v>15453</v>
      </c>
      <c r="Q141" s="816"/>
      <c r="R141" s="817">
        <v>81251</v>
      </c>
      <c r="S141" s="816">
        <v>-1021</v>
      </c>
      <c r="T141" s="819">
        <v>80230</v>
      </c>
    </row>
    <row r="142" spans="1:20" x14ac:dyDescent="0.25">
      <c r="A142" s="813">
        <v>91231</v>
      </c>
      <c r="B142" s="814" t="s">
        <v>2677</v>
      </c>
      <c r="C142" s="815">
        <v>1.8527000000000001E-3</v>
      </c>
      <c r="D142" s="815">
        <v>1.8856000000000001E-3</v>
      </c>
      <c r="E142" s="816">
        <v>4395238</v>
      </c>
      <c r="F142" s="816" t="s">
        <v>185</v>
      </c>
      <c r="G142" s="817">
        <v>678081</v>
      </c>
      <c r="H142" s="818">
        <v>603336</v>
      </c>
      <c r="I142" s="817">
        <v>1166327</v>
      </c>
      <c r="J142" s="816">
        <v>0</v>
      </c>
      <c r="K142" s="818">
        <f t="shared" si="4"/>
        <v>2447744</v>
      </c>
      <c r="L142" s="816"/>
      <c r="M142" s="817">
        <v>22753</v>
      </c>
      <c r="N142" s="817">
        <v>0</v>
      </c>
      <c r="O142" s="816">
        <v>112717</v>
      </c>
      <c r="P142" s="818">
        <f t="shared" si="5"/>
        <v>135470</v>
      </c>
      <c r="Q142" s="816"/>
      <c r="R142" s="817">
        <v>1220879</v>
      </c>
      <c r="S142" s="816">
        <v>-37802</v>
      </c>
      <c r="T142" s="819">
        <v>1183077</v>
      </c>
    </row>
    <row r="143" spans="1:20" x14ac:dyDescent="0.25">
      <c r="A143" s="813">
        <v>91233</v>
      </c>
      <c r="B143" s="814" t="s">
        <v>2678</v>
      </c>
      <c r="C143" s="815">
        <v>5.3499999999999999E-5</v>
      </c>
      <c r="D143" s="815">
        <v>5.8100000000000003E-5</v>
      </c>
      <c r="E143" s="816">
        <v>126920</v>
      </c>
      <c r="F143" s="816" t="s">
        <v>185</v>
      </c>
      <c r="G143" s="817">
        <v>19581</v>
      </c>
      <c r="H143" s="818">
        <v>17422</v>
      </c>
      <c r="I143" s="817">
        <v>33680</v>
      </c>
      <c r="J143" s="816">
        <v>5224</v>
      </c>
      <c r="K143" s="818">
        <f t="shared" si="4"/>
        <v>75907</v>
      </c>
      <c r="L143" s="816"/>
      <c r="M143" s="817">
        <v>657</v>
      </c>
      <c r="N143" s="817">
        <v>0</v>
      </c>
      <c r="O143" s="816">
        <v>6405</v>
      </c>
      <c r="P143" s="818">
        <f t="shared" si="5"/>
        <v>7062</v>
      </c>
      <c r="Q143" s="816"/>
      <c r="R143" s="817">
        <v>35255</v>
      </c>
      <c r="S143" s="816">
        <v>2697</v>
      </c>
      <c r="T143" s="819">
        <v>37952</v>
      </c>
    </row>
    <row r="144" spans="1:20" x14ac:dyDescent="0.25">
      <c r="A144" s="813">
        <v>91241</v>
      </c>
      <c r="B144" s="814" t="s">
        <v>3997</v>
      </c>
      <c r="C144" s="815">
        <v>4.3099999999999997E-5</v>
      </c>
      <c r="D144" s="815">
        <v>3.5500000000000002E-5</v>
      </c>
      <c r="E144" s="816">
        <v>102248</v>
      </c>
      <c r="F144" s="816" t="s">
        <v>185</v>
      </c>
      <c r="G144" s="817">
        <v>15774</v>
      </c>
      <c r="H144" s="818">
        <v>14035</v>
      </c>
      <c r="I144" s="817">
        <v>27133</v>
      </c>
      <c r="J144" s="816">
        <v>11777</v>
      </c>
      <c r="K144" s="818">
        <f t="shared" si="4"/>
        <v>68719</v>
      </c>
      <c r="L144" s="816"/>
      <c r="M144" s="817">
        <v>529</v>
      </c>
      <c r="N144" s="817">
        <v>0</v>
      </c>
      <c r="O144" s="816">
        <v>1842</v>
      </c>
      <c r="P144" s="818">
        <f t="shared" si="5"/>
        <v>2371</v>
      </c>
      <c r="Q144" s="816"/>
      <c r="R144" s="817">
        <v>28402</v>
      </c>
      <c r="S144" s="816">
        <v>394</v>
      </c>
      <c r="T144" s="819">
        <v>28796</v>
      </c>
    </row>
    <row r="145" spans="1:20" x14ac:dyDescent="0.25">
      <c r="A145" s="813">
        <v>91251</v>
      </c>
      <c r="B145" s="814" t="s">
        <v>3998</v>
      </c>
      <c r="C145" s="815">
        <v>2.9499999999999999E-5</v>
      </c>
      <c r="D145" s="815">
        <v>1.9899999999999999E-5</v>
      </c>
      <c r="E145" s="816">
        <v>69984</v>
      </c>
      <c r="F145" s="816" t="s">
        <v>185</v>
      </c>
      <c r="G145" s="817">
        <v>10797</v>
      </c>
      <c r="H145" s="818">
        <v>9607</v>
      </c>
      <c r="I145" s="817">
        <v>18571</v>
      </c>
      <c r="J145" s="816">
        <v>9082</v>
      </c>
      <c r="K145" s="818">
        <f t="shared" si="4"/>
        <v>48057</v>
      </c>
      <c r="L145" s="816"/>
      <c r="M145" s="817">
        <v>362</v>
      </c>
      <c r="N145" s="817">
        <v>0</v>
      </c>
      <c r="O145" s="816">
        <v>2515</v>
      </c>
      <c r="P145" s="818">
        <f t="shared" si="5"/>
        <v>2877</v>
      </c>
      <c r="Q145" s="816"/>
      <c r="R145" s="817">
        <v>19440</v>
      </c>
      <c r="S145" s="816">
        <v>3588</v>
      </c>
      <c r="T145" s="819">
        <v>23028</v>
      </c>
    </row>
    <row r="146" spans="1:20" x14ac:dyDescent="0.25">
      <c r="A146" s="813">
        <v>91261</v>
      </c>
      <c r="B146" s="814" t="s">
        <v>3999</v>
      </c>
      <c r="C146" s="815">
        <v>1.06E-5</v>
      </c>
      <c r="D146" s="815">
        <v>1.03E-5</v>
      </c>
      <c r="E146" s="816">
        <v>25147</v>
      </c>
      <c r="F146" s="816" t="s">
        <v>185</v>
      </c>
      <c r="G146" s="817">
        <v>3880</v>
      </c>
      <c r="H146" s="818">
        <v>3452</v>
      </c>
      <c r="I146" s="817">
        <v>6673</v>
      </c>
      <c r="J146" s="816">
        <v>939</v>
      </c>
      <c r="K146" s="818">
        <f t="shared" si="4"/>
        <v>14944</v>
      </c>
      <c r="L146" s="816"/>
      <c r="M146" s="817">
        <v>130</v>
      </c>
      <c r="N146" s="817">
        <v>0</v>
      </c>
      <c r="O146" s="816">
        <v>0</v>
      </c>
      <c r="P146" s="818">
        <f t="shared" si="5"/>
        <v>130</v>
      </c>
      <c r="Q146" s="816"/>
      <c r="R146" s="817">
        <v>6985</v>
      </c>
      <c r="S146" s="816">
        <v>848</v>
      </c>
      <c r="T146" s="819">
        <v>7833</v>
      </c>
    </row>
    <row r="147" spans="1:20" x14ac:dyDescent="0.25">
      <c r="A147" s="813">
        <v>91301</v>
      </c>
      <c r="B147" s="814" t="s">
        <v>2682</v>
      </c>
      <c r="C147" s="815">
        <v>7.7812000000000003E-3</v>
      </c>
      <c r="D147" s="815">
        <v>7.6985999999999999E-3</v>
      </c>
      <c r="E147" s="816">
        <v>18459668</v>
      </c>
      <c r="F147" s="816" t="s">
        <v>185</v>
      </c>
      <c r="G147" s="817">
        <v>2847888</v>
      </c>
      <c r="H147" s="818">
        <v>2533963</v>
      </c>
      <c r="I147" s="817">
        <v>4898483</v>
      </c>
      <c r="J147" s="816">
        <v>12950</v>
      </c>
      <c r="K147" s="818">
        <f t="shared" si="4"/>
        <v>10293284</v>
      </c>
      <c r="L147" s="816"/>
      <c r="M147" s="817">
        <v>95561</v>
      </c>
      <c r="N147" s="817">
        <v>0</v>
      </c>
      <c r="O147" s="816">
        <v>224172</v>
      </c>
      <c r="P147" s="818">
        <f t="shared" si="5"/>
        <v>319733</v>
      </c>
      <c r="Q147" s="816"/>
      <c r="R147" s="817">
        <v>5127601</v>
      </c>
      <c r="S147" s="816">
        <v>-118489</v>
      </c>
      <c r="T147" s="819">
        <v>5009112</v>
      </c>
    </row>
    <row r="148" spans="1:20" x14ac:dyDescent="0.25">
      <c r="A148" s="813">
        <v>91302</v>
      </c>
      <c r="B148" s="814" t="s">
        <v>4000</v>
      </c>
      <c r="C148" s="815">
        <v>5.4440000000000001E-4</v>
      </c>
      <c r="D148" s="815">
        <v>6.0300000000000002E-4</v>
      </c>
      <c r="E148" s="816">
        <v>1291503</v>
      </c>
      <c r="F148" s="816" t="s">
        <v>185</v>
      </c>
      <c r="G148" s="817">
        <v>199248</v>
      </c>
      <c r="H148" s="818">
        <v>177285</v>
      </c>
      <c r="I148" s="817">
        <v>342715</v>
      </c>
      <c r="J148" s="816">
        <v>12855</v>
      </c>
      <c r="K148" s="818">
        <f t="shared" si="4"/>
        <v>732103</v>
      </c>
      <c r="L148" s="816"/>
      <c r="M148" s="817">
        <v>6686</v>
      </c>
      <c r="N148" s="817">
        <v>0</v>
      </c>
      <c r="O148" s="816">
        <v>55205</v>
      </c>
      <c r="P148" s="818">
        <f t="shared" si="5"/>
        <v>61891</v>
      </c>
      <c r="Q148" s="816"/>
      <c r="R148" s="817">
        <v>358745</v>
      </c>
      <c r="S148" s="816">
        <v>5826</v>
      </c>
      <c r="T148" s="819">
        <v>364571</v>
      </c>
    </row>
    <row r="149" spans="1:20" x14ac:dyDescent="0.25">
      <c r="A149" s="813">
        <v>91306</v>
      </c>
      <c r="B149" s="814" t="s">
        <v>4001</v>
      </c>
      <c r="C149" s="815">
        <v>1.8347000000000001E-3</v>
      </c>
      <c r="D149" s="815">
        <v>1.6412E-3</v>
      </c>
      <c r="E149" s="816">
        <v>4352536</v>
      </c>
      <c r="F149" s="816" t="s">
        <v>185</v>
      </c>
      <c r="G149" s="817">
        <v>671493</v>
      </c>
      <c r="H149" s="818">
        <v>597473</v>
      </c>
      <c r="I149" s="817">
        <v>1154995</v>
      </c>
      <c r="J149" s="816">
        <v>204148</v>
      </c>
      <c r="K149" s="818">
        <f t="shared" si="4"/>
        <v>2628109</v>
      </c>
      <c r="L149" s="816"/>
      <c r="M149" s="817">
        <v>22532</v>
      </c>
      <c r="N149" s="817">
        <v>0</v>
      </c>
      <c r="O149" s="816">
        <v>5325</v>
      </c>
      <c r="P149" s="818">
        <f t="shared" si="5"/>
        <v>27857</v>
      </c>
      <c r="Q149" s="816"/>
      <c r="R149" s="817">
        <v>1209018</v>
      </c>
      <c r="S149" s="816">
        <v>96839</v>
      </c>
      <c r="T149" s="819">
        <v>1305857</v>
      </c>
    </row>
    <row r="150" spans="1:20" x14ac:dyDescent="0.25">
      <c r="A150" s="813">
        <v>91308</v>
      </c>
      <c r="B150" s="814" t="s">
        <v>2685</v>
      </c>
      <c r="C150" s="815">
        <v>1.7149999999999999E-4</v>
      </c>
      <c r="D150" s="815">
        <v>1.8009999999999999E-4</v>
      </c>
      <c r="E150" s="816">
        <v>406857</v>
      </c>
      <c r="F150" s="816" t="s">
        <v>185</v>
      </c>
      <c r="G150" s="817">
        <v>62768</v>
      </c>
      <c r="H150" s="818">
        <v>55849</v>
      </c>
      <c r="I150" s="817">
        <v>107964</v>
      </c>
      <c r="J150" s="816">
        <v>117</v>
      </c>
      <c r="K150" s="818">
        <f t="shared" si="4"/>
        <v>226698</v>
      </c>
      <c r="L150" s="816"/>
      <c r="M150" s="817">
        <v>2106</v>
      </c>
      <c r="N150" s="817">
        <v>0</v>
      </c>
      <c r="O150" s="816">
        <v>22928</v>
      </c>
      <c r="P150" s="818">
        <f t="shared" si="5"/>
        <v>25034</v>
      </c>
      <c r="Q150" s="816"/>
      <c r="R150" s="817">
        <v>113014</v>
      </c>
      <c r="S150" s="816">
        <v>-5660</v>
      </c>
      <c r="T150" s="819">
        <v>107354</v>
      </c>
    </row>
    <row r="151" spans="1:20" x14ac:dyDescent="0.25">
      <c r="A151" s="813">
        <v>91311</v>
      </c>
      <c r="B151" s="814" t="s">
        <v>2686</v>
      </c>
      <c r="C151" s="815">
        <v>7.7199E-3</v>
      </c>
      <c r="D151" s="815">
        <v>7.6685E-3</v>
      </c>
      <c r="E151" s="816">
        <v>18314243</v>
      </c>
      <c r="F151" s="816" t="s">
        <v>185</v>
      </c>
      <c r="G151" s="817">
        <v>2825453</v>
      </c>
      <c r="H151" s="818">
        <v>2514000</v>
      </c>
      <c r="I151" s="817">
        <v>4859893</v>
      </c>
      <c r="J151" s="816">
        <v>35298</v>
      </c>
      <c r="K151" s="818">
        <f t="shared" si="4"/>
        <v>10234644</v>
      </c>
      <c r="L151" s="816"/>
      <c r="M151" s="817">
        <v>94808</v>
      </c>
      <c r="N151" s="817">
        <v>0</v>
      </c>
      <c r="O151" s="816">
        <v>364413</v>
      </c>
      <c r="P151" s="818">
        <f t="shared" si="5"/>
        <v>459221</v>
      </c>
      <c r="Q151" s="816"/>
      <c r="R151" s="817">
        <v>5087206</v>
      </c>
      <c r="S151" s="816">
        <v>-205799</v>
      </c>
      <c r="T151" s="819">
        <v>4881407</v>
      </c>
    </row>
    <row r="152" spans="1:20" x14ac:dyDescent="0.25">
      <c r="A152" s="813">
        <v>91317</v>
      </c>
      <c r="B152" s="814" t="s">
        <v>2687</v>
      </c>
      <c r="C152" s="815">
        <v>1.004E-4</v>
      </c>
      <c r="D152" s="815">
        <v>1.016E-4</v>
      </c>
      <c r="E152" s="816">
        <v>238183</v>
      </c>
      <c r="F152" s="816" t="s">
        <v>185</v>
      </c>
      <c r="G152" s="817">
        <v>36746</v>
      </c>
      <c r="H152" s="818">
        <v>32696</v>
      </c>
      <c r="I152" s="817">
        <v>63205</v>
      </c>
      <c r="J152" s="816">
        <v>13218</v>
      </c>
      <c r="K152" s="818">
        <f t="shared" si="4"/>
        <v>145865</v>
      </c>
      <c r="L152" s="816"/>
      <c r="M152" s="817">
        <v>1233</v>
      </c>
      <c r="N152" s="817">
        <v>0</v>
      </c>
      <c r="O152" s="816">
        <v>602</v>
      </c>
      <c r="P152" s="818">
        <f t="shared" si="5"/>
        <v>1835</v>
      </c>
      <c r="Q152" s="816"/>
      <c r="R152" s="817">
        <v>66161</v>
      </c>
      <c r="S152" s="816">
        <v>3844</v>
      </c>
      <c r="T152" s="819">
        <v>70005</v>
      </c>
    </row>
    <row r="153" spans="1:20" x14ac:dyDescent="0.25">
      <c r="A153" s="813">
        <v>91321</v>
      </c>
      <c r="B153" s="814" t="s">
        <v>4002</v>
      </c>
      <c r="C153" s="815">
        <v>4.5899999999999998E-5</v>
      </c>
      <c r="D153" s="815">
        <v>4.2799999999999997E-5</v>
      </c>
      <c r="E153" s="816">
        <v>108890</v>
      </c>
      <c r="F153" s="816" t="s">
        <v>185</v>
      </c>
      <c r="G153" s="817">
        <v>16799</v>
      </c>
      <c r="H153" s="818">
        <v>14947</v>
      </c>
      <c r="I153" s="817">
        <v>28895</v>
      </c>
      <c r="J153" s="816">
        <v>34886</v>
      </c>
      <c r="K153" s="818">
        <f t="shared" si="4"/>
        <v>95527</v>
      </c>
      <c r="L153" s="816"/>
      <c r="M153" s="817">
        <v>564</v>
      </c>
      <c r="N153" s="817">
        <v>0</v>
      </c>
      <c r="O153" s="816">
        <v>1694</v>
      </c>
      <c r="P153" s="818">
        <f t="shared" si="5"/>
        <v>2258</v>
      </c>
      <c r="Q153" s="816"/>
      <c r="R153" s="817">
        <v>30247</v>
      </c>
      <c r="S153" s="816">
        <v>8780</v>
      </c>
      <c r="T153" s="819">
        <v>39027</v>
      </c>
    </row>
    <row r="154" spans="1:20" x14ac:dyDescent="0.25">
      <c r="A154" s="813">
        <v>91327</v>
      </c>
      <c r="B154" s="814" t="s">
        <v>2689</v>
      </c>
      <c r="C154" s="815">
        <v>7.7000000000000008E-6</v>
      </c>
      <c r="D154" s="815">
        <v>8.1999999999999994E-6</v>
      </c>
      <c r="E154" s="816">
        <v>18267</v>
      </c>
      <c r="F154" s="816" t="s">
        <v>185</v>
      </c>
      <c r="G154" s="817">
        <v>2818</v>
      </c>
      <c r="H154" s="818">
        <v>2507</v>
      </c>
      <c r="I154" s="817">
        <v>4847</v>
      </c>
      <c r="J154" s="816">
        <v>526</v>
      </c>
      <c r="K154" s="818">
        <f t="shared" si="4"/>
        <v>10698</v>
      </c>
      <c r="L154" s="816"/>
      <c r="M154" s="817">
        <v>95</v>
      </c>
      <c r="N154" s="817">
        <v>0</v>
      </c>
      <c r="O154" s="816">
        <v>1045</v>
      </c>
      <c r="P154" s="818">
        <f t="shared" si="5"/>
        <v>1140</v>
      </c>
      <c r="Q154" s="816"/>
      <c r="R154" s="817">
        <v>5074</v>
      </c>
      <c r="S154" s="816">
        <v>-349</v>
      </c>
      <c r="T154" s="819">
        <v>4725</v>
      </c>
    </row>
    <row r="155" spans="1:20" x14ac:dyDescent="0.25">
      <c r="A155" s="813">
        <v>91331</v>
      </c>
      <c r="B155" s="814" t="s">
        <v>2690</v>
      </c>
      <c r="C155" s="815">
        <v>3.0000000000000001E-3</v>
      </c>
      <c r="D155" s="815">
        <v>3.0033E-3</v>
      </c>
      <c r="E155" s="816">
        <v>7117026</v>
      </c>
      <c r="F155" s="816" t="s">
        <v>185</v>
      </c>
      <c r="G155" s="817">
        <v>1097988</v>
      </c>
      <c r="H155" s="818">
        <v>976956</v>
      </c>
      <c r="I155" s="817">
        <v>1888584</v>
      </c>
      <c r="J155" s="816">
        <v>0</v>
      </c>
      <c r="K155" s="818">
        <f t="shared" si="4"/>
        <v>3963528</v>
      </c>
      <c r="L155" s="816"/>
      <c r="M155" s="817">
        <v>36843</v>
      </c>
      <c r="N155" s="817">
        <v>0</v>
      </c>
      <c r="O155" s="816">
        <v>309037</v>
      </c>
      <c r="P155" s="818">
        <f t="shared" si="5"/>
        <v>345880</v>
      </c>
      <c r="Q155" s="816"/>
      <c r="R155" s="817">
        <v>1976919</v>
      </c>
      <c r="S155" s="816">
        <v>-211269</v>
      </c>
      <c r="T155" s="819">
        <v>1765650</v>
      </c>
    </row>
    <row r="156" spans="1:20" x14ac:dyDescent="0.25">
      <c r="A156" s="813">
        <v>91341</v>
      </c>
      <c r="B156" s="814" t="s">
        <v>4003</v>
      </c>
      <c r="C156" s="815">
        <v>2.44E-5</v>
      </c>
      <c r="D156" s="815">
        <v>2.51E-5</v>
      </c>
      <c r="E156" s="816">
        <v>57885</v>
      </c>
      <c r="F156" s="816" t="s">
        <v>185</v>
      </c>
      <c r="G156" s="817">
        <v>8930</v>
      </c>
      <c r="H156" s="818">
        <v>7946</v>
      </c>
      <c r="I156" s="817">
        <v>15360</v>
      </c>
      <c r="J156" s="816">
        <v>5509</v>
      </c>
      <c r="K156" s="818">
        <f t="shared" si="4"/>
        <v>37745</v>
      </c>
      <c r="L156" s="816"/>
      <c r="M156" s="817">
        <v>300</v>
      </c>
      <c r="N156" s="817">
        <v>0</v>
      </c>
      <c r="O156" s="816">
        <v>1144</v>
      </c>
      <c r="P156" s="818">
        <f t="shared" si="5"/>
        <v>1444</v>
      </c>
      <c r="Q156" s="816"/>
      <c r="R156" s="817">
        <v>16079</v>
      </c>
      <c r="S156" s="816">
        <v>1311</v>
      </c>
      <c r="T156" s="819">
        <v>17390</v>
      </c>
    </row>
    <row r="157" spans="1:20" x14ac:dyDescent="0.25">
      <c r="A157" s="813">
        <v>91401</v>
      </c>
      <c r="B157" s="814" t="s">
        <v>2692</v>
      </c>
      <c r="C157" s="815">
        <v>3.5492000000000002E-3</v>
      </c>
      <c r="D157" s="815">
        <v>3.5885000000000001E-3</v>
      </c>
      <c r="E157" s="816">
        <v>8419916</v>
      </c>
      <c r="F157" s="816" t="s">
        <v>185</v>
      </c>
      <c r="G157" s="817">
        <v>1298993</v>
      </c>
      <c r="H157" s="818">
        <v>1155804</v>
      </c>
      <c r="I157" s="817">
        <v>2234321</v>
      </c>
      <c r="J157" s="816">
        <v>4118</v>
      </c>
      <c r="K157" s="818">
        <f t="shared" si="4"/>
        <v>4693236</v>
      </c>
      <c r="L157" s="816"/>
      <c r="M157" s="817">
        <v>43588</v>
      </c>
      <c r="N157" s="817">
        <v>0</v>
      </c>
      <c r="O157" s="816">
        <v>191268</v>
      </c>
      <c r="P157" s="818">
        <f t="shared" si="5"/>
        <v>234856</v>
      </c>
      <c r="Q157" s="816"/>
      <c r="R157" s="817">
        <v>2338827</v>
      </c>
      <c r="S157" s="816">
        <v>-44473</v>
      </c>
      <c r="T157" s="819">
        <v>2294354</v>
      </c>
    </row>
    <row r="158" spans="1:20" x14ac:dyDescent="0.25">
      <c r="A158" s="813">
        <v>91411</v>
      </c>
      <c r="B158" s="814" t="s">
        <v>4004</v>
      </c>
      <c r="C158" s="815">
        <v>3.8479999999999997E-4</v>
      </c>
      <c r="D158" s="815">
        <v>3.7829999999999998E-4</v>
      </c>
      <c r="E158" s="816">
        <v>912877</v>
      </c>
      <c r="F158" s="816" t="s">
        <v>185</v>
      </c>
      <c r="G158" s="817">
        <v>140835</v>
      </c>
      <c r="H158" s="818">
        <v>125311</v>
      </c>
      <c r="I158" s="817">
        <v>242242</v>
      </c>
      <c r="J158" s="816">
        <v>20796</v>
      </c>
      <c r="K158" s="818">
        <f t="shared" si="4"/>
        <v>529184</v>
      </c>
      <c r="L158" s="816"/>
      <c r="M158" s="817">
        <v>4726</v>
      </c>
      <c r="N158" s="817">
        <v>0</v>
      </c>
      <c r="O158" s="816">
        <v>0</v>
      </c>
      <c r="P158" s="818">
        <f t="shared" si="5"/>
        <v>4726</v>
      </c>
      <c r="Q158" s="816"/>
      <c r="R158" s="817">
        <v>253573</v>
      </c>
      <c r="S158" s="816">
        <v>8126</v>
      </c>
      <c r="T158" s="819">
        <v>261699</v>
      </c>
    </row>
    <row r="159" spans="1:20" x14ac:dyDescent="0.25">
      <c r="A159" s="813">
        <v>91417</v>
      </c>
      <c r="B159" s="814" t="s">
        <v>2694</v>
      </c>
      <c r="C159" s="815">
        <v>8.3999999999999992E-6</v>
      </c>
      <c r="D159" s="815">
        <v>9.3000000000000007E-6</v>
      </c>
      <c r="E159" s="816">
        <v>19928</v>
      </c>
      <c r="F159" s="816" t="s">
        <v>185</v>
      </c>
      <c r="G159" s="817">
        <v>3074</v>
      </c>
      <c r="H159" s="818">
        <v>2735</v>
      </c>
      <c r="I159" s="817">
        <v>5288</v>
      </c>
      <c r="J159" s="816">
        <v>1077</v>
      </c>
      <c r="K159" s="818">
        <f t="shared" si="4"/>
        <v>12174</v>
      </c>
      <c r="L159" s="816"/>
      <c r="M159" s="817">
        <v>103</v>
      </c>
      <c r="N159" s="817">
        <v>0</v>
      </c>
      <c r="O159" s="816">
        <v>0</v>
      </c>
      <c r="P159" s="818">
        <f t="shared" si="5"/>
        <v>103</v>
      </c>
      <c r="Q159" s="816"/>
      <c r="R159" s="817">
        <v>5535</v>
      </c>
      <c r="S159" s="816">
        <v>1921</v>
      </c>
      <c r="T159" s="819">
        <v>7456</v>
      </c>
    </row>
    <row r="160" spans="1:20" x14ac:dyDescent="0.25">
      <c r="A160" s="813">
        <v>91421</v>
      </c>
      <c r="B160" s="814" t="s">
        <v>4005</v>
      </c>
      <c r="C160" s="815">
        <v>7.2299999999999996E-5</v>
      </c>
      <c r="D160" s="815">
        <v>6.9499999999999995E-5</v>
      </c>
      <c r="E160" s="816">
        <v>171520</v>
      </c>
      <c r="F160" s="816" t="s">
        <v>185</v>
      </c>
      <c r="G160" s="817">
        <v>26462</v>
      </c>
      <c r="H160" s="818">
        <v>23545</v>
      </c>
      <c r="I160" s="817">
        <v>45515</v>
      </c>
      <c r="J160" s="816">
        <v>7066</v>
      </c>
      <c r="K160" s="818">
        <f t="shared" si="4"/>
        <v>102588</v>
      </c>
      <c r="L160" s="816"/>
      <c r="M160" s="817">
        <v>888</v>
      </c>
      <c r="N160" s="817">
        <v>0</v>
      </c>
      <c r="O160" s="816">
        <v>1453</v>
      </c>
      <c r="P160" s="818">
        <f t="shared" si="5"/>
        <v>2341</v>
      </c>
      <c r="Q160" s="816"/>
      <c r="R160" s="817">
        <v>47644</v>
      </c>
      <c r="S160" s="816">
        <v>1546</v>
      </c>
      <c r="T160" s="819">
        <v>49190</v>
      </c>
    </row>
    <row r="161" spans="1:20" x14ac:dyDescent="0.25">
      <c r="A161" s="813">
        <v>91423</v>
      </c>
      <c r="B161" s="814" t="s">
        <v>2696</v>
      </c>
      <c r="C161" s="815">
        <v>4.88E-5</v>
      </c>
      <c r="D161" s="815">
        <v>5.38E-5</v>
      </c>
      <c r="E161" s="816">
        <v>115770</v>
      </c>
      <c r="F161" s="816" t="s">
        <v>185</v>
      </c>
      <c r="G161" s="817">
        <v>17861</v>
      </c>
      <c r="H161" s="818">
        <v>15892</v>
      </c>
      <c r="I161" s="817">
        <v>30721</v>
      </c>
      <c r="J161" s="816">
        <v>8202</v>
      </c>
      <c r="K161" s="818">
        <f t="shared" si="4"/>
        <v>72676</v>
      </c>
      <c r="L161" s="816"/>
      <c r="M161" s="817">
        <v>599</v>
      </c>
      <c r="N161" s="817">
        <v>0</v>
      </c>
      <c r="O161" s="816">
        <v>6851</v>
      </c>
      <c r="P161" s="818">
        <f t="shared" si="5"/>
        <v>7450</v>
      </c>
      <c r="Q161" s="816"/>
      <c r="R161" s="817">
        <v>32158</v>
      </c>
      <c r="S161" s="816">
        <v>1514</v>
      </c>
      <c r="T161" s="819">
        <v>33672</v>
      </c>
    </row>
    <row r="162" spans="1:20" x14ac:dyDescent="0.25">
      <c r="A162" s="813">
        <v>91431</v>
      </c>
      <c r="B162" s="814" t="s">
        <v>4006</v>
      </c>
      <c r="C162" s="815">
        <v>1.6229999999999999E-4</v>
      </c>
      <c r="D162" s="815">
        <v>1.562E-4</v>
      </c>
      <c r="E162" s="816">
        <v>385031</v>
      </c>
      <c r="F162" s="816" t="s">
        <v>185</v>
      </c>
      <c r="G162" s="817">
        <v>59401</v>
      </c>
      <c r="H162" s="818">
        <v>52853</v>
      </c>
      <c r="I162" s="817">
        <v>102172</v>
      </c>
      <c r="J162" s="816">
        <v>24735</v>
      </c>
      <c r="K162" s="818">
        <f t="shared" si="4"/>
        <v>239161</v>
      </c>
      <c r="L162" s="816"/>
      <c r="M162" s="817">
        <v>1993</v>
      </c>
      <c r="N162" s="817">
        <v>0</v>
      </c>
      <c r="O162" s="816">
        <v>1035</v>
      </c>
      <c r="P162" s="818">
        <f t="shared" si="5"/>
        <v>3028</v>
      </c>
      <c r="Q162" s="816"/>
      <c r="R162" s="817">
        <v>106951</v>
      </c>
      <c r="S162" s="816">
        <v>6979</v>
      </c>
      <c r="T162" s="819">
        <v>113930</v>
      </c>
    </row>
    <row r="163" spans="1:20" x14ac:dyDescent="0.25">
      <c r="A163" s="813">
        <v>91441</v>
      </c>
      <c r="B163" s="814" t="s">
        <v>4007</v>
      </c>
      <c r="C163" s="815">
        <v>9.4680000000000003E-4</v>
      </c>
      <c r="D163" s="815">
        <v>9.5140000000000003E-4</v>
      </c>
      <c r="E163" s="816">
        <v>2246133</v>
      </c>
      <c r="F163" s="816" t="s">
        <v>185</v>
      </c>
      <c r="G163" s="817">
        <v>346525</v>
      </c>
      <c r="H163" s="818">
        <v>308327</v>
      </c>
      <c r="I163" s="817">
        <v>596037</v>
      </c>
      <c r="J163" s="816">
        <v>35215</v>
      </c>
      <c r="K163" s="818">
        <f t="shared" si="4"/>
        <v>1286104</v>
      </c>
      <c r="L163" s="816"/>
      <c r="M163" s="817">
        <v>11628</v>
      </c>
      <c r="N163" s="817">
        <v>0</v>
      </c>
      <c r="O163" s="816">
        <v>145358</v>
      </c>
      <c r="P163" s="818">
        <f t="shared" si="5"/>
        <v>156986</v>
      </c>
      <c r="Q163" s="816"/>
      <c r="R163" s="817">
        <v>623916</v>
      </c>
      <c r="S163" s="816">
        <v>-63164</v>
      </c>
      <c r="T163" s="819">
        <v>560752</v>
      </c>
    </row>
    <row r="164" spans="1:20" x14ac:dyDescent="0.25">
      <c r="A164" s="813">
        <v>91451</v>
      </c>
      <c r="B164" s="814" t="s">
        <v>2699</v>
      </c>
      <c r="C164" s="815">
        <v>1.4832000000000001E-3</v>
      </c>
      <c r="D164" s="815">
        <v>1.4760000000000001E-3</v>
      </c>
      <c r="E164" s="816">
        <v>3518658</v>
      </c>
      <c r="F164" s="816" t="s">
        <v>185</v>
      </c>
      <c r="G164" s="817">
        <v>542845</v>
      </c>
      <c r="H164" s="818">
        <v>483007</v>
      </c>
      <c r="I164" s="817">
        <v>933716</v>
      </c>
      <c r="J164" s="816">
        <v>0</v>
      </c>
      <c r="K164" s="818">
        <f t="shared" si="4"/>
        <v>1959568</v>
      </c>
      <c r="L164" s="816"/>
      <c r="M164" s="817">
        <v>18215</v>
      </c>
      <c r="N164" s="817">
        <v>0</v>
      </c>
      <c r="O164" s="816">
        <v>115272</v>
      </c>
      <c r="P164" s="818">
        <f t="shared" si="5"/>
        <v>133487</v>
      </c>
      <c r="Q164" s="816"/>
      <c r="R164" s="817">
        <v>977389</v>
      </c>
      <c r="S164" s="816">
        <v>-84871</v>
      </c>
      <c r="T164" s="819">
        <v>892518</v>
      </c>
    </row>
    <row r="165" spans="1:20" x14ac:dyDescent="0.25">
      <c r="A165" s="813">
        <v>91457</v>
      </c>
      <c r="B165" s="814" t="s">
        <v>2700</v>
      </c>
      <c r="C165" s="815">
        <v>2.2099999999999998E-5</v>
      </c>
      <c r="D165" s="815">
        <v>2.23E-5</v>
      </c>
      <c r="E165" s="816">
        <v>52429</v>
      </c>
      <c r="F165" s="816" t="s">
        <v>185</v>
      </c>
      <c r="G165" s="817">
        <v>8089</v>
      </c>
      <c r="H165" s="818">
        <v>7197</v>
      </c>
      <c r="I165" s="817">
        <v>13913</v>
      </c>
      <c r="J165" s="816">
        <v>34989</v>
      </c>
      <c r="K165" s="818">
        <f t="shared" si="4"/>
        <v>64188</v>
      </c>
      <c r="L165" s="816"/>
      <c r="M165" s="817">
        <v>271</v>
      </c>
      <c r="N165" s="817">
        <v>0</v>
      </c>
      <c r="O165" s="816">
        <v>0</v>
      </c>
      <c r="P165" s="818">
        <f t="shared" si="5"/>
        <v>271</v>
      </c>
      <c r="Q165" s="816"/>
      <c r="R165" s="817">
        <v>14563</v>
      </c>
      <c r="S165" s="816">
        <v>14690</v>
      </c>
      <c r="T165" s="819">
        <v>29253</v>
      </c>
    </row>
    <row r="166" spans="1:20" x14ac:dyDescent="0.25">
      <c r="A166" s="813">
        <v>91461</v>
      </c>
      <c r="B166" s="814" t="s">
        <v>4008</v>
      </c>
      <c r="C166" s="815">
        <v>9.5999999999999996E-6</v>
      </c>
      <c r="D166" s="815">
        <v>9.3999999999999998E-6</v>
      </c>
      <c r="E166" s="816">
        <v>22774</v>
      </c>
      <c r="F166" s="816" t="s">
        <v>185</v>
      </c>
      <c r="G166" s="817">
        <v>3514</v>
      </c>
      <c r="H166" s="818">
        <v>3126</v>
      </c>
      <c r="I166" s="817">
        <v>6043</v>
      </c>
      <c r="J166" s="816">
        <v>951</v>
      </c>
      <c r="K166" s="818">
        <f t="shared" si="4"/>
        <v>13634</v>
      </c>
      <c r="L166" s="816"/>
      <c r="M166" s="817">
        <v>118</v>
      </c>
      <c r="N166" s="817">
        <v>0</v>
      </c>
      <c r="O166" s="816">
        <v>1594</v>
      </c>
      <c r="P166" s="818">
        <f t="shared" si="5"/>
        <v>1712</v>
      </c>
      <c r="Q166" s="816"/>
      <c r="R166" s="817">
        <v>6326</v>
      </c>
      <c r="S166" s="816">
        <v>664</v>
      </c>
      <c r="T166" s="819">
        <v>6990</v>
      </c>
    </row>
    <row r="167" spans="1:20" x14ac:dyDescent="0.25">
      <c r="A167" s="813">
        <v>91501</v>
      </c>
      <c r="B167" s="814" t="s">
        <v>2702</v>
      </c>
      <c r="C167" s="815">
        <v>4.6460000000000002E-4</v>
      </c>
      <c r="D167" s="815">
        <v>4.9700000000000005E-4</v>
      </c>
      <c r="E167" s="816">
        <v>1102190</v>
      </c>
      <c r="F167" s="816" t="s">
        <v>185</v>
      </c>
      <c r="G167" s="817">
        <v>170042</v>
      </c>
      <c r="H167" s="818">
        <v>151298</v>
      </c>
      <c r="I167" s="817">
        <v>292479</v>
      </c>
      <c r="J167" s="816">
        <v>7231</v>
      </c>
      <c r="K167" s="818">
        <f t="shared" si="4"/>
        <v>621050</v>
      </c>
      <c r="L167" s="816"/>
      <c r="M167" s="817">
        <v>5706</v>
      </c>
      <c r="N167" s="817">
        <v>0</v>
      </c>
      <c r="O167" s="816">
        <v>20696</v>
      </c>
      <c r="P167" s="818">
        <f t="shared" si="5"/>
        <v>26402</v>
      </c>
      <c r="Q167" s="816"/>
      <c r="R167" s="817">
        <v>306159</v>
      </c>
      <c r="S167" s="816">
        <v>11595</v>
      </c>
      <c r="T167" s="819">
        <v>317754</v>
      </c>
    </row>
    <row r="168" spans="1:20" x14ac:dyDescent="0.25">
      <c r="A168" s="813">
        <v>91504</v>
      </c>
      <c r="B168" s="814" t="s">
        <v>2703</v>
      </c>
      <c r="C168" s="815">
        <v>9.7999999999999993E-6</v>
      </c>
      <c r="D168" s="815">
        <v>9.7000000000000003E-6</v>
      </c>
      <c r="E168" s="816">
        <v>23249</v>
      </c>
      <c r="F168" s="816" t="s">
        <v>185</v>
      </c>
      <c r="G168" s="817">
        <v>3587</v>
      </c>
      <c r="H168" s="818">
        <v>3191</v>
      </c>
      <c r="I168" s="817">
        <v>6169</v>
      </c>
      <c r="J168" s="816">
        <v>4807</v>
      </c>
      <c r="K168" s="818">
        <f t="shared" si="4"/>
        <v>17754</v>
      </c>
      <c r="L168" s="816"/>
      <c r="M168" s="817">
        <v>120</v>
      </c>
      <c r="N168" s="817">
        <v>0</v>
      </c>
      <c r="O168" s="816">
        <v>0</v>
      </c>
      <c r="P168" s="818">
        <f t="shared" si="5"/>
        <v>120</v>
      </c>
      <c r="Q168" s="816"/>
      <c r="R168" s="817">
        <v>6458</v>
      </c>
      <c r="S168" s="816">
        <v>3045</v>
      </c>
      <c r="T168" s="819">
        <v>9503</v>
      </c>
    </row>
    <row r="169" spans="1:20" x14ac:dyDescent="0.25">
      <c r="A169" s="813">
        <v>91601</v>
      </c>
      <c r="B169" s="814" t="s">
        <v>2704</v>
      </c>
      <c r="C169" s="815">
        <v>2.7648E-3</v>
      </c>
      <c r="D169" s="815">
        <v>2.8040000000000001E-3</v>
      </c>
      <c r="E169" s="816">
        <v>6559051</v>
      </c>
      <c r="F169" s="816" t="s">
        <v>185</v>
      </c>
      <c r="G169" s="817">
        <v>1011906</v>
      </c>
      <c r="H169" s="818">
        <v>900363</v>
      </c>
      <c r="I169" s="817">
        <v>1740519</v>
      </c>
      <c r="J169" s="816">
        <v>84439</v>
      </c>
      <c r="K169" s="818">
        <f t="shared" si="4"/>
        <v>3737227</v>
      </c>
      <c r="L169" s="816"/>
      <c r="M169" s="817">
        <v>33955</v>
      </c>
      <c r="N169" s="817">
        <v>0</v>
      </c>
      <c r="O169" s="816">
        <v>30275</v>
      </c>
      <c r="P169" s="818">
        <f t="shared" si="5"/>
        <v>64230</v>
      </c>
      <c r="Q169" s="816"/>
      <c r="R169" s="817">
        <v>1821929</v>
      </c>
      <c r="S169" s="816">
        <v>76277</v>
      </c>
      <c r="T169" s="819">
        <v>1898206</v>
      </c>
    </row>
    <row r="170" spans="1:20" x14ac:dyDescent="0.25">
      <c r="A170" s="813">
        <v>91604</v>
      </c>
      <c r="B170" s="814" t="s">
        <v>2705</v>
      </c>
      <c r="C170" s="815">
        <v>8.5000000000000006E-5</v>
      </c>
      <c r="D170" s="815">
        <v>8.8499999999999996E-5</v>
      </c>
      <c r="E170" s="816">
        <v>201649</v>
      </c>
      <c r="F170" s="816" t="s">
        <v>185</v>
      </c>
      <c r="G170" s="817">
        <v>31110</v>
      </c>
      <c r="H170" s="818">
        <v>27680</v>
      </c>
      <c r="I170" s="817">
        <v>53510</v>
      </c>
      <c r="J170" s="816">
        <v>22196</v>
      </c>
      <c r="K170" s="818">
        <f t="shared" si="4"/>
        <v>134496</v>
      </c>
      <c r="L170" s="816"/>
      <c r="M170" s="817">
        <v>1044</v>
      </c>
      <c r="N170" s="817">
        <v>0</v>
      </c>
      <c r="O170" s="816">
        <v>0</v>
      </c>
      <c r="P170" s="818">
        <f t="shared" si="5"/>
        <v>1044</v>
      </c>
      <c r="Q170" s="816"/>
      <c r="R170" s="817">
        <v>56013</v>
      </c>
      <c r="S170" s="816">
        <v>9895</v>
      </c>
      <c r="T170" s="819">
        <v>65908</v>
      </c>
    </row>
    <row r="171" spans="1:20" x14ac:dyDescent="0.25">
      <c r="A171" s="813">
        <v>91608</v>
      </c>
      <c r="B171" s="814" t="s">
        <v>2706</v>
      </c>
      <c r="C171" s="815">
        <v>1.5909999999999999E-4</v>
      </c>
      <c r="D171" s="815">
        <v>1.5349999999999999E-4</v>
      </c>
      <c r="E171" s="816">
        <v>377440</v>
      </c>
      <c r="F171" s="816" t="s">
        <v>185</v>
      </c>
      <c r="G171" s="817">
        <v>58230</v>
      </c>
      <c r="H171" s="818">
        <v>51811</v>
      </c>
      <c r="I171" s="817">
        <v>100158</v>
      </c>
      <c r="J171" s="816">
        <v>1169</v>
      </c>
      <c r="K171" s="818">
        <f t="shared" si="4"/>
        <v>211368</v>
      </c>
      <c r="L171" s="816"/>
      <c r="M171" s="817">
        <v>1954</v>
      </c>
      <c r="N171" s="817">
        <v>0</v>
      </c>
      <c r="O171" s="816">
        <v>30984</v>
      </c>
      <c r="P171" s="818">
        <f t="shared" si="5"/>
        <v>32938</v>
      </c>
      <c r="Q171" s="816"/>
      <c r="R171" s="817">
        <v>104843</v>
      </c>
      <c r="S171" s="816">
        <v>-16992</v>
      </c>
      <c r="T171" s="819">
        <v>87851</v>
      </c>
    </row>
    <row r="172" spans="1:20" x14ac:dyDescent="0.25">
      <c r="A172" s="813">
        <v>91611</v>
      </c>
      <c r="B172" s="814" t="s">
        <v>4009</v>
      </c>
      <c r="C172" s="815">
        <v>1.4744000000000001E-3</v>
      </c>
      <c r="D172" s="815">
        <v>1.4708E-3</v>
      </c>
      <c r="E172" s="816">
        <v>3497781</v>
      </c>
      <c r="F172" s="816" t="s">
        <v>185</v>
      </c>
      <c r="G172" s="817">
        <v>539625</v>
      </c>
      <c r="H172" s="818">
        <v>480141</v>
      </c>
      <c r="I172" s="817">
        <v>928176</v>
      </c>
      <c r="J172" s="816">
        <v>2046</v>
      </c>
      <c r="K172" s="818">
        <f t="shared" si="4"/>
        <v>1949988</v>
      </c>
      <c r="L172" s="816"/>
      <c r="M172" s="817">
        <v>18107</v>
      </c>
      <c r="N172" s="817">
        <v>0</v>
      </c>
      <c r="O172" s="816">
        <v>121302</v>
      </c>
      <c r="P172" s="818">
        <f t="shared" si="5"/>
        <v>139409</v>
      </c>
      <c r="Q172" s="816"/>
      <c r="R172" s="817">
        <v>971590</v>
      </c>
      <c r="S172" s="816">
        <v>-18398</v>
      </c>
      <c r="T172" s="819">
        <v>953192</v>
      </c>
    </row>
    <row r="173" spans="1:20" x14ac:dyDescent="0.25">
      <c r="A173" s="813">
        <v>91621</v>
      </c>
      <c r="B173" s="814" t="s">
        <v>4010</v>
      </c>
      <c r="C173" s="815">
        <v>2.6800000000000001E-4</v>
      </c>
      <c r="D173" s="815">
        <v>2.7050000000000002E-4</v>
      </c>
      <c r="E173" s="816">
        <v>635788</v>
      </c>
      <c r="F173" s="816" t="s">
        <v>185</v>
      </c>
      <c r="G173" s="817">
        <v>98087</v>
      </c>
      <c r="H173" s="818">
        <v>87275</v>
      </c>
      <c r="I173" s="817">
        <v>168714</v>
      </c>
      <c r="J173" s="816">
        <v>5973</v>
      </c>
      <c r="K173" s="818">
        <f t="shared" si="4"/>
        <v>360049</v>
      </c>
      <c r="L173" s="816"/>
      <c r="M173" s="817">
        <v>3291</v>
      </c>
      <c r="N173" s="817">
        <v>0</v>
      </c>
      <c r="O173" s="816">
        <v>10529</v>
      </c>
      <c r="P173" s="818">
        <f t="shared" si="5"/>
        <v>13820</v>
      </c>
      <c r="Q173" s="816"/>
      <c r="R173" s="817">
        <v>176605</v>
      </c>
      <c r="S173" s="816">
        <v>-5908</v>
      </c>
      <c r="T173" s="819">
        <v>170697</v>
      </c>
    </row>
    <row r="174" spans="1:20" x14ac:dyDescent="0.25">
      <c r="A174" s="813">
        <v>91631</v>
      </c>
      <c r="B174" s="814" t="s">
        <v>4011</v>
      </c>
      <c r="C174" s="815">
        <v>5.509E-4</v>
      </c>
      <c r="D174" s="815">
        <v>5.2249999999999996E-4</v>
      </c>
      <c r="E174" s="816">
        <v>1306923</v>
      </c>
      <c r="F174" s="816" t="s">
        <v>185</v>
      </c>
      <c r="G174" s="817">
        <v>201627</v>
      </c>
      <c r="H174" s="818">
        <v>179401</v>
      </c>
      <c r="I174" s="817">
        <v>346807</v>
      </c>
      <c r="J174" s="816">
        <v>0</v>
      </c>
      <c r="K174" s="818">
        <f t="shared" si="4"/>
        <v>727835</v>
      </c>
      <c r="L174" s="816"/>
      <c r="M174" s="817">
        <v>6766</v>
      </c>
      <c r="N174" s="817">
        <v>0</v>
      </c>
      <c r="O174" s="816">
        <v>39359</v>
      </c>
      <c r="P174" s="818">
        <f t="shared" si="5"/>
        <v>46125</v>
      </c>
      <c r="Q174" s="816"/>
      <c r="R174" s="817">
        <v>363028</v>
      </c>
      <c r="S174" s="816">
        <v>-17688</v>
      </c>
      <c r="T174" s="819">
        <v>345340</v>
      </c>
    </row>
    <row r="175" spans="1:20" x14ac:dyDescent="0.25">
      <c r="A175" s="813">
        <v>91633</v>
      </c>
      <c r="B175" s="814" t="s">
        <v>4012</v>
      </c>
      <c r="C175" s="815">
        <v>1.8600000000000001E-5</v>
      </c>
      <c r="D175" s="815">
        <v>2.51E-5</v>
      </c>
      <c r="E175" s="816">
        <v>44126</v>
      </c>
      <c r="F175" s="816" t="s">
        <v>185</v>
      </c>
      <c r="G175" s="817">
        <v>6808</v>
      </c>
      <c r="H175" s="818">
        <v>6058</v>
      </c>
      <c r="I175" s="817">
        <v>11709</v>
      </c>
      <c r="J175" s="816">
        <v>1031</v>
      </c>
      <c r="K175" s="818">
        <f t="shared" si="4"/>
        <v>25606</v>
      </c>
      <c r="L175" s="816"/>
      <c r="M175" s="817">
        <v>228</v>
      </c>
      <c r="N175" s="817">
        <v>0</v>
      </c>
      <c r="O175" s="816">
        <v>5120</v>
      </c>
      <c r="P175" s="818">
        <f t="shared" si="5"/>
        <v>5348</v>
      </c>
      <c r="Q175" s="816"/>
      <c r="R175" s="817">
        <v>12257</v>
      </c>
      <c r="S175" s="816">
        <v>-2305</v>
      </c>
      <c r="T175" s="819">
        <v>9952</v>
      </c>
    </row>
    <row r="176" spans="1:20" x14ac:dyDescent="0.25">
      <c r="A176" s="813">
        <v>91641</v>
      </c>
      <c r="B176" s="814" t="s">
        <v>4013</v>
      </c>
      <c r="C176" s="815">
        <v>2.652E-4</v>
      </c>
      <c r="D176" s="815">
        <v>3.1139999999999998E-4</v>
      </c>
      <c r="E176" s="816">
        <v>629145</v>
      </c>
      <c r="F176" s="816" t="s">
        <v>185</v>
      </c>
      <c r="G176" s="817">
        <v>97062</v>
      </c>
      <c r="H176" s="818">
        <v>86363</v>
      </c>
      <c r="I176" s="817">
        <v>166951</v>
      </c>
      <c r="J176" s="816">
        <v>0</v>
      </c>
      <c r="K176" s="818">
        <f t="shared" si="4"/>
        <v>350376</v>
      </c>
      <c r="L176" s="816"/>
      <c r="M176" s="817">
        <v>3257</v>
      </c>
      <c r="N176" s="817">
        <v>0</v>
      </c>
      <c r="O176" s="816">
        <v>74135</v>
      </c>
      <c r="P176" s="818">
        <f t="shared" si="5"/>
        <v>77392</v>
      </c>
      <c r="Q176" s="816"/>
      <c r="R176" s="817">
        <v>174760</v>
      </c>
      <c r="S176" s="816">
        <v>-37016</v>
      </c>
      <c r="T176" s="819">
        <v>137744</v>
      </c>
    </row>
    <row r="177" spans="1:20" x14ac:dyDescent="0.25">
      <c r="A177" s="813">
        <v>91651</v>
      </c>
      <c r="B177" s="814" t="s">
        <v>4014</v>
      </c>
      <c r="C177" s="815">
        <v>4.73E-4</v>
      </c>
      <c r="D177" s="815">
        <v>4.4440000000000001E-4</v>
      </c>
      <c r="E177" s="816">
        <v>1122118</v>
      </c>
      <c r="F177" s="816" t="s">
        <v>185</v>
      </c>
      <c r="G177" s="817">
        <v>173116</v>
      </c>
      <c r="H177" s="818">
        <v>154033</v>
      </c>
      <c r="I177" s="817">
        <v>297767</v>
      </c>
      <c r="J177" s="816">
        <v>25871</v>
      </c>
      <c r="K177" s="818">
        <f t="shared" si="4"/>
        <v>650787</v>
      </c>
      <c r="L177" s="816"/>
      <c r="M177" s="817">
        <v>5809</v>
      </c>
      <c r="N177" s="817">
        <v>0</v>
      </c>
      <c r="O177" s="816">
        <v>18310</v>
      </c>
      <c r="P177" s="818">
        <f t="shared" si="5"/>
        <v>24119</v>
      </c>
      <c r="Q177" s="816"/>
      <c r="R177" s="817">
        <v>311694</v>
      </c>
      <c r="S177" s="816">
        <v>-5917</v>
      </c>
      <c r="T177" s="819">
        <v>305777</v>
      </c>
    </row>
    <row r="178" spans="1:20" x14ac:dyDescent="0.25">
      <c r="A178" s="813">
        <v>91661</v>
      </c>
      <c r="B178" s="814" t="s">
        <v>4015</v>
      </c>
      <c r="C178" s="815">
        <v>1.8259999999999999E-4</v>
      </c>
      <c r="D178" s="815">
        <v>1.673E-4</v>
      </c>
      <c r="E178" s="816">
        <v>433190</v>
      </c>
      <c r="F178" s="816" t="s">
        <v>185</v>
      </c>
      <c r="G178" s="817">
        <v>66831</v>
      </c>
      <c r="H178" s="818">
        <v>59464</v>
      </c>
      <c r="I178" s="817">
        <v>114952</v>
      </c>
      <c r="J178" s="816">
        <v>0</v>
      </c>
      <c r="K178" s="818">
        <f t="shared" si="4"/>
        <v>241247</v>
      </c>
      <c r="L178" s="816"/>
      <c r="M178" s="817">
        <v>2243</v>
      </c>
      <c r="N178" s="817">
        <v>0</v>
      </c>
      <c r="O178" s="816">
        <v>36351</v>
      </c>
      <c r="P178" s="818">
        <f t="shared" si="5"/>
        <v>38594</v>
      </c>
      <c r="Q178" s="816"/>
      <c r="R178" s="817">
        <v>120328</v>
      </c>
      <c r="S178" s="816">
        <v>-17938</v>
      </c>
      <c r="T178" s="819">
        <v>102390</v>
      </c>
    </row>
    <row r="179" spans="1:20" x14ac:dyDescent="0.25">
      <c r="A179" s="813">
        <v>91671</v>
      </c>
      <c r="B179" s="814" t="s">
        <v>4016</v>
      </c>
      <c r="C179" s="815">
        <v>1.132E-4</v>
      </c>
      <c r="D179" s="815">
        <v>9.6700000000000006E-5</v>
      </c>
      <c r="E179" s="816">
        <v>268549</v>
      </c>
      <c r="F179" s="816" t="s">
        <v>185</v>
      </c>
      <c r="G179" s="817">
        <v>41431</v>
      </c>
      <c r="H179" s="818">
        <v>36864</v>
      </c>
      <c r="I179" s="817">
        <v>71263</v>
      </c>
      <c r="J179" s="816">
        <v>10756</v>
      </c>
      <c r="K179" s="818">
        <f t="shared" si="4"/>
        <v>160314</v>
      </c>
      <c r="L179" s="816"/>
      <c r="M179" s="817">
        <v>1390</v>
      </c>
      <c r="N179" s="817">
        <v>0</v>
      </c>
      <c r="O179" s="816">
        <v>898</v>
      </c>
      <c r="P179" s="818">
        <f t="shared" si="5"/>
        <v>2288</v>
      </c>
      <c r="Q179" s="816"/>
      <c r="R179" s="817">
        <v>74596</v>
      </c>
      <c r="S179" s="816">
        <v>7037</v>
      </c>
      <c r="T179" s="819">
        <v>81633</v>
      </c>
    </row>
    <row r="180" spans="1:20" x14ac:dyDescent="0.25">
      <c r="A180" s="813">
        <v>91681</v>
      </c>
      <c r="B180" s="814" t="s">
        <v>4017</v>
      </c>
      <c r="C180" s="815">
        <v>4.6460000000000002E-4</v>
      </c>
      <c r="D180" s="815">
        <v>4.728E-4</v>
      </c>
      <c r="E180" s="816">
        <v>1102190</v>
      </c>
      <c r="F180" s="816" t="s">
        <v>185</v>
      </c>
      <c r="G180" s="817">
        <v>170042</v>
      </c>
      <c r="H180" s="818">
        <v>151298</v>
      </c>
      <c r="I180" s="817">
        <v>292479</v>
      </c>
      <c r="J180" s="816">
        <v>312404</v>
      </c>
      <c r="K180" s="818">
        <f t="shared" si="4"/>
        <v>926223</v>
      </c>
      <c r="L180" s="816"/>
      <c r="M180" s="817">
        <v>5706</v>
      </c>
      <c r="N180" s="817">
        <v>0</v>
      </c>
      <c r="O180" s="816">
        <v>0</v>
      </c>
      <c r="P180" s="818">
        <f t="shared" si="5"/>
        <v>5706</v>
      </c>
      <c r="Q180" s="816"/>
      <c r="R180" s="817">
        <v>306159</v>
      </c>
      <c r="S180" s="816">
        <v>122769</v>
      </c>
      <c r="T180" s="819">
        <v>428928</v>
      </c>
    </row>
    <row r="181" spans="1:20" x14ac:dyDescent="0.25">
      <c r="A181" s="813">
        <v>91691</v>
      </c>
      <c r="B181" s="814" t="s">
        <v>4018</v>
      </c>
      <c r="C181" s="815">
        <v>2.26E-5</v>
      </c>
      <c r="D181" s="815">
        <v>2.3200000000000001E-5</v>
      </c>
      <c r="E181" s="816">
        <v>53615</v>
      </c>
      <c r="F181" s="816" t="s">
        <v>185</v>
      </c>
      <c r="G181" s="817">
        <v>8272</v>
      </c>
      <c r="H181" s="818">
        <v>7360</v>
      </c>
      <c r="I181" s="817">
        <v>14227</v>
      </c>
      <c r="J181" s="816">
        <v>1115</v>
      </c>
      <c r="K181" s="818">
        <f t="shared" si="4"/>
        <v>30974</v>
      </c>
      <c r="L181" s="816"/>
      <c r="M181" s="817">
        <v>278</v>
      </c>
      <c r="N181" s="817">
        <v>0</v>
      </c>
      <c r="O181" s="816">
        <v>1387</v>
      </c>
      <c r="P181" s="818">
        <f t="shared" si="5"/>
        <v>1665</v>
      </c>
      <c r="Q181" s="816"/>
      <c r="R181" s="817">
        <v>14893</v>
      </c>
      <c r="S181" s="816">
        <v>30</v>
      </c>
      <c r="T181" s="819">
        <v>14923</v>
      </c>
    </row>
    <row r="182" spans="1:20" x14ac:dyDescent="0.25">
      <c r="A182" s="813">
        <v>91701</v>
      </c>
      <c r="B182" s="814" t="s">
        <v>2717</v>
      </c>
      <c r="C182" s="815">
        <v>1.2348999999999999E-3</v>
      </c>
      <c r="D182" s="815">
        <v>1.2451999999999999E-3</v>
      </c>
      <c r="E182" s="816">
        <v>2929605</v>
      </c>
      <c r="F182" s="816" t="s">
        <v>185</v>
      </c>
      <c r="G182" s="817">
        <v>451968</v>
      </c>
      <c r="H182" s="818">
        <v>402148</v>
      </c>
      <c r="I182" s="817">
        <v>777404</v>
      </c>
      <c r="J182" s="816">
        <v>70220</v>
      </c>
      <c r="K182" s="818">
        <f t="shared" si="4"/>
        <v>1701740</v>
      </c>
      <c r="L182" s="816"/>
      <c r="M182" s="817">
        <v>15166</v>
      </c>
      <c r="N182" s="817">
        <v>0</v>
      </c>
      <c r="O182" s="816">
        <v>39266</v>
      </c>
      <c r="P182" s="818">
        <f t="shared" si="5"/>
        <v>54432</v>
      </c>
      <c r="Q182" s="816"/>
      <c r="R182" s="817">
        <v>813766</v>
      </c>
      <c r="S182" s="816">
        <v>8978</v>
      </c>
      <c r="T182" s="819">
        <v>822744</v>
      </c>
    </row>
    <row r="183" spans="1:20" x14ac:dyDescent="0.25">
      <c r="A183" s="813">
        <v>91704</v>
      </c>
      <c r="B183" s="814" t="s">
        <v>2718</v>
      </c>
      <c r="C183" s="815">
        <v>1.73E-5</v>
      </c>
      <c r="D183" s="815">
        <v>1.73E-5</v>
      </c>
      <c r="E183" s="816">
        <v>41042</v>
      </c>
      <c r="F183" s="816" t="s">
        <v>185</v>
      </c>
      <c r="G183" s="817">
        <v>6332</v>
      </c>
      <c r="H183" s="818">
        <v>5634</v>
      </c>
      <c r="I183" s="817">
        <v>10891</v>
      </c>
      <c r="J183" s="816">
        <v>560</v>
      </c>
      <c r="K183" s="818">
        <f t="shared" si="4"/>
        <v>23417</v>
      </c>
      <c r="L183" s="816"/>
      <c r="M183" s="817">
        <v>212</v>
      </c>
      <c r="N183" s="817">
        <v>0</v>
      </c>
      <c r="O183" s="816">
        <v>0</v>
      </c>
      <c r="P183" s="818">
        <f t="shared" si="5"/>
        <v>212</v>
      </c>
      <c r="Q183" s="816"/>
      <c r="R183" s="817">
        <v>11400</v>
      </c>
      <c r="S183" s="816">
        <v>666</v>
      </c>
      <c r="T183" s="819">
        <v>12066</v>
      </c>
    </row>
    <row r="184" spans="1:20" x14ac:dyDescent="0.25">
      <c r="A184" s="813">
        <v>91706</v>
      </c>
      <c r="B184" s="814" t="s">
        <v>2719</v>
      </c>
      <c r="C184" s="815">
        <v>2.2139999999999999E-4</v>
      </c>
      <c r="D184" s="815">
        <v>2.4340000000000001E-4</v>
      </c>
      <c r="E184" s="816">
        <v>525237</v>
      </c>
      <c r="F184" s="816" t="s">
        <v>185</v>
      </c>
      <c r="G184" s="817">
        <v>81032</v>
      </c>
      <c r="H184" s="818">
        <v>72099</v>
      </c>
      <c r="I184" s="817">
        <v>139377</v>
      </c>
      <c r="J184" s="816">
        <v>37061</v>
      </c>
      <c r="K184" s="818">
        <f t="shared" si="4"/>
        <v>329569</v>
      </c>
      <c r="L184" s="816"/>
      <c r="M184" s="817">
        <v>2719</v>
      </c>
      <c r="N184" s="817">
        <v>0</v>
      </c>
      <c r="O184" s="816">
        <v>1775</v>
      </c>
      <c r="P184" s="818">
        <f t="shared" si="5"/>
        <v>4494</v>
      </c>
      <c r="Q184" s="816"/>
      <c r="R184" s="817">
        <v>145897</v>
      </c>
      <c r="S184" s="816">
        <v>3534</v>
      </c>
      <c r="T184" s="819">
        <v>149431</v>
      </c>
    </row>
    <row r="185" spans="1:20" x14ac:dyDescent="0.25">
      <c r="A185" s="813">
        <v>91719</v>
      </c>
      <c r="B185" s="814" t="s">
        <v>4019</v>
      </c>
      <c r="C185" s="815">
        <v>5.6799999999999998E-5</v>
      </c>
      <c r="D185" s="815">
        <v>4.9700000000000002E-5</v>
      </c>
      <c r="E185" s="816">
        <v>134749</v>
      </c>
      <c r="F185" s="816" t="s">
        <v>185</v>
      </c>
      <c r="G185" s="817">
        <v>20789</v>
      </c>
      <c r="H185" s="818">
        <v>18497</v>
      </c>
      <c r="I185" s="817">
        <v>35757</v>
      </c>
      <c r="J185" s="816">
        <v>2513</v>
      </c>
      <c r="K185" s="818">
        <f t="shared" si="4"/>
        <v>77556</v>
      </c>
      <c r="L185" s="816"/>
      <c r="M185" s="817">
        <v>698</v>
      </c>
      <c r="N185" s="817">
        <v>0</v>
      </c>
      <c r="O185" s="816">
        <v>2058</v>
      </c>
      <c r="P185" s="818">
        <f t="shared" si="5"/>
        <v>2756</v>
      </c>
      <c r="Q185" s="816"/>
      <c r="R185" s="817">
        <v>37430</v>
      </c>
      <c r="S185" s="816">
        <v>186</v>
      </c>
      <c r="T185" s="819">
        <v>37616</v>
      </c>
    </row>
    <row r="186" spans="1:20" x14ac:dyDescent="0.25">
      <c r="A186" s="813">
        <v>91801</v>
      </c>
      <c r="B186" s="814" t="s">
        <v>2721</v>
      </c>
      <c r="C186" s="815">
        <v>7.9632999999999995E-3</v>
      </c>
      <c r="D186" s="815">
        <v>8.0961000000000002E-3</v>
      </c>
      <c r="E186" s="816">
        <v>18891671</v>
      </c>
      <c r="F186" s="816" t="s">
        <v>185</v>
      </c>
      <c r="G186" s="817">
        <v>2914536</v>
      </c>
      <c r="H186" s="818">
        <v>2593265</v>
      </c>
      <c r="I186" s="817">
        <v>5013120</v>
      </c>
      <c r="J186" s="816">
        <v>0</v>
      </c>
      <c r="K186" s="818">
        <f t="shared" si="4"/>
        <v>10520921</v>
      </c>
      <c r="L186" s="816"/>
      <c r="M186" s="817">
        <v>97797</v>
      </c>
      <c r="N186" s="817">
        <v>0</v>
      </c>
      <c r="O186" s="816">
        <v>291905</v>
      </c>
      <c r="P186" s="818">
        <f t="shared" si="5"/>
        <v>389702</v>
      </c>
      <c r="Q186" s="816"/>
      <c r="R186" s="817">
        <v>5247600</v>
      </c>
      <c r="S186" s="816">
        <v>-120864</v>
      </c>
      <c r="T186" s="819">
        <v>5126736</v>
      </c>
    </row>
    <row r="187" spans="1:20" x14ac:dyDescent="0.25">
      <c r="A187" s="813">
        <v>91804</v>
      </c>
      <c r="B187" s="814" t="s">
        <v>2722</v>
      </c>
      <c r="C187" s="815">
        <v>1.4770000000000001E-4</v>
      </c>
      <c r="D187" s="815">
        <v>1.3439999999999999E-4</v>
      </c>
      <c r="E187" s="816">
        <v>350395</v>
      </c>
      <c r="F187" s="816" t="s">
        <v>185</v>
      </c>
      <c r="G187" s="817">
        <v>54058</v>
      </c>
      <c r="H187" s="818">
        <v>48099</v>
      </c>
      <c r="I187" s="817">
        <v>92981</v>
      </c>
      <c r="J187" s="816">
        <v>68194</v>
      </c>
      <c r="K187" s="818">
        <f t="shared" si="4"/>
        <v>263332</v>
      </c>
      <c r="L187" s="816"/>
      <c r="M187" s="817">
        <v>1814</v>
      </c>
      <c r="N187" s="817">
        <v>0</v>
      </c>
      <c r="O187" s="816">
        <v>0</v>
      </c>
      <c r="P187" s="818">
        <f t="shared" si="5"/>
        <v>1814</v>
      </c>
      <c r="Q187" s="816"/>
      <c r="R187" s="817">
        <v>97330</v>
      </c>
      <c r="S187" s="816">
        <v>32579</v>
      </c>
      <c r="T187" s="819">
        <v>129909</v>
      </c>
    </row>
    <row r="188" spans="1:20" x14ac:dyDescent="0.25">
      <c r="A188" s="813">
        <v>91811</v>
      </c>
      <c r="B188" s="814" t="s">
        <v>2723</v>
      </c>
      <c r="C188" s="815">
        <v>4.4413999999999999E-3</v>
      </c>
      <c r="D188" s="815">
        <v>4.5555999999999999E-3</v>
      </c>
      <c r="E188" s="816">
        <v>10536520</v>
      </c>
      <c r="F188" s="816" t="s">
        <v>185</v>
      </c>
      <c r="G188" s="817">
        <v>1625535</v>
      </c>
      <c r="H188" s="818">
        <v>1446350</v>
      </c>
      <c r="I188" s="817">
        <v>2795986</v>
      </c>
      <c r="J188" s="816">
        <v>0</v>
      </c>
      <c r="K188" s="818">
        <f t="shared" si="4"/>
        <v>5867871</v>
      </c>
      <c r="L188" s="816"/>
      <c r="M188" s="817">
        <v>54545</v>
      </c>
      <c r="N188" s="817">
        <v>0</v>
      </c>
      <c r="O188" s="816">
        <v>497047</v>
      </c>
      <c r="P188" s="818">
        <f t="shared" si="5"/>
        <v>551592</v>
      </c>
      <c r="Q188" s="816"/>
      <c r="R188" s="817">
        <v>2926763</v>
      </c>
      <c r="S188" s="816">
        <v>-241160</v>
      </c>
      <c r="T188" s="819">
        <v>2685603</v>
      </c>
    </row>
    <row r="189" spans="1:20" x14ac:dyDescent="0.25">
      <c r="A189" s="813">
        <v>91812</v>
      </c>
      <c r="B189" s="814" t="s">
        <v>4020</v>
      </c>
      <c r="C189" s="815">
        <v>5.3600000000000002E-5</v>
      </c>
      <c r="D189" s="815">
        <v>5.0800000000000002E-5</v>
      </c>
      <c r="E189" s="816">
        <v>127158</v>
      </c>
      <c r="F189" s="816" t="s">
        <v>185</v>
      </c>
      <c r="G189" s="817">
        <v>19617</v>
      </c>
      <c r="H189" s="818">
        <v>17455</v>
      </c>
      <c r="I189" s="817">
        <v>33743</v>
      </c>
      <c r="J189" s="816">
        <v>9789</v>
      </c>
      <c r="K189" s="818">
        <f t="shared" si="4"/>
        <v>80604</v>
      </c>
      <c r="L189" s="816"/>
      <c r="M189" s="817">
        <v>658</v>
      </c>
      <c r="N189" s="817">
        <v>0</v>
      </c>
      <c r="O189" s="816">
        <v>2033</v>
      </c>
      <c r="P189" s="818">
        <f t="shared" si="5"/>
        <v>2691</v>
      </c>
      <c r="Q189" s="816"/>
      <c r="R189" s="817">
        <v>35321</v>
      </c>
      <c r="S189" s="816">
        <v>5503</v>
      </c>
      <c r="T189" s="819">
        <v>40824</v>
      </c>
    </row>
    <row r="190" spans="1:20" x14ac:dyDescent="0.25">
      <c r="A190" s="813">
        <v>91813</v>
      </c>
      <c r="B190" s="814" t="s">
        <v>2725</v>
      </c>
      <c r="C190" s="815">
        <v>8.1299999999999997E-5</v>
      </c>
      <c r="D190" s="815">
        <v>8.6100000000000006E-5</v>
      </c>
      <c r="E190" s="816">
        <v>192871</v>
      </c>
      <c r="F190" s="816" t="s">
        <v>185</v>
      </c>
      <c r="G190" s="817">
        <v>29755</v>
      </c>
      <c r="H190" s="818">
        <v>26476</v>
      </c>
      <c r="I190" s="817">
        <v>51181</v>
      </c>
      <c r="J190" s="816">
        <v>5758</v>
      </c>
      <c r="K190" s="818">
        <f t="shared" si="4"/>
        <v>113170</v>
      </c>
      <c r="L190" s="816"/>
      <c r="M190" s="817">
        <v>998</v>
      </c>
      <c r="N190" s="817">
        <v>0</v>
      </c>
      <c r="O190" s="816">
        <v>10114</v>
      </c>
      <c r="P190" s="818">
        <f t="shared" si="5"/>
        <v>11112</v>
      </c>
      <c r="Q190" s="816"/>
      <c r="R190" s="817">
        <v>53575</v>
      </c>
      <c r="S190" s="816">
        <v>-606</v>
      </c>
      <c r="T190" s="819">
        <v>52969</v>
      </c>
    </row>
    <row r="191" spans="1:20" x14ac:dyDescent="0.25">
      <c r="A191" s="813">
        <v>91818</v>
      </c>
      <c r="B191" s="814" t="s">
        <v>2726</v>
      </c>
      <c r="C191" s="815">
        <v>3.9429999999999999E-4</v>
      </c>
      <c r="D191" s="815">
        <v>4.0079999999999998E-4</v>
      </c>
      <c r="E191" s="816">
        <v>935414</v>
      </c>
      <c r="F191" s="816" t="s">
        <v>185</v>
      </c>
      <c r="G191" s="817">
        <v>144312</v>
      </c>
      <c r="H191" s="818">
        <v>128404</v>
      </c>
      <c r="I191" s="817">
        <v>248223</v>
      </c>
      <c r="J191" s="816">
        <v>524689</v>
      </c>
      <c r="K191" s="818">
        <f t="shared" si="4"/>
        <v>1045628</v>
      </c>
      <c r="L191" s="816"/>
      <c r="M191" s="817">
        <v>4842</v>
      </c>
      <c r="N191" s="817">
        <v>0</v>
      </c>
      <c r="O191" s="816">
        <v>0</v>
      </c>
      <c r="P191" s="818">
        <f t="shared" si="5"/>
        <v>4842</v>
      </c>
      <c r="Q191" s="816"/>
      <c r="R191" s="817">
        <v>259833</v>
      </c>
      <c r="S191" s="816">
        <v>209067</v>
      </c>
      <c r="T191" s="819">
        <v>468900</v>
      </c>
    </row>
    <row r="192" spans="1:20" x14ac:dyDescent="0.25">
      <c r="A192" s="813">
        <v>91819</v>
      </c>
      <c r="B192" s="814" t="s">
        <v>2727</v>
      </c>
      <c r="C192" s="815">
        <v>3.0469999999999998E-4</v>
      </c>
      <c r="D192" s="815">
        <v>2.8489999999999999E-4</v>
      </c>
      <c r="E192" s="816">
        <v>722853</v>
      </c>
      <c r="F192" s="816" t="s">
        <v>185</v>
      </c>
      <c r="G192" s="817">
        <v>111519</v>
      </c>
      <c r="H192" s="818">
        <v>99226</v>
      </c>
      <c r="I192" s="817">
        <v>191817</v>
      </c>
      <c r="J192" s="816">
        <v>26641</v>
      </c>
      <c r="K192" s="818">
        <f t="shared" si="4"/>
        <v>429203</v>
      </c>
      <c r="L192" s="816"/>
      <c r="M192" s="817">
        <v>3742</v>
      </c>
      <c r="N192" s="817">
        <v>0</v>
      </c>
      <c r="O192" s="816">
        <v>4590</v>
      </c>
      <c r="P192" s="818">
        <f t="shared" si="5"/>
        <v>8332</v>
      </c>
      <c r="Q192" s="816"/>
      <c r="R192" s="817">
        <v>200789</v>
      </c>
      <c r="S192" s="816">
        <v>10326</v>
      </c>
      <c r="T192" s="819">
        <v>211115</v>
      </c>
    </row>
    <row r="193" spans="1:20" x14ac:dyDescent="0.25">
      <c r="A193" s="813">
        <v>91821</v>
      </c>
      <c r="B193" s="814" t="s">
        <v>2728</v>
      </c>
      <c r="C193" s="815">
        <v>1.671E-4</v>
      </c>
      <c r="D193" s="815">
        <v>1.7330000000000001E-4</v>
      </c>
      <c r="E193" s="816">
        <v>396418</v>
      </c>
      <c r="F193" s="816" t="s">
        <v>185</v>
      </c>
      <c r="G193" s="817">
        <v>61158</v>
      </c>
      <c r="H193" s="818">
        <v>54416</v>
      </c>
      <c r="I193" s="817">
        <v>105194</v>
      </c>
      <c r="J193" s="816">
        <v>487</v>
      </c>
      <c r="K193" s="818">
        <f t="shared" si="4"/>
        <v>221255</v>
      </c>
      <c r="L193" s="816"/>
      <c r="M193" s="817">
        <v>2052</v>
      </c>
      <c r="N193" s="817">
        <v>0</v>
      </c>
      <c r="O193" s="816">
        <v>9930</v>
      </c>
      <c r="P193" s="818">
        <f t="shared" si="5"/>
        <v>11982</v>
      </c>
      <c r="Q193" s="816"/>
      <c r="R193" s="817">
        <v>110114</v>
      </c>
      <c r="S193" s="816">
        <v>-745</v>
      </c>
      <c r="T193" s="819">
        <v>109369</v>
      </c>
    </row>
    <row r="194" spans="1:20" x14ac:dyDescent="0.25">
      <c r="A194" s="813">
        <v>91831</v>
      </c>
      <c r="B194" s="814" t="s">
        <v>4021</v>
      </c>
      <c r="C194" s="815">
        <v>3.7740000000000001E-4</v>
      </c>
      <c r="D194" s="815">
        <v>3.366E-4</v>
      </c>
      <c r="E194" s="816">
        <v>895322</v>
      </c>
      <c r="F194" s="816" t="s">
        <v>185</v>
      </c>
      <c r="G194" s="817">
        <v>138127</v>
      </c>
      <c r="H194" s="818">
        <v>122901</v>
      </c>
      <c r="I194" s="817">
        <v>237584</v>
      </c>
      <c r="J194" s="816">
        <v>17106</v>
      </c>
      <c r="K194" s="818">
        <f t="shared" si="4"/>
        <v>515718</v>
      </c>
      <c r="L194" s="816"/>
      <c r="M194" s="817">
        <v>4635</v>
      </c>
      <c r="N194" s="817">
        <v>0</v>
      </c>
      <c r="O194" s="816">
        <v>9431</v>
      </c>
      <c r="P194" s="818">
        <f t="shared" si="5"/>
        <v>14066</v>
      </c>
      <c r="Q194" s="816"/>
      <c r="R194" s="817">
        <v>248696</v>
      </c>
      <c r="S194" s="816">
        <v>3967</v>
      </c>
      <c r="T194" s="819">
        <v>252663</v>
      </c>
    </row>
    <row r="195" spans="1:20" x14ac:dyDescent="0.25">
      <c r="A195" s="813">
        <v>91841</v>
      </c>
      <c r="B195" s="814" t="s">
        <v>4022</v>
      </c>
      <c r="C195" s="815">
        <v>2.6479999999999999E-4</v>
      </c>
      <c r="D195" s="815">
        <v>2.5339999999999998E-4</v>
      </c>
      <c r="E195" s="816">
        <v>628196</v>
      </c>
      <c r="F195" s="816" t="s">
        <v>185</v>
      </c>
      <c r="G195" s="817">
        <v>96916</v>
      </c>
      <c r="H195" s="818">
        <v>86233</v>
      </c>
      <c r="I195" s="817">
        <v>166699</v>
      </c>
      <c r="J195" s="816">
        <v>5951</v>
      </c>
      <c r="K195" s="818">
        <f t="shared" si="4"/>
        <v>355799</v>
      </c>
      <c r="L195" s="816"/>
      <c r="M195" s="817">
        <v>3252</v>
      </c>
      <c r="N195" s="817">
        <v>0</v>
      </c>
      <c r="O195" s="816">
        <v>4615</v>
      </c>
      <c r="P195" s="818">
        <f t="shared" si="5"/>
        <v>7867</v>
      </c>
      <c r="Q195" s="816"/>
      <c r="R195" s="817">
        <v>174496</v>
      </c>
      <c r="S195" s="816">
        <v>-8503</v>
      </c>
      <c r="T195" s="819">
        <v>165993</v>
      </c>
    </row>
    <row r="196" spans="1:20" x14ac:dyDescent="0.25">
      <c r="A196" s="813">
        <v>91851</v>
      </c>
      <c r="B196" s="814" t="s">
        <v>4023</v>
      </c>
      <c r="C196" s="815">
        <v>7.3039999999999997E-4</v>
      </c>
      <c r="D196" s="815">
        <v>7.4910000000000005E-4</v>
      </c>
      <c r="E196" s="816">
        <v>1732759</v>
      </c>
      <c r="F196" s="816" t="s">
        <v>185</v>
      </c>
      <c r="G196" s="817">
        <v>267323</v>
      </c>
      <c r="H196" s="818">
        <v>237856</v>
      </c>
      <c r="I196" s="817">
        <v>459807</v>
      </c>
      <c r="J196" s="816">
        <v>4093</v>
      </c>
      <c r="K196" s="818">
        <f t="shared" si="4"/>
        <v>969079</v>
      </c>
      <c r="L196" s="816"/>
      <c r="M196" s="817">
        <v>8970</v>
      </c>
      <c r="N196" s="817">
        <v>0</v>
      </c>
      <c r="O196" s="816">
        <v>35449</v>
      </c>
      <c r="P196" s="818">
        <f t="shared" si="5"/>
        <v>44419</v>
      </c>
      <c r="Q196" s="816"/>
      <c r="R196" s="817">
        <v>481314</v>
      </c>
      <c r="S196" s="816">
        <v>-15851</v>
      </c>
      <c r="T196" s="819">
        <v>465463</v>
      </c>
    </row>
    <row r="197" spans="1:20" x14ac:dyDescent="0.25">
      <c r="A197" s="813">
        <v>91861</v>
      </c>
      <c r="B197" s="814" t="s">
        <v>4024</v>
      </c>
      <c r="C197" s="815">
        <v>1.1800000000000001E-5</v>
      </c>
      <c r="D197" s="815">
        <v>1.9700000000000001E-5</v>
      </c>
      <c r="E197" s="816">
        <v>27994</v>
      </c>
      <c r="F197" s="816" t="s">
        <v>185</v>
      </c>
      <c r="G197" s="817">
        <v>4319</v>
      </c>
      <c r="H197" s="818">
        <v>3843</v>
      </c>
      <c r="I197" s="817">
        <v>7428</v>
      </c>
      <c r="J197" s="816">
        <v>1009</v>
      </c>
      <c r="K197" s="818">
        <f t="shared" si="4"/>
        <v>16599</v>
      </c>
      <c r="L197" s="816"/>
      <c r="M197" s="817">
        <v>145</v>
      </c>
      <c r="N197" s="817">
        <v>0</v>
      </c>
      <c r="O197" s="816">
        <v>5115</v>
      </c>
      <c r="P197" s="818">
        <f t="shared" si="5"/>
        <v>5260</v>
      </c>
      <c r="Q197" s="816"/>
      <c r="R197" s="817">
        <v>7776</v>
      </c>
      <c r="S197" s="816">
        <v>-408</v>
      </c>
      <c r="T197" s="819">
        <v>7368</v>
      </c>
    </row>
    <row r="198" spans="1:20" x14ac:dyDescent="0.25">
      <c r="A198" s="813">
        <v>91871</v>
      </c>
      <c r="B198" s="814" t="s">
        <v>2733</v>
      </c>
      <c r="C198" s="815">
        <v>1.3219E-3</v>
      </c>
      <c r="D198" s="815">
        <v>1.3319E-3</v>
      </c>
      <c r="E198" s="816">
        <v>3135999</v>
      </c>
      <c r="F198" s="816" t="s">
        <v>185</v>
      </c>
      <c r="G198" s="817">
        <v>483810</v>
      </c>
      <c r="H198" s="818">
        <v>430480</v>
      </c>
      <c r="I198" s="817">
        <v>832173</v>
      </c>
      <c r="J198" s="816">
        <v>16903</v>
      </c>
      <c r="K198" s="818">
        <f t="shared" si="4"/>
        <v>1763366</v>
      </c>
      <c r="L198" s="816"/>
      <c r="M198" s="817">
        <v>16234</v>
      </c>
      <c r="N198" s="817">
        <v>0</v>
      </c>
      <c r="O198" s="816">
        <v>71958</v>
      </c>
      <c r="P198" s="818">
        <f t="shared" si="5"/>
        <v>88192</v>
      </c>
      <c r="Q198" s="816"/>
      <c r="R198" s="817">
        <v>871096</v>
      </c>
      <c r="S198" s="816">
        <v>-36895</v>
      </c>
      <c r="T198" s="819">
        <v>834201</v>
      </c>
    </row>
    <row r="199" spans="1:20" x14ac:dyDescent="0.25">
      <c r="A199" s="813">
        <v>91881</v>
      </c>
      <c r="B199" s="814" t="s">
        <v>4025</v>
      </c>
      <c r="C199" s="815">
        <v>8.1000000000000004E-6</v>
      </c>
      <c r="D199" s="815">
        <v>9.3000000000000007E-6</v>
      </c>
      <c r="E199" s="816">
        <v>19216</v>
      </c>
      <c r="F199" s="816" t="s">
        <v>185</v>
      </c>
      <c r="G199" s="817">
        <v>2965</v>
      </c>
      <c r="H199" s="818">
        <v>2638</v>
      </c>
      <c r="I199" s="817">
        <v>5099</v>
      </c>
      <c r="J199" s="816">
        <v>917</v>
      </c>
      <c r="K199" s="818">
        <f t="shared" si="4"/>
        <v>11619</v>
      </c>
      <c r="L199" s="816"/>
      <c r="M199" s="817">
        <v>99</v>
      </c>
      <c r="N199" s="817">
        <v>0</v>
      </c>
      <c r="O199" s="816">
        <v>2944</v>
      </c>
      <c r="P199" s="818">
        <f t="shared" si="5"/>
        <v>3043</v>
      </c>
      <c r="Q199" s="816"/>
      <c r="R199" s="817">
        <v>5338</v>
      </c>
      <c r="S199" s="816">
        <v>-5564</v>
      </c>
      <c r="T199" s="819">
        <v>-226</v>
      </c>
    </row>
    <row r="200" spans="1:20" x14ac:dyDescent="0.25">
      <c r="A200" s="813">
        <v>91901</v>
      </c>
      <c r="B200" s="814" t="s">
        <v>2735</v>
      </c>
      <c r="C200" s="815">
        <v>3.6922000000000001E-3</v>
      </c>
      <c r="D200" s="815">
        <v>3.6706999999999998E-3</v>
      </c>
      <c r="E200" s="816">
        <v>8759161</v>
      </c>
      <c r="F200" s="816" t="s">
        <v>185</v>
      </c>
      <c r="G200" s="817">
        <v>1351330</v>
      </c>
      <c r="H200" s="818">
        <v>1202373</v>
      </c>
      <c r="I200" s="817">
        <v>2324343</v>
      </c>
      <c r="J200" s="816">
        <v>32174</v>
      </c>
      <c r="K200" s="818">
        <f t="shared" ref="K200:K267" si="6">G200+H200+I200+J200</f>
        <v>4910220</v>
      </c>
      <c r="L200" s="816"/>
      <c r="M200" s="817">
        <v>45344</v>
      </c>
      <c r="N200" s="817">
        <v>0</v>
      </c>
      <c r="O200" s="816">
        <v>47401</v>
      </c>
      <c r="P200" s="818">
        <f t="shared" ref="P200:P267" si="7">M200+N200+O200</f>
        <v>92745</v>
      </c>
      <c r="Q200" s="816"/>
      <c r="R200" s="817">
        <v>2433060</v>
      </c>
      <c r="S200" s="816">
        <v>44660</v>
      </c>
      <c r="T200" s="819">
        <v>2477720</v>
      </c>
    </row>
    <row r="201" spans="1:20" x14ac:dyDescent="0.25">
      <c r="A201" s="813">
        <v>91903</v>
      </c>
      <c r="B201" s="814" t="s">
        <v>4026</v>
      </c>
      <c r="C201" s="815">
        <v>8.8000000000000004E-6</v>
      </c>
      <c r="D201" s="815">
        <v>8.6999999999999997E-6</v>
      </c>
      <c r="E201" s="816">
        <v>20877</v>
      </c>
      <c r="F201" s="816" t="s">
        <v>185</v>
      </c>
      <c r="G201" s="817">
        <v>3221</v>
      </c>
      <c r="H201" s="818">
        <v>2866</v>
      </c>
      <c r="I201" s="817">
        <v>5540</v>
      </c>
      <c r="J201" s="816">
        <v>3278</v>
      </c>
      <c r="K201" s="818">
        <f t="shared" si="6"/>
        <v>14905</v>
      </c>
      <c r="L201" s="816"/>
      <c r="M201" s="817">
        <v>108</v>
      </c>
      <c r="N201" s="817">
        <v>0</v>
      </c>
      <c r="O201" s="816">
        <v>0</v>
      </c>
      <c r="P201" s="818">
        <f t="shared" si="7"/>
        <v>108</v>
      </c>
      <c r="Q201" s="816"/>
      <c r="R201" s="817">
        <v>5799</v>
      </c>
      <c r="S201" s="816">
        <v>-1932</v>
      </c>
      <c r="T201" s="819">
        <v>3867</v>
      </c>
    </row>
    <row r="202" spans="1:20" x14ac:dyDescent="0.25">
      <c r="A202" s="813">
        <v>91904</v>
      </c>
      <c r="B202" s="814" t="s">
        <v>2737</v>
      </c>
      <c r="C202" s="815">
        <v>3.1399999999999998E-5</v>
      </c>
      <c r="D202" s="815">
        <v>3.3399999999999999E-5</v>
      </c>
      <c r="E202" s="816">
        <v>74492</v>
      </c>
      <c r="F202" s="816" t="s">
        <v>185</v>
      </c>
      <c r="G202" s="817">
        <v>11492</v>
      </c>
      <c r="H202" s="818">
        <v>10225</v>
      </c>
      <c r="I202" s="817">
        <v>19767</v>
      </c>
      <c r="J202" s="816">
        <v>6870</v>
      </c>
      <c r="K202" s="818">
        <f t="shared" si="6"/>
        <v>48354</v>
      </c>
      <c r="L202" s="816"/>
      <c r="M202" s="817">
        <v>386</v>
      </c>
      <c r="N202" s="817">
        <v>0</v>
      </c>
      <c r="O202" s="816">
        <v>434</v>
      </c>
      <c r="P202" s="818">
        <f t="shared" si="7"/>
        <v>820</v>
      </c>
      <c r="Q202" s="816"/>
      <c r="R202" s="817">
        <v>20692</v>
      </c>
      <c r="S202" s="816">
        <v>4213</v>
      </c>
      <c r="T202" s="819">
        <v>24905</v>
      </c>
    </row>
    <row r="203" spans="1:20" x14ac:dyDescent="0.25">
      <c r="A203" s="813">
        <v>91908</v>
      </c>
      <c r="B203" s="814" t="s">
        <v>2738</v>
      </c>
      <c r="C203" s="815">
        <v>1.5299999999999999E-5</v>
      </c>
      <c r="D203" s="815">
        <v>1.6900000000000001E-5</v>
      </c>
      <c r="E203" s="816">
        <v>36297</v>
      </c>
      <c r="F203" s="816" t="s">
        <v>185</v>
      </c>
      <c r="G203" s="817">
        <v>5600</v>
      </c>
      <c r="H203" s="818">
        <v>4983</v>
      </c>
      <c r="I203" s="817">
        <v>9632</v>
      </c>
      <c r="J203" s="816">
        <v>106</v>
      </c>
      <c r="K203" s="818">
        <f t="shared" si="6"/>
        <v>20321</v>
      </c>
      <c r="L203" s="816"/>
      <c r="M203" s="817">
        <v>188</v>
      </c>
      <c r="N203" s="817">
        <v>0</v>
      </c>
      <c r="O203" s="816">
        <v>4660</v>
      </c>
      <c r="P203" s="818">
        <f t="shared" si="7"/>
        <v>4848</v>
      </c>
      <c r="Q203" s="816"/>
      <c r="R203" s="817">
        <v>10082</v>
      </c>
      <c r="S203" s="816">
        <v>-814</v>
      </c>
      <c r="T203" s="819">
        <v>9268</v>
      </c>
    </row>
    <row r="204" spans="1:20" x14ac:dyDescent="0.25">
      <c r="A204" s="813">
        <v>91911</v>
      </c>
      <c r="B204" s="814" t="s">
        <v>4027</v>
      </c>
      <c r="C204" s="815">
        <v>4.8529999999999998E-4</v>
      </c>
      <c r="D204" s="815">
        <v>4.5580000000000002E-4</v>
      </c>
      <c r="E204" s="816">
        <v>1151298</v>
      </c>
      <c r="F204" s="816" t="s">
        <v>185</v>
      </c>
      <c r="G204" s="817">
        <v>177618</v>
      </c>
      <c r="H204" s="818">
        <v>158038</v>
      </c>
      <c r="I204" s="817">
        <v>305510</v>
      </c>
      <c r="J204" s="816">
        <v>25824</v>
      </c>
      <c r="K204" s="818">
        <f t="shared" si="6"/>
        <v>666990</v>
      </c>
      <c r="L204" s="816"/>
      <c r="M204" s="817">
        <v>5960</v>
      </c>
      <c r="N204" s="817">
        <v>0</v>
      </c>
      <c r="O204" s="816">
        <v>1556</v>
      </c>
      <c r="P204" s="818">
        <f t="shared" si="7"/>
        <v>7516</v>
      </c>
      <c r="Q204" s="816"/>
      <c r="R204" s="817">
        <v>319800</v>
      </c>
      <c r="S204" s="816">
        <v>4709</v>
      </c>
      <c r="T204" s="819">
        <v>324509</v>
      </c>
    </row>
    <row r="205" spans="1:20" x14ac:dyDescent="0.25">
      <c r="A205" s="813">
        <v>91917</v>
      </c>
      <c r="B205" s="814" t="s">
        <v>2740</v>
      </c>
      <c r="C205" s="815">
        <v>1.04E-5</v>
      </c>
      <c r="D205" s="815">
        <v>1.22E-5</v>
      </c>
      <c r="E205" s="816">
        <v>24672</v>
      </c>
      <c r="F205" s="816" t="s">
        <v>185</v>
      </c>
      <c r="G205" s="817">
        <v>3806</v>
      </c>
      <c r="H205" s="818">
        <v>3387</v>
      </c>
      <c r="I205" s="817">
        <v>6547</v>
      </c>
      <c r="J205" s="816">
        <v>521</v>
      </c>
      <c r="K205" s="818">
        <f t="shared" si="6"/>
        <v>14261</v>
      </c>
      <c r="L205" s="816"/>
      <c r="M205" s="817">
        <v>128</v>
      </c>
      <c r="N205" s="817">
        <v>0</v>
      </c>
      <c r="O205" s="816">
        <v>233</v>
      </c>
      <c r="P205" s="818">
        <f t="shared" si="7"/>
        <v>361</v>
      </c>
      <c r="Q205" s="816"/>
      <c r="R205" s="817">
        <v>6853</v>
      </c>
      <c r="S205" s="816">
        <v>175</v>
      </c>
      <c r="T205" s="819">
        <v>7028</v>
      </c>
    </row>
    <row r="206" spans="1:20" x14ac:dyDescent="0.25">
      <c r="A206" s="813">
        <v>91921</v>
      </c>
      <c r="B206" s="814" t="s">
        <v>4028</v>
      </c>
      <c r="C206" s="815">
        <v>3.5619999999999998E-4</v>
      </c>
      <c r="D206" s="815">
        <v>3.769E-4</v>
      </c>
      <c r="E206" s="816">
        <v>845028</v>
      </c>
      <c r="F206" s="816" t="s">
        <v>185</v>
      </c>
      <c r="G206" s="817">
        <v>130368</v>
      </c>
      <c r="H206" s="818">
        <v>115997</v>
      </c>
      <c r="I206" s="817">
        <v>224238</v>
      </c>
      <c r="J206" s="816">
        <v>0</v>
      </c>
      <c r="K206" s="818">
        <f t="shared" si="6"/>
        <v>470603</v>
      </c>
      <c r="L206" s="816"/>
      <c r="M206" s="817">
        <v>4374</v>
      </c>
      <c r="N206" s="817">
        <v>0</v>
      </c>
      <c r="O206" s="816">
        <v>26775</v>
      </c>
      <c r="P206" s="818">
        <f t="shared" si="7"/>
        <v>31149</v>
      </c>
      <c r="Q206" s="816"/>
      <c r="R206" s="817">
        <v>234726</v>
      </c>
      <c r="S206" s="816">
        <v>-10664</v>
      </c>
      <c r="T206" s="819">
        <v>224062</v>
      </c>
    </row>
    <row r="207" spans="1:20" x14ac:dyDescent="0.25">
      <c r="A207" s="813">
        <v>92001</v>
      </c>
      <c r="B207" s="814" t="s">
        <v>2742</v>
      </c>
      <c r="C207" s="815">
        <v>1.8332999999999999E-3</v>
      </c>
      <c r="D207" s="815">
        <v>1.8143E-3</v>
      </c>
      <c r="E207" s="816">
        <v>4349215</v>
      </c>
      <c r="F207" s="816" t="s">
        <v>185</v>
      </c>
      <c r="G207" s="817">
        <v>670980</v>
      </c>
      <c r="H207" s="818">
        <v>597017</v>
      </c>
      <c r="I207" s="817">
        <v>1154114</v>
      </c>
      <c r="J207" s="816">
        <v>30924</v>
      </c>
      <c r="K207" s="818">
        <f t="shared" si="6"/>
        <v>2453035</v>
      </c>
      <c r="L207" s="816"/>
      <c r="M207" s="817">
        <v>22515</v>
      </c>
      <c r="N207" s="817">
        <v>0</v>
      </c>
      <c r="O207" s="816">
        <v>112538</v>
      </c>
      <c r="P207" s="818">
        <f t="shared" si="7"/>
        <v>135053</v>
      </c>
      <c r="Q207" s="816"/>
      <c r="R207" s="817">
        <v>1208095</v>
      </c>
      <c r="S207" s="816">
        <v>-45166</v>
      </c>
      <c r="T207" s="819">
        <v>1162929</v>
      </c>
    </row>
    <row r="208" spans="1:20" x14ac:dyDescent="0.25">
      <c r="A208" s="813">
        <v>92005</v>
      </c>
      <c r="B208" s="814" t="s">
        <v>2743</v>
      </c>
      <c r="C208" s="815">
        <v>4.2700000000000001E-5</v>
      </c>
      <c r="D208" s="815">
        <v>4.1399999999999997E-5</v>
      </c>
      <c r="E208" s="816">
        <v>101299</v>
      </c>
      <c r="F208" s="816" t="s">
        <v>185</v>
      </c>
      <c r="G208" s="817">
        <v>15628</v>
      </c>
      <c r="H208" s="818">
        <v>13906</v>
      </c>
      <c r="I208" s="817">
        <v>26881</v>
      </c>
      <c r="J208" s="816">
        <v>4118</v>
      </c>
      <c r="K208" s="818">
        <f t="shared" si="6"/>
        <v>60533</v>
      </c>
      <c r="L208" s="816"/>
      <c r="M208" s="817">
        <v>524</v>
      </c>
      <c r="N208" s="817">
        <v>0</v>
      </c>
      <c r="O208" s="816">
        <v>1571</v>
      </c>
      <c r="P208" s="818">
        <f t="shared" si="7"/>
        <v>2095</v>
      </c>
      <c r="Q208" s="816"/>
      <c r="R208" s="817">
        <v>28138</v>
      </c>
      <c r="S208" s="816">
        <v>1018</v>
      </c>
      <c r="T208" s="819">
        <v>29156</v>
      </c>
    </row>
    <row r="209" spans="1:20" x14ac:dyDescent="0.25">
      <c r="A209" s="813">
        <v>92011</v>
      </c>
      <c r="B209" s="814" t="s">
        <v>4029</v>
      </c>
      <c r="C209" s="815">
        <v>1.916E-4</v>
      </c>
      <c r="D209" s="815">
        <v>2.0049999999999999E-4</v>
      </c>
      <c r="E209" s="816">
        <v>454541</v>
      </c>
      <c r="F209" s="816" t="s">
        <v>185</v>
      </c>
      <c r="G209" s="817">
        <v>70125</v>
      </c>
      <c r="H209" s="818">
        <v>62395</v>
      </c>
      <c r="I209" s="817">
        <v>120618</v>
      </c>
      <c r="J209" s="816">
        <v>7900</v>
      </c>
      <c r="K209" s="818">
        <f t="shared" si="6"/>
        <v>261038</v>
      </c>
      <c r="L209" s="816"/>
      <c r="M209" s="817">
        <v>2353</v>
      </c>
      <c r="N209" s="817">
        <v>0</v>
      </c>
      <c r="O209" s="816">
        <v>5785</v>
      </c>
      <c r="P209" s="818">
        <f t="shared" si="7"/>
        <v>8138</v>
      </c>
      <c r="Q209" s="816"/>
      <c r="R209" s="817">
        <v>126259</v>
      </c>
      <c r="S209" s="816">
        <v>8269</v>
      </c>
      <c r="T209" s="819">
        <v>134528</v>
      </c>
    </row>
    <row r="210" spans="1:20" x14ac:dyDescent="0.25">
      <c r="A210" s="813">
        <v>92017</v>
      </c>
      <c r="B210" s="814" t="s">
        <v>2745</v>
      </c>
      <c r="C210" s="815">
        <v>3.3200000000000001E-5</v>
      </c>
      <c r="D210" s="815">
        <v>3.4199999999999998E-5</v>
      </c>
      <c r="E210" s="816">
        <v>78762</v>
      </c>
      <c r="F210" s="816" t="s">
        <v>185</v>
      </c>
      <c r="G210" s="817">
        <v>12151</v>
      </c>
      <c r="H210" s="818">
        <v>10811</v>
      </c>
      <c r="I210" s="817">
        <v>20900</v>
      </c>
      <c r="J210" s="816">
        <v>1396</v>
      </c>
      <c r="K210" s="818">
        <f t="shared" si="6"/>
        <v>45258</v>
      </c>
      <c r="L210" s="816"/>
      <c r="M210" s="817">
        <v>408</v>
      </c>
      <c r="N210" s="817">
        <v>0</v>
      </c>
      <c r="O210" s="816">
        <v>361</v>
      </c>
      <c r="P210" s="818">
        <f t="shared" si="7"/>
        <v>769</v>
      </c>
      <c r="Q210" s="816"/>
      <c r="R210" s="817">
        <v>21878</v>
      </c>
      <c r="S210" s="816">
        <v>-415</v>
      </c>
      <c r="T210" s="819">
        <v>21463</v>
      </c>
    </row>
    <row r="211" spans="1:20" x14ac:dyDescent="0.25">
      <c r="A211" s="813">
        <v>92021</v>
      </c>
      <c r="B211" s="814" t="s">
        <v>4030</v>
      </c>
      <c r="C211" s="815">
        <v>1.451E-4</v>
      </c>
      <c r="D211" s="815">
        <v>1.5779999999999999E-4</v>
      </c>
      <c r="E211" s="816">
        <v>344227</v>
      </c>
      <c r="F211" s="816" t="s">
        <v>185</v>
      </c>
      <c r="G211" s="817">
        <v>53106</v>
      </c>
      <c r="H211" s="818">
        <v>47253</v>
      </c>
      <c r="I211" s="817">
        <v>91345</v>
      </c>
      <c r="J211" s="816">
        <v>20876</v>
      </c>
      <c r="K211" s="818">
        <f t="shared" si="6"/>
        <v>212580</v>
      </c>
      <c r="L211" s="816"/>
      <c r="M211" s="817">
        <v>1782</v>
      </c>
      <c r="N211" s="817">
        <v>0</v>
      </c>
      <c r="O211" s="816">
        <v>23774</v>
      </c>
      <c r="P211" s="818">
        <f t="shared" si="7"/>
        <v>25556</v>
      </c>
      <c r="Q211" s="816"/>
      <c r="R211" s="817">
        <v>95617</v>
      </c>
      <c r="S211" s="816">
        <v>-3302</v>
      </c>
      <c r="T211" s="819">
        <v>92315</v>
      </c>
    </row>
    <row r="212" spans="1:20" x14ac:dyDescent="0.25">
      <c r="A212" s="813">
        <v>92101</v>
      </c>
      <c r="B212" s="814" t="s">
        <v>2747</v>
      </c>
      <c r="C212" s="815">
        <v>8.183E-4</v>
      </c>
      <c r="D212" s="815">
        <v>8.5209999999999995E-4</v>
      </c>
      <c r="E212" s="816">
        <v>1941287</v>
      </c>
      <c r="F212" s="816" t="s">
        <v>185</v>
      </c>
      <c r="G212" s="817">
        <v>299495</v>
      </c>
      <c r="H212" s="818">
        <v>266481</v>
      </c>
      <c r="I212" s="817">
        <v>515143</v>
      </c>
      <c r="J212" s="816">
        <v>575</v>
      </c>
      <c r="K212" s="818">
        <f t="shared" si="6"/>
        <v>1081694</v>
      </c>
      <c r="L212" s="816"/>
      <c r="M212" s="817">
        <v>10050</v>
      </c>
      <c r="N212" s="817">
        <v>0</v>
      </c>
      <c r="O212" s="816">
        <v>80217</v>
      </c>
      <c r="P212" s="818">
        <f t="shared" si="7"/>
        <v>90267</v>
      </c>
      <c r="Q212" s="816"/>
      <c r="R212" s="817">
        <v>539238</v>
      </c>
      <c r="S212" s="816">
        <v>-19299</v>
      </c>
      <c r="T212" s="819">
        <v>519939</v>
      </c>
    </row>
    <row r="213" spans="1:20" x14ac:dyDescent="0.25">
      <c r="A213" s="813">
        <v>92104</v>
      </c>
      <c r="B213" s="814" t="s">
        <v>2748</v>
      </c>
      <c r="C213" s="815">
        <v>8.3999999999999992E-6</v>
      </c>
      <c r="D213" s="815">
        <v>8.6000000000000007E-6</v>
      </c>
      <c r="E213" s="816">
        <v>19928</v>
      </c>
      <c r="F213" s="816" t="s">
        <v>185</v>
      </c>
      <c r="G213" s="817">
        <v>3074</v>
      </c>
      <c r="H213" s="818">
        <v>2735</v>
      </c>
      <c r="I213" s="817">
        <v>5288</v>
      </c>
      <c r="J213" s="816">
        <v>2394</v>
      </c>
      <c r="K213" s="818">
        <f t="shared" si="6"/>
        <v>13491</v>
      </c>
      <c r="L213" s="816"/>
      <c r="M213" s="817">
        <v>103</v>
      </c>
      <c r="N213" s="817">
        <v>0</v>
      </c>
      <c r="O213" s="816">
        <v>0</v>
      </c>
      <c r="P213" s="818">
        <f t="shared" si="7"/>
        <v>103</v>
      </c>
      <c r="Q213" s="816"/>
      <c r="R213" s="817">
        <v>5535</v>
      </c>
      <c r="S213" s="816">
        <v>2056</v>
      </c>
      <c r="T213" s="819">
        <v>7591</v>
      </c>
    </row>
    <row r="214" spans="1:20" x14ac:dyDescent="0.25">
      <c r="A214" s="813">
        <v>92109</v>
      </c>
      <c r="B214" s="814" t="s">
        <v>2749</v>
      </c>
      <c r="C214" s="815">
        <v>1.7239999999999999E-4</v>
      </c>
      <c r="D214" s="815">
        <v>1.8809999999999999E-4</v>
      </c>
      <c r="E214" s="816">
        <v>408992</v>
      </c>
      <c r="F214" s="816" t="s">
        <v>185</v>
      </c>
      <c r="G214" s="817">
        <v>63098</v>
      </c>
      <c r="H214" s="818">
        <v>56142</v>
      </c>
      <c r="I214" s="817">
        <v>108531</v>
      </c>
      <c r="J214" s="816">
        <v>547</v>
      </c>
      <c r="K214" s="818">
        <f t="shared" si="6"/>
        <v>228318</v>
      </c>
      <c r="L214" s="816"/>
      <c r="M214" s="817">
        <v>2117</v>
      </c>
      <c r="N214" s="817">
        <v>0</v>
      </c>
      <c r="O214" s="816">
        <v>19072</v>
      </c>
      <c r="P214" s="818">
        <f t="shared" si="7"/>
        <v>21189</v>
      </c>
      <c r="Q214" s="816"/>
      <c r="R214" s="817">
        <v>113607</v>
      </c>
      <c r="S214" s="816">
        <v>-8757</v>
      </c>
      <c r="T214" s="819">
        <v>104850</v>
      </c>
    </row>
    <row r="215" spans="1:20" x14ac:dyDescent="0.25">
      <c r="A215" s="813">
        <v>92111</v>
      </c>
      <c r="B215" s="814" t="s">
        <v>4031</v>
      </c>
      <c r="C215" s="815">
        <v>5.2209999999999995E-4</v>
      </c>
      <c r="D215" s="815">
        <v>5.0460000000000001E-4</v>
      </c>
      <c r="E215" s="816">
        <v>1238600</v>
      </c>
      <c r="F215" s="816" t="s">
        <v>185</v>
      </c>
      <c r="G215" s="817">
        <v>191087</v>
      </c>
      <c r="H215" s="818">
        <v>170023</v>
      </c>
      <c r="I215" s="817">
        <v>328677</v>
      </c>
      <c r="J215" s="816">
        <v>4892</v>
      </c>
      <c r="K215" s="818">
        <f t="shared" si="6"/>
        <v>694679</v>
      </c>
      <c r="L215" s="816"/>
      <c r="M215" s="817">
        <v>6412</v>
      </c>
      <c r="N215" s="817">
        <v>0</v>
      </c>
      <c r="O215" s="816">
        <v>8630</v>
      </c>
      <c r="P215" s="818">
        <f t="shared" si="7"/>
        <v>15042</v>
      </c>
      <c r="Q215" s="816"/>
      <c r="R215" s="817">
        <v>344050</v>
      </c>
      <c r="S215" s="816">
        <v>2737</v>
      </c>
      <c r="T215" s="819">
        <v>346787</v>
      </c>
    </row>
    <row r="216" spans="1:20" x14ac:dyDescent="0.25">
      <c r="A216" s="813">
        <v>92113</v>
      </c>
      <c r="B216" s="814" t="s">
        <v>4032</v>
      </c>
      <c r="C216" s="815">
        <v>1.56E-5</v>
      </c>
      <c r="D216" s="815">
        <v>1.4399999999999999E-5</v>
      </c>
      <c r="E216" s="816">
        <v>37009</v>
      </c>
      <c r="F216" s="816" t="s">
        <v>185</v>
      </c>
      <c r="G216" s="817">
        <v>5710</v>
      </c>
      <c r="H216" s="818">
        <v>5080</v>
      </c>
      <c r="I216" s="817">
        <v>9821</v>
      </c>
      <c r="J216" s="816">
        <v>14622</v>
      </c>
      <c r="K216" s="818">
        <f t="shared" si="6"/>
        <v>35233</v>
      </c>
      <c r="L216" s="816"/>
      <c r="M216" s="817">
        <v>192</v>
      </c>
      <c r="N216" s="817">
        <v>0</v>
      </c>
      <c r="O216" s="816">
        <v>1633</v>
      </c>
      <c r="P216" s="818">
        <f t="shared" si="7"/>
        <v>1825</v>
      </c>
      <c r="Q216" s="816"/>
      <c r="R216" s="817">
        <v>10280</v>
      </c>
      <c r="S216" s="816">
        <v>8352</v>
      </c>
      <c r="T216" s="819">
        <v>18632</v>
      </c>
    </row>
    <row r="217" spans="1:20" x14ac:dyDescent="0.25">
      <c r="A217" s="813">
        <v>92201</v>
      </c>
      <c r="B217" s="814" t="s">
        <v>2752</v>
      </c>
      <c r="C217" s="815">
        <v>9.1100000000000003E-4</v>
      </c>
      <c r="D217" s="815">
        <v>9.3389999999999999E-4</v>
      </c>
      <c r="E217" s="816">
        <v>2161204</v>
      </c>
      <c r="F217" s="816" t="s">
        <v>185</v>
      </c>
      <c r="G217" s="817">
        <v>333422</v>
      </c>
      <c r="H217" s="818">
        <v>296669</v>
      </c>
      <c r="I217" s="817">
        <v>573500</v>
      </c>
      <c r="J217" s="816">
        <v>13246</v>
      </c>
      <c r="K217" s="818">
        <f t="shared" si="6"/>
        <v>1216837</v>
      </c>
      <c r="L217" s="816"/>
      <c r="M217" s="817">
        <v>11188</v>
      </c>
      <c r="N217" s="817">
        <v>0</v>
      </c>
      <c r="O217" s="816">
        <v>32516</v>
      </c>
      <c r="P217" s="818">
        <f t="shared" si="7"/>
        <v>43704</v>
      </c>
      <c r="Q217" s="816"/>
      <c r="R217" s="817">
        <v>600324</v>
      </c>
      <c r="S217" s="816">
        <v>12990</v>
      </c>
      <c r="T217" s="819">
        <v>613314</v>
      </c>
    </row>
    <row r="218" spans="1:20" x14ac:dyDescent="0.25">
      <c r="A218" s="813">
        <v>92214</v>
      </c>
      <c r="B218" s="820" t="s">
        <v>4033</v>
      </c>
      <c r="C218" s="815">
        <v>1.9000000000000001E-5</v>
      </c>
      <c r="D218" s="815">
        <v>0</v>
      </c>
      <c r="E218" s="816">
        <v>45074</v>
      </c>
      <c r="F218" s="816" t="s">
        <v>185</v>
      </c>
      <c r="G218" s="817">
        <v>6954</v>
      </c>
      <c r="H218" s="818">
        <v>6187</v>
      </c>
      <c r="I218" s="817">
        <v>11961</v>
      </c>
      <c r="J218" s="816">
        <v>14011</v>
      </c>
      <c r="K218" s="818">
        <f t="shared" si="6"/>
        <v>39113</v>
      </c>
      <c r="L218" s="816"/>
      <c r="M218" s="817">
        <v>233</v>
      </c>
      <c r="N218" s="817">
        <v>0</v>
      </c>
      <c r="O218" s="816">
        <v>0</v>
      </c>
      <c r="P218" s="818">
        <f t="shared" si="7"/>
        <v>233</v>
      </c>
      <c r="Q218" s="816"/>
      <c r="R218" s="817">
        <v>12520</v>
      </c>
      <c r="S218" s="816">
        <v>3503</v>
      </c>
      <c r="T218" s="819">
        <v>16023</v>
      </c>
    </row>
    <row r="219" spans="1:20" x14ac:dyDescent="0.25">
      <c r="A219" s="813">
        <v>92301</v>
      </c>
      <c r="B219" s="814" t="s">
        <v>2753</v>
      </c>
      <c r="C219" s="815">
        <v>5.1875999999999997E-3</v>
      </c>
      <c r="D219" s="815">
        <v>5.2129999999999998E-3</v>
      </c>
      <c r="E219" s="816">
        <v>12306761</v>
      </c>
      <c r="F219" s="816" t="s">
        <v>185</v>
      </c>
      <c r="G219" s="817">
        <v>1898641</v>
      </c>
      <c r="H219" s="818">
        <v>1689353</v>
      </c>
      <c r="I219" s="817">
        <v>3265739</v>
      </c>
      <c r="J219" s="816">
        <v>65564</v>
      </c>
      <c r="K219" s="818">
        <f t="shared" si="6"/>
        <v>6919297</v>
      </c>
      <c r="L219" s="816"/>
      <c r="M219" s="817">
        <v>63709</v>
      </c>
      <c r="N219" s="817">
        <v>0</v>
      </c>
      <c r="O219" s="816">
        <v>24051</v>
      </c>
      <c r="P219" s="818">
        <f t="shared" si="7"/>
        <v>87760</v>
      </c>
      <c r="Q219" s="816"/>
      <c r="R219" s="817">
        <v>3418488</v>
      </c>
      <c r="S219" s="816">
        <v>16356</v>
      </c>
      <c r="T219" s="819">
        <v>3434844</v>
      </c>
    </row>
    <row r="220" spans="1:20" x14ac:dyDescent="0.25">
      <c r="A220" s="813">
        <v>92302</v>
      </c>
      <c r="B220" s="814" t="s">
        <v>3552</v>
      </c>
      <c r="C220" s="815">
        <v>3.2410000000000002E-4</v>
      </c>
      <c r="D220" s="815">
        <v>2.9740000000000002E-4</v>
      </c>
      <c r="E220" s="816">
        <v>768876</v>
      </c>
      <c r="F220" s="816" t="s">
        <v>185</v>
      </c>
      <c r="G220" s="817">
        <v>118619</v>
      </c>
      <c r="H220" s="818">
        <v>105543</v>
      </c>
      <c r="I220" s="817">
        <v>204030</v>
      </c>
      <c r="J220" s="816">
        <v>6461</v>
      </c>
      <c r="K220" s="818">
        <f t="shared" si="6"/>
        <v>434653</v>
      </c>
      <c r="L220" s="816"/>
      <c r="M220" s="817">
        <v>3980</v>
      </c>
      <c r="N220" s="817">
        <v>0</v>
      </c>
      <c r="O220" s="816">
        <v>18923</v>
      </c>
      <c r="P220" s="818">
        <f t="shared" si="7"/>
        <v>22903</v>
      </c>
      <c r="Q220" s="816"/>
      <c r="R220" s="817">
        <v>213573</v>
      </c>
      <c r="S220" s="816">
        <v>-8101</v>
      </c>
      <c r="T220" s="819">
        <v>205472</v>
      </c>
    </row>
    <row r="221" spans="1:20" x14ac:dyDescent="0.25">
      <c r="A221" s="813">
        <v>92311</v>
      </c>
      <c r="B221" s="814" t="s">
        <v>2755</v>
      </c>
      <c r="C221" s="815">
        <v>2.2258999999999998E-3</v>
      </c>
      <c r="D221" s="815">
        <v>2.2504999999999999E-3</v>
      </c>
      <c r="E221" s="816">
        <v>5280596</v>
      </c>
      <c r="F221" s="816" t="s">
        <v>185</v>
      </c>
      <c r="G221" s="817">
        <v>814670</v>
      </c>
      <c r="H221" s="818">
        <v>724869</v>
      </c>
      <c r="I221" s="817">
        <v>1401266</v>
      </c>
      <c r="J221" s="816">
        <v>6268</v>
      </c>
      <c r="K221" s="818">
        <f t="shared" si="6"/>
        <v>2947073</v>
      </c>
      <c r="L221" s="816"/>
      <c r="M221" s="817">
        <v>27336</v>
      </c>
      <c r="N221" s="817">
        <v>0</v>
      </c>
      <c r="O221" s="816">
        <v>77605</v>
      </c>
      <c r="P221" s="818">
        <f t="shared" si="7"/>
        <v>104941</v>
      </c>
      <c r="Q221" s="816"/>
      <c r="R221" s="817">
        <v>1466808</v>
      </c>
      <c r="S221" s="816">
        <v>-51715</v>
      </c>
      <c r="T221" s="819">
        <v>1415093</v>
      </c>
    </row>
    <row r="222" spans="1:20" x14ac:dyDescent="0.25">
      <c r="A222" s="813">
        <v>92317</v>
      </c>
      <c r="B222" s="814" t="s">
        <v>2756</v>
      </c>
      <c r="C222" s="815">
        <v>2.1800000000000001E-5</v>
      </c>
      <c r="D222" s="815">
        <v>2.94E-5</v>
      </c>
      <c r="E222" s="816">
        <v>51717</v>
      </c>
      <c r="F222" s="816" t="s">
        <v>185</v>
      </c>
      <c r="G222" s="817">
        <v>7979</v>
      </c>
      <c r="H222" s="818">
        <v>7099</v>
      </c>
      <c r="I222" s="817">
        <v>13724</v>
      </c>
      <c r="J222" s="816">
        <v>13785</v>
      </c>
      <c r="K222" s="818">
        <f t="shared" si="6"/>
        <v>42587</v>
      </c>
      <c r="L222" s="816"/>
      <c r="M222" s="817">
        <v>268</v>
      </c>
      <c r="N222" s="817">
        <v>0</v>
      </c>
      <c r="O222" s="816">
        <v>0</v>
      </c>
      <c r="P222" s="818">
        <f t="shared" si="7"/>
        <v>268</v>
      </c>
      <c r="Q222" s="816"/>
      <c r="R222" s="817">
        <v>14366</v>
      </c>
      <c r="S222" s="816">
        <v>7302</v>
      </c>
      <c r="T222" s="819">
        <v>21668</v>
      </c>
    </row>
    <row r="223" spans="1:20" x14ac:dyDescent="0.25">
      <c r="A223" s="813">
        <v>92321</v>
      </c>
      <c r="B223" s="814" t="s">
        <v>2757</v>
      </c>
      <c r="C223" s="815">
        <v>1.2386000000000001E-3</v>
      </c>
      <c r="D223" s="815">
        <v>1.1773E-3</v>
      </c>
      <c r="E223" s="816">
        <v>2938383</v>
      </c>
      <c r="F223" s="816" t="s">
        <v>185</v>
      </c>
      <c r="G223" s="817">
        <v>453323</v>
      </c>
      <c r="H223" s="818">
        <v>403353</v>
      </c>
      <c r="I223" s="817">
        <v>779733</v>
      </c>
      <c r="J223" s="816">
        <v>50947</v>
      </c>
      <c r="K223" s="818">
        <f t="shared" si="6"/>
        <v>1687356</v>
      </c>
      <c r="L223" s="816"/>
      <c r="M223" s="817">
        <v>15211</v>
      </c>
      <c r="N223" s="817">
        <v>0</v>
      </c>
      <c r="O223" s="816">
        <v>15403</v>
      </c>
      <c r="P223" s="818">
        <f t="shared" si="7"/>
        <v>30614</v>
      </c>
      <c r="Q223" s="816"/>
      <c r="R223" s="817">
        <v>816204</v>
      </c>
      <c r="S223" s="816">
        <v>30637</v>
      </c>
      <c r="T223" s="819">
        <v>846841</v>
      </c>
    </row>
    <row r="224" spans="1:20" x14ac:dyDescent="0.25">
      <c r="A224" s="813">
        <v>92327</v>
      </c>
      <c r="B224" s="814" t="s">
        <v>2758</v>
      </c>
      <c r="C224" s="815">
        <v>6.8000000000000001E-6</v>
      </c>
      <c r="D224" s="815">
        <v>5.6999999999999996E-6</v>
      </c>
      <c r="E224" s="816">
        <v>16132</v>
      </c>
      <c r="F224" s="816" t="s">
        <v>185</v>
      </c>
      <c r="G224" s="817">
        <v>2489</v>
      </c>
      <c r="H224" s="818">
        <v>2215</v>
      </c>
      <c r="I224" s="817">
        <v>4281</v>
      </c>
      <c r="J224" s="816">
        <v>5548</v>
      </c>
      <c r="K224" s="818">
        <f t="shared" si="6"/>
        <v>14533</v>
      </c>
      <c r="L224" s="816"/>
      <c r="M224" s="817">
        <v>84</v>
      </c>
      <c r="N224" s="817">
        <v>0</v>
      </c>
      <c r="O224" s="816">
        <v>0</v>
      </c>
      <c r="P224" s="818">
        <f t="shared" si="7"/>
        <v>84</v>
      </c>
      <c r="Q224" s="816"/>
      <c r="R224" s="817">
        <v>4481</v>
      </c>
      <c r="S224" s="816">
        <v>2080</v>
      </c>
      <c r="T224" s="819">
        <v>6561</v>
      </c>
    </row>
    <row r="225" spans="1:20" x14ac:dyDescent="0.25">
      <c r="A225" s="813">
        <v>92331</v>
      </c>
      <c r="B225" s="814" t="s">
        <v>4034</v>
      </c>
      <c r="C225" s="815">
        <v>1.315E-4</v>
      </c>
      <c r="D225" s="815">
        <v>1.3970000000000001E-4</v>
      </c>
      <c r="E225" s="816">
        <v>311963</v>
      </c>
      <c r="F225" s="816" t="s">
        <v>185</v>
      </c>
      <c r="G225" s="817">
        <v>48128</v>
      </c>
      <c r="H225" s="818">
        <v>42823</v>
      </c>
      <c r="I225" s="817">
        <v>82783</v>
      </c>
      <c r="J225" s="816">
        <v>427</v>
      </c>
      <c r="K225" s="818">
        <f t="shared" si="6"/>
        <v>174161</v>
      </c>
      <c r="L225" s="816"/>
      <c r="M225" s="817">
        <v>1615</v>
      </c>
      <c r="N225" s="817">
        <v>0</v>
      </c>
      <c r="O225" s="816">
        <v>9509</v>
      </c>
      <c r="P225" s="818">
        <f t="shared" si="7"/>
        <v>11124</v>
      </c>
      <c r="Q225" s="816"/>
      <c r="R225" s="817">
        <v>86655</v>
      </c>
      <c r="S225" s="816">
        <v>-1856</v>
      </c>
      <c r="T225" s="819">
        <v>84799</v>
      </c>
    </row>
    <row r="226" spans="1:20" x14ac:dyDescent="0.25">
      <c r="A226" s="813">
        <v>92341</v>
      </c>
      <c r="B226" s="814" t="s">
        <v>4035</v>
      </c>
      <c r="C226" s="815">
        <v>9.2E-6</v>
      </c>
      <c r="D226" s="815">
        <v>9.7999999999999993E-6</v>
      </c>
      <c r="E226" s="816">
        <v>21826</v>
      </c>
      <c r="F226" s="816" t="s">
        <v>185</v>
      </c>
      <c r="G226" s="817">
        <v>3367</v>
      </c>
      <c r="H226" s="818">
        <v>2996</v>
      </c>
      <c r="I226" s="817">
        <v>5792</v>
      </c>
      <c r="J226" s="816">
        <v>297</v>
      </c>
      <c r="K226" s="818">
        <f t="shared" si="6"/>
        <v>12452</v>
      </c>
      <c r="L226" s="816"/>
      <c r="M226" s="817">
        <v>113</v>
      </c>
      <c r="N226" s="817">
        <v>0</v>
      </c>
      <c r="O226" s="816">
        <v>2308</v>
      </c>
      <c r="P226" s="818">
        <f t="shared" si="7"/>
        <v>2421</v>
      </c>
      <c r="Q226" s="816"/>
      <c r="R226" s="817">
        <v>6063</v>
      </c>
      <c r="S226" s="816">
        <v>-1214</v>
      </c>
      <c r="T226" s="819">
        <v>4849</v>
      </c>
    </row>
    <row r="227" spans="1:20" x14ac:dyDescent="0.25">
      <c r="A227" s="813">
        <v>92351</v>
      </c>
      <c r="B227" s="814" t="s">
        <v>4036</v>
      </c>
      <c r="C227" s="815">
        <v>1.9400000000000001E-5</v>
      </c>
      <c r="D227" s="815">
        <v>1.8600000000000001E-5</v>
      </c>
      <c r="E227" s="816">
        <v>46023</v>
      </c>
      <c r="F227" s="816" t="s">
        <v>185</v>
      </c>
      <c r="G227" s="817">
        <v>7100</v>
      </c>
      <c r="H227" s="818">
        <v>6317</v>
      </c>
      <c r="I227" s="817">
        <v>12213</v>
      </c>
      <c r="J227" s="816">
        <v>3336</v>
      </c>
      <c r="K227" s="818">
        <f t="shared" si="6"/>
        <v>28966</v>
      </c>
      <c r="L227" s="816"/>
      <c r="M227" s="817">
        <v>238</v>
      </c>
      <c r="N227" s="817">
        <v>0</v>
      </c>
      <c r="O227" s="816">
        <v>2532</v>
      </c>
      <c r="P227" s="818">
        <f t="shared" si="7"/>
        <v>2770</v>
      </c>
      <c r="Q227" s="816"/>
      <c r="R227" s="817">
        <v>12784</v>
      </c>
      <c r="S227" s="816">
        <v>-213</v>
      </c>
      <c r="T227" s="819">
        <v>12571</v>
      </c>
    </row>
    <row r="228" spans="1:20" x14ac:dyDescent="0.25">
      <c r="A228" s="813">
        <v>92401</v>
      </c>
      <c r="B228" s="814" t="s">
        <v>2762</v>
      </c>
      <c r="C228" s="815">
        <v>2.4808E-3</v>
      </c>
      <c r="D228" s="815">
        <v>2.6890999999999998E-3</v>
      </c>
      <c r="E228" s="816">
        <v>5885306</v>
      </c>
      <c r="F228" s="816" t="s">
        <v>185</v>
      </c>
      <c r="G228" s="817">
        <v>907963</v>
      </c>
      <c r="H228" s="818">
        <v>807877</v>
      </c>
      <c r="I228" s="817">
        <v>1561733</v>
      </c>
      <c r="J228" s="816">
        <v>14194</v>
      </c>
      <c r="K228" s="818">
        <f t="shared" si="6"/>
        <v>3291767</v>
      </c>
      <c r="L228" s="816"/>
      <c r="M228" s="817">
        <v>30467</v>
      </c>
      <c r="N228" s="817">
        <v>0</v>
      </c>
      <c r="O228" s="816">
        <v>55822</v>
      </c>
      <c r="P228" s="818">
        <f t="shared" si="7"/>
        <v>86289</v>
      </c>
      <c r="Q228" s="816"/>
      <c r="R228" s="817">
        <v>1634780</v>
      </c>
      <c r="S228" s="816">
        <v>5281</v>
      </c>
      <c r="T228" s="819">
        <v>1640061</v>
      </c>
    </row>
    <row r="229" spans="1:20" x14ac:dyDescent="0.25">
      <c r="A229" s="813">
        <v>92403</v>
      </c>
      <c r="B229" s="814" t="s">
        <v>2763</v>
      </c>
      <c r="C229" s="815">
        <v>1.0200000000000001E-5</v>
      </c>
      <c r="D229" s="815">
        <v>1.11E-5</v>
      </c>
      <c r="E229" s="816">
        <v>24198</v>
      </c>
      <c r="F229" s="816" t="s">
        <v>185</v>
      </c>
      <c r="G229" s="817">
        <v>3733</v>
      </c>
      <c r="H229" s="818">
        <v>3321</v>
      </c>
      <c r="I229" s="817">
        <v>6421</v>
      </c>
      <c r="J229" s="816">
        <v>1611</v>
      </c>
      <c r="K229" s="818">
        <f t="shared" si="6"/>
        <v>15086</v>
      </c>
      <c r="L229" s="816"/>
      <c r="M229" s="817">
        <v>125</v>
      </c>
      <c r="N229" s="817">
        <v>0</v>
      </c>
      <c r="O229" s="816">
        <v>851</v>
      </c>
      <c r="P229" s="818">
        <f t="shared" si="7"/>
        <v>976</v>
      </c>
      <c r="Q229" s="816"/>
      <c r="R229" s="817">
        <v>6722</v>
      </c>
      <c r="S229" s="816">
        <v>220</v>
      </c>
      <c r="T229" s="819">
        <v>6942</v>
      </c>
    </row>
    <row r="230" spans="1:20" x14ac:dyDescent="0.25">
      <c r="A230" s="813">
        <v>92411</v>
      </c>
      <c r="B230" s="814" t="s">
        <v>2764</v>
      </c>
      <c r="C230" s="815">
        <v>4.4569999999999999E-4</v>
      </c>
      <c r="D230" s="815">
        <v>5.0469999999999996E-4</v>
      </c>
      <c r="E230" s="816">
        <v>1057353</v>
      </c>
      <c r="F230" s="816" t="s">
        <v>185</v>
      </c>
      <c r="G230" s="817">
        <v>163124</v>
      </c>
      <c r="H230" s="818">
        <v>145143</v>
      </c>
      <c r="I230" s="817">
        <v>280581</v>
      </c>
      <c r="J230" s="816">
        <v>165</v>
      </c>
      <c r="K230" s="818">
        <f t="shared" si="6"/>
        <v>589013</v>
      </c>
      <c r="L230" s="816"/>
      <c r="M230" s="817">
        <v>5474</v>
      </c>
      <c r="N230" s="817">
        <v>0</v>
      </c>
      <c r="O230" s="816">
        <v>72580</v>
      </c>
      <c r="P230" s="818">
        <f t="shared" si="7"/>
        <v>78054</v>
      </c>
      <c r="Q230" s="816"/>
      <c r="R230" s="817">
        <v>293704</v>
      </c>
      <c r="S230" s="816">
        <v>-29467</v>
      </c>
      <c r="T230" s="819">
        <v>264237</v>
      </c>
    </row>
    <row r="231" spans="1:20" x14ac:dyDescent="0.25">
      <c r="A231" s="813">
        <v>92414</v>
      </c>
      <c r="B231" s="814" t="s">
        <v>4037</v>
      </c>
      <c r="C231" s="815">
        <v>0</v>
      </c>
      <c r="D231" s="815">
        <v>0</v>
      </c>
      <c r="E231" s="816">
        <v>0</v>
      </c>
      <c r="F231" s="816" t="s">
        <v>185</v>
      </c>
      <c r="G231" s="817">
        <v>0</v>
      </c>
      <c r="H231" s="818">
        <v>0</v>
      </c>
      <c r="I231" s="817">
        <v>0</v>
      </c>
      <c r="J231" s="816">
        <v>0</v>
      </c>
      <c r="K231" s="818">
        <f t="shared" si="6"/>
        <v>0</v>
      </c>
      <c r="L231" s="816"/>
      <c r="M231" s="817">
        <v>0</v>
      </c>
      <c r="N231" s="817">
        <v>0</v>
      </c>
      <c r="O231" s="816">
        <v>3269</v>
      </c>
      <c r="P231" s="818">
        <f t="shared" si="7"/>
        <v>3269</v>
      </c>
      <c r="Q231" s="816"/>
      <c r="R231" s="817">
        <v>0</v>
      </c>
      <c r="S231" s="816">
        <v>-2443</v>
      </c>
      <c r="T231" s="819">
        <v>-2443</v>
      </c>
    </row>
    <row r="232" spans="1:20" x14ac:dyDescent="0.25">
      <c r="A232" s="813">
        <v>92417</v>
      </c>
      <c r="B232" s="814" t="s">
        <v>2765</v>
      </c>
      <c r="C232" s="815">
        <v>1.8600000000000001E-5</v>
      </c>
      <c r="D232" s="815">
        <v>1.8300000000000001E-5</v>
      </c>
      <c r="E232" s="816">
        <v>44126</v>
      </c>
      <c r="F232" s="816" t="s">
        <v>185</v>
      </c>
      <c r="G232" s="817">
        <v>6808</v>
      </c>
      <c r="H232" s="818">
        <v>6058</v>
      </c>
      <c r="I232" s="817">
        <v>11709</v>
      </c>
      <c r="J232" s="816">
        <v>0</v>
      </c>
      <c r="K232" s="818">
        <f t="shared" si="6"/>
        <v>24575</v>
      </c>
      <c r="L232" s="816"/>
      <c r="M232" s="817">
        <v>228</v>
      </c>
      <c r="N232" s="817">
        <v>0</v>
      </c>
      <c r="O232" s="816">
        <v>3682</v>
      </c>
      <c r="P232" s="818">
        <f t="shared" si="7"/>
        <v>3910</v>
      </c>
      <c r="Q232" s="816"/>
      <c r="R232" s="817">
        <v>12257</v>
      </c>
      <c r="S232" s="816">
        <v>-1356</v>
      </c>
      <c r="T232" s="819">
        <v>10901</v>
      </c>
    </row>
    <row r="233" spans="1:20" x14ac:dyDescent="0.25">
      <c r="A233" s="813">
        <v>92421</v>
      </c>
      <c r="B233" s="814" t="s">
        <v>4038</v>
      </c>
      <c r="C233" s="815">
        <v>8.6999999999999997E-6</v>
      </c>
      <c r="D233" s="815">
        <v>8.8000000000000004E-6</v>
      </c>
      <c r="E233" s="816">
        <v>20639</v>
      </c>
      <c r="F233" s="816" t="s">
        <v>185</v>
      </c>
      <c r="G233" s="817">
        <v>3184</v>
      </c>
      <c r="H233" s="818">
        <v>2833</v>
      </c>
      <c r="I233" s="817">
        <v>5477</v>
      </c>
      <c r="J233" s="816">
        <v>6193</v>
      </c>
      <c r="K233" s="818">
        <f t="shared" si="6"/>
        <v>17687</v>
      </c>
      <c r="L233" s="816"/>
      <c r="M233" s="817">
        <v>107</v>
      </c>
      <c r="N233" s="817">
        <v>0</v>
      </c>
      <c r="O233" s="816">
        <v>746</v>
      </c>
      <c r="P233" s="818">
        <f t="shared" si="7"/>
        <v>853</v>
      </c>
      <c r="Q233" s="816"/>
      <c r="R233" s="817">
        <v>5733</v>
      </c>
      <c r="S233" s="816">
        <v>1925</v>
      </c>
      <c r="T233" s="819">
        <v>7658</v>
      </c>
    </row>
    <row r="234" spans="1:20" x14ac:dyDescent="0.25">
      <c r="A234" s="813">
        <v>92427</v>
      </c>
      <c r="B234" s="814" t="s">
        <v>2767</v>
      </c>
      <c r="C234" s="815">
        <v>1.9999999999999999E-6</v>
      </c>
      <c r="D234" s="815">
        <v>3.9999999999999998E-7</v>
      </c>
      <c r="E234" s="816">
        <v>4745</v>
      </c>
      <c r="F234" s="816" t="s">
        <v>185</v>
      </c>
      <c r="G234" s="817">
        <v>732</v>
      </c>
      <c r="H234" s="818">
        <v>651</v>
      </c>
      <c r="I234" s="817">
        <v>1259</v>
      </c>
      <c r="J234" s="816">
        <v>2874</v>
      </c>
      <c r="K234" s="818">
        <f t="shared" si="6"/>
        <v>5516</v>
      </c>
      <c r="L234" s="816"/>
      <c r="M234" s="817">
        <v>25</v>
      </c>
      <c r="N234" s="817">
        <v>0</v>
      </c>
      <c r="O234" s="816">
        <v>0</v>
      </c>
      <c r="P234" s="818">
        <f t="shared" si="7"/>
        <v>25</v>
      </c>
      <c r="Q234" s="816"/>
      <c r="R234" s="817">
        <v>1318</v>
      </c>
      <c r="S234" s="816">
        <v>1269</v>
      </c>
      <c r="T234" s="819">
        <v>2587</v>
      </c>
    </row>
    <row r="235" spans="1:20" x14ac:dyDescent="0.25">
      <c r="A235" s="813">
        <v>92431</v>
      </c>
      <c r="B235" s="814" t="s">
        <v>4039</v>
      </c>
      <c r="C235" s="815">
        <v>2.1999999999999999E-5</v>
      </c>
      <c r="D235" s="815">
        <v>3.0800000000000003E-5</v>
      </c>
      <c r="E235" s="816">
        <v>52192</v>
      </c>
      <c r="F235" s="816" t="s">
        <v>185</v>
      </c>
      <c r="G235" s="817">
        <v>8052</v>
      </c>
      <c r="H235" s="818">
        <v>7164</v>
      </c>
      <c r="I235" s="817">
        <v>13850</v>
      </c>
      <c r="J235" s="816">
        <v>12947</v>
      </c>
      <c r="K235" s="818">
        <f t="shared" si="6"/>
        <v>42013</v>
      </c>
      <c r="L235" s="816"/>
      <c r="M235" s="817">
        <v>270</v>
      </c>
      <c r="N235" s="817">
        <v>0</v>
      </c>
      <c r="O235" s="816">
        <v>3712</v>
      </c>
      <c r="P235" s="818">
        <f t="shared" si="7"/>
        <v>3982</v>
      </c>
      <c r="Q235" s="816"/>
      <c r="R235" s="817">
        <v>14497</v>
      </c>
      <c r="S235" s="816">
        <v>3732</v>
      </c>
      <c r="T235" s="819">
        <v>18229</v>
      </c>
    </row>
    <row r="236" spans="1:20" x14ac:dyDescent="0.25">
      <c r="A236" s="813">
        <v>92441</v>
      </c>
      <c r="B236" s="814" t="s">
        <v>4040</v>
      </c>
      <c r="C236" s="815">
        <v>1.002E-4</v>
      </c>
      <c r="D236" s="815">
        <v>7.7999999999999999E-5</v>
      </c>
      <c r="E236" s="816">
        <v>237709</v>
      </c>
      <c r="F236" s="816" t="s">
        <v>185</v>
      </c>
      <c r="G236" s="817">
        <v>36673</v>
      </c>
      <c r="H236" s="818">
        <v>32630</v>
      </c>
      <c r="I236" s="817">
        <v>63079</v>
      </c>
      <c r="J236" s="816">
        <v>15338</v>
      </c>
      <c r="K236" s="818">
        <f t="shared" si="6"/>
        <v>147720</v>
      </c>
      <c r="L236" s="816"/>
      <c r="M236" s="817">
        <v>1231</v>
      </c>
      <c r="N236" s="817">
        <v>0</v>
      </c>
      <c r="O236" s="816">
        <v>8352</v>
      </c>
      <c r="P236" s="818">
        <f t="shared" si="7"/>
        <v>9583</v>
      </c>
      <c r="Q236" s="816"/>
      <c r="R236" s="817">
        <v>66029</v>
      </c>
      <c r="S236" s="816">
        <v>-3122</v>
      </c>
      <c r="T236" s="819">
        <v>62907</v>
      </c>
    </row>
    <row r="237" spans="1:20" x14ac:dyDescent="0.25">
      <c r="A237" s="813">
        <v>92444</v>
      </c>
      <c r="B237" s="814" t="s">
        <v>2770</v>
      </c>
      <c r="C237" s="815">
        <v>1.7E-6</v>
      </c>
      <c r="D237" s="815">
        <v>1.7999999999999999E-6</v>
      </c>
      <c r="E237" s="816">
        <v>4033</v>
      </c>
      <c r="F237" s="816" t="s">
        <v>185</v>
      </c>
      <c r="G237" s="817">
        <v>622</v>
      </c>
      <c r="H237" s="818">
        <v>553</v>
      </c>
      <c r="I237" s="817">
        <v>1070</v>
      </c>
      <c r="J237" s="816">
        <v>3193</v>
      </c>
      <c r="K237" s="818">
        <f t="shared" si="6"/>
        <v>5438</v>
      </c>
      <c r="L237" s="816"/>
      <c r="M237" s="817">
        <v>21</v>
      </c>
      <c r="N237" s="817">
        <v>0</v>
      </c>
      <c r="O237" s="816">
        <v>0</v>
      </c>
      <c r="P237" s="818">
        <f t="shared" si="7"/>
        <v>21</v>
      </c>
      <c r="Q237" s="816"/>
      <c r="R237" s="817">
        <v>1120</v>
      </c>
      <c r="S237" s="816">
        <v>1642</v>
      </c>
      <c r="T237" s="819">
        <v>2762</v>
      </c>
    </row>
    <row r="238" spans="1:20" x14ac:dyDescent="0.25">
      <c r="A238" s="813">
        <v>92451</v>
      </c>
      <c r="B238" s="814" t="s">
        <v>4041</v>
      </c>
      <c r="C238" s="815">
        <v>1.2650000000000001E-4</v>
      </c>
      <c r="D238" s="815">
        <v>1.3070000000000001E-4</v>
      </c>
      <c r="E238" s="816">
        <v>300101</v>
      </c>
      <c r="F238" s="816" t="s">
        <v>185</v>
      </c>
      <c r="G238" s="817">
        <v>46298</v>
      </c>
      <c r="H238" s="818">
        <v>41195</v>
      </c>
      <c r="I238" s="817">
        <v>79635</v>
      </c>
      <c r="J238" s="816">
        <v>28275</v>
      </c>
      <c r="K238" s="818">
        <f t="shared" si="6"/>
        <v>195403</v>
      </c>
      <c r="L238" s="816"/>
      <c r="M238" s="817">
        <v>1554</v>
      </c>
      <c r="N238" s="817">
        <v>0</v>
      </c>
      <c r="O238" s="816">
        <v>0</v>
      </c>
      <c r="P238" s="818">
        <f t="shared" si="7"/>
        <v>1554</v>
      </c>
      <c r="Q238" s="816"/>
      <c r="R238" s="817">
        <v>83360</v>
      </c>
      <c r="S238" s="816">
        <v>15181</v>
      </c>
      <c r="T238" s="819">
        <v>98541</v>
      </c>
    </row>
    <row r="239" spans="1:20" x14ac:dyDescent="0.25">
      <c r="A239" s="813">
        <v>92461</v>
      </c>
      <c r="B239" s="814" t="s">
        <v>4042</v>
      </c>
      <c r="C239" s="815">
        <v>6.7500000000000001E-5</v>
      </c>
      <c r="D239" s="815">
        <v>7.1099999999999994E-5</v>
      </c>
      <c r="E239" s="816">
        <v>160133</v>
      </c>
      <c r="F239" s="816" t="s">
        <v>185</v>
      </c>
      <c r="G239" s="817">
        <v>24705</v>
      </c>
      <c r="H239" s="818">
        <v>21982</v>
      </c>
      <c r="I239" s="817">
        <v>42493</v>
      </c>
      <c r="J239" s="816">
        <v>14437</v>
      </c>
      <c r="K239" s="818">
        <f t="shared" si="6"/>
        <v>103617</v>
      </c>
      <c r="L239" s="816"/>
      <c r="M239" s="817">
        <v>829</v>
      </c>
      <c r="N239" s="817">
        <v>0</v>
      </c>
      <c r="O239" s="816">
        <v>2116</v>
      </c>
      <c r="P239" s="818">
        <f t="shared" si="7"/>
        <v>2945</v>
      </c>
      <c r="Q239" s="816"/>
      <c r="R239" s="817">
        <v>44481</v>
      </c>
      <c r="S239" s="816">
        <v>2527</v>
      </c>
      <c r="T239" s="819">
        <v>47008</v>
      </c>
    </row>
    <row r="240" spans="1:20" x14ac:dyDescent="0.25">
      <c r="A240" s="813">
        <v>92501</v>
      </c>
      <c r="B240" s="814" t="s">
        <v>2773</v>
      </c>
      <c r="C240" s="815">
        <v>3.7823000000000002E-3</v>
      </c>
      <c r="D240" s="815">
        <v>3.8252E-3</v>
      </c>
      <c r="E240" s="816">
        <v>8972909</v>
      </c>
      <c r="F240" s="816" t="s">
        <v>185</v>
      </c>
      <c r="G240" s="817">
        <v>1384307</v>
      </c>
      <c r="H240" s="818">
        <v>1231713</v>
      </c>
      <c r="I240" s="817">
        <v>2381064</v>
      </c>
      <c r="J240" s="816">
        <v>177147</v>
      </c>
      <c r="K240" s="818">
        <f t="shared" si="6"/>
        <v>5174231</v>
      </c>
      <c r="L240" s="816"/>
      <c r="M240" s="817">
        <v>46450</v>
      </c>
      <c r="N240" s="817">
        <v>0</v>
      </c>
      <c r="O240" s="816">
        <v>4069</v>
      </c>
      <c r="P240" s="818">
        <f t="shared" si="7"/>
        <v>50519</v>
      </c>
      <c r="Q240" s="816"/>
      <c r="R240" s="817">
        <v>2492434</v>
      </c>
      <c r="S240" s="816">
        <v>67545</v>
      </c>
      <c r="T240" s="819">
        <v>2559979</v>
      </c>
    </row>
    <row r="241" spans="1:21" x14ac:dyDescent="0.25">
      <c r="A241" s="813">
        <v>92502</v>
      </c>
      <c r="B241" s="814" t="s">
        <v>2774</v>
      </c>
      <c r="C241" s="815">
        <v>2.5700000000000001E-5</v>
      </c>
      <c r="D241" s="815">
        <v>2.7500000000000001E-5</v>
      </c>
      <c r="E241" s="816">
        <v>60969</v>
      </c>
      <c r="F241" s="816" t="s">
        <v>185</v>
      </c>
      <c r="G241" s="817">
        <v>9406</v>
      </c>
      <c r="H241" s="818">
        <v>8369</v>
      </c>
      <c r="I241" s="817">
        <v>16179</v>
      </c>
      <c r="J241" s="816">
        <v>3432</v>
      </c>
      <c r="K241" s="818">
        <f t="shared" si="6"/>
        <v>37386</v>
      </c>
      <c r="L241" s="816"/>
      <c r="M241" s="817">
        <v>316</v>
      </c>
      <c r="N241" s="817">
        <v>0</v>
      </c>
      <c r="O241" s="816">
        <v>803</v>
      </c>
      <c r="P241" s="818">
        <f t="shared" si="7"/>
        <v>1119</v>
      </c>
      <c r="Q241" s="816"/>
      <c r="R241" s="817">
        <v>16936</v>
      </c>
      <c r="S241" s="816">
        <v>200</v>
      </c>
      <c r="T241" s="819">
        <v>17136</v>
      </c>
    </row>
    <row r="242" spans="1:21" x14ac:dyDescent="0.25">
      <c r="A242" s="813">
        <v>92504</v>
      </c>
      <c r="B242" s="814" t="s">
        <v>2775</v>
      </c>
      <c r="C242" s="815">
        <v>7.86E-5</v>
      </c>
      <c r="D242" s="815">
        <v>8.4300000000000003E-5</v>
      </c>
      <c r="E242" s="816">
        <v>186466</v>
      </c>
      <c r="F242" s="816" t="s">
        <v>185</v>
      </c>
      <c r="G242" s="817">
        <v>28767</v>
      </c>
      <c r="H242" s="818">
        <v>25596</v>
      </c>
      <c r="I242" s="817">
        <v>49481</v>
      </c>
      <c r="J242" s="816">
        <v>24679</v>
      </c>
      <c r="K242" s="818">
        <f t="shared" si="6"/>
        <v>128523</v>
      </c>
      <c r="L242" s="816"/>
      <c r="M242" s="817">
        <v>965</v>
      </c>
      <c r="N242" s="817">
        <v>0</v>
      </c>
      <c r="O242" s="816">
        <v>0</v>
      </c>
      <c r="P242" s="818">
        <f t="shared" si="7"/>
        <v>965</v>
      </c>
      <c r="Q242" s="816"/>
      <c r="R242" s="817">
        <v>51795</v>
      </c>
      <c r="S242" s="816">
        <v>11445</v>
      </c>
      <c r="T242" s="819">
        <v>63240</v>
      </c>
    </row>
    <row r="243" spans="1:21" x14ac:dyDescent="0.25">
      <c r="A243" s="813">
        <v>92505</v>
      </c>
      <c r="B243" s="814" t="s">
        <v>2776</v>
      </c>
      <c r="C243" s="815">
        <v>1.8330000000000001E-4</v>
      </c>
      <c r="D243" s="815">
        <v>1.9239999999999999E-4</v>
      </c>
      <c r="E243" s="816">
        <v>434850</v>
      </c>
      <c r="F243" s="816" t="s">
        <v>185</v>
      </c>
      <c r="G243" s="817">
        <v>67087</v>
      </c>
      <c r="H243" s="818">
        <v>59692</v>
      </c>
      <c r="I243" s="817">
        <v>115392</v>
      </c>
      <c r="J243" s="816">
        <v>59838</v>
      </c>
      <c r="K243" s="818">
        <f t="shared" si="6"/>
        <v>302009</v>
      </c>
      <c r="L243" s="816"/>
      <c r="M243" s="817">
        <v>2251</v>
      </c>
      <c r="N243" s="817">
        <v>0</v>
      </c>
      <c r="O243" s="816">
        <v>0</v>
      </c>
      <c r="P243" s="818">
        <f t="shared" si="7"/>
        <v>2251</v>
      </c>
      <c r="Q243" s="816"/>
      <c r="R243" s="817">
        <v>120790</v>
      </c>
      <c r="S243" s="816">
        <v>29276</v>
      </c>
      <c r="T243" s="819">
        <v>150066</v>
      </c>
    </row>
    <row r="244" spans="1:21" x14ac:dyDescent="0.25">
      <c r="A244" s="813">
        <v>92506</v>
      </c>
      <c r="B244" s="814" t="s">
        <v>2777</v>
      </c>
      <c r="C244" s="815">
        <v>6.05E-5</v>
      </c>
      <c r="D244" s="815">
        <v>4.7500000000000003E-5</v>
      </c>
      <c r="E244" s="816">
        <v>143527</v>
      </c>
      <c r="F244" s="816" t="s">
        <v>185</v>
      </c>
      <c r="G244" s="817">
        <v>22143</v>
      </c>
      <c r="H244" s="818">
        <v>19702</v>
      </c>
      <c r="I244" s="817">
        <v>38086</v>
      </c>
      <c r="J244" s="816">
        <v>23804</v>
      </c>
      <c r="K244" s="818">
        <f t="shared" si="6"/>
        <v>103735</v>
      </c>
      <c r="L244" s="816"/>
      <c r="M244" s="817">
        <v>743</v>
      </c>
      <c r="N244" s="817">
        <v>0</v>
      </c>
      <c r="O244" s="816">
        <v>0</v>
      </c>
      <c r="P244" s="818">
        <f t="shared" si="7"/>
        <v>743</v>
      </c>
      <c r="Q244" s="816"/>
      <c r="R244" s="817">
        <v>39868</v>
      </c>
      <c r="S244" s="816">
        <v>10713</v>
      </c>
      <c r="T244" s="819">
        <v>50581</v>
      </c>
    </row>
    <row r="245" spans="1:21" x14ac:dyDescent="0.25">
      <c r="A245" s="813">
        <v>92507</v>
      </c>
      <c r="B245" s="814" t="s">
        <v>2778</v>
      </c>
      <c r="C245" s="815">
        <v>9.2800000000000006E-5</v>
      </c>
      <c r="D245" s="815">
        <v>9.5699999999999995E-5</v>
      </c>
      <c r="E245" s="816">
        <v>220153</v>
      </c>
      <c r="F245" s="816" t="s">
        <v>185</v>
      </c>
      <c r="G245" s="817">
        <v>33964</v>
      </c>
      <c r="H245" s="818">
        <v>30220</v>
      </c>
      <c r="I245" s="817">
        <v>58420</v>
      </c>
      <c r="J245" s="816">
        <v>7696</v>
      </c>
      <c r="K245" s="818">
        <f t="shared" si="6"/>
        <v>130300</v>
      </c>
      <c r="L245" s="816"/>
      <c r="M245" s="817">
        <v>1140</v>
      </c>
      <c r="N245" s="817">
        <v>0</v>
      </c>
      <c r="O245" s="816">
        <v>13640</v>
      </c>
      <c r="P245" s="818">
        <f t="shared" si="7"/>
        <v>14780</v>
      </c>
      <c r="Q245" s="816"/>
      <c r="R245" s="817">
        <v>61153</v>
      </c>
      <c r="S245" s="816">
        <v>-7333</v>
      </c>
      <c r="T245" s="819">
        <v>53820</v>
      </c>
    </row>
    <row r="246" spans="1:21" x14ac:dyDescent="0.25">
      <c r="A246" s="813">
        <v>92508</v>
      </c>
      <c r="B246" s="814" t="s">
        <v>4043</v>
      </c>
      <c r="C246" s="815">
        <v>3.076E-4</v>
      </c>
      <c r="D246" s="815">
        <v>3.1E-4</v>
      </c>
      <c r="E246" s="816">
        <v>729732</v>
      </c>
      <c r="F246" s="816" t="s">
        <v>185</v>
      </c>
      <c r="G246" s="817">
        <v>112580</v>
      </c>
      <c r="H246" s="818">
        <v>100171</v>
      </c>
      <c r="I246" s="817">
        <v>193643</v>
      </c>
      <c r="J246" s="816">
        <v>7720</v>
      </c>
      <c r="K246" s="818">
        <f t="shared" si="6"/>
        <v>414114</v>
      </c>
      <c r="L246" s="816"/>
      <c r="M246" s="817">
        <v>3778</v>
      </c>
      <c r="N246" s="817">
        <v>0</v>
      </c>
      <c r="O246" s="816">
        <v>915</v>
      </c>
      <c r="P246" s="818">
        <f t="shared" si="7"/>
        <v>4693</v>
      </c>
      <c r="Q246" s="816"/>
      <c r="R246" s="817">
        <v>202700</v>
      </c>
      <c r="S246" s="816">
        <v>4814</v>
      </c>
      <c r="T246" s="819">
        <v>207514</v>
      </c>
    </row>
    <row r="247" spans="1:21" x14ac:dyDescent="0.25">
      <c r="A247" s="813">
        <v>92511</v>
      </c>
      <c r="B247" s="814" t="s">
        <v>2781</v>
      </c>
      <c r="C247" s="815">
        <v>3.3249999999999998E-3</v>
      </c>
      <c r="D247" s="815">
        <v>3.3240000000000001E-3</v>
      </c>
      <c r="E247" s="816">
        <v>7888037</v>
      </c>
      <c r="F247" s="816" t="s">
        <v>185</v>
      </c>
      <c r="G247" s="817">
        <v>1216937</v>
      </c>
      <c r="H247" s="818">
        <v>1082793</v>
      </c>
      <c r="I247" s="817">
        <v>2093181</v>
      </c>
      <c r="J247" s="816">
        <v>11784</v>
      </c>
      <c r="K247" s="818">
        <f t="shared" si="6"/>
        <v>4404695</v>
      </c>
      <c r="L247" s="816"/>
      <c r="M247" s="817">
        <v>40834</v>
      </c>
      <c r="N247" s="817">
        <v>0</v>
      </c>
      <c r="O247" s="816">
        <v>152525</v>
      </c>
      <c r="P247" s="818">
        <f t="shared" si="7"/>
        <v>193359</v>
      </c>
      <c r="Q247" s="816"/>
      <c r="R247" s="817">
        <v>2191085</v>
      </c>
      <c r="S247" s="816">
        <v>-70016</v>
      </c>
      <c r="T247" s="819">
        <v>2121069</v>
      </c>
    </row>
    <row r="248" spans="1:21" x14ac:dyDescent="0.25">
      <c r="A248" s="813" t="s">
        <v>4044</v>
      </c>
      <c r="B248" s="814" t="s">
        <v>4045</v>
      </c>
      <c r="C248" s="815">
        <v>0</v>
      </c>
      <c r="D248" s="815">
        <v>0</v>
      </c>
      <c r="E248" s="816">
        <v>0</v>
      </c>
      <c r="F248" s="816" t="s">
        <v>185</v>
      </c>
      <c r="G248" s="817">
        <v>0</v>
      </c>
      <c r="H248" s="818">
        <v>0</v>
      </c>
      <c r="I248" s="817">
        <v>0</v>
      </c>
      <c r="J248" s="816">
        <v>25219</v>
      </c>
      <c r="K248" s="818">
        <f>G248+H248+I248+J248</f>
        <v>25219</v>
      </c>
      <c r="L248" s="816"/>
      <c r="M248" s="817">
        <v>0</v>
      </c>
      <c r="N248" s="817">
        <v>0</v>
      </c>
      <c r="O248" s="816">
        <v>448900</v>
      </c>
      <c r="P248" s="818">
        <f>M248+N248+O248</f>
        <v>448900</v>
      </c>
      <c r="Q248" s="816"/>
      <c r="R248" s="817">
        <v>0</v>
      </c>
      <c r="S248" s="816">
        <v>-104030</v>
      </c>
      <c r="T248" s="819">
        <v>-104030</v>
      </c>
      <c r="U248" s="819"/>
    </row>
    <row r="249" spans="1:21" x14ac:dyDescent="0.25">
      <c r="A249" s="813" t="s">
        <v>4046</v>
      </c>
      <c r="B249" s="814" t="s">
        <v>4047</v>
      </c>
      <c r="C249" s="815">
        <v>0</v>
      </c>
      <c r="D249" s="815">
        <v>0</v>
      </c>
      <c r="E249" s="816">
        <v>0</v>
      </c>
      <c r="F249" s="816" t="s">
        <v>185</v>
      </c>
      <c r="G249" s="817">
        <v>0</v>
      </c>
      <c r="H249" s="818">
        <v>0</v>
      </c>
      <c r="I249" s="817">
        <v>0</v>
      </c>
      <c r="J249" s="816">
        <v>8188</v>
      </c>
      <c r="K249" s="818">
        <f>G249+H249+I249+J249</f>
        <v>8188</v>
      </c>
      <c r="L249" s="816"/>
      <c r="M249" s="817">
        <v>0</v>
      </c>
      <c r="N249" s="817">
        <v>0</v>
      </c>
      <c r="O249" s="816">
        <v>564201</v>
      </c>
      <c r="P249" s="818">
        <f>M249+N249+O249</f>
        <v>564201</v>
      </c>
      <c r="Q249" s="816"/>
      <c r="R249" s="817">
        <v>0</v>
      </c>
      <c r="S249" s="816">
        <v>-224458</v>
      </c>
      <c r="T249" s="819">
        <v>-224458</v>
      </c>
    </row>
    <row r="250" spans="1:21" x14ac:dyDescent="0.25">
      <c r="A250" s="813" t="s">
        <v>4048</v>
      </c>
      <c r="B250" s="814" t="s">
        <v>2782</v>
      </c>
      <c r="C250" s="815">
        <v>3.9129000000000004E-3</v>
      </c>
      <c r="D250" s="815">
        <v>4.0328999999999999E-3</v>
      </c>
      <c r="E250" s="816">
        <v>9282737</v>
      </c>
      <c r="F250" s="816" t="s">
        <v>185</v>
      </c>
      <c r="G250" s="817">
        <v>1432106</v>
      </c>
      <c r="H250" s="818">
        <v>1274244</v>
      </c>
      <c r="I250" s="817">
        <v>2463280</v>
      </c>
      <c r="J250" s="816">
        <v>963519</v>
      </c>
      <c r="K250" s="818">
        <f t="shared" si="6"/>
        <v>6133149</v>
      </c>
      <c r="L250" s="816"/>
      <c r="M250" s="817">
        <v>48054</v>
      </c>
      <c r="N250" s="817">
        <v>0</v>
      </c>
      <c r="O250" s="816">
        <v>288340</v>
      </c>
      <c r="P250" s="818">
        <f t="shared" si="7"/>
        <v>336394</v>
      </c>
      <c r="Q250" s="816"/>
      <c r="R250" s="817">
        <v>2578495</v>
      </c>
      <c r="S250" s="816">
        <v>439276</v>
      </c>
      <c r="T250" s="819">
        <v>3017771</v>
      </c>
    </row>
    <row r="251" spans="1:21" x14ac:dyDescent="0.25">
      <c r="A251" s="813">
        <v>92513</v>
      </c>
      <c r="B251" s="814" t="s">
        <v>4049</v>
      </c>
      <c r="C251" s="815">
        <f>SUM(C248:C250)</f>
        <v>3.9129000000000004E-3</v>
      </c>
      <c r="D251" s="815">
        <f t="shared" ref="D251:K251" si="8">SUM(D248:D250)</f>
        <v>4.0328999999999999E-3</v>
      </c>
      <c r="E251" s="816">
        <f t="shared" si="8"/>
        <v>9282737</v>
      </c>
      <c r="F251" s="816"/>
      <c r="G251" s="817">
        <f t="shared" si="8"/>
        <v>1432106</v>
      </c>
      <c r="H251" s="818">
        <f t="shared" si="8"/>
        <v>1274244</v>
      </c>
      <c r="I251" s="817">
        <f t="shared" si="8"/>
        <v>2463280</v>
      </c>
      <c r="J251" s="816">
        <f t="shared" si="8"/>
        <v>996926</v>
      </c>
      <c r="K251" s="818">
        <f t="shared" si="8"/>
        <v>6166556</v>
      </c>
      <c r="L251" s="816"/>
      <c r="M251" s="817">
        <f t="shared" ref="M251:P251" si="9">SUM(M248:M250)</f>
        <v>48054</v>
      </c>
      <c r="N251" s="817">
        <f t="shared" si="9"/>
        <v>0</v>
      </c>
      <c r="O251" s="816">
        <f t="shared" si="9"/>
        <v>1301441</v>
      </c>
      <c r="P251" s="818">
        <f t="shared" si="9"/>
        <v>1349495</v>
      </c>
      <c r="Q251" s="816"/>
      <c r="R251" s="817">
        <f t="shared" ref="R251:T251" si="10">SUM(R248:R250)</f>
        <v>2578495</v>
      </c>
      <c r="S251" s="816">
        <f t="shared" si="10"/>
        <v>110788</v>
      </c>
      <c r="T251" s="819">
        <f t="shared" si="10"/>
        <v>2689283</v>
      </c>
    </row>
    <row r="252" spans="1:21" x14ac:dyDescent="0.25">
      <c r="A252" s="813">
        <v>92521</v>
      </c>
      <c r="B252" s="814" t="s">
        <v>4050</v>
      </c>
      <c r="C252" s="815">
        <v>8.6799999999999996E-5</v>
      </c>
      <c r="D252" s="815">
        <v>8.6899999999999998E-5</v>
      </c>
      <c r="E252" s="816">
        <v>205919</v>
      </c>
      <c r="F252" s="816" t="s">
        <v>185</v>
      </c>
      <c r="G252" s="817">
        <v>31768</v>
      </c>
      <c r="H252" s="818">
        <v>28267</v>
      </c>
      <c r="I252" s="817">
        <v>54643</v>
      </c>
      <c r="J252" s="816">
        <v>1428</v>
      </c>
      <c r="K252" s="818">
        <f t="shared" si="6"/>
        <v>116106</v>
      </c>
      <c r="L252" s="816"/>
      <c r="M252" s="817">
        <v>1066</v>
      </c>
      <c r="N252" s="817">
        <v>0</v>
      </c>
      <c r="O252" s="816">
        <v>8085</v>
      </c>
      <c r="P252" s="818">
        <f t="shared" si="7"/>
        <v>9151</v>
      </c>
      <c r="Q252" s="816"/>
      <c r="R252" s="817">
        <v>57199</v>
      </c>
      <c r="S252" s="816">
        <v>-2979</v>
      </c>
      <c r="T252" s="819">
        <v>54220</v>
      </c>
    </row>
    <row r="253" spans="1:21" x14ac:dyDescent="0.25">
      <c r="A253" s="813">
        <v>92531</v>
      </c>
      <c r="B253" s="814" t="s">
        <v>2784</v>
      </c>
      <c r="C253" s="815">
        <v>8.4360000000000001E-4</v>
      </c>
      <c r="D253" s="815">
        <v>8.6490000000000004E-4</v>
      </c>
      <c r="E253" s="816">
        <v>2001308</v>
      </c>
      <c r="F253" s="816" t="s">
        <v>185</v>
      </c>
      <c r="G253" s="817">
        <v>308754</v>
      </c>
      <c r="H253" s="818">
        <v>274720</v>
      </c>
      <c r="I253" s="817">
        <v>531070</v>
      </c>
      <c r="J253" s="816">
        <v>0</v>
      </c>
      <c r="K253" s="818">
        <f t="shared" si="6"/>
        <v>1114544</v>
      </c>
      <c r="L253" s="816"/>
      <c r="M253" s="817">
        <v>10360</v>
      </c>
      <c r="N253" s="817">
        <v>0</v>
      </c>
      <c r="O253" s="816">
        <v>111598</v>
      </c>
      <c r="P253" s="818">
        <f t="shared" si="7"/>
        <v>121958</v>
      </c>
      <c r="Q253" s="816"/>
      <c r="R253" s="817">
        <v>555910</v>
      </c>
      <c r="S253" s="816">
        <v>-73390</v>
      </c>
      <c r="T253" s="819">
        <v>482520</v>
      </c>
    </row>
    <row r="254" spans="1:21" x14ac:dyDescent="0.25">
      <c r="A254" s="813">
        <v>92541</v>
      </c>
      <c r="B254" s="814" t="s">
        <v>4051</v>
      </c>
      <c r="C254" s="815">
        <v>1.2459999999999999E-4</v>
      </c>
      <c r="D254" s="815">
        <v>1.4469999999999999E-4</v>
      </c>
      <c r="E254" s="816">
        <v>295594</v>
      </c>
      <c r="F254" s="816" t="s">
        <v>185</v>
      </c>
      <c r="G254" s="817">
        <v>45603</v>
      </c>
      <c r="H254" s="818">
        <v>40576</v>
      </c>
      <c r="I254" s="817">
        <v>78439</v>
      </c>
      <c r="J254" s="816">
        <v>2741</v>
      </c>
      <c r="K254" s="818">
        <f t="shared" si="6"/>
        <v>167359</v>
      </c>
      <c r="L254" s="816"/>
      <c r="M254" s="817">
        <v>1530</v>
      </c>
      <c r="N254" s="817">
        <v>0</v>
      </c>
      <c r="O254" s="816">
        <v>19775</v>
      </c>
      <c r="P254" s="818">
        <f t="shared" si="7"/>
        <v>21305</v>
      </c>
      <c r="Q254" s="816"/>
      <c r="R254" s="817">
        <v>82108</v>
      </c>
      <c r="S254" s="816">
        <v>-1772</v>
      </c>
      <c r="T254" s="819">
        <v>80336</v>
      </c>
    </row>
    <row r="255" spans="1:21" x14ac:dyDescent="0.25">
      <c r="A255" s="813">
        <v>92551</v>
      </c>
      <c r="B255" s="814" t="s">
        <v>4052</v>
      </c>
      <c r="C255" s="815">
        <v>4.3399999999999998E-5</v>
      </c>
      <c r="D255" s="815">
        <v>5.3300000000000001E-5</v>
      </c>
      <c r="E255" s="816">
        <v>102960</v>
      </c>
      <c r="F255" s="816" t="s">
        <v>185</v>
      </c>
      <c r="G255" s="817">
        <v>15884</v>
      </c>
      <c r="H255" s="818">
        <v>14134</v>
      </c>
      <c r="I255" s="817">
        <v>27322</v>
      </c>
      <c r="J255" s="816">
        <v>3097</v>
      </c>
      <c r="K255" s="818">
        <f t="shared" si="6"/>
        <v>60437</v>
      </c>
      <c r="L255" s="816"/>
      <c r="M255" s="817">
        <v>533</v>
      </c>
      <c r="N255" s="817">
        <v>0</v>
      </c>
      <c r="O255" s="816">
        <v>11920</v>
      </c>
      <c r="P255" s="818">
        <f t="shared" si="7"/>
        <v>12453</v>
      </c>
      <c r="Q255" s="816"/>
      <c r="R255" s="817">
        <v>28599</v>
      </c>
      <c r="S255" s="816">
        <v>-841</v>
      </c>
      <c r="T255" s="819">
        <v>27758</v>
      </c>
    </row>
    <row r="256" spans="1:21" x14ac:dyDescent="0.25">
      <c r="A256" s="813">
        <v>92561</v>
      </c>
      <c r="B256" s="814" t="s">
        <v>4053</v>
      </c>
      <c r="C256" s="815">
        <v>2.1399999999999998E-5</v>
      </c>
      <c r="D256" s="815">
        <v>2.2200000000000001E-5</v>
      </c>
      <c r="E256" s="816">
        <v>50768</v>
      </c>
      <c r="F256" s="816" t="s">
        <v>185</v>
      </c>
      <c r="G256" s="817">
        <v>7832</v>
      </c>
      <c r="H256" s="818">
        <v>6969</v>
      </c>
      <c r="I256" s="817">
        <v>13472</v>
      </c>
      <c r="J256" s="816">
        <v>2739</v>
      </c>
      <c r="K256" s="818">
        <f t="shared" si="6"/>
        <v>31012</v>
      </c>
      <c r="L256" s="816"/>
      <c r="M256" s="817">
        <v>263</v>
      </c>
      <c r="N256" s="817">
        <v>0</v>
      </c>
      <c r="O256" s="816">
        <v>135</v>
      </c>
      <c r="P256" s="818">
        <f t="shared" si="7"/>
        <v>398</v>
      </c>
      <c r="Q256" s="816"/>
      <c r="R256" s="817">
        <v>14102</v>
      </c>
      <c r="S256" s="816">
        <v>2596</v>
      </c>
      <c r="T256" s="819">
        <v>16698</v>
      </c>
    </row>
    <row r="257" spans="1:20" x14ac:dyDescent="0.25">
      <c r="A257" s="813">
        <v>92571</v>
      </c>
      <c r="B257" s="814" t="s">
        <v>4054</v>
      </c>
      <c r="C257" s="815">
        <v>8.1000000000000004E-6</v>
      </c>
      <c r="D257" s="815">
        <v>1.01E-5</v>
      </c>
      <c r="E257" s="816">
        <v>19216</v>
      </c>
      <c r="F257" s="816" t="s">
        <v>185</v>
      </c>
      <c r="G257" s="817">
        <v>2965</v>
      </c>
      <c r="H257" s="818">
        <v>2638</v>
      </c>
      <c r="I257" s="817">
        <v>5099</v>
      </c>
      <c r="J257" s="816">
        <v>7660</v>
      </c>
      <c r="K257" s="818">
        <f t="shared" si="6"/>
        <v>18362</v>
      </c>
      <c r="L257" s="816"/>
      <c r="M257" s="817">
        <v>99</v>
      </c>
      <c r="N257" s="817">
        <v>0</v>
      </c>
      <c r="O257" s="816">
        <v>0</v>
      </c>
      <c r="P257" s="818">
        <f t="shared" si="7"/>
        <v>99</v>
      </c>
      <c r="Q257" s="816"/>
      <c r="R257" s="817">
        <v>5338</v>
      </c>
      <c r="S257" s="816">
        <v>2958</v>
      </c>
      <c r="T257" s="819">
        <v>8296</v>
      </c>
    </row>
    <row r="258" spans="1:20" x14ac:dyDescent="0.25">
      <c r="A258" s="813">
        <v>92601</v>
      </c>
      <c r="B258" s="814" t="s">
        <v>2789</v>
      </c>
      <c r="C258" s="815">
        <v>1.34308E-2</v>
      </c>
      <c r="D258" s="815">
        <v>1.51874E-2</v>
      </c>
      <c r="E258" s="816">
        <v>31862451</v>
      </c>
      <c r="F258" s="816" t="s">
        <v>185</v>
      </c>
      <c r="G258" s="817">
        <v>4915619</v>
      </c>
      <c r="H258" s="818">
        <v>4373767</v>
      </c>
      <c r="I258" s="817">
        <v>8455065</v>
      </c>
      <c r="J258" s="816">
        <v>12367</v>
      </c>
      <c r="K258" s="818">
        <f t="shared" si="6"/>
        <v>17756818</v>
      </c>
      <c r="L258" s="816"/>
      <c r="M258" s="817">
        <v>164944</v>
      </c>
      <c r="N258" s="817">
        <v>0</v>
      </c>
      <c r="O258" s="816">
        <v>1190672</v>
      </c>
      <c r="P258" s="818">
        <f t="shared" si="7"/>
        <v>1355616</v>
      </c>
      <c r="Q258" s="816"/>
      <c r="R258" s="817">
        <v>8850535</v>
      </c>
      <c r="S258" s="816">
        <v>-178107</v>
      </c>
      <c r="T258" s="819">
        <v>8672428</v>
      </c>
    </row>
    <row r="259" spans="1:20" x14ac:dyDescent="0.25">
      <c r="A259" s="813">
        <v>92602</v>
      </c>
      <c r="B259" s="814" t="s">
        <v>2790</v>
      </c>
      <c r="C259" s="815">
        <v>6.3999999999999997E-6</v>
      </c>
      <c r="D259" s="815">
        <v>8.3000000000000002E-6</v>
      </c>
      <c r="E259" s="816">
        <v>15183</v>
      </c>
      <c r="F259" s="816" t="s">
        <v>185</v>
      </c>
      <c r="G259" s="817">
        <v>2342</v>
      </c>
      <c r="H259" s="818">
        <v>2084</v>
      </c>
      <c r="I259" s="817">
        <v>4029</v>
      </c>
      <c r="J259" s="816">
        <v>0</v>
      </c>
      <c r="K259" s="818">
        <f t="shared" si="6"/>
        <v>8455</v>
      </c>
      <c r="L259" s="816"/>
      <c r="M259" s="817">
        <v>79</v>
      </c>
      <c r="N259" s="817">
        <v>0</v>
      </c>
      <c r="O259" s="816">
        <v>2377</v>
      </c>
      <c r="P259" s="818">
        <f t="shared" si="7"/>
        <v>2456</v>
      </c>
      <c r="Q259" s="816"/>
      <c r="R259" s="817">
        <v>4217</v>
      </c>
      <c r="S259" s="816">
        <v>-578</v>
      </c>
      <c r="T259" s="819">
        <v>3639</v>
      </c>
    </row>
    <row r="260" spans="1:20" x14ac:dyDescent="0.25">
      <c r="A260" s="813">
        <v>92604</v>
      </c>
      <c r="B260" s="814" t="s">
        <v>2791</v>
      </c>
      <c r="C260" s="815">
        <v>3.3560000000000003E-4</v>
      </c>
      <c r="D260" s="815">
        <v>3.4099999999999999E-4</v>
      </c>
      <c r="E260" s="816">
        <v>796158</v>
      </c>
      <c r="F260" s="816" t="s">
        <v>185</v>
      </c>
      <c r="G260" s="817">
        <v>122828</v>
      </c>
      <c r="H260" s="818">
        <v>109289</v>
      </c>
      <c r="I260" s="817">
        <v>211270</v>
      </c>
      <c r="J260" s="816">
        <v>48811</v>
      </c>
      <c r="K260" s="818">
        <f t="shared" si="6"/>
        <v>492198</v>
      </c>
      <c r="L260" s="816"/>
      <c r="M260" s="817">
        <v>4122</v>
      </c>
      <c r="N260" s="817">
        <v>0</v>
      </c>
      <c r="O260" s="816">
        <v>0</v>
      </c>
      <c r="P260" s="818">
        <f t="shared" si="7"/>
        <v>4122</v>
      </c>
      <c r="Q260" s="816"/>
      <c r="R260" s="817">
        <v>221151</v>
      </c>
      <c r="S260" s="816">
        <v>28864</v>
      </c>
      <c r="T260" s="819">
        <v>250015</v>
      </c>
    </row>
    <row r="261" spans="1:20" x14ac:dyDescent="0.25">
      <c r="A261" s="813">
        <v>92607</v>
      </c>
      <c r="B261" s="814" t="s">
        <v>2792</v>
      </c>
      <c r="C261" s="815">
        <v>6.1699999999999995E-5</v>
      </c>
      <c r="D261" s="815">
        <v>6.6400000000000001E-5</v>
      </c>
      <c r="E261" s="816">
        <v>146374</v>
      </c>
      <c r="F261" s="816" t="s">
        <v>185</v>
      </c>
      <c r="G261" s="817">
        <v>22582</v>
      </c>
      <c r="H261" s="818">
        <v>20093</v>
      </c>
      <c r="I261" s="817">
        <v>38842</v>
      </c>
      <c r="J261" s="816">
        <v>9704</v>
      </c>
      <c r="K261" s="818">
        <f t="shared" si="6"/>
        <v>91221</v>
      </c>
      <c r="L261" s="816"/>
      <c r="M261" s="817">
        <v>758</v>
      </c>
      <c r="N261" s="817">
        <v>0</v>
      </c>
      <c r="O261" s="816">
        <v>0</v>
      </c>
      <c r="P261" s="818">
        <f t="shared" si="7"/>
        <v>758</v>
      </c>
      <c r="Q261" s="816"/>
      <c r="R261" s="817">
        <v>40659</v>
      </c>
      <c r="S261" s="816">
        <v>6018</v>
      </c>
      <c r="T261" s="819">
        <v>46677</v>
      </c>
    </row>
    <row r="262" spans="1:20" x14ac:dyDescent="0.25">
      <c r="A262" s="813">
        <v>92608</v>
      </c>
      <c r="B262" s="814" t="s">
        <v>2793</v>
      </c>
      <c r="C262" s="815">
        <v>0</v>
      </c>
      <c r="D262" s="815">
        <v>0</v>
      </c>
      <c r="E262" s="816">
        <v>0</v>
      </c>
      <c r="F262" s="816" t="s">
        <v>185</v>
      </c>
      <c r="G262" s="817">
        <v>0</v>
      </c>
      <c r="H262" s="818">
        <v>0</v>
      </c>
      <c r="I262" s="817">
        <v>0</v>
      </c>
      <c r="J262" s="816">
        <v>0</v>
      </c>
      <c r="K262" s="818">
        <f t="shared" si="6"/>
        <v>0</v>
      </c>
      <c r="L262" s="816"/>
      <c r="M262" s="817">
        <v>0</v>
      </c>
      <c r="N262" s="817">
        <v>0</v>
      </c>
      <c r="O262" s="816">
        <v>752</v>
      </c>
      <c r="P262" s="818">
        <f t="shared" si="7"/>
        <v>752</v>
      </c>
      <c r="Q262" s="816"/>
      <c r="R262" s="817">
        <v>0</v>
      </c>
      <c r="S262" s="816">
        <v>-69182</v>
      </c>
      <c r="T262" s="819">
        <v>-69182</v>
      </c>
    </row>
    <row r="263" spans="1:20" x14ac:dyDescent="0.25">
      <c r="A263" s="813">
        <v>92611</v>
      </c>
      <c r="B263" s="814" t="s">
        <v>2794</v>
      </c>
      <c r="C263" s="815">
        <v>1.26649E-2</v>
      </c>
      <c r="D263" s="815">
        <v>1.3080899999999999E-2</v>
      </c>
      <c r="E263" s="816">
        <v>30045474</v>
      </c>
      <c r="F263" s="816" t="s">
        <v>185</v>
      </c>
      <c r="G263" s="817">
        <v>4635303</v>
      </c>
      <c r="H263" s="818">
        <v>4124350</v>
      </c>
      <c r="I263" s="817">
        <v>7972909</v>
      </c>
      <c r="J263" s="816">
        <v>0</v>
      </c>
      <c r="K263" s="818">
        <f t="shared" si="6"/>
        <v>16732562</v>
      </c>
      <c r="L263" s="816"/>
      <c r="M263" s="817">
        <v>155538</v>
      </c>
      <c r="N263" s="817">
        <v>0</v>
      </c>
      <c r="O263" s="816">
        <v>1208188</v>
      </c>
      <c r="P263" s="818">
        <f t="shared" si="7"/>
        <v>1363726</v>
      </c>
      <c r="Q263" s="816"/>
      <c r="R263" s="817">
        <v>8345827</v>
      </c>
      <c r="S263" s="816">
        <v>-451976</v>
      </c>
      <c r="T263" s="819">
        <v>7893851</v>
      </c>
    </row>
    <row r="264" spans="1:20" x14ac:dyDescent="0.25">
      <c r="A264" s="813">
        <v>92613</v>
      </c>
      <c r="B264" s="814" t="s">
        <v>4055</v>
      </c>
      <c r="C264" s="815">
        <v>2.3599999999999999E-4</v>
      </c>
      <c r="D264" s="815">
        <v>2.6439999999999998E-4</v>
      </c>
      <c r="E264" s="816">
        <v>559873</v>
      </c>
      <c r="F264" s="816" t="s">
        <v>185</v>
      </c>
      <c r="G264" s="817">
        <v>86375</v>
      </c>
      <c r="H264" s="818">
        <v>76854</v>
      </c>
      <c r="I264" s="817">
        <v>148569</v>
      </c>
      <c r="J264" s="816">
        <v>42032</v>
      </c>
      <c r="K264" s="818">
        <f t="shared" si="6"/>
        <v>353830</v>
      </c>
      <c r="L264" s="816"/>
      <c r="M264" s="817">
        <v>2898</v>
      </c>
      <c r="N264" s="817">
        <v>0</v>
      </c>
      <c r="O264" s="816">
        <v>1086</v>
      </c>
      <c r="P264" s="818">
        <f t="shared" si="7"/>
        <v>3984</v>
      </c>
      <c r="Q264" s="816"/>
      <c r="R264" s="817">
        <v>155518</v>
      </c>
      <c r="S264" s="816">
        <v>41245</v>
      </c>
      <c r="T264" s="819">
        <v>196763</v>
      </c>
    </row>
    <row r="265" spans="1:20" x14ac:dyDescent="0.25">
      <c r="A265" s="813">
        <v>92614</v>
      </c>
      <c r="B265" s="814" t="s">
        <v>2796</v>
      </c>
      <c r="C265" s="815">
        <v>5.5757000000000003E-3</v>
      </c>
      <c r="D265" s="815">
        <v>5.7273000000000003E-3</v>
      </c>
      <c r="E265" s="816">
        <v>13227467</v>
      </c>
      <c r="F265" s="816" t="s">
        <v>185</v>
      </c>
      <c r="G265" s="817">
        <v>2040684</v>
      </c>
      <c r="H265" s="818">
        <v>1815737</v>
      </c>
      <c r="I265" s="817">
        <v>3510059</v>
      </c>
      <c r="J265" s="816">
        <v>4152143</v>
      </c>
      <c r="K265" s="818">
        <f t="shared" si="6"/>
        <v>11518623</v>
      </c>
      <c r="L265" s="816"/>
      <c r="M265" s="817">
        <v>68475</v>
      </c>
      <c r="N265" s="817">
        <v>0</v>
      </c>
      <c r="O265" s="816">
        <v>0</v>
      </c>
      <c r="P265" s="818">
        <f t="shared" si="7"/>
        <v>68475</v>
      </c>
      <c r="Q265" s="816"/>
      <c r="R265" s="817">
        <v>3674236</v>
      </c>
      <c r="S265" s="816">
        <v>1829865</v>
      </c>
      <c r="T265" s="819">
        <v>5504101</v>
      </c>
    </row>
    <row r="266" spans="1:20" x14ac:dyDescent="0.25">
      <c r="A266" s="813">
        <v>92621</v>
      </c>
      <c r="B266" s="814" t="s">
        <v>4056</v>
      </c>
      <c r="C266" s="815">
        <v>2.4600000000000002E-5</v>
      </c>
      <c r="D266" s="815">
        <v>2.72E-5</v>
      </c>
      <c r="E266" s="816">
        <v>58360</v>
      </c>
      <c r="F266" s="816" t="s">
        <v>185</v>
      </c>
      <c r="G266" s="817">
        <v>9004</v>
      </c>
      <c r="H266" s="818">
        <v>8011</v>
      </c>
      <c r="I266" s="817">
        <v>15486</v>
      </c>
      <c r="J266" s="816">
        <v>393</v>
      </c>
      <c r="K266" s="818">
        <f t="shared" si="6"/>
        <v>32894</v>
      </c>
      <c r="L266" s="816"/>
      <c r="M266" s="817">
        <v>302</v>
      </c>
      <c r="N266" s="817">
        <v>0</v>
      </c>
      <c r="O266" s="816">
        <v>4712</v>
      </c>
      <c r="P266" s="818">
        <f t="shared" si="7"/>
        <v>5014</v>
      </c>
      <c r="Q266" s="816"/>
      <c r="R266" s="817">
        <v>16211</v>
      </c>
      <c r="S266" s="816">
        <v>-2140</v>
      </c>
      <c r="T266" s="819">
        <v>14071</v>
      </c>
    </row>
    <row r="267" spans="1:20" x14ac:dyDescent="0.25">
      <c r="A267" s="813">
        <v>92631</v>
      </c>
      <c r="B267" s="814" t="s">
        <v>4057</v>
      </c>
      <c r="C267" s="815">
        <v>9.0030000000000004E-4</v>
      </c>
      <c r="D267" s="815">
        <v>9.2710000000000004E-4</v>
      </c>
      <c r="E267" s="816">
        <v>2135820</v>
      </c>
      <c r="F267" s="816" t="s">
        <v>185</v>
      </c>
      <c r="G267" s="817">
        <v>329506</v>
      </c>
      <c r="H267" s="818">
        <v>293184</v>
      </c>
      <c r="I267" s="817">
        <v>566764</v>
      </c>
      <c r="J267" s="816">
        <v>0</v>
      </c>
      <c r="K267" s="818">
        <f t="shared" si="6"/>
        <v>1189454</v>
      </c>
      <c r="L267" s="816"/>
      <c r="M267" s="817">
        <v>11057</v>
      </c>
      <c r="N267" s="817">
        <v>0</v>
      </c>
      <c r="O267" s="816">
        <v>135840</v>
      </c>
      <c r="P267" s="818">
        <f t="shared" si="7"/>
        <v>146897</v>
      </c>
      <c r="Q267" s="816"/>
      <c r="R267" s="817">
        <v>593273</v>
      </c>
      <c r="S267" s="816">
        <v>-59375</v>
      </c>
      <c r="T267" s="819">
        <v>533898</v>
      </c>
    </row>
    <row r="268" spans="1:20" x14ac:dyDescent="0.25">
      <c r="A268" s="813">
        <v>92641</v>
      </c>
      <c r="B268" s="814" t="s">
        <v>4058</v>
      </c>
      <c r="C268" s="815">
        <v>9.7000000000000003E-6</v>
      </c>
      <c r="D268" s="815">
        <v>1.0200000000000001E-5</v>
      </c>
      <c r="E268" s="816">
        <v>23012</v>
      </c>
      <c r="F268" s="816" t="s">
        <v>185</v>
      </c>
      <c r="G268" s="817">
        <v>3550</v>
      </c>
      <c r="H268" s="818">
        <v>3159</v>
      </c>
      <c r="I268" s="817">
        <v>6106</v>
      </c>
      <c r="J268" s="816">
        <v>2866</v>
      </c>
      <c r="K268" s="818">
        <f t="shared" ref="K268:K331" si="11">G268+H268+I268+J268</f>
        <v>15681</v>
      </c>
      <c r="L268" s="816"/>
      <c r="M268" s="817">
        <v>119</v>
      </c>
      <c r="N268" s="817">
        <v>0</v>
      </c>
      <c r="O268" s="816">
        <v>0</v>
      </c>
      <c r="P268" s="818">
        <f t="shared" ref="P268:P331" si="12">M268+N268+O268</f>
        <v>119</v>
      </c>
      <c r="Q268" s="816"/>
      <c r="R268" s="817">
        <v>6392</v>
      </c>
      <c r="S268" s="816">
        <v>543</v>
      </c>
      <c r="T268" s="819">
        <v>6935</v>
      </c>
    </row>
    <row r="269" spans="1:20" x14ac:dyDescent="0.25">
      <c r="A269" s="813">
        <v>92651</v>
      </c>
      <c r="B269" s="814" t="s">
        <v>4059</v>
      </c>
      <c r="C269" s="815">
        <v>4.4000000000000002E-6</v>
      </c>
      <c r="D269" s="815">
        <v>2.6000000000000001E-6</v>
      </c>
      <c r="E269" s="816">
        <v>10438</v>
      </c>
      <c r="F269" s="816" t="s">
        <v>185</v>
      </c>
      <c r="G269" s="817">
        <v>1610</v>
      </c>
      <c r="H269" s="818">
        <v>1433</v>
      </c>
      <c r="I269" s="817">
        <v>2770</v>
      </c>
      <c r="J269" s="816">
        <v>3690</v>
      </c>
      <c r="K269" s="818">
        <f t="shared" si="11"/>
        <v>9503</v>
      </c>
      <c r="L269" s="816"/>
      <c r="M269" s="817">
        <v>54</v>
      </c>
      <c r="N269" s="817">
        <v>0</v>
      </c>
      <c r="O269" s="816">
        <v>0</v>
      </c>
      <c r="P269" s="818">
        <f t="shared" si="12"/>
        <v>54</v>
      </c>
      <c r="Q269" s="816"/>
      <c r="R269" s="817">
        <v>2899</v>
      </c>
      <c r="S269" s="816">
        <v>1740</v>
      </c>
      <c r="T269" s="819">
        <v>4639</v>
      </c>
    </row>
    <row r="270" spans="1:20" x14ac:dyDescent="0.25">
      <c r="A270" s="813">
        <v>92661</v>
      </c>
      <c r="B270" s="814" t="s">
        <v>4060</v>
      </c>
      <c r="C270" s="815">
        <v>6.334E-4</v>
      </c>
      <c r="D270" s="815">
        <v>6.9999999999999999E-4</v>
      </c>
      <c r="E270" s="816">
        <v>1502641</v>
      </c>
      <c r="F270" s="816" t="s">
        <v>185</v>
      </c>
      <c r="G270" s="817">
        <v>231822</v>
      </c>
      <c r="H270" s="818">
        <v>206268</v>
      </c>
      <c r="I270" s="817">
        <v>398743</v>
      </c>
      <c r="J270" s="816">
        <v>441125</v>
      </c>
      <c r="K270" s="818">
        <f t="shared" si="11"/>
        <v>1277958</v>
      </c>
      <c r="L270" s="816"/>
      <c r="M270" s="817">
        <v>7779</v>
      </c>
      <c r="N270" s="817">
        <v>0</v>
      </c>
      <c r="O270" s="816">
        <v>0</v>
      </c>
      <c r="P270" s="818">
        <f t="shared" si="12"/>
        <v>7779</v>
      </c>
      <c r="Q270" s="816"/>
      <c r="R270" s="817">
        <v>417393</v>
      </c>
      <c r="S270" s="816">
        <v>165863</v>
      </c>
      <c r="T270" s="819">
        <v>583256</v>
      </c>
    </row>
    <row r="271" spans="1:20" x14ac:dyDescent="0.25">
      <c r="A271" s="813">
        <v>92671</v>
      </c>
      <c r="B271" s="814" t="s">
        <v>4061</v>
      </c>
      <c r="C271" s="815">
        <v>2.3999999999999999E-6</v>
      </c>
      <c r="D271" s="815">
        <v>2.6000000000000001E-6</v>
      </c>
      <c r="E271" s="816">
        <v>5694</v>
      </c>
      <c r="F271" s="816" t="s">
        <v>185</v>
      </c>
      <c r="G271" s="817">
        <v>878</v>
      </c>
      <c r="H271" s="818">
        <v>781</v>
      </c>
      <c r="I271" s="817">
        <v>1511</v>
      </c>
      <c r="J271" s="816">
        <v>7284</v>
      </c>
      <c r="K271" s="818">
        <f t="shared" si="11"/>
        <v>10454</v>
      </c>
      <c r="L271" s="816"/>
      <c r="M271" s="817">
        <v>29</v>
      </c>
      <c r="N271" s="817">
        <v>0</v>
      </c>
      <c r="O271" s="816">
        <v>0</v>
      </c>
      <c r="P271" s="818">
        <f t="shared" si="12"/>
        <v>29</v>
      </c>
      <c r="Q271" s="816"/>
      <c r="R271" s="817">
        <v>1582</v>
      </c>
      <c r="S271" s="816">
        <v>3016</v>
      </c>
      <c r="T271" s="819">
        <v>4598</v>
      </c>
    </row>
    <row r="272" spans="1:20" x14ac:dyDescent="0.25">
      <c r="A272" s="813">
        <v>92681</v>
      </c>
      <c r="B272" s="814" t="s">
        <v>4062</v>
      </c>
      <c r="C272" s="815">
        <v>1.1800000000000001E-5</v>
      </c>
      <c r="D272" s="815">
        <v>1.17E-5</v>
      </c>
      <c r="E272" s="816">
        <v>27994</v>
      </c>
      <c r="F272" s="816" t="s">
        <v>185</v>
      </c>
      <c r="G272" s="817">
        <v>4319</v>
      </c>
      <c r="H272" s="818">
        <v>3843</v>
      </c>
      <c r="I272" s="817">
        <v>7428</v>
      </c>
      <c r="J272" s="816">
        <v>13847</v>
      </c>
      <c r="K272" s="818">
        <f t="shared" si="11"/>
        <v>29437</v>
      </c>
      <c r="L272" s="816"/>
      <c r="M272" s="817">
        <v>145</v>
      </c>
      <c r="N272" s="817">
        <v>0</v>
      </c>
      <c r="O272" s="816">
        <v>0</v>
      </c>
      <c r="P272" s="818">
        <f t="shared" si="12"/>
        <v>145</v>
      </c>
      <c r="Q272" s="816"/>
      <c r="R272" s="817">
        <v>7776</v>
      </c>
      <c r="S272" s="816">
        <v>6248</v>
      </c>
      <c r="T272" s="819">
        <v>14024</v>
      </c>
    </row>
    <row r="273" spans="1:20" x14ac:dyDescent="0.25">
      <c r="A273" s="813">
        <v>92701</v>
      </c>
      <c r="B273" s="814" t="s">
        <v>2804</v>
      </c>
      <c r="C273" s="815">
        <v>2.8871000000000001E-3</v>
      </c>
      <c r="D273" s="815">
        <v>3.0777000000000001E-3</v>
      </c>
      <c r="E273" s="816">
        <v>6849189</v>
      </c>
      <c r="F273" s="816" t="s">
        <v>185</v>
      </c>
      <c r="G273" s="817">
        <v>1056667</v>
      </c>
      <c r="H273" s="818">
        <v>940190</v>
      </c>
      <c r="I273" s="817">
        <v>1817510</v>
      </c>
      <c r="J273" s="816">
        <v>35473</v>
      </c>
      <c r="K273" s="818">
        <f t="shared" si="11"/>
        <v>3849840</v>
      </c>
      <c r="L273" s="816"/>
      <c r="M273" s="817">
        <v>35456</v>
      </c>
      <c r="N273" s="817">
        <v>0</v>
      </c>
      <c r="O273" s="816">
        <v>155267</v>
      </c>
      <c r="P273" s="818">
        <f t="shared" si="12"/>
        <v>190723</v>
      </c>
      <c r="Q273" s="816"/>
      <c r="R273" s="817">
        <v>1902521</v>
      </c>
      <c r="S273" s="816">
        <v>-62476</v>
      </c>
      <c r="T273" s="819">
        <v>1840045</v>
      </c>
    </row>
    <row r="274" spans="1:20" x14ac:dyDescent="0.25">
      <c r="A274" s="813">
        <v>92704</v>
      </c>
      <c r="B274" s="814" t="s">
        <v>2805</v>
      </c>
      <c r="C274" s="815">
        <v>3.9400000000000002E-5</v>
      </c>
      <c r="D274" s="815">
        <v>4.1600000000000002E-5</v>
      </c>
      <c r="E274" s="816">
        <v>93470</v>
      </c>
      <c r="F274" s="816" t="s">
        <v>185</v>
      </c>
      <c r="G274" s="817">
        <v>14420</v>
      </c>
      <c r="H274" s="818">
        <v>12831</v>
      </c>
      <c r="I274" s="817">
        <v>24803</v>
      </c>
      <c r="J274" s="816">
        <v>703</v>
      </c>
      <c r="K274" s="818">
        <f t="shared" si="11"/>
        <v>52757</v>
      </c>
      <c r="L274" s="816"/>
      <c r="M274" s="817">
        <v>484</v>
      </c>
      <c r="N274" s="817">
        <v>0</v>
      </c>
      <c r="O274" s="816">
        <v>5422</v>
      </c>
      <c r="P274" s="818">
        <f t="shared" si="12"/>
        <v>5906</v>
      </c>
      <c r="Q274" s="816"/>
      <c r="R274" s="817">
        <v>25964</v>
      </c>
      <c r="S274" s="816">
        <v>-1035</v>
      </c>
      <c r="T274" s="819">
        <v>24929</v>
      </c>
    </row>
    <row r="275" spans="1:20" x14ac:dyDescent="0.25">
      <c r="A275" s="813">
        <v>92801</v>
      </c>
      <c r="B275" s="814" t="s">
        <v>2806</v>
      </c>
      <c r="C275" s="815">
        <v>5.2335999999999997E-3</v>
      </c>
      <c r="D275" s="815">
        <v>5.0951E-3</v>
      </c>
      <c r="E275" s="816">
        <v>12415889</v>
      </c>
      <c r="F275" s="816" t="s">
        <v>185</v>
      </c>
      <c r="G275" s="817">
        <v>1915477</v>
      </c>
      <c r="H275" s="818">
        <v>1704333</v>
      </c>
      <c r="I275" s="817">
        <v>3294698</v>
      </c>
      <c r="J275" s="816">
        <v>237901</v>
      </c>
      <c r="K275" s="818">
        <f t="shared" si="11"/>
        <v>7152409</v>
      </c>
      <c r="L275" s="816"/>
      <c r="M275" s="817">
        <v>64274</v>
      </c>
      <c r="N275" s="817">
        <v>0</v>
      </c>
      <c r="O275" s="816">
        <v>0</v>
      </c>
      <c r="P275" s="818">
        <f t="shared" si="12"/>
        <v>64274</v>
      </c>
      <c r="Q275" s="816"/>
      <c r="R275" s="817">
        <v>3448801</v>
      </c>
      <c r="S275" s="816">
        <v>122866</v>
      </c>
      <c r="T275" s="819">
        <v>3571667</v>
      </c>
    </row>
    <row r="276" spans="1:20" x14ac:dyDescent="0.25">
      <c r="A276" s="813">
        <v>92802</v>
      </c>
      <c r="B276" s="814" t="s">
        <v>2807</v>
      </c>
      <c r="C276" s="815">
        <v>1.2799999999999999E-4</v>
      </c>
      <c r="D276" s="815">
        <v>1.2970000000000001E-4</v>
      </c>
      <c r="E276" s="816">
        <v>303660</v>
      </c>
      <c r="F276" s="816" t="s">
        <v>185</v>
      </c>
      <c r="G276" s="817">
        <v>46847</v>
      </c>
      <c r="H276" s="818">
        <v>41684</v>
      </c>
      <c r="I276" s="817">
        <v>80580</v>
      </c>
      <c r="J276" s="816">
        <v>0</v>
      </c>
      <c r="K276" s="818">
        <f t="shared" si="11"/>
        <v>169111</v>
      </c>
      <c r="L276" s="816"/>
      <c r="M276" s="817">
        <v>1572</v>
      </c>
      <c r="N276" s="817">
        <v>0</v>
      </c>
      <c r="O276" s="816">
        <v>15754</v>
      </c>
      <c r="P276" s="818">
        <f t="shared" si="12"/>
        <v>17326</v>
      </c>
      <c r="Q276" s="816"/>
      <c r="R276" s="817">
        <v>84349</v>
      </c>
      <c r="S276" s="816">
        <v>-8217</v>
      </c>
      <c r="T276" s="819">
        <v>76132</v>
      </c>
    </row>
    <row r="277" spans="1:20" x14ac:dyDescent="0.25">
      <c r="A277" s="813">
        <v>92804</v>
      </c>
      <c r="B277" s="814" t="s">
        <v>2808</v>
      </c>
      <c r="C277" s="815">
        <v>1.4990000000000001E-4</v>
      </c>
      <c r="D277" s="815">
        <v>1.36E-4</v>
      </c>
      <c r="E277" s="816">
        <v>355614</v>
      </c>
      <c r="F277" s="816" t="s">
        <v>185</v>
      </c>
      <c r="G277" s="817">
        <v>54863</v>
      </c>
      <c r="H277" s="818">
        <v>48815</v>
      </c>
      <c r="I277" s="817">
        <v>94366</v>
      </c>
      <c r="J277" s="816">
        <v>9289</v>
      </c>
      <c r="K277" s="818">
        <f t="shared" si="11"/>
        <v>207333</v>
      </c>
      <c r="L277" s="816"/>
      <c r="M277" s="817">
        <v>1841</v>
      </c>
      <c r="N277" s="817">
        <v>0</v>
      </c>
      <c r="O277" s="816">
        <v>8327</v>
      </c>
      <c r="P277" s="818">
        <f t="shared" si="12"/>
        <v>10168</v>
      </c>
      <c r="Q277" s="816"/>
      <c r="R277" s="817">
        <v>98780</v>
      </c>
      <c r="S277" s="816">
        <v>967</v>
      </c>
      <c r="T277" s="819">
        <v>99747</v>
      </c>
    </row>
    <row r="278" spans="1:20" x14ac:dyDescent="0.25">
      <c r="A278" s="813">
        <v>92811</v>
      </c>
      <c r="B278" s="814" t="s">
        <v>4063</v>
      </c>
      <c r="C278" s="815">
        <v>9.6909999999999997E-4</v>
      </c>
      <c r="D278" s="815">
        <v>1.0036000000000001E-3</v>
      </c>
      <c r="E278" s="816">
        <v>2299037</v>
      </c>
      <c r="F278" s="816" t="s">
        <v>185</v>
      </c>
      <c r="G278" s="817">
        <v>354687</v>
      </c>
      <c r="H278" s="818">
        <v>315589</v>
      </c>
      <c r="I278" s="817">
        <v>610076</v>
      </c>
      <c r="J278" s="816">
        <v>0</v>
      </c>
      <c r="K278" s="818">
        <f t="shared" si="11"/>
        <v>1280352</v>
      </c>
      <c r="L278" s="816"/>
      <c r="M278" s="817">
        <v>11902</v>
      </c>
      <c r="N278" s="817">
        <v>0</v>
      </c>
      <c r="O278" s="816">
        <v>69119</v>
      </c>
      <c r="P278" s="818">
        <f t="shared" si="12"/>
        <v>81021</v>
      </c>
      <c r="Q278" s="816"/>
      <c r="R278" s="817">
        <v>638611</v>
      </c>
      <c r="S278" s="816">
        <v>-41669</v>
      </c>
      <c r="T278" s="819">
        <v>596942</v>
      </c>
    </row>
    <row r="279" spans="1:20" x14ac:dyDescent="0.25">
      <c r="A279" s="813">
        <v>92821</v>
      </c>
      <c r="B279" s="814" t="s">
        <v>4064</v>
      </c>
      <c r="C279" s="815">
        <v>1.0001999999999999E-3</v>
      </c>
      <c r="D279" s="815">
        <v>9.9400000000000009E-4</v>
      </c>
      <c r="E279" s="816">
        <v>2372816</v>
      </c>
      <c r="F279" s="816" t="s">
        <v>185</v>
      </c>
      <c r="G279" s="817">
        <v>366069</v>
      </c>
      <c r="H279" s="818">
        <v>325717</v>
      </c>
      <c r="I279" s="817">
        <v>629654</v>
      </c>
      <c r="J279" s="816">
        <v>28694</v>
      </c>
      <c r="K279" s="818">
        <f t="shared" si="11"/>
        <v>1350134</v>
      </c>
      <c r="L279" s="816"/>
      <c r="M279" s="817">
        <v>12283</v>
      </c>
      <c r="N279" s="817">
        <v>0</v>
      </c>
      <c r="O279" s="816">
        <v>0</v>
      </c>
      <c r="P279" s="818">
        <f t="shared" si="12"/>
        <v>12283</v>
      </c>
      <c r="Q279" s="816"/>
      <c r="R279" s="817">
        <v>659105</v>
      </c>
      <c r="S279" s="816">
        <v>14053</v>
      </c>
      <c r="T279" s="819">
        <v>673158</v>
      </c>
    </row>
    <row r="280" spans="1:20" x14ac:dyDescent="0.25">
      <c r="A280" s="813">
        <v>92831</v>
      </c>
      <c r="B280" s="814" t="s">
        <v>4065</v>
      </c>
      <c r="C280" s="815">
        <v>2.3580000000000001E-4</v>
      </c>
      <c r="D280" s="815">
        <v>2.1829999999999999E-4</v>
      </c>
      <c r="E280" s="816">
        <v>559398</v>
      </c>
      <c r="F280" s="816" t="s">
        <v>185</v>
      </c>
      <c r="G280" s="817">
        <v>86302</v>
      </c>
      <c r="H280" s="818">
        <v>76789</v>
      </c>
      <c r="I280" s="817">
        <v>148443</v>
      </c>
      <c r="J280" s="816">
        <v>36641</v>
      </c>
      <c r="K280" s="818">
        <f t="shared" si="11"/>
        <v>348175</v>
      </c>
      <c r="L280" s="816"/>
      <c r="M280" s="817">
        <v>2896</v>
      </c>
      <c r="N280" s="817">
        <v>0</v>
      </c>
      <c r="O280" s="816">
        <v>1618</v>
      </c>
      <c r="P280" s="818">
        <f t="shared" si="12"/>
        <v>4514</v>
      </c>
      <c r="Q280" s="816"/>
      <c r="R280" s="817">
        <v>155386</v>
      </c>
      <c r="S280" s="816">
        <v>16332</v>
      </c>
      <c r="T280" s="819">
        <v>171718</v>
      </c>
    </row>
    <row r="281" spans="1:20" x14ac:dyDescent="0.25">
      <c r="A281" s="813">
        <v>92841</v>
      </c>
      <c r="B281" s="814" t="s">
        <v>4066</v>
      </c>
      <c r="C281" s="815">
        <v>2.5769999999999998E-4</v>
      </c>
      <c r="D281" s="815">
        <v>2.7809999999999998E-4</v>
      </c>
      <c r="E281" s="816">
        <v>611353</v>
      </c>
      <c r="F281" s="816" t="s">
        <v>185</v>
      </c>
      <c r="G281" s="817">
        <v>94317</v>
      </c>
      <c r="H281" s="818">
        <v>83921</v>
      </c>
      <c r="I281" s="817">
        <v>162229</v>
      </c>
      <c r="J281" s="816">
        <v>0</v>
      </c>
      <c r="K281" s="818">
        <f t="shared" si="11"/>
        <v>340467</v>
      </c>
      <c r="L281" s="816"/>
      <c r="M281" s="817">
        <v>3165</v>
      </c>
      <c r="N281" s="817">
        <v>0</v>
      </c>
      <c r="O281" s="816">
        <v>24975</v>
      </c>
      <c r="P281" s="818">
        <f t="shared" si="12"/>
        <v>28140</v>
      </c>
      <c r="Q281" s="816"/>
      <c r="R281" s="817">
        <v>169817</v>
      </c>
      <c r="S281" s="816">
        <v>-1626</v>
      </c>
      <c r="T281" s="819">
        <v>168191</v>
      </c>
    </row>
    <row r="282" spans="1:20" x14ac:dyDescent="0.25">
      <c r="A282" s="813">
        <v>92851</v>
      </c>
      <c r="B282" s="814" t="s">
        <v>4067</v>
      </c>
      <c r="C282" s="815">
        <v>4.3899999999999999E-4</v>
      </c>
      <c r="D282" s="815">
        <v>4.6079999999999998E-4</v>
      </c>
      <c r="E282" s="816">
        <v>1041458</v>
      </c>
      <c r="F282" s="816" t="s">
        <v>185</v>
      </c>
      <c r="G282" s="817">
        <v>160672</v>
      </c>
      <c r="H282" s="818">
        <v>142961</v>
      </c>
      <c r="I282" s="817">
        <v>276363</v>
      </c>
      <c r="J282" s="816">
        <v>0</v>
      </c>
      <c r="K282" s="818">
        <f t="shared" si="11"/>
        <v>579996</v>
      </c>
      <c r="L282" s="816"/>
      <c r="M282" s="817">
        <v>5391</v>
      </c>
      <c r="N282" s="817">
        <v>0</v>
      </c>
      <c r="O282" s="816">
        <v>61052</v>
      </c>
      <c r="P282" s="818">
        <f t="shared" si="12"/>
        <v>66443</v>
      </c>
      <c r="Q282" s="816"/>
      <c r="R282" s="817">
        <v>289289</v>
      </c>
      <c r="S282" s="816">
        <v>-43806</v>
      </c>
      <c r="T282" s="819">
        <v>245483</v>
      </c>
    </row>
    <row r="283" spans="1:20" x14ac:dyDescent="0.25">
      <c r="A283" s="813">
        <v>92861</v>
      </c>
      <c r="B283" s="814" t="s">
        <v>4068</v>
      </c>
      <c r="C283" s="815">
        <v>3.7629999999999999E-4</v>
      </c>
      <c r="D283" s="815">
        <v>3.6010000000000003E-4</v>
      </c>
      <c r="E283" s="816">
        <v>892712</v>
      </c>
      <c r="F283" s="816" t="s">
        <v>185</v>
      </c>
      <c r="G283" s="817">
        <v>137724</v>
      </c>
      <c r="H283" s="818">
        <v>122543</v>
      </c>
      <c r="I283" s="817">
        <v>236891</v>
      </c>
      <c r="J283" s="816">
        <v>0</v>
      </c>
      <c r="K283" s="818">
        <f t="shared" si="11"/>
        <v>497158</v>
      </c>
      <c r="L283" s="816"/>
      <c r="M283" s="817">
        <v>4621</v>
      </c>
      <c r="N283" s="817">
        <v>0</v>
      </c>
      <c r="O283" s="816">
        <v>73406</v>
      </c>
      <c r="P283" s="818">
        <f t="shared" si="12"/>
        <v>78027</v>
      </c>
      <c r="Q283" s="816"/>
      <c r="R283" s="817">
        <v>247972</v>
      </c>
      <c r="S283" s="816">
        <v>-43591</v>
      </c>
      <c r="T283" s="819">
        <v>204381</v>
      </c>
    </row>
    <row r="284" spans="1:20" x14ac:dyDescent="0.25">
      <c r="A284" s="813">
        <v>92901</v>
      </c>
      <c r="B284" s="814" t="s">
        <v>2815</v>
      </c>
      <c r="C284" s="815">
        <v>5.4257999999999997E-3</v>
      </c>
      <c r="D284" s="815">
        <v>5.5082999999999998E-3</v>
      </c>
      <c r="E284" s="816">
        <v>12871853</v>
      </c>
      <c r="F284" s="816" t="s">
        <v>185</v>
      </c>
      <c r="G284" s="817">
        <v>1985821</v>
      </c>
      <c r="H284" s="818">
        <v>1766922</v>
      </c>
      <c r="I284" s="817">
        <v>3415693</v>
      </c>
      <c r="J284" s="816">
        <v>22983</v>
      </c>
      <c r="K284" s="818">
        <f t="shared" si="11"/>
        <v>7191419</v>
      </c>
      <c r="L284" s="816"/>
      <c r="M284" s="817">
        <v>66634</v>
      </c>
      <c r="N284" s="817">
        <v>0</v>
      </c>
      <c r="O284" s="816">
        <v>91593</v>
      </c>
      <c r="P284" s="818">
        <f t="shared" si="12"/>
        <v>158227</v>
      </c>
      <c r="Q284" s="816"/>
      <c r="R284" s="817">
        <v>3575456</v>
      </c>
      <c r="S284" s="816">
        <v>5628</v>
      </c>
      <c r="T284" s="819">
        <v>3581084</v>
      </c>
    </row>
    <row r="285" spans="1:20" x14ac:dyDescent="0.25">
      <c r="A285" s="813">
        <v>92911</v>
      </c>
      <c r="B285" s="814" t="s">
        <v>2816</v>
      </c>
      <c r="C285" s="815">
        <v>1.9322E-3</v>
      </c>
      <c r="D285" s="815">
        <v>1.9548999999999999E-3</v>
      </c>
      <c r="E285" s="816">
        <v>4583839</v>
      </c>
      <c r="F285" s="816" t="s">
        <v>185</v>
      </c>
      <c r="G285" s="817">
        <v>707177</v>
      </c>
      <c r="H285" s="818">
        <v>629224</v>
      </c>
      <c r="I285" s="817">
        <v>1216374</v>
      </c>
      <c r="J285" s="816">
        <v>39110</v>
      </c>
      <c r="K285" s="818">
        <f t="shared" si="11"/>
        <v>2591885</v>
      </c>
      <c r="L285" s="816"/>
      <c r="M285" s="817">
        <v>23729</v>
      </c>
      <c r="N285" s="817">
        <v>0</v>
      </c>
      <c r="O285" s="816">
        <v>51551</v>
      </c>
      <c r="P285" s="818">
        <f t="shared" si="12"/>
        <v>75280</v>
      </c>
      <c r="Q285" s="816"/>
      <c r="R285" s="817">
        <v>1273268</v>
      </c>
      <c r="S285" s="816">
        <v>-50417</v>
      </c>
      <c r="T285" s="819">
        <v>1222851</v>
      </c>
    </row>
    <row r="286" spans="1:20" x14ac:dyDescent="0.25">
      <c r="A286" s="813">
        <v>92913</v>
      </c>
      <c r="B286" s="814" t="s">
        <v>2817</v>
      </c>
      <c r="C286" s="815">
        <v>2.1500000000000001E-5</v>
      </c>
      <c r="D286" s="815">
        <v>2.1999999999999999E-5</v>
      </c>
      <c r="E286" s="816">
        <v>51005</v>
      </c>
      <c r="F286" s="816" t="s">
        <v>185</v>
      </c>
      <c r="G286" s="817">
        <v>7869</v>
      </c>
      <c r="H286" s="818">
        <v>7001</v>
      </c>
      <c r="I286" s="817">
        <v>13535</v>
      </c>
      <c r="J286" s="816">
        <v>88672</v>
      </c>
      <c r="K286" s="818">
        <f t="shared" si="11"/>
        <v>117077</v>
      </c>
      <c r="L286" s="816"/>
      <c r="M286" s="817">
        <v>264</v>
      </c>
      <c r="N286" s="817">
        <v>0</v>
      </c>
      <c r="O286" s="816">
        <v>0</v>
      </c>
      <c r="P286" s="818">
        <f t="shared" si="12"/>
        <v>264</v>
      </c>
      <c r="Q286" s="816"/>
      <c r="R286" s="817">
        <v>14168</v>
      </c>
      <c r="S286" s="816">
        <v>34736</v>
      </c>
      <c r="T286" s="819">
        <v>48904</v>
      </c>
    </row>
    <row r="287" spans="1:20" x14ac:dyDescent="0.25">
      <c r="A287" s="813">
        <v>92914</v>
      </c>
      <c r="B287" s="814" t="s">
        <v>3553</v>
      </c>
      <c r="C287" s="815">
        <v>2.4899999999999999E-5</v>
      </c>
      <c r="D287" s="815">
        <v>2.8900000000000001E-5</v>
      </c>
      <c r="E287" s="816">
        <v>59071</v>
      </c>
      <c r="F287" s="816" t="s">
        <v>185</v>
      </c>
      <c r="G287" s="817">
        <v>9113</v>
      </c>
      <c r="H287" s="818">
        <v>8109</v>
      </c>
      <c r="I287" s="817">
        <v>15675</v>
      </c>
      <c r="J287" s="816">
        <v>12880</v>
      </c>
      <c r="K287" s="818">
        <f t="shared" si="11"/>
        <v>45777</v>
      </c>
      <c r="L287" s="816"/>
      <c r="M287" s="817">
        <v>306</v>
      </c>
      <c r="N287" s="817">
        <v>0</v>
      </c>
      <c r="O287" s="816">
        <v>1246</v>
      </c>
      <c r="P287" s="818">
        <f t="shared" si="12"/>
        <v>1552</v>
      </c>
      <c r="Q287" s="816"/>
      <c r="R287" s="817">
        <v>16408</v>
      </c>
      <c r="S287" s="816">
        <v>3981</v>
      </c>
      <c r="T287" s="819">
        <v>20389</v>
      </c>
    </row>
    <row r="288" spans="1:20" x14ac:dyDescent="0.25">
      <c r="A288" s="813">
        <v>92917</v>
      </c>
      <c r="B288" s="814" t="s">
        <v>2818</v>
      </c>
      <c r="C288" s="815">
        <v>1.6099999999999998E-5</v>
      </c>
      <c r="D288" s="815">
        <v>1.4800000000000001E-5</v>
      </c>
      <c r="E288" s="816">
        <v>38195</v>
      </c>
      <c r="F288" s="816" t="s">
        <v>185</v>
      </c>
      <c r="G288" s="817">
        <v>5893</v>
      </c>
      <c r="H288" s="818">
        <v>5243</v>
      </c>
      <c r="I288" s="817">
        <v>10135</v>
      </c>
      <c r="J288" s="816">
        <v>14400</v>
      </c>
      <c r="K288" s="818">
        <f t="shared" si="11"/>
        <v>35671</v>
      </c>
      <c r="L288" s="816"/>
      <c r="M288" s="817">
        <v>198</v>
      </c>
      <c r="N288" s="817">
        <v>0</v>
      </c>
      <c r="O288" s="816">
        <v>0</v>
      </c>
      <c r="P288" s="818">
        <f t="shared" si="12"/>
        <v>198</v>
      </c>
      <c r="Q288" s="816"/>
      <c r="R288" s="817">
        <v>10609</v>
      </c>
      <c r="S288" s="816">
        <v>8201</v>
      </c>
      <c r="T288" s="819">
        <v>18810</v>
      </c>
    </row>
    <row r="289" spans="1:20" x14ac:dyDescent="0.25">
      <c r="A289" s="813">
        <v>92921</v>
      </c>
      <c r="B289" s="814" t="s">
        <v>4069</v>
      </c>
      <c r="C289" s="815">
        <v>9.2499999999999999E-5</v>
      </c>
      <c r="D289" s="815">
        <v>7.4400000000000006E-5</v>
      </c>
      <c r="E289" s="816">
        <v>219442</v>
      </c>
      <c r="F289" s="816" t="s">
        <v>185</v>
      </c>
      <c r="G289" s="817">
        <v>33855</v>
      </c>
      <c r="H289" s="818">
        <v>30123</v>
      </c>
      <c r="I289" s="817">
        <v>58231</v>
      </c>
      <c r="J289" s="816">
        <v>24651</v>
      </c>
      <c r="K289" s="818">
        <f t="shared" si="11"/>
        <v>146860</v>
      </c>
      <c r="L289" s="816"/>
      <c r="M289" s="817">
        <v>1136</v>
      </c>
      <c r="N289" s="817">
        <v>0</v>
      </c>
      <c r="O289" s="816">
        <v>1659</v>
      </c>
      <c r="P289" s="818">
        <f t="shared" si="12"/>
        <v>2795</v>
      </c>
      <c r="Q289" s="816"/>
      <c r="R289" s="817">
        <v>60955</v>
      </c>
      <c r="S289" s="816">
        <v>819</v>
      </c>
      <c r="T289" s="819">
        <v>61774</v>
      </c>
    </row>
    <row r="290" spans="1:20" x14ac:dyDescent="0.25">
      <c r="A290" s="813">
        <v>92931</v>
      </c>
      <c r="B290" s="814" t="s">
        <v>2820</v>
      </c>
      <c r="C290" s="815">
        <v>2.4600999999999998E-3</v>
      </c>
      <c r="D290" s="815">
        <v>2.3996E-3</v>
      </c>
      <c r="E290" s="816">
        <v>5836199</v>
      </c>
      <c r="F290" s="816" t="s">
        <v>185</v>
      </c>
      <c r="G290" s="817">
        <v>900387</v>
      </c>
      <c r="H290" s="818">
        <v>801137</v>
      </c>
      <c r="I290" s="817">
        <v>1548702</v>
      </c>
      <c r="J290" s="816">
        <v>28206</v>
      </c>
      <c r="K290" s="818">
        <f t="shared" si="11"/>
        <v>3278432</v>
      </c>
      <c r="L290" s="816"/>
      <c r="M290" s="817">
        <v>30212</v>
      </c>
      <c r="N290" s="817">
        <v>0</v>
      </c>
      <c r="O290" s="816">
        <v>98782</v>
      </c>
      <c r="P290" s="818">
        <f t="shared" si="12"/>
        <v>128994</v>
      </c>
      <c r="Q290" s="816"/>
      <c r="R290" s="817">
        <v>1621139</v>
      </c>
      <c r="S290" s="816">
        <v>-34302</v>
      </c>
      <c r="T290" s="819">
        <v>1586837</v>
      </c>
    </row>
    <row r="291" spans="1:20" x14ac:dyDescent="0.25">
      <c r="A291" s="813">
        <v>92941</v>
      </c>
      <c r="B291" s="814" t="s">
        <v>4070</v>
      </c>
      <c r="C291" s="815">
        <v>4.3000000000000003E-6</v>
      </c>
      <c r="D291" s="815">
        <v>1.2300000000000001E-5</v>
      </c>
      <c r="E291" s="816">
        <v>10201</v>
      </c>
      <c r="F291" s="816" t="s">
        <v>185</v>
      </c>
      <c r="G291" s="817">
        <v>1574</v>
      </c>
      <c r="H291" s="818">
        <v>1400</v>
      </c>
      <c r="I291" s="817">
        <v>2707</v>
      </c>
      <c r="J291" s="816">
        <v>3011</v>
      </c>
      <c r="K291" s="818">
        <f t="shared" si="11"/>
        <v>8692</v>
      </c>
      <c r="L291" s="816"/>
      <c r="M291" s="817">
        <v>53</v>
      </c>
      <c r="N291" s="817">
        <v>0</v>
      </c>
      <c r="O291" s="816">
        <v>4092</v>
      </c>
      <c r="P291" s="818">
        <f t="shared" si="12"/>
        <v>4145</v>
      </c>
      <c r="Q291" s="816"/>
      <c r="R291" s="817">
        <v>2834</v>
      </c>
      <c r="S291" s="816">
        <v>2468</v>
      </c>
      <c r="T291" s="819">
        <v>5302</v>
      </c>
    </row>
    <row r="292" spans="1:20" x14ac:dyDescent="0.25">
      <c r="A292" s="813">
        <v>93001</v>
      </c>
      <c r="B292" s="814" t="s">
        <v>2821</v>
      </c>
      <c r="C292" s="815">
        <v>2.2772000000000001E-3</v>
      </c>
      <c r="D292" s="815">
        <v>2.2227000000000002E-3</v>
      </c>
      <c r="E292" s="816">
        <v>5402297</v>
      </c>
      <c r="F292" s="816" t="s">
        <v>185</v>
      </c>
      <c r="G292" s="817">
        <v>833446</v>
      </c>
      <c r="H292" s="818">
        <v>741575</v>
      </c>
      <c r="I292" s="817">
        <v>1433561</v>
      </c>
      <c r="J292" s="816">
        <v>14691</v>
      </c>
      <c r="K292" s="818">
        <f t="shared" si="11"/>
        <v>3023273</v>
      </c>
      <c r="L292" s="816"/>
      <c r="M292" s="817">
        <v>27966</v>
      </c>
      <c r="N292" s="817">
        <v>0</v>
      </c>
      <c r="O292" s="816">
        <v>61962</v>
      </c>
      <c r="P292" s="818">
        <f t="shared" si="12"/>
        <v>89928</v>
      </c>
      <c r="Q292" s="816"/>
      <c r="R292" s="817">
        <v>1500613</v>
      </c>
      <c r="S292" s="816">
        <v>-54280</v>
      </c>
      <c r="T292" s="819">
        <v>1446333</v>
      </c>
    </row>
    <row r="293" spans="1:20" x14ac:dyDescent="0.25">
      <c r="A293" s="813">
        <v>93009</v>
      </c>
      <c r="B293" s="814" t="s">
        <v>2822</v>
      </c>
      <c r="C293" s="815">
        <v>1.38E-5</v>
      </c>
      <c r="D293" s="815">
        <v>1.47E-5</v>
      </c>
      <c r="E293" s="816">
        <v>32738</v>
      </c>
      <c r="F293" s="816" t="s">
        <v>185</v>
      </c>
      <c r="G293" s="817">
        <v>5051</v>
      </c>
      <c r="H293" s="818">
        <v>4494</v>
      </c>
      <c r="I293" s="817">
        <v>8687</v>
      </c>
      <c r="J293" s="816">
        <v>0</v>
      </c>
      <c r="K293" s="818">
        <f t="shared" si="11"/>
        <v>18232</v>
      </c>
      <c r="L293" s="816"/>
      <c r="M293" s="817">
        <v>169</v>
      </c>
      <c r="N293" s="817">
        <v>0</v>
      </c>
      <c r="O293" s="816">
        <v>3798</v>
      </c>
      <c r="P293" s="818">
        <f t="shared" si="12"/>
        <v>3967</v>
      </c>
      <c r="Q293" s="816"/>
      <c r="R293" s="817">
        <v>9094</v>
      </c>
      <c r="S293" s="816">
        <v>-2270</v>
      </c>
      <c r="T293" s="819">
        <v>6824</v>
      </c>
    </row>
    <row r="294" spans="1:20" x14ac:dyDescent="0.25">
      <c r="A294" s="813">
        <v>93011</v>
      </c>
      <c r="B294" s="814" t="s">
        <v>4071</v>
      </c>
      <c r="C294" s="815">
        <v>2.7599999999999999E-4</v>
      </c>
      <c r="D294" s="815">
        <v>2.2699999999999999E-4</v>
      </c>
      <c r="E294" s="816">
        <v>654766</v>
      </c>
      <c r="F294" s="816" t="s">
        <v>185</v>
      </c>
      <c r="G294" s="817">
        <v>101015</v>
      </c>
      <c r="H294" s="817">
        <v>89880</v>
      </c>
      <c r="I294" s="817">
        <v>173750</v>
      </c>
      <c r="J294" s="816">
        <v>51648</v>
      </c>
      <c r="K294" s="817">
        <f t="shared" si="11"/>
        <v>416293</v>
      </c>
      <c r="L294" s="816"/>
      <c r="M294" s="817">
        <v>3390</v>
      </c>
      <c r="N294" s="817">
        <v>0</v>
      </c>
      <c r="O294" s="816">
        <v>10320</v>
      </c>
      <c r="P294" s="817">
        <f t="shared" si="12"/>
        <v>13710</v>
      </c>
      <c r="Q294" s="816"/>
      <c r="R294" s="817">
        <v>181877</v>
      </c>
      <c r="S294" s="816">
        <v>8885</v>
      </c>
      <c r="T294" s="819">
        <v>190762</v>
      </c>
    </row>
    <row r="295" spans="1:20" x14ac:dyDescent="0.25">
      <c r="A295" s="813">
        <v>93021</v>
      </c>
      <c r="B295" s="814" t="s">
        <v>4072</v>
      </c>
      <c r="C295" s="815">
        <v>3.3399999999999999E-5</v>
      </c>
      <c r="D295" s="815">
        <v>3.4199999999999998E-5</v>
      </c>
      <c r="E295" s="816">
        <v>79236</v>
      </c>
      <c r="F295" s="816" t="s">
        <v>185</v>
      </c>
      <c r="G295" s="817">
        <v>12224</v>
      </c>
      <c r="H295" s="818">
        <v>10877</v>
      </c>
      <c r="I295" s="817">
        <v>21026</v>
      </c>
      <c r="J295" s="816">
        <v>1795</v>
      </c>
      <c r="K295" s="818">
        <f t="shared" si="11"/>
        <v>45922</v>
      </c>
      <c r="L295" s="816"/>
      <c r="M295" s="817">
        <v>410</v>
      </c>
      <c r="N295" s="817">
        <v>0</v>
      </c>
      <c r="O295" s="816">
        <v>5715</v>
      </c>
      <c r="P295" s="818">
        <f t="shared" si="12"/>
        <v>6125</v>
      </c>
      <c r="Q295" s="816"/>
      <c r="R295" s="817">
        <v>22010</v>
      </c>
      <c r="S295" s="816">
        <v>-366</v>
      </c>
      <c r="T295" s="819">
        <v>21644</v>
      </c>
    </row>
    <row r="296" spans="1:20" x14ac:dyDescent="0.25">
      <c r="A296" s="813">
        <v>93027</v>
      </c>
      <c r="B296" s="814" t="s">
        <v>2825</v>
      </c>
      <c r="C296" s="815">
        <v>1.5E-5</v>
      </c>
      <c r="D296" s="815">
        <v>1.6699999999999999E-5</v>
      </c>
      <c r="E296" s="816">
        <v>35585</v>
      </c>
      <c r="F296" s="816" t="s">
        <v>185</v>
      </c>
      <c r="G296" s="817">
        <v>5490</v>
      </c>
      <c r="H296" s="818">
        <v>4885</v>
      </c>
      <c r="I296" s="817">
        <v>9443</v>
      </c>
      <c r="J296" s="816">
        <v>796</v>
      </c>
      <c r="K296" s="818">
        <f t="shared" si="11"/>
        <v>20614</v>
      </c>
      <c r="L296" s="816"/>
      <c r="M296" s="817">
        <v>184</v>
      </c>
      <c r="N296" s="817">
        <v>0</v>
      </c>
      <c r="O296" s="816">
        <v>2296</v>
      </c>
      <c r="P296" s="818">
        <f t="shared" si="12"/>
        <v>2480</v>
      </c>
      <c r="Q296" s="816"/>
      <c r="R296" s="817">
        <v>9885</v>
      </c>
      <c r="S296" s="816">
        <v>-833</v>
      </c>
      <c r="T296" s="819">
        <v>9052</v>
      </c>
    </row>
    <row r="297" spans="1:20" x14ac:dyDescent="0.25">
      <c r="A297" s="813">
        <v>93031</v>
      </c>
      <c r="B297" s="814" t="s">
        <v>4073</v>
      </c>
      <c r="C297" s="815">
        <v>1.26E-5</v>
      </c>
      <c r="D297" s="815">
        <v>2.1699999999999999E-5</v>
      </c>
      <c r="E297" s="816">
        <v>29892</v>
      </c>
      <c r="F297" s="816" t="s">
        <v>185</v>
      </c>
      <c r="G297" s="817">
        <v>4612</v>
      </c>
      <c r="H297" s="818">
        <v>4103</v>
      </c>
      <c r="I297" s="817">
        <v>7932</v>
      </c>
      <c r="J297" s="816">
        <v>20350</v>
      </c>
      <c r="K297" s="818">
        <f t="shared" si="11"/>
        <v>36997</v>
      </c>
      <c r="L297" s="816"/>
      <c r="M297" s="817">
        <v>155</v>
      </c>
      <c r="N297" s="817">
        <v>0</v>
      </c>
      <c r="O297" s="816">
        <v>0</v>
      </c>
      <c r="P297" s="818">
        <f t="shared" si="12"/>
        <v>155</v>
      </c>
      <c r="Q297" s="816"/>
      <c r="R297" s="817">
        <v>8303</v>
      </c>
      <c r="S297" s="816">
        <v>7768</v>
      </c>
      <c r="T297" s="819">
        <v>16071</v>
      </c>
    </row>
    <row r="298" spans="1:20" x14ac:dyDescent="0.25">
      <c r="A298" s="813">
        <v>93101</v>
      </c>
      <c r="B298" s="814" t="s">
        <v>2827</v>
      </c>
      <c r="C298" s="815">
        <v>3.2376000000000002E-3</v>
      </c>
      <c r="D298" s="815">
        <v>3.5159000000000002E-3</v>
      </c>
      <c r="E298" s="816">
        <v>7680694</v>
      </c>
      <c r="F298" s="816" t="s">
        <v>185</v>
      </c>
      <c r="G298" s="817">
        <v>1184949</v>
      </c>
      <c r="H298" s="818">
        <v>1054330</v>
      </c>
      <c r="I298" s="817">
        <v>2038160</v>
      </c>
      <c r="J298" s="816">
        <v>36350</v>
      </c>
      <c r="K298" s="818">
        <f t="shared" si="11"/>
        <v>4313789</v>
      </c>
      <c r="L298" s="816"/>
      <c r="M298" s="817">
        <v>39761</v>
      </c>
      <c r="N298" s="817">
        <v>0</v>
      </c>
      <c r="O298" s="816">
        <v>306148</v>
      </c>
      <c r="P298" s="818">
        <f t="shared" si="12"/>
        <v>345909</v>
      </c>
      <c r="Q298" s="816"/>
      <c r="R298" s="817">
        <v>2133491</v>
      </c>
      <c r="S298" s="816">
        <v>-15838</v>
      </c>
      <c r="T298" s="819">
        <v>2117653</v>
      </c>
    </row>
    <row r="299" spans="1:20" x14ac:dyDescent="0.25">
      <c r="A299" s="813">
        <v>93103</v>
      </c>
      <c r="B299" s="814" t="s">
        <v>2096</v>
      </c>
      <c r="C299" s="815">
        <v>1.6699999999999999E-5</v>
      </c>
      <c r="D299" s="815">
        <v>1.7099999999999999E-5</v>
      </c>
      <c r="E299" s="816">
        <v>39618</v>
      </c>
      <c r="F299" s="816" t="s">
        <v>185</v>
      </c>
      <c r="G299" s="817">
        <v>6112</v>
      </c>
      <c r="H299" s="818">
        <v>5439</v>
      </c>
      <c r="I299" s="817">
        <v>10513</v>
      </c>
      <c r="J299" s="816">
        <v>4185</v>
      </c>
      <c r="K299" s="818">
        <f t="shared" si="11"/>
        <v>26249</v>
      </c>
      <c r="L299" s="816"/>
      <c r="M299" s="817">
        <v>205</v>
      </c>
      <c r="N299" s="817">
        <v>0</v>
      </c>
      <c r="O299" s="816">
        <v>3362</v>
      </c>
      <c r="P299" s="818">
        <f t="shared" si="12"/>
        <v>3567</v>
      </c>
      <c r="Q299" s="816"/>
      <c r="R299" s="817">
        <v>11005</v>
      </c>
      <c r="S299" s="816">
        <v>1580</v>
      </c>
      <c r="T299" s="819">
        <v>12585</v>
      </c>
    </row>
    <row r="300" spans="1:20" x14ac:dyDescent="0.25">
      <c r="A300" s="813">
        <v>93108</v>
      </c>
      <c r="B300" s="814" t="s">
        <v>2828</v>
      </c>
      <c r="C300" s="815">
        <v>2.4109999999999999E-3</v>
      </c>
      <c r="D300" s="815">
        <v>2.6624999999999999E-3</v>
      </c>
      <c r="E300" s="816">
        <v>5719717</v>
      </c>
      <c r="F300" s="816" t="s">
        <v>185</v>
      </c>
      <c r="G300" s="817">
        <v>882416</v>
      </c>
      <c r="H300" s="818">
        <v>785147</v>
      </c>
      <c r="I300" s="817">
        <v>1517792</v>
      </c>
      <c r="J300" s="816">
        <v>86396</v>
      </c>
      <c r="K300" s="818">
        <f t="shared" si="11"/>
        <v>3271751</v>
      </c>
      <c r="L300" s="816"/>
      <c r="M300" s="817">
        <v>29609</v>
      </c>
      <c r="N300" s="817">
        <v>0</v>
      </c>
      <c r="O300" s="816">
        <v>181635</v>
      </c>
      <c r="P300" s="818">
        <f t="shared" si="12"/>
        <v>211244</v>
      </c>
      <c r="Q300" s="816"/>
      <c r="R300" s="817">
        <v>1588784</v>
      </c>
      <c r="S300" s="816">
        <v>143056</v>
      </c>
      <c r="T300" s="819">
        <v>1731840</v>
      </c>
    </row>
    <row r="301" spans="1:20" x14ac:dyDescent="0.25">
      <c r="A301" s="813">
        <v>93111</v>
      </c>
      <c r="B301" s="814" t="s">
        <v>4074</v>
      </c>
      <c r="C301" s="815">
        <v>6.1500000000000004E-5</v>
      </c>
      <c r="D301" s="815">
        <v>5.8499999999999999E-5</v>
      </c>
      <c r="E301" s="816">
        <v>145899</v>
      </c>
      <c r="F301" s="816" t="s">
        <v>185</v>
      </c>
      <c r="G301" s="817">
        <v>22509</v>
      </c>
      <c r="H301" s="818">
        <v>20027</v>
      </c>
      <c r="I301" s="817">
        <v>38716</v>
      </c>
      <c r="J301" s="816">
        <v>609</v>
      </c>
      <c r="K301" s="818">
        <f t="shared" si="11"/>
        <v>81861</v>
      </c>
      <c r="L301" s="816"/>
      <c r="M301" s="817">
        <v>755</v>
      </c>
      <c r="N301" s="817">
        <v>0</v>
      </c>
      <c r="O301" s="816">
        <v>9926</v>
      </c>
      <c r="P301" s="818">
        <f t="shared" si="12"/>
        <v>10681</v>
      </c>
      <c r="Q301" s="816"/>
      <c r="R301" s="817">
        <v>40527</v>
      </c>
      <c r="S301" s="816">
        <v>-5384</v>
      </c>
      <c r="T301" s="819">
        <v>35143</v>
      </c>
    </row>
    <row r="302" spans="1:20" x14ac:dyDescent="0.25">
      <c r="A302" s="813">
        <v>93121</v>
      </c>
      <c r="B302" s="814" t="s">
        <v>4075</v>
      </c>
      <c r="C302" s="815">
        <v>5.3300000000000001E-5</v>
      </c>
      <c r="D302" s="815">
        <v>6.2299999999999996E-5</v>
      </c>
      <c r="E302" s="816">
        <v>126446</v>
      </c>
      <c r="F302" s="816" t="s">
        <v>185</v>
      </c>
      <c r="G302" s="817">
        <v>19508</v>
      </c>
      <c r="H302" s="818">
        <v>17358</v>
      </c>
      <c r="I302" s="817">
        <v>33554</v>
      </c>
      <c r="J302" s="816">
        <v>1532</v>
      </c>
      <c r="K302" s="818">
        <f t="shared" si="11"/>
        <v>71952</v>
      </c>
      <c r="L302" s="816"/>
      <c r="M302" s="817">
        <v>655</v>
      </c>
      <c r="N302" s="817">
        <v>0</v>
      </c>
      <c r="O302" s="816">
        <v>7485</v>
      </c>
      <c r="P302" s="818">
        <f t="shared" si="12"/>
        <v>8140</v>
      </c>
      <c r="Q302" s="816"/>
      <c r="R302" s="817">
        <v>35123</v>
      </c>
      <c r="S302" s="816">
        <v>-4157</v>
      </c>
      <c r="T302" s="819">
        <v>30966</v>
      </c>
    </row>
    <row r="303" spans="1:20" x14ac:dyDescent="0.25">
      <c r="A303" s="813">
        <v>93127</v>
      </c>
      <c r="B303" s="814" t="s">
        <v>2831</v>
      </c>
      <c r="C303" s="815">
        <v>6.8000000000000001E-6</v>
      </c>
      <c r="D303" s="815">
        <v>6.9E-6</v>
      </c>
      <c r="E303" s="816">
        <v>16132</v>
      </c>
      <c r="F303" s="816" t="s">
        <v>185</v>
      </c>
      <c r="G303" s="817">
        <v>2489</v>
      </c>
      <c r="H303" s="818">
        <v>2215</v>
      </c>
      <c r="I303" s="817">
        <v>4281</v>
      </c>
      <c r="J303" s="816">
        <v>93</v>
      </c>
      <c r="K303" s="818">
        <f t="shared" si="11"/>
        <v>9078</v>
      </c>
      <c r="L303" s="816"/>
      <c r="M303" s="817">
        <v>84</v>
      </c>
      <c r="N303" s="817">
        <v>0</v>
      </c>
      <c r="O303" s="816">
        <v>482</v>
      </c>
      <c r="P303" s="818">
        <f t="shared" si="12"/>
        <v>566</v>
      </c>
      <c r="Q303" s="816"/>
      <c r="R303" s="817">
        <v>4481</v>
      </c>
      <c r="S303" s="816">
        <v>-405</v>
      </c>
      <c r="T303" s="819">
        <v>4076</v>
      </c>
    </row>
    <row r="304" spans="1:20" x14ac:dyDescent="0.25">
      <c r="A304" s="813">
        <v>93131</v>
      </c>
      <c r="B304" s="814" t="s">
        <v>4076</v>
      </c>
      <c r="C304" s="815">
        <v>2.0129999999999999E-4</v>
      </c>
      <c r="D304" s="815">
        <v>2.218E-4</v>
      </c>
      <c r="E304" s="816">
        <v>477552</v>
      </c>
      <c r="F304" s="816" t="s">
        <v>185</v>
      </c>
      <c r="G304" s="817">
        <v>73675</v>
      </c>
      <c r="H304" s="818">
        <v>65554</v>
      </c>
      <c r="I304" s="817">
        <v>126724</v>
      </c>
      <c r="J304" s="816">
        <v>2495</v>
      </c>
      <c r="K304" s="818">
        <f t="shared" si="11"/>
        <v>268448</v>
      </c>
      <c r="L304" s="816"/>
      <c r="M304" s="817">
        <v>2472</v>
      </c>
      <c r="N304" s="817">
        <v>0</v>
      </c>
      <c r="O304" s="816">
        <v>34365</v>
      </c>
      <c r="P304" s="818">
        <f t="shared" si="12"/>
        <v>36837</v>
      </c>
      <c r="Q304" s="816"/>
      <c r="R304" s="817">
        <v>132651</v>
      </c>
      <c r="S304" s="816">
        <v>-5155</v>
      </c>
      <c r="T304" s="819">
        <v>127496</v>
      </c>
    </row>
    <row r="305" spans="1:20" x14ac:dyDescent="0.25">
      <c r="A305" s="813">
        <v>93137</v>
      </c>
      <c r="B305" s="814" t="s">
        <v>2833</v>
      </c>
      <c r="C305" s="815">
        <v>4.7999999999999998E-6</v>
      </c>
      <c r="D305" s="815">
        <v>3.3000000000000002E-6</v>
      </c>
      <c r="E305" s="816">
        <v>11387</v>
      </c>
      <c r="F305" s="816" t="s">
        <v>185</v>
      </c>
      <c r="G305" s="817">
        <v>1757</v>
      </c>
      <c r="H305" s="818">
        <v>1563</v>
      </c>
      <c r="I305" s="817">
        <v>3022</v>
      </c>
      <c r="J305" s="816">
        <v>3426</v>
      </c>
      <c r="K305" s="818">
        <f t="shared" si="11"/>
        <v>9768</v>
      </c>
      <c r="L305" s="816"/>
      <c r="M305" s="817">
        <v>59</v>
      </c>
      <c r="N305" s="817">
        <v>0</v>
      </c>
      <c r="O305" s="816">
        <v>0</v>
      </c>
      <c r="P305" s="818">
        <f t="shared" si="12"/>
        <v>59</v>
      </c>
      <c r="Q305" s="816"/>
      <c r="R305" s="817">
        <v>3163</v>
      </c>
      <c r="S305" s="816">
        <v>1228</v>
      </c>
      <c r="T305" s="819">
        <v>4391</v>
      </c>
    </row>
    <row r="306" spans="1:20" x14ac:dyDescent="0.25">
      <c r="A306" s="813">
        <v>93141</v>
      </c>
      <c r="B306" s="814" t="s">
        <v>4077</v>
      </c>
      <c r="C306" s="815">
        <v>3.2299999999999999E-5</v>
      </c>
      <c r="D306" s="815">
        <v>4.1100000000000003E-5</v>
      </c>
      <c r="E306" s="816">
        <v>76627</v>
      </c>
      <c r="F306" s="816" t="s">
        <v>185</v>
      </c>
      <c r="G306" s="817">
        <v>11822</v>
      </c>
      <c r="H306" s="818">
        <v>10519</v>
      </c>
      <c r="I306" s="817">
        <v>20334</v>
      </c>
      <c r="J306" s="816">
        <v>0</v>
      </c>
      <c r="K306" s="818">
        <f t="shared" si="11"/>
        <v>42675</v>
      </c>
      <c r="L306" s="816"/>
      <c r="M306" s="817">
        <v>397</v>
      </c>
      <c r="N306" s="817">
        <v>0</v>
      </c>
      <c r="O306" s="816">
        <v>11022</v>
      </c>
      <c r="P306" s="818">
        <f t="shared" si="12"/>
        <v>11419</v>
      </c>
      <c r="Q306" s="816"/>
      <c r="R306" s="817">
        <v>21285</v>
      </c>
      <c r="S306" s="816">
        <v>-1889</v>
      </c>
      <c r="T306" s="819">
        <v>19396</v>
      </c>
    </row>
    <row r="307" spans="1:20" x14ac:dyDescent="0.25">
      <c r="A307" s="813">
        <v>93151</v>
      </c>
      <c r="B307" s="814" t="s">
        <v>4078</v>
      </c>
      <c r="C307" s="815">
        <v>3.2410000000000002E-4</v>
      </c>
      <c r="D307" s="815">
        <v>3.4279999999999998E-4</v>
      </c>
      <c r="E307" s="816">
        <v>768876</v>
      </c>
      <c r="F307" s="816" t="s">
        <v>185</v>
      </c>
      <c r="G307" s="817">
        <v>118619</v>
      </c>
      <c r="H307" s="818">
        <v>105543</v>
      </c>
      <c r="I307" s="817">
        <v>204030</v>
      </c>
      <c r="J307" s="816">
        <v>1711</v>
      </c>
      <c r="K307" s="818">
        <f t="shared" si="11"/>
        <v>429903</v>
      </c>
      <c r="L307" s="816"/>
      <c r="M307" s="817">
        <v>3980</v>
      </c>
      <c r="N307" s="817">
        <v>0</v>
      </c>
      <c r="O307" s="816">
        <v>25198</v>
      </c>
      <c r="P307" s="818">
        <f t="shared" si="12"/>
        <v>29178</v>
      </c>
      <c r="Q307" s="816"/>
      <c r="R307" s="817">
        <v>213573</v>
      </c>
      <c r="S307" s="816">
        <v>-7249</v>
      </c>
      <c r="T307" s="819">
        <v>206324</v>
      </c>
    </row>
    <row r="308" spans="1:20" x14ac:dyDescent="0.25">
      <c r="A308" s="813">
        <v>93157</v>
      </c>
      <c r="B308" s="814" t="s">
        <v>2836</v>
      </c>
      <c r="C308" s="815">
        <v>3.4999999999999999E-6</v>
      </c>
      <c r="D308" s="815">
        <v>3.5999999999999998E-6</v>
      </c>
      <c r="E308" s="816">
        <v>8303</v>
      </c>
      <c r="F308" s="816" t="s">
        <v>185</v>
      </c>
      <c r="G308" s="817">
        <v>1281</v>
      </c>
      <c r="H308" s="818">
        <v>1140</v>
      </c>
      <c r="I308" s="817">
        <v>2203</v>
      </c>
      <c r="J308" s="816">
        <v>7990</v>
      </c>
      <c r="K308" s="818">
        <f t="shared" si="11"/>
        <v>12614</v>
      </c>
      <c r="L308" s="816"/>
      <c r="M308" s="817">
        <v>43</v>
      </c>
      <c r="N308" s="817">
        <v>0</v>
      </c>
      <c r="O308" s="816">
        <v>152</v>
      </c>
      <c r="P308" s="818">
        <f t="shared" si="12"/>
        <v>195</v>
      </c>
      <c r="Q308" s="816"/>
      <c r="R308" s="817">
        <v>2306</v>
      </c>
      <c r="S308" s="816">
        <v>3773</v>
      </c>
      <c r="T308" s="819">
        <v>6079</v>
      </c>
    </row>
    <row r="309" spans="1:20" x14ac:dyDescent="0.25">
      <c r="A309" s="813">
        <v>93161</v>
      </c>
      <c r="B309" s="814" t="s">
        <v>4079</v>
      </c>
      <c r="C309" s="815">
        <v>1.105E-4</v>
      </c>
      <c r="D309" s="815">
        <v>1.038E-4</v>
      </c>
      <c r="E309" s="816">
        <v>262144</v>
      </c>
      <c r="F309" s="816" t="s">
        <v>185</v>
      </c>
      <c r="G309" s="817">
        <v>40443</v>
      </c>
      <c r="H309" s="818">
        <v>35984</v>
      </c>
      <c r="I309" s="817">
        <v>69563</v>
      </c>
      <c r="J309" s="816">
        <v>25987</v>
      </c>
      <c r="K309" s="818">
        <f t="shared" si="11"/>
        <v>171977</v>
      </c>
      <c r="L309" s="816"/>
      <c r="M309" s="817">
        <v>1357</v>
      </c>
      <c r="N309" s="817">
        <v>0</v>
      </c>
      <c r="O309" s="816">
        <v>0</v>
      </c>
      <c r="P309" s="818">
        <f t="shared" si="12"/>
        <v>1357</v>
      </c>
      <c r="Q309" s="816"/>
      <c r="R309" s="817">
        <v>72817</v>
      </c>
      <c r="S309" s="816">
        <v>13692</v>
      </c>
      <c r="T309" s="819">
        <v>86509</v>
      </c>
    </row>
    <row r="310" spans="1:20" x14ac:dyDescent="0.25">
      <c r="A310" s="813">
        <v>93171</v>
      </c>
      <c r="B310" s="814" t="s">
        <v>4080</v>
      </c>
      <c r="C310" s="815">
        <v>2.7E-6</v>
      </c>
      <c r="D310" s="815">
        <v>5.2000000000000002E-6</v>
      </c>
      <c r="E310" s="816">
        <v>6405</v>
      </c>
      <c r="F310" s="816" t="s">
        <v>185</v>
      </c>
      <c r="G310" s="817">
        <v>988</v>
      </c>
      <c r="H310" s="818">
        <v>879</v>
      </c>
      <c r="I310" s="817">
        <v>1700</v>
      </c>
      <c r="J310" s="816">
        <v>1171</v>
      </c>
      <c r="K310" s="818">
        <f t="shared" si="11"/>
        <v>4738</v>
      </c>
      <c r="L310" s="816"/>
      <c r="M310" s="817">
        <v>33</v>
      </c>
      <c r="N310" s="817">
        <v>0</v>
      </c>
      <c r="O310" s="816">
        <v>987</v>
      </c>
      <c r="P310" s="818">
        <f t="shared" si="12"/>
        <v>1020</v>
      </c>
      <c r="Q310" s="816"/>
      <c r="R310" s="817">
        <v>1779</v>
      </c>
      <c r="S310" s="816">
        <v>542</v>
      </c>
      <c r="T310" s="819">
        <v>2321</v>
      </c>
    </row>
    <row r="311" spans="1:20" x14ac:dyDescent="0.25">
      <c r="A311" s="813">
        <v>93181</v>
      </c>
      <c r="B311" s="814" t="s">
        <v>4081</v>
      </c>
      <c r="C311" s="815">
        <v>1.1E-5</v>
      </c>
      <c r="D311" s="815">
        <v>1.13E-5</v>
      </c>
      <c r="E311" s="816">
        <v>26096</v>
      </c>
      <c r="F311" s="816" t="s">
        <v>185</v>
      </c>
      <c r="G311" s="817">
        <v>4026</v>
      </c>
      <c r="H311" s="818">
        <v>3582</v>
      </c>
      <c r="I311" s="817">
        <v>6925</v>
      </c>
      <c r="J311" s="816">
        <v>457</v>
      </c>
      <c r="K311" s="818">
        <f t="shared" si="11"/>
        <v>14990</v>
      </c>
      <c r="L311" s="816"/>
      <c r="M311" s="817">
        <v>135</v>
      </c>
      <c r="N311" s="817">
        <v>0</v>
      </c>
      <c r="O311" s="816">
        <v>12</v>
      </c>
      <c r="P311" s="818">
        <f t="shared" si="12"/>
        <v>147</v>
      </c>
      <c r="Q311" s="816"/>
      <c r="R311" s="817">
        <v>7249</v>
      </c>
      <c r="S311" s="816">
        <v>435</v>
      </c>
      <c r="T311" s="819">
        <v>7684</v>
      </c>
    </row>
    <row r="312" spans="1:20" x14ac:dyDescent="0.25">
      <c r="A312" s="813">
        <v>93191</v>
      </c>
      <c r="B312" s="814" t="s">
        <v>4082</v>
      </c>
      <c r="C312" s="815">
        <v>2.2500000000000001E-5</v>
      </c>
      <c r="D312" s="815">
        <v>2.4600000000000002E-5</v>
      </c>
      <c r="E312" s="816">
        <v>53378</v>
      </c>
      <c r="F312" s="816" t="s">
        <v>185</v>
      </c>
      <c r="G312" s="817">
        <v>8235</v>
      </c>
      <c r="H312" s="818">
        <v>7328</v>
      </c>
      <c r="I312" s="817">
        <v>14164</v>
      </c>
      <c r="J312" s="816">
        <v>3738</v>
      </c>
      <c r="K312" s="818">
        <f t="shared" si="11"/>
        <v>33465</v>
      </c>
      <c r="L312" s="816"/>
      <c r="M312" s="817">
        <v>276</v>
      </c>
      <c r="N312" s="817">
        <v>0</v>
      </c>
      <c r="O312" s="816">
        <v>1346</v>
      </c>
      <c r="P312" s="818">
        <f t="shared" si="12"/>
        <v>1622</v>
      </c>
      <c r="Q312" s="816"/>
      <c r="R312" s="817">
        <v>14827</v>
      </c>
      <c r="S312" s="816">
        <v>577</v>
      </c>
      <c r="T312" s="819">
        <v>15404</v>
      </c>
    </row>
    <row r="313" spans="1:20" x14ac:dyDescent="0.25">
      <c r="A313" s="813">
        <v>93201</v>
      </c>
      <c r="B313" s="814" t="s">
        <v>2841</v>
      </c>
      <c r="C313" s="815">
        <v>1.5763099999999999E-2</v>
      </c>
      <c r="D313" s="815">
        <v>1.5517E-2</v>
      </c>
      <c r="E313" s="816">
        <v>37395464</v>
      </c>
      <c r="F313" s="816" t="s">
        <v>185</v>
      </c>
      <c r="G313" s="817">
        <v>5769232</v>
      </c>
      <c r="H313" s="818">
        <v>5133286</v>
      </c>
      <c r="I313" s="817">
        <v>9923313</v>
      </c>
      <c r="J313" s="816">
        <v>597239</v>
      </c>
      <c r="K313" s="818">
        <f t="shared" si="11"/>
        <v>21423070</v>
      </c>
      <c r="L313" s="816"/>
      <c r="M313" s="817">
        <v>193587</v>
      </c>
      <c r="N313" s="817">
        <v>0</v>
      </c>
      <c r="O313" s="816">
        <v>154811</v>
      </c>
      <c r="P313" s="818">
        <f t="shared" si="12"/>
        <v>348398</v>
      </c>
      <c r="Q313" s="816"/>
      <c r="R313" s="817">
        <v>10387457</v>
      </c>
      <c r="S313" s="816">
        <v>455365</v>
      </c>
      <c r="T313" s="819">
        <v>10842822</v>
      </c>
    </row>
    <row r="314" spans="1:20" x14ac:dyDescent="0.25">
      <c r="A314" s="813">
        <v>93202</v>
      </c>
      <c r="B314" s="814" t="s">
        <v>2842</v>
      </c>
      <c r="C314" s="815">
        <v>0</v>
      </c>
      <c r="D314" s="815">
        <v>0</v>
      </c>
      <c r="E314" s="816">
        <v>0</v>
      </c>
      <c r="F314" s="816" t="s">
        <v>185</v>
      </c>
      <c r="G314" s="817">
        <v>0</v>
      </c>
      <c r="H314" s="818">
        <v>0</v>
      </c>
      <c r="I314" s="817">
        <v>0</v>
      </c>
      <c r="J314" s="816">
        <v>0</v>
      </c>
      <c r="K314" s="818">
        <f t="shared" si="11"/>
        <v>0</v>
      </c>
      <c r="L314" s="816"/>
      <c r="M314" s="817">
        <v>0</v>
      </c>
      <c r="N314" s="817">
        <v>0</v>
      </c>
      <c r="O314" s="816">
        <v>103181</v>
      </c>
      <c r="P314" s="818">
        <f t="shared" si="12"/>
        <v>103181</v>
      </c>
      <c r="Q314" s="816"/>
      <c r="R314" s="817">
        <v>0</v>
      </c>
      <c r="S314" s="816">
        <v>-109337</v>
      </c>
      <c r="T314" s="819">
        <v>-109337</v>
      </c>
    </row>
    <row r="315" spans="1:20" x14ac:dyDescent="0.25">
      <c r="A315" s="813">
        <v>93204</v>
      </c>
      <c r="B315" s="814" t="s">
        <v>2843</v>
      </c>
      <c r="C315" s="815">
        <v>3.28E-4</v>
      </c>
      <c r="D315" s="815">
        <v>3.0279999999999999E-4</v>
      </c>
      <c r="E315" s="816">
        <v>778128</v>
      </c>
      <c r="F315" s="816" t="s">
        <v>185</v>
      </c>
      <c r="G315" s="817">
        <v>120047</v>
      </c>
      <c r="H315" s="818">
        <v>106813</v>
      </c>
      <c r="I315" s="817">
        <v>206485</v>
      </c>
      <c r="J315" s="816">
        <v>42387</v>
      </c>
      <c r="K315" s="818">
        <f t="shared" si="11"/>
        <v>475732</v>
      </c>
      <c r="L315" s="816"/>
      <c r="M315" s="817">
        <v>4028</v>
      </c>
      <c r="N315" s="817">
        <v>0</v>
      </c>
      <c r="O315" s="816">
        <v>3051</v>
      </c>
      <c r="P315" s="818">
        <f t="shared" si="12"/>
        <v>7079</v>
      </c>
      <c r="Q315" s="816"/>
      <c r="R315" s="817">
        <v>216143</v>
      </c>
      <c r="S315" s="816">
        <v>7193</v>
      </c>
      <c r="T315" s="819">
        <v>223336</v>
      </c>
    </row>
    <row r="316" spans="1:20" x14ac:dyDescent="0.25">
      <c r="A316" s="813">
        <v>93209</v>
      </c>
      <c r="B316" s="814" t="s">
        <v>2844</v>
      </c>
      <c r="C316" s="815">
        <v>5.1598E-3</v>
      </c>
      <c r="D316" s="815">
        <v>4.6693999999999998E-3</v>
      </c>
      <c r="E316" s="816">
        <v>12240810</v>
      </c>
      <c r="F316" s="816" t="s">
        <v>185</v>
      </c>
      <c r="G316" s="817">
        <v>1888466</v>
      </c>
      <c r="H316" s="818">
        <v>1680299</v>
      </c>
      <c r="I316" s="817">
        <v>3248239</v>
      </c>
      <c r="J316" s="816">
        <v>484024</v>
      </c>
      <c r="K316" s="818">
        <f t="shared" si="11"/>
        <v>7301028</v>
      </c>
      <c r="L316" s="816"/>
      <c r="M316" s="817">
        <v>63368</v>
      </c>
      <c r="N316" s="817">
        <v>0</v>
      </c>
      <c r="O316" s="816">
        <v>0</v>
      </c>
      <c r="P316" s="818">
        <f t="shared" si="12"/>
        <v>63368</v>
      </c>
      <c r="Q316" s="816"/>
      <c r="R316" s="817">
        <v>3400169</v>
      </c>
      <c r="S316" s="816">
        <v>595668</v>
      </c>
      <c r="T316" s="819">
        <v>3995837</v>
      </c>
    </row>
    <row r="317" spans="1:20" x14ac:dyDescent="0.25">
      <c r="A317" s="813">
        <v>93211</v>
      </c>
      <c r="B317" s="814" t="s">
        <v>2845</v>
      </c>
      <c r="C317" s="815">
        <v>2.1090299999999999E-2</v>
      </c>
      <c r="D317" s="815">
        <v>2.0374099999999999E-2</v>
      </c>
      <c r="E317" s="816">
        <v>50033404</v>
      </c>
      <c r="F317" s="816" t="s">
        <v>185</v>
      </c>
      <c r="G317" s="817">
        <v>7718965</v>
      </c>
      <c r="H317" s="818">
        <v>6868098</v>
      </c>
      <c r="I317" s="817">
        <v>13276934</v>
      </c>
      <c r="J317" s="816">
        <v>418893</v>
      </c>
      <c r="K317" s="818">
        <f t="shared" si="11"/>
        <v>28282890</v>
      </c>
      <c r="L317" s="816"/>
      <c r="M317" s="817">
        <v>259010</v>
      </c>
      <c r="N317" s="817">
        <v>0</v>
      </c>
      <c r="O317" s="816">
        <v>485736</v>
      </c>
      <c r="P317" s="818">
        <f t="shared" si="12"/>
        <v>744746</v>
      </c>
      <c r="Q317" s="816"/>
      <c r="R317" s="817">
        <v>13897938</v>
      </c>
      <c r="S317" s="816">
        <v>-400564</v>
      </c>
      <c r="T317" s="819">
        <v>13497374</v>
      </c>
    </row>
    <row r="318" spans="1:20" x14ac:dyDescent="0.25">
      <c r="A318" s="813">
        <v>93212</v>
      </c>
      <c r="B318" s="814" t="s">
        <v>2846</v>
      </c>
      <c r="C318" s="815">
        <v>2.7540000000000003E-4</v>
      </c>
      <c r="D318" s="815">
        <v>2.2130000000000001E-4</v>
      </c>
      <c r="E318" s="816">
        <v>653343</v>
      </c>
      <c r="F318" s="816" t="s">
        <v>185</v>
      </c>
      <c r="G318" s="817">
        <v>100795</v>
      </c>
      <c r="H318" s="818">
        <v>89685</v>
      </c>
      <c r="I318" s="817">
        <v>173372</v>
      </c>
      <c r="J318" s="816">
        <v>231765</v>
      </c>
      <c r="K318" s="818">
        <f t="shared" si="11"/>
        <v>595617</v>
      </c>
      <c r="L318" s="816"/>
      <c r="M318" s="817">
        <v>3382</v>
      </c>
      <c r="N318" s="817">
        <v>0</v>
      </c>
      <c r="O318" s="816">
        <v>0</v>
      </c>
      <c r="P318" s="818">
        <f t="shared" si="12"/>
        <v>3382</v>
      </c>
      <c r="Q318" s="816"/>
      <c r="R318" s="817">
        <v>181481</v>
      </c>
      <c r="S318" s="816">
        <v>85113</v>
      </c>
      <c r="T318" s="819">
        <v>266594</v>
      </c>
    </row>
    <row r="319" spans="1:20" x14ac:dyDescent="0.25">
      <c r="A319" s="813">
        <v>93219</v>
      </c>
      <c r="B319" s="814" t="s">
        <v>2847</v>
      </c>
      <c r="C319" s="815">
        <v>2.5329999999999998E-4</v>
      </c>
      <c r="D319" s="815">
        <v>2.6289999999999999E-4</v>
      </c>
      <c r="E319" s="816">
        <v>600914</v>
      </c>
      <c r="F319" s="816" t="s">
        <v>185</v>
      </c>
      <c r="G319" s="817">
        <v>92707</v>
      </c>
      <c r="H319" s="818">
        <v>82487</v>
      </c>
      <c r="I319" s="817">
        <v>159459</v>
      </c>
      <c r="J319" s="816">
        <v>16940</v>
      </c>
      <c r="K319" s="818">
        <f t="shared" si="11"/>
        <v>351593</v>
      </c>
      <c r="L319" s="816"/>
      <c r="M319" s="817">
        <v>3111</v>
      </c>
      <c r="N319" s="817">
        <v>0</v>
      </c>
      <c r="O319" s="816">
        <v>7235</v>
      </c>
      <c r="P319" s="818">
        <f t="shared" si="12"/>
        <v>10346</v>
      </c>
      <c r="Q319" s="816"/>
      <c r="R319" s="817">
        <v>166918</v>
      </c>
      <c r="S319" s="816">
        <v>841</v>
      </c>
      <c r="T319" s="819">
        <v>167759</v>
      </c>
    </row>
    <row r="320" spans="1:20" x14ac:dyDescent="0.25">
      <c r="A320" s="813">
        <v>93301</v>
      </c>
      <c r="B320" s="814" t="s">
        <v>2848</v>
      </c>
      <c r="C320" s="815">
        <v>2.3299000000000002E-3</v>
      </c>
      <c r="D320" s="815">
        <v>2.5243000000000002E-3</v>
      </c>
      <c r="E320" s="816">
        <v>5527320</v>
      </c>
      <c r="F320" s="816" t="s">
        <v>185</v>
      </c>
      <c r="G320" s="817">
        <v>852734</v>
      </c>
      <c r="H320" s="818">
        <v>758737</v>
      </c>
      <c r="I320" s="817">
        <v>1466737</v>
      </c>
      <c r="J320" s="816">
        <v>30807</v>
      </c>
      <c r="K320" s="818">
        <f t="shared" si="11"/>
        <v>3109015</v>
      </c>
      <c r="L320" s="816"/>
      <c r="M320" s="817">
        <v>28614</v>
      </c>
      <c r="N320" s="817">
        <v>0</v>
      </c>
      <c r="O320" s="816">
        <v>198572</v>
      </c>
      <c r="P320" s="818">
        <f t="shared" si="12"/>
        <v>227186</v>
      </c>
      <c r="Q320" s="816"/>
      <c r="R320" s="817">
        <v>1535341</v>
      </c>
      <c r="S320" s="816">
        <v>-62950</v>
      </c>
      <c r="T320" s="819">
        <v>1472391</v>
      </c>
    </row>
    <row r="321" spans="1:20" x14ac:dyDescent="0.25">
      <c r="A321" s="813">
        <v>93304</v>
      </c>
      <c r="B321" s="814" t="s">
        <v>2849</v>
      </c>
      <c r="C321" s="815">
        <v>3.3399999999999999E-5</v>
      </c>
      <c r="D321" s="815">
        <v>3.0300000000000001E-5</v>
      </c>
      <c r="E321" s="816">
        <v>79236</v>
      </c>
      <c r="F321" s="816" t="s">
        <v>185</v>
      </c>
      <c r="G321" s="817">
        <v>12224</v>
      </c>
      <c r="H321" s="818">
        <v>10877</v>
      </c>
      <c r="I321" s="817">
        <v>21026</v>
      </c>
      <c r="J321" s="816">
        <v>10139</v>
      </c>
      <c r="K321" s="818">
        <f t="shared" si="11"/>
        <v>54266</v>
      </c>
      <c r="L321" s="816"/>
      <c r="M321" s="817">
        <v>410</v>
      </c>
      <c r="N321" s="817">
        <v>0</v>
      </c>
      <c r="O321" s="816">
        <v>0</v>
      </c>
      <c r="P321" s="818">
        <f t="shared" si="12"/>
        <v>410</v>
      </c>
      <c r="Q321" s="816"/>
      <c r="R321" s="817">
        <v>22010</v>
      </c>
      <c r="S321" s="816">
        <v>6577</v>
      </c>
      <c r="T321" s="819">
        <v>28587</v>
      </c>
    </row>
    <row r="322" spans="1:20" x14ac:dyDescent="0.25">
      <c r="A322" s="813">
        <v>93305</v>
      </c>
      <c r="B322" s="814" t="s">
        <v>2850</v>
      </c>
      <c r="C322" s="815">
        <v>4.4799999999999998E-5</v>
      </c>
      <c r="D322" s="815">
        <v>4.6999999999999997E-5</v>
      </c>
      <c r="E322" s="816">
        <v>106281</v>
      </c>
      <c r="F322" s="816" t="s">
        <v>185</v>
      </c>
      <c r="G322" s="817">
        <v>16397</v>
      </c>
      <c r="H322" s="818">
        <v>14590</v>
      </c>
      <c r="I322" s="817">
        <v>28203</v>
      </c>
      <c r="J322" s="816">
        <v>0</v>
      </c>
      <c r="K322" s="818">
        <f t="shared" si="11"/>
        <v>59190</v>
      </c>
      <c r="L322" s="816"/>
      <c r="M322" s="817">
        <v>550</v>
      </c>
      <c r="N322" s="817">
        <v>0</v>
      </c>
      <c r="O322" s="816">
        <v>6061</v>
      </c>
      <c r="P322" s="818">
        <f t="shared" si="12"/>
        <v>6611</v>
      </c>
      <c r="Q322" s="816"/>
      <c r="R322" s="817">
        <v>29522</v>
      </c>
      <c r="S322" s="816">
        <v>-2514</v>
      </c>
      <c r="T322" s="819">
        <v>27008</v>
      </c>
    </row>
    <row r="323" spans="1:20" x14ac:dyDescent="0.25">
      <c r="A323" s="813">
        <v>93309</v>
      </c>
      <c r="B323" s="814" t="s">
        <v>2851</v>
      </c>
      <c r="C323" s="815">
        <v>1.6430000000000001E-4</v>
      </c>
      <c r="D323" s="815">
        <v>1.63E-4</v>
      </c>
      <c r="E323" s="816">
        <v>389776</v>
      </c>
      <c r="F323" s="816" t="s">
        <v>185</v>
      </c>
      <c r="G323" s="817">
        <v>60133</v>
      </c>
      <c r="H323" s="818">
        <v>53504</v>
      </c>
      <c r="I323" s="817">
        <v>103431</v>
      </c>
      <c r="J323" s="816">
        <v>30559</v>
      </c>
      <c r="K323" s="818">
        <f t="shared" si="11"/>
        <v>247627</v>
      </c>
      <c r="L323" s="816"/>
      <c r="M323" s="817">
        <v>2018</v>
      </c>
      <c r="N323" s="817">
        <v>0</v>
      </c>
      <c r="O323" s="816">
        <v>0</v>
      </c>
      <c r="P323" s="818">
        <f t="shared" si="12"/>
        <v>2018</v>
      </c>
      <c r="Q323" s="816"/>
      <c r="R323" s="817">
        <v>108269</v>
      </c>
      <c r="S323" s="816">
        <v>11215</v>
      </c>
      <c r="T323" s="819">
        <v>119484</v>
      </c>
    </row>
    <row r="324" spans="1:20" x14ac:dyDescent="0.25">
      <c r="A324" s="813">
        <v>93311</v>
      </c>
      <c r="B324" s="814" t="s">
        <v>4083</v>
      </c>
      <c r="C324" s="815">
        <v>1.2439E-3</v>
      </c>
      <c r="D324" s="815">
        <v>1.1665E-3</v>
      </c>
      <c r="E324" s="816">
        <v>2950956</v>
      </c>
      <c r="F324" s="816" t="s">
        <v>185</v>
      </c>
      <c r="G324" s="817">
        <v>455262</v>
      </c>
      <c r="H324" s="818">
        <v>405079</v>
      </c>
      <c r="I324" s="817">
        <v>783070</v>
      </c>
      <c r="J324" s="816">
        <v>22773</v>
      </c>
      <c r="K324" s="818">
        <f t="shared" si="11"/>
        <v>1666184</v>
      </c>
      <c r="L324" s="816"/>
      <c r="M324" s="817">
        <v>15276</v>
      </c>
      <c r="N324" s="817">
        <v>0</v>
      </c>
      <c r="O324" s="816">
        <v>45734</v>
      </c>
      <c r="P324" s="818">
        <f t="shared" si="12"/>
        <v>61010</v>
      </c>
      <c r="Q324" s="816"/>
      <c r="R324" s="817">
        <v>819697</v>
      </c>
      <c r="S324" s="816">
        <v>-32212</v>
      </c>
      <c r="T324" s="819">
        <v>787485</v>
      </c>
    </row>
    <row r="325" spans="1:20" x14ac:dyDescent="0.25">
      <c r="A325" s="813">
        <v>93317</v>
      </c>
      <c r="B325" s="814" t="s">
        <v>2853</v>
      </c>
      <c r="C325" s="815">
        <v>4.8300000000000002E-5</v>
      </c>
      <c r="D325" s="815">
        <v>5.0099999999999998E-5</v>
      </c>
      <c r="E325" s="816">
        <v>114584</v>
      </c>
      <c r="F325" s="816" t="s">
        <v>185</v>
      </c>
      <c r="G325" s="817">
        <v>17678</v>
      </c>
      <c r="H325" s="818">
        <v>15729</v>
      </c>
      <c r="I325" s="817">
        <v>30406</v>
      </c>
      <c r="J325" s="816">
        <v>550</v>
      </c>
      <c r="K325" s="818">
        <f t="shared" si="11"/>
        <v>64363</v>
      </c>
      <c r="L325" s="816"/>
      <c r="M325" s="817">
        <v>593</v>
      </c>
      <c r="N325" s="817">
        <v>0</v>
      </c>
      <c r="O325" s="816">
        <v>2758</v>
      </c>
      <c r="P325" s="818">
        <f t="shared" si="12"/>
        <v>3351</v>
      </c>
      <c r="Q325" s="816"/>
      <c r="R325" s="817">
        <v>31828</v>
      </c>
      <c r="S325" s="816">
        <v>-711</v>
      </c>
      <c r="T325" s="819">
        <v>31117</v>
      </c>
    </row>
    <row r="326" spans="1:20" x14ac:dyDescent="0.25">
      <c r="A326" s="813">
        <v>93321</v>
      </c>
      <c r="B326" s="814" t="s">
        <v>2854</v>
      </c>
      <c r="C326" s="815">
        <v>7.0657000000000003E-3</v>
      </c>
      <c r="D326" s="815">
        <v>7.3600000000000002E-3</v>
      </c>
      <c r="E326" s="816">
        <v>16762257</v>
      </c>
      <c r="F326" s="816" t="s">
        <v>185</v>
      </c>
      <c r="G326" s="817">
        <v>2586018</v>
      </c>
      <c r="H326" s="818">
        <v>2300960</v>
      </c>
      <c r="I326" s="817">
        <v>4448056</v>
      </c>
      <c r="J326" s="816">
        <v>0</v>
      </c>
      <c r="K326" s="818">
        <f t="shared" si="11"/>
        <v>9335034</v>
      </c>
      <c r="L326" s="816"/>
      <c r="M326" s="817">
        <v>86774</v>
      </c>
      <c r="N326" s="817">
        <v>0</v>
      </c>
      <c r="O326" s="816">
        <v>623798</v>
      </c>
      <c r="P326" s="818">
        <f t="shared" si="12"/>
        <v>710572</v>
      </c>
      <c r="Q326" s="816"/>
      <c r="R326" s="817">
        <v>4656106</v>
      </c>
      <c r="S326" s="816">
        <v>-396274</v>
      </c>
      <c r="T326" s="819">
        <v>4259832</v>
      </c>
    </row>
    <row r="327" spans="1:20" x14ac:dyDescent="0.25">
      <c r="A327" s="813">
        <v>93323</v>
      </c>
      <c r="B327" s="814" t="s">
        <v>2855</v>
      </c>
      <c r="C327" s="815">
        <v>1.9300000000000002E-5</v>
      </c>
      <c r="D327" s="815">
        <v>2.19E-5</v>
      </c>
      <c r="E327" s="816">
        <v>45786</v>
      </c>
      <c r="F327" s="816" t="s">
        <v>185</v>
      </c>
      <c r="G327" s="817">
        <v>7064</v>
      </c>
      <c r="H327" s="818">
        <v>6286</v>
      </c>
      <c r="I327" s="817">
        <v>12150</v>
      </c>
      <c r="J327" s="816">
        <v>5709</v>
      </c>
      <c r="K327" s="818">
        <f t="shared" si="11"/>
        <v>31209</v>
      </c>
      <c r="L327" s="816"/>
      <c r="M327" s="817">
        <v>237</v>
      </c>
      <c r="N327" s="817">
        <v>0</v>
      </c>
      <c r="O327" s="816">
        <v>2583</v>
      </c>
      <c r="P327" s="818">
        <f t="shared" si="12"/>
        <v>2820</v>
      </c>
      <c r="Q327" s="816"/>
      <c r="R327" s="817">
        <v>12718</v>
      </c>
      <c r="S327" s="816">
        <v>2046</v>
      </c>
      <c r="T327" s="819">
        <v>14764</v>
      </c>
    </row>
    <row r="328" spans="1:20" x14ac:dyDescent="0.25">
      <c r="A328" s="813">
        <v>93331</v>
      </c>
      <c r="B328" s="814" t="s">
        <v>4084</v>
      </c>
      <c r="C328" s="815">
        <v>1.22E-4</v>
      </c>
      <c r="D328" s="815">
        <v>1.208E-4</v>
      </c>
      <c r="E328" s="816">
        <v>289426</v>
      </c>
      <c r="F328" s="816" t="s">
        <v>185</v>
      </c>
      <c r="G328" s="817">
        <v>44652</v>
      </c>
      <c r="H328" s="818">
        <v>39730</v>
      </c>
      <c r="I328" s="817">
        <v>76802</v>
      </c>
      <c r="J328" s="816">
        <v>5671</v>
      </c>
      <c r="K328" s="818">
        <f t="shared" si="11"/>
        <v>166855</v>
      </c>
      <c r="L328" s="816"/>
      <c r="M328" s="817">
        <v>1498</v>
      </c>
      <c r="N328" s="817">
        <v>0</v>
      </c>
      <c r="O328" s="816">
        <v>6870</v>
      </c>
      <c r="P328" s="818">
        <f t="shared" si="12"/>
        <v>8368</v>
      </c>
      <c r="Q328" s="816"/>
      <c r="R328" s="817">
        <v>80395</v>
      </c>
      <c r="S328" s="816">
        <v>-1201</v>
      </c>
      <c r="T328" s="819">
        <v>79194</v>
      </c>
    </row>
    <row r="329" spans="1:20" x14ac:dyDescent="0.25">
      <c r="A329" s="813">
        <v>93333</v>
      </c>
      <c r="B329" s="814" t="s">
        <v>2857</v>
      </c>
      <c r="C329" s="815">
        <v>1.685E-4</v>
      </c>
      <c r="D329" s="815">
        <v>1.796E-4</v>
      </c>
      <c r="E329" s="816">
        <v>399740</v>
      </c>
      <c r="F329" s="816" t="s">
        <v>185</v>
      </c>
      <c r="G329" s="817">
        <v>61670</v>
      </c>
      <c r="H329" s="818">
        <v>54872</v>
      </c>
      <c r="I329" s="817">
        <v>106075</v>
      </c>
      <c r="J329" s="816">
        <v>128475</v>
      </c>
      <c r="K329" s="818">
        <f t="shared" si="11"/>
        <v>351092</v>
      </c>
      <c r="L329" s="816"/>
      <c r="M329" s="817">
        <v>2069</v>
      </c>
      <c r="N329" s="817">
        <v>0</v>
      </c>
      <c r="O329" s="816">
        <v>0</v>
      </c>
      <c r="P329" s="818">
        <f t="shared" si="12"/>
        <v>2069</v>
      </c>
      <c r="Q329" s="816"/>
      <c r="R329" s="817">
        <v>111037</v>
      </c>
      <c r="S329" s="816">
        <v>76738</v>
      </c>
      <c r="T329" s="819">
        <v>187775</v>
      </c>
    </row>
    <row r="330" spans="1:20" x14ac:dyDescent="0.25">
      <c r="A330" s="813">
        <v>93341</v>
      </c>
      <c r="B330" s="814" t="s">
        <v>4085</v>
      </c>
      <c r="C330" s="815">
        <v>2.7500000000000001E-5</v>
      </c>
      <c r="D330" s="815">
        <v>2.34E-5</v>
      </c>
      <c r="E330" s="816">
        <v>65239</v>
      </c>
      <c r="F330" s="816" t="s">
        <v>185</v>
      </c>
      <c r="G330" s="817">
        <v>10065</v>
      </c>
      <c r="H330" s="818">
        <v>8955</v>
      </c>
      <c r="I330" s="817">
        <v>17312</v>
      </c>
      <c r="J330" s="816">
        <v>4514</v>
      </c>
      <c r="K330" s="818">
        <f t="shared" si="11"/>
        <v>40846</v>
      </c>
      <c r="L330" s="816"/>
      <c r="M330" s="817">
        <v>338</v>
      </c>
      <c r="N330" s="817">
        <v>0</v>
      </c>
      <c r="O330" s="816">
        <v>647</v>
      </c>
      <c r="P330" s="818">
        <f t="shared" si="12"/>
        <v>985</v>
      </c>
      <c r="Q330" s="816"/>
      <c r="R330" s="817">
        <v>18122</v>
      </c>
      <c r="S330" s="816">
        <v>1598</v>
      </c>
      <c r="T330" s="819">
        <v>19720</v>
      </c>
    </row>
    <row r="331" spans="1:20" x14ac:dyDescent="0.25">
      <c r="A331" s="813">
        <v>93351</v>
      </c>
      <c r="B331" s="814" t="s">
        <v>4086</v>
      </c>
      <c r="C331" s="815">
        <v>1.7600000000000001E-5</v>
      </c>
      <c r="D331" s="815">
        <v>3.4E-5</v>
      </c>
      <c r="E331" s="816">
        <v>41753</v>
      </c>
      <c r="F331" s="816" t="s">
        <v>185</v>
      </c>
      <c r="G331" s="817">
        <v>6442</v>
      </c>
      <c r="H331" s="818">
        <v>5731</v>
      </c>
      <c r="I331" s="817">
        <v>11080</v>
      </c>
      <c r="J331" s="816">
        <v>13531</v>
      </c>
      <c r="K331" s="818">
        <f t="shared" si="11"/>
        <v>36784</v>
      </c>
      <c r="L331" s="816"/>
      <c r="M331" s="817">
        <v>216</v>
      </c>
      <c r="N331" s="817">
        <v>0</v>
      </c>
      <c r="O331" s="816">
        <v>12460</v>
      </c>
      <c r="P331" s="818">
        <f t="shared" si="12"/>
        <v>12676</v>
      </c>
      <c r="Q331" s="816"/>
      <c r="R331" s="817">
        <v>11598</v>
      </c>
      <c r="S331" s="816">
        <v>228</v>
      </c>
      <c r="T331" s="819">
        <v>11826</v>
      </c>
    </row>
    <row r="332" spans="1:20" x14ac:dyDescent="0.25">
      <c r="A332" s="813">
        <v>93401</v>
      </c>
      <c r="B332" s="814" t="s">
        <v>2860</v>
      </c>
      <c r="C332" s="815">
        <v>1.40187E-2</v>
      </c>
      <c r="D332" s="815">
        <v>1.3834900000000001E-2</v>
      </c>
      <c r="E332" s="816">
        <v>33257151</v>
      </c>
      <c r="F332" s="816" t="s">
        <v>185</v>
      </c>
      <c r="G332" s="817">
        <v>5130788</v>
      </c>
      <c r="H332" s="818">
        <v>4565217</v>
      </c>
      <c r="I332" s="817">
        <v>8825164</v>
      </c>
      <c r="J332" s="816">
        <v>179357</v>
      </c>
      <c r="K332" s="818">
        <f t="shared" ref="K332:K396" si="13">G332+H332+I332+J332</f>
        <v>18700526</v>
      </c>
      <c r="L332" s="816"/>
      <c r="M332" s="817">
        <v>172164</v>
      </c>
      <c r="N332" s="817">
        <v>0</v>
      </c>
      <c r="O332" s="816">
        <v>63750</v>
      </c>
      <c r="P332" s="818">
        <f t="shared" ref="P332:P396" si="14">M332+N332+O332</f>
        <v>235914</v>
      </c>
      <c r="Q332" s="816"/>
      <c r="R332" s="817">
        <v>9237945</v>
      </c>
      <c r="S332" s="816">
        <v>-44240</v>
      </c>
      <c r="T332" s="819">
        <v>9193705</v>
      </c>
    </row>
    <row r="333" spans="1:20" x14ac:dyDescent="0.25">
      <c r="A333" s="813">
        <v>93402</v>
      </c>
      <c r="B333" s="814" t="s">
        <v>2861</v>
      </c>
      <c r="C333" s="815">
        <v>9.6399999999999999E-5</v>
      </c>
      <c r="D333" s="815">
        <v>9.8800000000000003E-5</v>
      </c>
      <c r="E333" s="816">
        <v>228694</v>
      </c>
      <c r="F333" s="816" t="s">
        <v>185</v>
      </c>
      <c r="G333" s="817">
        <v>35282</v>
      </c>
      <c r="H333" s="818">
        <v>31393</v>
      </c>
      <c r="I333" s="817">
        <v>60686</v>
      </c>
      <c r="J333" s="816">
        <v>1484</v>
      </c>
      <c r="K333" s="818">
        <f t="shared" si="13"/>
        <v>128845</v>
      </c>
      <c r="L333" s="816"/>
      <c r="M333" s="817">
        <v>1184</v>
      </c>
      <c r="N333" s="817">
        <v>0</v>
      </c>
      <c r="O333" s="816">
        <v>10261</v>
      </c>
      <c r="P333" s="818">
        <f t="shared" si="14"/>
        <v>11445</v>
      </c>
      <c r="Q333" s="816"/>
      <c r="R333" s="817">
        <v>63525</v>
      </c>
      <c r="S333" s="816">
        <v>1040</v>
      </c>
      <c r="T333" s="819">
        <v>64565</v>
      </c>
    </row>
    <row r="334" spans="1:20" x14ac:dyDescent="0.25">
      <c r="A334" s="813">
        <v>93406</v>
      </c>
      <c r="B334" s="814" t="s">
        <v>2862</v>
      </c>
      <c r="C334" s="815">
        <v>5.0830000000000005E-4</v>
      </c>
      <c r="D334" s="815">
        <v>6.5059999999999998E-4</v>
      </c>
      <c r="E334" s="816">
        <v>1205861</v>
      </c>
      <c r="F334" s="816" t="s">
        <v>185</v>
      </c>
      <c r="G334" s="817">
        <v>186036</v>
      </c>
      <c r="H334" s="818">
        <v>165529</v>
      </c>
      <c r="I334" s="817">
        <v>319989</v>
      </c>
      <c r="J334" s="816">
        <v>7137</v>
      </c>
      <c r="K334" s="818">
        <f t="shared" si="13"/>
        <v>678691</v>
      </c>
      <c r="L334" s="816"/>
      <c r="M334" s="817">
        <v>6242</v>
      </c>
      <c r="N334" s="817">
        <v>0</v>
      </c>
      <c r="O334" s="816">
        <v>129835</v>
      </c>
      <c r="P334" s="818">
        <f t="shared" si="14"/>
        <v>136077</v>
      </c>
      <c r="Q334" s="816"/>
      <c r="R334" s="817">
        <v>334956</v>
      </c>
      <c r="S334" s="816">
        <v>-16548</v>
      </c>
      <c r="T334" s="819">
        <v>318408</v>
      </c>
    </row>
    <row r="335" spans="1:20" x14ac:dyDescent="0.25">
      <c r="A335" s="813">
        <v>93408</v>
      </c>
      <c r="B335" s="814" t="s">
        <v>2863</v>
      </c>
      <c r="C335" s="815">
        <v>0</v>
      </c>
      <c r="D335" s="815">
        <v>0</v>
      </c>
      <c r="E335" s="816">
        <v>0</v>
      </c>
      <c r="F335" s="816" t="s">
        <v>185</v>
      </c>
      <c r="G335" s="817">
        <v>0</v>
      </c>
      <c r="H335" s="818">
        <v>0</v>
      </c>
      <c r="I335" s="817">
        <v>0</v>
      </c>
      <c r="J335" s="816">
        <v>26519</v>
      </c>
      <c r="K335" s="818">
        <f t="shared" si="13"/>
        <v>26519</v>
      </c>
      <c r="L335" s="816"/>
      <c r="M335" s="817">
        <v>0</v>
      </c>
      <c r="N335" s="817">
        <v>0</v>
      </c>
      <c r="O335" s="816">
        <v>1164660</v>
      </c>
      <c r="P335" s="818">
        <f t="shared" si="14"/>
        <v>1164660</v>
      </c>
      <c r="Q335" s="816"/>
      <c r="R335" s="817">
        <v>0</v>
      </c>
      <c r="S335" s="816">
        <v>-293308</v>
      </c>
      <c r="T335" s="819">
        <v>-293308</v>
      </c>
    </row>
    <row r="336" spans="1:20" x14ac:dyDescent="0.25">
      <c r="A336" s="813">
        <v>93411</v>
      </c>
      <c r="B336" s="814" t="s">
        <v>2864</v>
      </c>
      <c r="C336" s="815">
        <v>1.8113199999999999E-2</v>
      </c>
      <c r="D336" s="815">
        <v>1.7454999999999998E-2</v>
      </c>
      <c r="E336" s="816">
        <v>42970705</v>
      </c>
      <c r="F336" s="816" t="s">
        <v>185</v>
      </c>
      <c r="G336" s="817">
        <v>6629359</v>
      </c>
      <c r="H336" s="818">
        <v>5898600</v>
      </c>
      <c r="I336" s="817">
        <v>11402767</v>
      </c>
      <c r="J336" s="816">
        <v>739661</v>
      </c>
      <c r="K336" s="818">
        <f t="shared" si="13"/>
        <v>24670387</v>
      </c>
      <c r="L336" s="816"/>
      <c r="M336" s="817">
        <v>222448</v>
      </c>
      <c r="N336" s="817">
        <v>0</v>
      </c>
      <c r="O336" s="816">
        <v>227877</v>
      </c>
      <c r="P336" s="818">
        <f t="shared" si="14"/>
        <v>450325</v>
      </c>
      <c r="Q336" s="816"/>
      <c r="R336" s="817">
        <v>11936110</v>
      </c>
      <c r="S336" s="816">
        <v>-166296</v>
      </c>
      <c r="T336" s="819">
        <v>11769814</v>
      </c>
    </row>
    <row r="337" spans="1:20" x14ac:dyDescent="0.25">
      <c r="A337" s="813">
        <v>93413</v>
      </c>
      <c r="B337" s="814" t="s">
        <v>2865</v>
      </c>
      <c r="C337" s="815">
        <v>7.1969999999999998E-4</v>
      </c>
      <c r="D337" s="815">
        <v>7.7070000000000003E-4</v>
      </c>
      <c r="E337" s="816">
        <v>1707375</v>
      </c>
      <c r="F337" s="816" t="s">
        <v>185</v>
      </c>
      <c r="G337" s="817">
        <v>263407</v>
      </c>
      <c r="H337" s="818">
        <v>234372</v>
      </c>
      <c r="I337" s="817">
        <v>453071</v>
      </c>
      <c r="J337" s="816">
        <v>0</v>
      </c>
      <c r="K337" s="818">
        <f t="shared" si="13"/>
        <v>950850</v>
      </c>
      <c r="L337" s="816"/>
      <c r="M337" s="817">
        <v>8839</v>
      </c>
      <c r="N337" s="817">
        <v>0</v>
      </c>
      <c r="O337" s="816">
        <v>32288</v>
      </c>
      <c r="P337" s="818">
        <f t="shared" si="14"/>
        <v>41127</v>
      </c>
      <c r="Q337" s="816"/>
      <c r="R337" s="817">
        <v>474263</v>
      </c>
      <c r="S337" s="816">
        <v>-21077</v>
      </c>
      <c r="T337" s="819">
        <v>453186</v>
      </c>
    </row>
    <row r="338" spans="1:20" x14ac:dyDescent="0.25">
      <c r="A338" s="813">
        <v>93417</v>
      </c>
      <c r="B338" s="814" t="s">
        <v>2866</v>
      </c>
      <c r="C338" s="815">
        <v>3.279E-4</v>
      </c>
      <c r="D338" s="815">
        <v>3.4430000000000002E-4</v>
      </c>
      <c r="E338" s="816">
        <v>777891</v>
      </c>
      <c r="F338" s="816" t="s">
        <v>185</v>
      </c>
      <c r="G338" s="817">
        <v>120010</v>
      </c>
      <c r="H338" s="818">
        <v>106782</v>
      </c>
      <c r="I338" s="817">
        <v>206422</v>
      </c>
      <c r="J338" s="816">
        <v>10888</v>
      </c>
      <c r="K338" s="818">
        <f t="shared" si="13"/>
        <v>444102</v>
      </c>
      <c r="L338" s="816"/>
      <c r="M338" s="817">
        <v>4027</v>
      </c>
      <c r="N338" s="817">
        <v>0</v>
      </c>
      <c r="O338" s="816">
        <v>24803</v>
      </c>
      <c r="P338" s="818">
        <f t="shared" si="14"/>
        <v>28830</v>
      </c>
      <c r="Q338" s="816"/>
      <c r="R338" s="817">
        <v>216077</v>
      </c>
      <c r="S338" s="816">
        <v>8121</v>
      </c>
      <c r="T338" s="819">
        <v>224198</v>
      </c>
    </row>
    <row r="339" spans="1:20" x14ac:dyDescent="0.25">
      <c r="A339" s="813">
        <v>93421</v>
      </c>
      <c r="B339" s="814" t="s">
        <v>4087</v>
      </c>
      <c r="C339" s="815">
        <v>2.1354999999999998E-3</v>
      </c>
      <c r="D339" s="815">
        <v>2.1294999999999999E-3</v>
      </c>
      <c r="E339" s="816">
        <v>5066136</v>
      </c>
      <c r="F339" s="816" t="s">
        <v>185</v>
      </c>
      <c r="G339" s="817">
        <v>781584</v>
      </c>
      <c r="H339" s="818">
        <v>695430</v>
      </c>
      <c r="I339" s="817">
        <v>1344357</v>
      </c>
      <c r="J339" s="816">
        <v>0</v>
      </c>
      <c r="K339" s="818">
        <f t="shared" si="13"/>
        <v>2821371</v>
      </c>
      <c r="L339" s="816"/>
      <c r="M339" s="817">
        <v>26226</v>
      </c>
      <c r="N339" s="817">
        <v>0</v>
      </c>
      <c r="O339" s="816">
        <v>215571</v>
      </c>
      <c r="P339" s="818">
        <f t="shared" si="14"/>
        <v>241797</v>
      </c>
      <c r="Q339" s="816"/>
      <c r="R339" s="817">
        <v>1407237</v>
      </c>
      <c r="S339" s="816">
        <v>-143206</v>
      </c>
      <c r="T339" s="819">
        <v>1264031</v>
      </c>
    </row>
    <row r="340" spans="1:20" x14ac:dyDescent="0.25">
      <c r="A340" s="813">
        <v>93431</v>
      </c>
      <c r="B340" s="814" t="s">
        <v>4088</v>
      </c>
      <c r="C340" s="815">
        <v>1.393E-4</v>
      </c>
      <c r="D340" s="815">
        <v>1.2689999999999999E-4</v>
      </c>
      <c r="E340" s="816">
        <v>330467</v>
      </c>
      <c r="F340" s="816" t="s">
        <v>185</v>
      </c>
      <c r="G340" s="817">
        <v>50983</v>
      </c>
      <c r="H340" s="818">
        <v>45363</v>
      </c>
      <c r="I340" s="817">
        <v>87693</v>
      </c>
      <c r="J340" s="816">
        <v>17651</v>
      </c>
      <c r="K340" s="818">
        <f t="shared" si="13"/>
        <v>201690</v>
      </c>
      <c r="L340" s="816"/>
      <c r="M340" s="817">
        <v>1711</v>
      </c>
      <c r="N340" s="817">
        <v>0</v>
      </c>
      <c r="O340" s="816">
        <v>3344</v>
      </c>
      <c r="P340" s="818">
        <f t="shared" si="14"/>
        <v>5055</v>
      </c>
      <c r="Q340" s="816"/>
      <c r="R340" s="817">
        <v>91795</v>
      </c>
      <c r="S340" s="816">
        <v>3930</v>
      </c>
      <c r="T340" s="819">
        <v>95725</v>
      </c>
    </row>
    <row r="341" spans="1:20" x14ac:dyDescent="0.25">
      <c r="A341" s="813">
        <v>93441</v>
      </c>
      <c r="B341" s="814" t="s">
        <v>4089</v>
      </c>
      <c r="C341" s="815">
        <v>1.651E-4</v>
      </c>
      <c r="D341" s="815">
        <v>1.54E-4</v>
      </c>
      <c r="E341" s="816">
        <v>391674</v>
      </c>
      <c r="F341" s="816" t="s">
        <v>185</v>
      </c>
      <c r="G341" s="817">
        <v>60426</v>
      </c>
      <c r="H341" s="818">
        <v>53765</v>
      </c>
      <c r="I341" s="817">
        <v>103935</v>
      </c>
      <c r="J341" s="816">
        <v>21962</v>
      </c>
      <c r="K341" s="818">
        <f t="shared" si="13"/>
        <v>240088</v>
      </c>
      <c r="L341" s="816"/>
      <c r="M341" s="817">
        <v>2028</v>
      </c>
      <c r="N341" s="817">
        <v>0</v>
      </c>
      <c r="O341" s="816">
        <v>0</v>
      </c>
      <c r="P341" s="818">
        <f t="shared" si="14"/>
        <v>2028</v>
      </c>
      <c r="Q341" s="816"/>
      <c r="R341" s="817">
        <v>108796</v>
      </c>
      <c r="S341" s="816">
        <v>16238</v>
      </c>
      <c r="T341" s="819">
        <v>125034</v>
      </c>
    </row>
    <row r="342" spans="1:20" x14ac:dyDescent="0.25">
      <c r="A342" s="813">
        <v>93442</v>
      </c>
      <c r="B342" s="814" t="s">
        <v>2870</v>
      </c>
      <c r="C342" s="815">
        <v>1.5139999999999999E-4</v>
      </c>
      <c r="D342" s="815">
        <v>1.505E-4</v>
      </c>
      <c r="E342" s="816">
        <v>359173</v>
      </c>
      <c r="F342" s="816" t="s">
        <v>185</v>
      </c>
      <c r="G342" s="817">
        <v>55412</v>
      </c>
      <c r="H342" s="818">
        <v>49304</v>
      </c>
      <c r="I342" s="817">
        <v>95311</v>
      </c>
      <c r="J342" s="816">
        <v>2596</v>
      </c>
      <c r="K342" s="818">
        <f t="shared" si="13"/>
        <v>202623</v>
      </c>
      <c r="L342" s="816"/>
      <c r="M342" s="817">
        <v>1859</v>
      </c>
      <c r="N342" s="817">
        <v>0</v>
      </c>
      <c r="O342" s="816">
        <v>18150</v>
      </c>
      <c r="P342" s="818">
        <f t="shared" si="14"/>
        <v>20009</v>
      </c>
      <c r="Q342" s="816"/>
      <c r="R342" s="817">
        <v>99769</v>
      </c>
      <c r="S342" s="816">
        <v>-7850</v>
      </c>
      <c r="T342" s="819">
        <v>91919</v>
      </c>
    </row>
    <row r="343" spans="1:20" x14ac:dyDescent="0.25">
      <c r="A343" s="813">
        <v>93451</v>
      </c>
      <c r="B343" s="814" t="s">
        <v>4090</v>
      </c>
      <c r="C343" s="815">
        <v>7.9599999999999997E-5</v>
      </c>
      <c r="D343" s="815">
        <v>7.0900000000000002E-5</v>
      </c>
      <c r="E343" s="816">
        <v>188838</v>
      </c>
      <c r="F343" s="816" t="s">
        <v>185</v>
      </c>
      <c r="G343" s="817">
        <v>29133</v>
      </c>
      <c r="H343" s="818">
        <v>25922</v>
      </c>
      <c r="I343" s="817">
        <v>50110</v>
      </c>
      <c r="J343" s="816">
        <v>21182</v>
      </c>
      <c r="K343" s="818">
        <f t="shared" si="13"/>
        <v>126347</v>
      </c>
      <c r="L343" s="816"/>
      <c r="M343" s="817">
        <v>978</v>
      </c>
      <c r="N343" s="817">
        <v>0</v>
      </c>
      <c r="O343" s="816">
        <v>0</v>
      </c>
      <c r="P343" s="818">
        <f t="shared" si="14"/>
        <v>978</v>
      </c>
      <c r="Q343" s="816"/>
      <c r="R343" s="817">
        <v>52454</v>
      </c>
      <c r="S343" s="816">
        <v>8104</v>
      </c>
      <c r="T343" s="819">
        <v>60558</v>
      </c>
    </row>
    <row r="344" spans="1:20" x14ac:dyDescent="0.25">
      <c r="A344" s="813">
        <v>93461</v>
      </c>
      <c r="B344" s="814" t="s">
        <v>4091</v>
      </c>
      <c r="C344" s="815">
        <v>1.6200000000000001E-5</v>
      </c>
      <c r="D344" s="815">
        <v>1.66E-5</v>
      </c>
      <c r="E344" s="816">
        <v>38432</v>
      </c>
      <c r="F344" s="816" t="s">
        <v>185</v>
      </c>
      <c r="G344" s="817">
        <v>5929</v>
      </c>
      <c r="H344" s="818">
        <v>5275</v>
      </c>
      <c r="I344" s="817">
        <v>10198</v>
      </c>
      <c r="J344" s="816">
        <v>707</v>
      </c>
      <c r="K344" s="818">
        <f t="shared" si="13"/>
        <v>22109</v>
      </c>
      <c r="L344" s="816"/>
      <c r="M344" s="817">
        <v>199</v>
      </c>
      <c r="N344" s="817">
        <v>0</v>
      </c>
      <c r="O344" s="816">
        <v>0</v>
      </c>
      <c r="P344" s="818">
        <f t="shared" si="14"/>
        <v>199</v>
      </c>
      <c r="Q344" s="816"/>
      <c r="R344" s="817">
        <v>10675</v>
      </c>
      <c r="S344" s="816">
        <v>351</v>
      </c>
      <c r="T344" s="819">
        <v>11026</v>
      </c>
    </row>
    <row r="345" spans="1:20" x14ac:dyDescent="0.25">
      <c r="A345" s="813">
        <v>93471</v>
      </c>
      <c r="B345" s="814" t="s">
        <v>4092</v>
      </c>
      <c r="C345" s="815">
        <v>1.15E-5</v>
      </c>
      <c r="D345" s="815">
        <v>1.31E-5</v>
      </c>
      <c r="E345" s="816">
        <v>27282</v>
      </c>
      <c r="F345" s="816" t="s">
        <v>185</v>
      </c>
      <c r="G345" s="817">
        <v>4209</v>
      </c>
      <c r="H345" s="818">
        <v>3745</v>
      </c>
      <c r="I345" s="817">
        <v>7240</v>
      </c>
      <c r="J345" s="816">
        <v>4442</v>
      </c>
      <c r="K345" s="818">
        <f t="shared" si="13"/>
        <v>19636</v>
      </c>
      <c r="L345" s="816"/>
      <c r="M345" s="817">
        <v>141</v>
      </c>
      <c r="N345" s="817">
        <v>0</v>
      </c>
      <c r="O345" s="816">
        <v>0</v>
      </c>
      <c r="P345" s="818">
        <f t="shared" si="14"/>
        <v>141</v>
      </c>
      <c r="Q345" s="816"/>
      <c r="R345" s="817">
        <v>7578</v>
      </c>
      <c r="S345" s="816">
        <v>1610</v>
      </c>
      <c r="T345" s="819">
        <v>9188</v>
      </c>
    </row>
    <row r="346" spans="1:20" x14ac:dyDescent="0.25">
      <c r="A346" s="813">
        <v>93501</v>
      </c>
      <c r="B346" s="814" t="s">
        <v>2874</v>
      </c>
      <c r="C346" s="815">
        <v>3.6803000000000001E-3</v>
      </c>
      <c r="D346" s="815">
        <v>3.6113999999999999E-3</v>
      </c>
      <c r="E346" s="816">
        <v>8730930</v>
      </c>
      <c r="F346" s="816" t="s">
        <v>185</v>
      </c>
      <c r="G346" s="817">
        <v>1346975</v>
      </c>
      <c r="H346" s="818">
        <v>1198497</v>
      </c>
      <c r="I346" s="817">
        <v>2316852</v>
      </c>
      <c r="J346" s="816">
        <v>177586</v>
      </c>
      <c r="K346" s="818">
        <f t="shared" si="13"/>
        <v>5039910</v>
      </c>
      <c r="L346" s="816"/>
      <c r="M346" s="817">
        <v>45198</v>
      </c>
      <c r="N346" s="817">
        <v>0</v>
      </c>
      <c r="O346" s="816">
        <v>37454</v>
      </c>
      <c r="P346" s="818">
        <f t="shared" si="14"/>
        <v>82652</v>
      </c>
      <c r="Q346" s="816"/>
      <c r="R346" s="817">
        <v>2425218</v>
      </c>
      <c r="S346" s="816">
        <v>100778</v>
      </c>
      <c r="T346" s="819">
        <v>2525996</v>
      </c>
    </row>
    <row r="347" spans="1:20" x14ac:dyDescent="0.25">
      <c r="A347" s="813">
        <v>93511</v>
      </c>
      <c r="B347" s="814" t="s">
        <v>4093</v>
      </c>
      <c r="C347" s="815">
        <v>8.8800000000000004E-5</v>
      </c>
      <c r="D347" s="815">
        <v>8.8300000000000005E-5</v>
      </c>
      <c r="E347" s="816">
        <v>210664</v>
      </c>
      <c r="F347" s="816" t="s">
        <v>185</v>
      </c>
      <c r="G347" s="817">
        <v>32500</v>
      </c>
      <c r="H347" s="818">
        <v>28917</v>
      </c>
      <c r="I347" s="817">
        <v>55902</v>
      </c>
      <c r="J347" s="816">
        <v>5601</v>
      </c>
      <c r="K347" s="818">
        <f t="shared" si="13"/>
        <v>122920</v>
      </c>
      <c r="L347" s="816"/>
      <c r="M347" s="817">
        <v>1091</v>
      </c>
      <c r="N347" s="817">
        <v>0</v>
      </c>
      <c r="O347" s="816">
        <v>8503</v>
      </c>
      <c r="P347" s="818">
        <f t="shared" si="14"/>
        <v>9594</v>
      </c>
      <c r="Q347" s="816"/>
      <c r="R347" s="817">
        <v>58517</v>
      </c>
      <c r="S347" s="816">
        <v>-1309</v>
      </c>
      <c r="T347" s="819">
        <v>57208</v>
      </c>
    </row>
    <row r="348" spans="1:20" x14ac:dyDescent="0.25">
      <c r="A348" s="813">
        <v>93517</v>
      </c>
      <c r="B348" s="814" t="s">
        <v>2876</v>
      </c>
      <c r="C348" s="815">
        <v>5.0000000000000004E-6</v>
      </c>
      <c r="D348" s="815">
        <v>6.0000000000000002E-6</v>
      </c>
      <c r="E348" s="816">
        <v>11862</v>
      </c>
      <c r="F348" s="816" t="s">
        <v>185</v>
      </c>
      <c r="G348" s="817">
        <v>1830</v>
      </c>
      <c r="H348" s="818">
        <v>1628</v>
      </c>
      <c r="I348" s="817">
        <v>3148</v>
      </c>
      <c r="J348" s="816">
        <v>2812</v>
      </c>
      <c r="K348" s="818">
        <f t="shared" si="13"/>
        <v>9418</v>
      </c>
      <c r="L348" s="816"/>
      <c r="M348" s="817">
        <v>61</v>
      </c>
      <c r="N348" s="817">
        <v>0</v>
      </c>
      <c r="O348" s="816">
        <v>0</v>
      </c>
      <c r="P348" s="818">
        <f t="shared" si="14"/>
        <v>61</v>
      </c>
      <c r="Q348" s="816"/>
      <c r="R348" s="817">
        <v>3295</v>
      </c>
      <c r="S348" s="816">
        <v>1016</v>
      </c>
      <c r="T348" s="819">
        <v>4311</v>
      </c>
    </row>
    <row r="349" spans="1:20" x14ac:dyDescent="0.25">
      <c r="A349" s="813">
        <v>93521</v>
      </c>
      <c r="B349" s="814" t="s">
        <v>4094</v>
      </c>
      <c r="C349" s="815">
        <v>4.639E-4</v>
      </c>
      <c r="D349" s="815">
        <v>4.5649999999999998E-4</v>
      </c>
      <c r="E349" s="816">
        <v>1100529</v>
      </c>
      <c r="F349" s="816" t="s">
        <v>185</v>
      </c>
      <c r="G349" s="817">
        <v>169786</v>
      </c>
      <c r="H349" s="818">
        <v>151070</v>
      </c>
      <c r="I349" s="817">
        <v>292038</v>
      </c>
      <c r="J349" s="816">
        <v>6931</v>
      </c>
      <c r="K349" s="818">
        <f t="shared" si="13"/>
        <v>619825</v>
      </c>
      <c r="L349" s="816"/>
      <c r="M349" s="817">
        <v>5697</v>
      </c>
      <c r="N349" s="817">
        <v>0</v>
      </c>
      <c r="O349" s="816">
        <v>52279</v>
      </c>
      <c r="P349" s="818">
        <f t="shared" si="14"/>
        <v>57976</v>
      </c>
      <c r="Q349" s="816"/>
      <c r="R349" s="817">
        <v>305698</v>
      </c>
      <c r="S349" s="816">
        <v>-19233</v>
      </c>
      <c r="T349" s="819">
        <v>286465</v>
      </c>
    </row>
    <row r="350" spans="1:20" x14ac:dyDescent="0.25">
      <c r="A350" s="813">
        <v>93527</v>
      </c>
      <c r="B350" s="814" t="s">
        <v>2878</v>
      </c>
      <c r="C350" s="815">
        <v>1.2799999999999999E-5</v>
      </c>
      <c r="D350" s="815">
        <v>1.2099999999999999E-5</v>
      </c>
      <c r="E350" s="816">
        <v>30366</v>
      </c>
      <c r="F350" s="816" t="s">
        <v>185</v>
      </c>
      <c r="G350" s="817">
        <v>4685</v>
      </c>
      <c r="H350" s="818">
        <v>4168</v>
      </c>
      <c r="I350" s="817">
        <v>8058</v>
      </c>
      <c r="J350" s="816">
        <v>13477</v>
      </c>
      <c r="K350" s="818">
        <f t="shared" si="13"/>
        <v>30388</v>
      </c>
      <c r="L350" s="816"/>
      <c r="M350" s="817">
        <v>157</v>
      </c>
      <c r="N350" s="817">
        <v>0</v>
      </c>
      <c r="O350" s="816">
        <v>0</v>
      </c>
      <c r="P350" s="818">
        <f t="shared" si="14"/>
        <v>157</v>
      </c>
      <c r="Q350" s="816"/>
      <c r="R350" s="817">
        <v>8435</v>
      </c>
      <c r="S350" s="816">
        <v>6937</v>
      </c>
      <c r="T350" s="819">
        <v>15372</v>
      </c>
    </row>
    <row r="351" spans="1:20" x14ac:dyDescent="0.25">
      <c r="A351" s="813">
        <v>93531</v>
      </c>
      <c r="B351" s="814" t="s">
        <v>4095</v>
      </c>
      <c r="C351" s="815">
        <v>3.0700000000000001E-5</v>
      </c>
      <c r="D351" s="815">
        <v>1.7E-5</v>
      </c>
      <c r="E351" s="816">
        <v>72831</v>
      </c>
      <c r="F351" s="816" t="s">
        <v>185</v>
      </c>
      <c r="G351" s="817">
        <v>11236</v>
      </c>
      <c r="H351" s="818">
        <v>9997</v>
      </c>
      <c r="I351" s="817">
        <v>19327</v>
      </c>
      <c r="J351" s="816">
        <v>7722</v>
      </c>
      <c r="K351" s="818">
        <f t="shared" si="13"/>
        <v>48282</v>
      </c>
      <c r="L351" s="816"/>
      <c r="M351" s="817">
        <v>377</v>
      </c>
      <c r="N351" s="817">
        <v>0</v>
      </c>
      <c r="O351" s="816">
        <v>1264</v>
      </c>
      <c r="P351" s="818">
        <f t="shared" si="14"/>
        <v>1641</v>
      </c>
      <c r="Q351" s="816"/>
      <c r="R351" s="817">
        <v>20230</v>
      </c>
      <c r="S351" s="816">
        <v>601</v>
      </c>
      <c r="T351" s="819">
        <v>20831</v>
      </c>
    </row>
    <row r="352" spans="1:20" x14ac:dyDescent="0.25">
      <c r="A352" s="813">
        <v>93537</v>
      </c>
      <c r="B352" s="814" t="s">
        <v>4096</v>
      </c>
      <c r="C352" s="815">
        <v>1.1E-5</v>
      </c>
      <c r="D352" s="815">
        <v>1.1199999999999999E-5</v>
      </c>
      <c r="E352" s="816">
        <v>26096</v>
      </c>
      <c r="F352" s="816" t="s">
        <v>185</v>
      </c>
      <c r="G352" s="817">
        <v>4026</v>
      </c>
      <c r="H352" s="818">
        <v>3582</v>
      </c>
      <c r="I352" s="817">
        <v>6925</v>
      </c>
      <c r="J352" s="816">
        <v>0</v>
      </c>
      <c r="K352" s="818">
        <f t="shared" si="13"/>
        <v>14533</v>
      </c>
      <c r="L352" s="816"/>
      <c r="M352" s="817">
        <v>135</v>
      </c>
      <c r="N352" s="817">
        <v>0</v>
      </c>
      <c r="O352" s="816">
        <v>2378</v>
      </c>
      <c r="P352" s="818">
        <f t="shared" si="14"/>
        <v>2513</v>
      </c>
      <c r="Q352" s="816"/>
      <c r="R352" s="817">
        <v>7249</v>
      </c>
      <c r="S352" s="816">
        <v>-840</v>
      </c>
      <c r="T352" s="819">
        <v>6409</v>
      </c>
    </row>
    <row r="353" spans="1:20" x14ac:dyDescent="0.25">
      <c r="A353" s="813">
        <v>93541</v>
      </c>
      <c r="B353" s="814" t="s">
        <v>4097</v>
      </c>
      <c r="C353" s="815">
        <v>8.9800000000000001E-5</v>
      </c>
      <c r="D353" s="815">
        <v>1.0560000000000001E-4</v>
      </c>
      <c r="E353" s="816">
        <v>213036</v>
      </c>
      <c r="F353" s="816" t="s">
        <v>185</v>
      </c>
      <c r="G353" s="817">
        <v>32866</v>
      </c>
      <c r="H353" s="818">
        <v>29244</v>
      </c>
      <c r="I353" s="817">
        <v>56532</v>
      </c>
      <c r="J353" s="816">
        <v>226</v>
      </c>
      <c r="K353" s="818">
        <f t="shared" si="13"/>
        <v>118868</v>
      </c>
      <c r="L353" s="816"/>
      <c r="M353" s="817">
        <v>1103</v>
      </c>
      <c r="N353" s="817">
        <v>0</v>
      </c>
      <c r="O353" s="816">
        <v>5147</v>
      </c>
      <c r="P353" s="818">
        <f t="shared" si="14"/>
        <v>6250</v>
      </c>
      <c r="Q353" s="816"/>
      <c r="R353" s="817">
        <v>59176</v>
      </c>
      <c r="S353" s="816">
        <v>2777</v>
      </c>
      <c r="T353" s="819">
        <v>61953</v>
      </c>
    </row>
    <row r="354" spans="1:20" x14ac:dyDescent="0.25">
      <c r="A354" s="813">
        <v>93601</v>
      </c>
      <c r="B354" s="814" t="s">
        <v>2882</v>
      </c>
      <c r="C354" s="815">
        <v>1.11494E-2</v>
      </c>
      <c r="D354" s="815">
        <v>1.0721400000000001E-2</v>
      </c>
      <c r="E354" s="816">
        <v>26450190</v>
      </c>
      <c r="F354" s="816" t="s">
        <v>185</v>
      </c>
      <c r="G354" s="817">
        <v>4080636</v>
      </c>
      <c r="H354" s="818">
        <v>3630824</v>
      </c>
      <c r="I354" s="817">
        <v>7018859</v>
      </c>
      <c r="J354" s="816">
        <v>430627</v>
      </c>
      <c r="K354" s="818">
        <f t="shared" si="13"/>
        <v>15160946</v>
      </c>
      <c r="L354" s="816"/>
      <c r="M354" s="817">
        <v>136926</v>
      </c>
      <c r="N354" s="817">
        <v>0</v>
      </c>
      <c r="O354" s="816">
        <v>172766</v>
      </c>
      <c r="P354" s="818">
        <f t="shared" si="14"/>
        <v>309692</v>
      </c>
      <c r="Q354" s="816"/>
      <c r="R354" s="817">
        <v>7347154</v>
      </c>
      <c r="S354" s="816">
        <v>9789</v>
      </c>
      <c r="T354" s="819">
        <v>7356943</v>
      </c>
    </row>
    <row r="355" spans="1:20" x14ac:dyDescent="0.25">
      <c r="A355" s="813">
        <v>93602</v>
      </c>
      <c r="B355" s="814" t="s">
        <v>4098</v>
      </c>
      <c r="C355" s="815">
        <v>1.8340000000000001E-4</v>
      </c>
      <c r="D355" s="815">
        <v>1.7540000000000001E-4</v>
      </c>
      <c r="E355" s="816">
        <v>435088</v>
      </c>
      <c r="F355" s="816" t="s">
        <v>185</v>
      </c>
      <c r="G355" s="817">
        <v>67124</v>
      </c>
      <c r="H355" s="818">
        <v>59724</v>
      </c>
      <c r="I355" s="817">
        <v>115455</v>
      </c>
      <c r="J355" s="816">
        <v>10138</v>
      </c>
      <c r="K355" s="818">
        <f t="shared" si="13"/>
        <v>252441</v>
      </c>
      <c r="L355" s="816"/>
      <c r="M355" s="817">
        <v>2252</v>
      </c>
      <c r="N355" s="817">
        <v>0</v>
      </c>
      <c r="O355" s="816">
        <v>6076</v>
      </c>
      <c r="P355" s="818">
        <f t="shared" si="14"/>
        <v>8328</v>
      </c>
      <c r="Q355" s="816"/>
      <c r="R355" s="817">
        <v>120856</v>
      </c>
      <c r="S355" s="816">
        <v>-1090</v>
      </c>
      <c r="T355" s="819">
        <v>119766</v>
      </c>
    </row>
    <row r="356" spans="1:20" x14ac:dyDescent="0.25">
      <c r="A356" s="813">
        <v>93604</v>
      </c>
      <c r="B356" s="820" t="s">
        <v>4099</v>
      </c>
      <c r="C356" s="815">
        <v>2.0100000000000001E-5</v>
      </c>
      <c r="D356" s="815">
        <v>0</v>
      </c>
      <c r="E356" s="816">
        <v>47684</v>
      </c>
      <c r="F356" s="816" t="s">
        <v>185</v>
      </c>
      <c r="G356" s="817">
        <v>7357</v>
      </c>
      <c r="H356" s="818">
        <v>6545</v>
      </c>
      <c r="I356" s="817">
        <v>12654</v>
      </c>
      <c r="J356" s="816">
        <v>19602</v>
      </c>
      <c r="K356" s="818">
        <f t="shared" si="13"/>
        <v>46158</v>
      </c>
      <c r="L356" s="816"/>
      <c r="M356" s="817">
        <v>247</v>
      </c>
      <c r="N356" s="817">
        <v>0</v>
      </c>
      <c r="O356" s="816">
        <v>0</v>
      </c>
      <c r="P356" s="818">
        <f t="shared" si="14"/>
        <v>247</v>
      </c>
      <c r="Q356" s="816"/>
      <c r="R356" s="817">
        <v>13245</v>
      </c>
      <c r="S356" s="816">
        <v>4900</v>
      </c>
      <c r="T356" s="819">
        <v>18145</v>
      </c>
    </row>
    <row r="357" spans="1:20" x14ac:dyDescent="0.25">
      <c r="A357" s="813">
        <v>93609</v>
      </c>
      <c r="B357" s="814" t="s">
        <v>2884</v>
      </c>
      <c r="C357" s="815">
        <v>3.9097000000000003E-3</v>
      </c>
      <c r="D357" s="815">
        <v>3.7629999999999999E-3</v>
      </c>
      <c r="E357" s="816">
        <v>9275146</v>
      </c>
      <c r="F357" s="816" t="s">
        <v>185</v>
      </c>
      <c r="G357" s="817">
        <v>1430935</v>
      </c>
      <c r="H357" s="818">
        <v>1273202</v>
      </c>
      <c r="I357" s="817">
        <v>2461266</v>
      </c>
      <c r="J357" s="816">
        <v>502120</v>
      </c>
      <c r="K357" s="818">
        <f t="shared" si="13"/>
        <v>5667523</v>
      </c>
      <c r="L357" s="816"/>
      <c r="M357" s="817">
        <v>48015</v>
      </c>
      <c r="N357" s="817">
        <v>0</v>
      </c>
      <c r="O357" s="816">
        <v>0</v>
      </c>
      <c r="P357" s="818">
        <f t="shared" si="14"/>
        <v>48015</v>
      </c>
      <c r="Q357" s="816"/>
      <c r="R357" s="817">
        <v>2576387</v>
      </c>
      <c r="S357" s="816">
        <v>367709</v>
      </c>
      <c r="T357" s="819">
        <v>2944096</v>
      </c>
    </row>
    <row r="358" spans="1:20" x14ac:dyDescent="0.25">
      <c r="A358" s="813">
        <v>93610</v>
      </c>
      <c r="B358" s="814" t="s">
        <v>4100</v>
      </c>
      <c r="C358" s="815">
        <v>1.5500000000000001E-5</v>
      </c>
      <c r="D358" s="815">
        <v>1.33E-5</v>
      </c>
      <c r="E358" s="816">
        <v>36771</v>
      </c>
      <c r="F358" s="816" t="s">
        <v>185</v>
      </c>
      <c r="G358" s="817">
        <v>5673</v>
      </c>
      <c r="H358" s="818">
        <v>5047</v>
      </c>
      <c r="I358" s="817">
        <v>9758</v>
      </c>
      <c r="J358" s="816">
        <v>4558</v>
      </c>
      <c r="K358" s="818">
        <f t="shared" si="13"/>
        <v>25036</v>
      </c>
      <c r="L358" s="816"/>
      <c r="M358" s="817">
        <v>190</v>
      </c>
      <c r="N358" s="817">
        <v>0</v>
      </c>
      <c r="O358" s="816">
        <v>2193</v>
      </c>
      <c r="P358" s="818">
        <f t="shared" si="14"/>
        <v>2383</v>
      </c>
      <c r="Q358" s="816"/>
      <c r="R358" s="817">
        <v>10214</v>
      </c>
      <c r="S358" s="816">
        <v>1404</v>
      </c>
      <c r="T358" s="819">
        <v>11618</v>
      </c>
    </row>
    <row r="359" spans="1:20" x14ac:dyDescent="0.25">
      <c r="A359" s="813">
        <v>93611</v>
      </c>
      <c r="B359" s="814" t="s">
        <v>2886</v>
      </c>
      <c r="C359" s="815">
        <v>6.9170000000000004E-3</v>
      </c>
      <c r="D359" s="815">
        <v>6.9544000000000003E-3</v>
      </c>
      <c r="E359" s="816">
        <v>16409490</v>
      </c>
      <c r="F359" s="816" t="s">
        <v>185</v>
      </c>
      <c r="G359" s="817">
        <v>2531594</v>
      </c>
      <c r="H359" s="818">
        <v>2252535</v>
      </c>
      <c r="I359" s="817">
        <v>4354445</v>
      </c>
      <c r="J359" s="816">
        <v>45861</v>
      </c>
      <c r="K359" s="818">
        <f t="shared" si="13"/>
        <v>9184435</v>
      </c>
      <c r="L359" s="816"/>
      <c r="M359" s="817">
        <v>84948</v>
      </c>
      <c r="N359" s="817">
        <v>0</v>
      </c>
      <c r="O359" s="816">
        <v>74749</v>
      </c>
      <c r="P359" s="818">
        <f t="shared" si="14"/>
        <v>159697</v>
      </c>
      <c r="Q359" s="816"/>
      <c r="R359" s="817">
        <v>4558116</v>
      </c>
      <c r="S359" s="816">
        <v>-105909</v>
      </c>
      <c r="T359" s="819">
        <v>4452207</v>
      </c>
    </row>
    <row r="360" spans="1:20" x14ac:dyDescent="0.25">
      <c r="A360" s="813">
        <v>93617</v>
      </c>
      <c r="B360" s="814" t="s">
        <v>2887</v>
      </c>
      <c r="C360" s="815">
        <v>8.7499999999999999E-5</v>
      </c>
      <c r="D360" s="815">
        <v>8.2799999999999993E-5</v>
      </c>
      <c r="E360" s="816">
        <v>207580</v>
      </c>
      <c r="F360" s="816" t="s">
        <v>185</v>
      </c>
      <c r="G360" s="817">
        <v>32025</v>
      </c>
      <c r="H360" s="818">
        <v>28494</v>
      </c>
      <c r="I360" s="817">
        <v>55084</v>
      </c>
      <c r="J360" s="816">
        <v>21712</v>
      </c>
      <c r="K360" s="818">
        <f t="shared" si="13"/>
        <v>137315</v>
      </c>
      <c r="L360" s="816"/>
      <c r="M360" s="817">
        <v>1075</v>
      </c>
      <c r="N360" s="817">
        <v>0</v>
      </c>
      <c r="O360" s="816">
        <v>0</v>
      </c>
      <c r="P360" s="818">
        <f t="shared" si="14"/>
        <v>1075</v>
      </c>
      <c r="Q360" s="816"/>
      <c r="R360" s="817">
        <v>57660</v>
      </c>
      <c r="S360" s="816">
        <v>13203</v>
      </c>
      <c r="T360" s="819">
        <v>70863</v>
      </c>
    </row>
    <row r="361" spans="1:20" x14ac:dyDescent="0.25">
      <c r="A361" s="813">
        <v>93618</v>
      </c>
      <c r="B361" s="814" t="s">
        <v>2888</v>
      </c>
      <c r="C361" s="815">
        <v>1.03E-5</v>
      </c>
      <c r="D361" s="815">
        <v>1.11E-5</v>
      </c>
      <c r="E361" s="816">
        <v>24435</v>
      </c>
      <c r="F361" s="816" t="s">
        <v>185</v>
      </c>
      <c r="G361" s="817">
        <v>3770</v>
      </c>
      <c r="H361" s="818">
        <v>3354</v>
      </c>
      <c r="I361" s="817">
        <v>6484</v>
      </c>
      <c r="J361" s="816">
        <v>36884</v>
      </c>
      <c r="K361" s="818">
        <f t="shared" si="13"/>
        <v>50492</v>
      </c>
      <c r="L361" s="816"/>
      <c r="M361" s="817">
        <v>126</v>
      </c>
      <c r="N361" s="817">
        <v>0</v>
      </c>
      <c r="O361" s="816">
        <v>0</v>
      </c>
      <c r="P361" s="818">
        <f t="shared" si="14"/>
        <v>126</v>
      </c>
      <c r="Q361" s="816"/>
      <c r="R361" s="817">
        <v>6787</v>
      </c>
      <c r="S361" s="816">
        <v>16035</v>
      </c>
      <c r="T361" s="819">
        <v>22822</v>
      </c>
    </row>
    <row r="362" spans="1:20" x14ac:dyDescent="0.25">
      <c r="A362" s="813">
        <v>93621</v>
      </c>
      <c r="B362" s="814" t="s">
        <v>2889</v>
      </c>
      <c r="C362" s="815">
        <v>1.0273000000000001E-3</v>
      </c>
      <c r="D362" s="815">
        <v>9.5719999999999996E-4</v>
      </c>
      <c r="E362" s="816">
        <v>2437107</v>
      </c>
      <c r="F362" s="816" t="s">
        <v>185</v>
      </c>
      <c r="G362" s="817">
        <v>375988</v>
      </c>
      <c r="H362" s="818">
        <v>334542</v>
      </c>
      <c r="I362" s="817">
        <v>646714</v>
      </c>
      <c r="J362" s="816">
        <v>51082</v>
      </c>
      <c r="K362" s="818">
        <f t="shared" si="13"/>
        <v>1408326</v>
      </c>
      <c r="L362" s="816"/>
      <c r="M362" s="817">
        <v>12616</v>
      </c>
      <c r="N362" s="817">
        <v>0</v>
      </c>
      <c r="O362" s="816">
        <v>41250</v>
      </c>
      <c r="P362" s="818">
        <f t="shared" si="14"/>
        <v>53866</v>
      </c>
      <c r="Q362" s="816"/>
      <c r="R362" s="817">
        <v>676963</v>
      </c>
      <c r="S362" s="816">
        <v>-22728</v>
      </c>
      <c r="T362" s="819">
        <v>654235</v>
      </c>
    </row>
    <row r="363" spans="1:20" x14ac:dyDescent="0.25">
      <c r="A363" s="813">
        <v>93623</v>
      </c>
      <c r="B363" s="814" t="s">
        <v>2890</v>
      </c>
      <c r="C363" s="815">
        <v>1.2E-5</v>
      </c>
      <c r="D363" s="815">
        <v>1.2799999999999999E-5</v>
      </c>
      <c r="E363" s="816">
        <v>28468</v>
      </c>
      <c r="F363" s="816" t="s">
        <v>185</v>
      </c>
      <c r="G363" s="817">
        <v>4392</v>
      </c>
      <c r="H363" s="818">
        <v>3908</v>
      </c>
      <c r="I363" s="817">
        <v>7554</v>
      </c>
      <c r="J363" s="816">
        <v>5015</v>
      </c>
      <c r="K363" s="818">
        <f t="shared" si="13"/>
        <v>20869</v>
      </c>
      <c r="L363" s="816"/>
      <c r="M363" s="817">
        <v>147</v>
      </c>
      <c r="N363" s="817">
        <v>0</v>
      </c>
      <c r="O363" s="816">
        <v>0</v>
      </c>
      <c r="P363" s="818">
        <f t="shared" si="14"/>
        <v>147</v>
      </c>
      <c r="Q363" s="816"/>
      <c r="R363" s="817">
        <v>7908</v>
      </c>
      <c r="S363" s="816">
        <v>2264</v>
      </c>
      <c r="T363" s="819">
        <v>10172</v>
      </c>
    </row>
    <row r="364" spans="1:20" x14ac:dyDescent="0.25">
      <c r="A364" s="813">
        <v>93631</v>
      </c>
      <c r="B364" s="814" t="s">
        <v>4101</v>
      </c>
      <c r="C364" s="815">
        <v>2.232E-4</v>
      </c>
      <c r="D364" s="815">
        <v>2.252E-4</v>
      </c>
      <c r="E364" s="816">
        <v>529507</v>
      </c>
      <c r="F364" s="816" t="s">
        <v>185</v>
      </c>
      <c r="G364" s="817">
        <v>81690</v>
      </c>
      <c r="H364" s="818">
        <v>72685</v>
      </c>
      <c r="I364" s="817">
        <v>140511</v>
      </c>
      <c r="J364" s="816">
        <v>0</v>
      </c>
      <c r="K364" s="818">
        <f t="shared" si="13"/>
        <v>294886</v>
      </c>
      <c r="L364" s="816"/>
      <c r="M364" s="817">
        <v>2741</v>
      </c>
      <c r="N364" s="817">
        <v>0</v>
      </c>
      <c r="O364" s="816">
        <v>17227</v>
      </c>
      <c r="P364" s="818">
        <f t="shared" si="14"/>
        <v>19968</v>
      </c>
      <c r="Q364" s="816"/>
      <c r="R364" s="817">
        <v>147083</v>
      </c>
      <c r="S364" s="816">
        <v>-8056</v>
      </c>
      <c r="T364" s="819">
        <v>139027</v>
      </c>
    </row>
    <row r="365" spans="1:20" x14ac:dyDescent="0.25">
      <c r="A365" s="813">
        <v>93641</v>
      </c>
      <c r="B365" s="814" t="s">
        <v>2892</v>
      </c>
      <c r="C365" s="815">
        <v>3.724E-4</v>
      </c>
      <c r="D365" s="815">
        <v>4.0450000000000002E-4</v>
      </c>
      <c r="E365" s="816">
        <v>883460</v>
      </c>
      <c r="F365" s="816" t="s">
        <v>185</v>
      </c>
      <c r="G365" s="817">
        <v>136297</v>
      </c>
      <c r="H365" s="818">
        <v>121273</v>
      </c>
      <c r="I365" s="817">
        <v>234436</v>
      </c>
      <c r="J365" s="816">
        <v>6510</v>
      </c>
      <c r="K365" s="818">
        <f t="shared" si="13"/>
        <v>498516</v>
      </c>
      <c r="L365" s="816"/>
      <c r="M365" s="817">
        <v>4573</v>
      </c>
      <c r="N365" s="817">
        <v>0</v>
      </c>
      <c r="O365" s="816">
        <v>10470</v>
      </c>
      <c r="P365" s="818">
        <f t="shared" si="14"/>
        <v>15043</v>
      </c>
      <c r="Q365" s="816"/>
      <c r="R365" s="817">
        <v>245402</v>
      </c>
      <c r="S365" s="816">
        <v>4214</v>
      </c>
      <c r="T365" s="819">
        <v>249616</v>
      </c>
    </row>
    <row r="366" spans="1:20" x14ac:dyDescent="0.25">
      <c r="A366" s="813">
        <v>93647</v>
      </c>
      <c r="B366" s="814" t="s">
        <v>2893</v>
      </c>
      <c r="C366" s="815">
        <v>6.1E-6</v>
      </c>
      <c r="D366" s="815">
        <v>6.0000000000000002E-6</v>
      </c>
      <c r="E366" s="816">
        <v>14471</v>
      </c>
      <c r="F366" s="816" t="s">
        <v>185</v>
      </c>
      <c r="G366" s="817">
        <v>2233</v>
      </c>
      <c r="H366" s="818">
        <v>1987</v>
      </c>
      <c r="I366" s="817">
        <v>3840</v>
      </c>
      <c r="J366" s="816">
        <v>12946</v>
      </c>
      <c r="K366" s="818">
        <f t="shared" si="13"/>
        <v>21006</v>
      </c>
      <c r="L366" s="816"/>
      <c r="M366" s="817">
        <v>75</v>
      </c>
      <c r="N366" s="817">
        <v>0</v>
      </c>
      <c r="O366" s="816">
        <v>0</v>
      </c>
      <c r="P366" s="818">
        <f t="shared" si="14"/>
        <v>75</v>
      </c>
      <c r="Q366" s="816"/>
      <c r="R366" s="817">
        <v>4020</v>
      </c>
      <c r="S366" s="816">
        <v>6024</v>
      </c>
      <c r="T366" s="819">
        <v>10044</v>
      </c>
    </row>
    <row r="367" spans="1:20" x14ac:dyDescent="0.25">
      <c r="A367" s="813">
        <v>93651</v>
      </c>
      <c r="B367" s="814" t="s">
        <v>4102</v>
      </c>
      <c r="C367" s="815">
        <v>4.507E-4</v>
      </c>
      <c r="D367" s="815">
        <v>4.3800000000000002E-4</v>
      </c>
      <c r="E367" s="816">
        <v>1069215</v>
      </c>
      <c r="F367" s="816" t="s">
        <v>185</v>
      </c>
      <c r="G367" s="817">
        <v>164954</v>
      </c>
      <c r="H367" s="818">
        <v>146771</v>
      </c>
      <c r="I367" s="817">
        <v>283728</v>
      </c>
      <c r="J367" s="816">
        <v>2626</v>
      </c>
      <c r="K367" s="818">
        <f t="shared" si="13"/>
        <v>598079</v>
      </c>
      <c r="L367" s="816"/>
      <c r="M367" s="817">
        <v>5535</v>
      </c>
      <c r="N367" s="817">
        <v>0</v>
      </c>
      <c r="O367" s="816">
        <v>13366</v>
      </c>
      <c r="P367" s="818">
        <f t="shared" si="14"/>
        <v>18901</v>
      </c>
      <c r="Q367" s="816"/>
      <c r="R367" s="817">
        <v>296999</v>
      </c>
      <c r="S367" s="816">
        <v>-2560</v>
      </c>
      <c r="T367" s="819">
        <v>294439</v>
      </c>
    </row>
    <row r="368" spans="1:20" x14ac:dyDescent="0.25">
      <c r="A368" s="813">
        <v>93661</v>
      </c>
      <c r="B368" s="814" t="s">
        <v>2895</v>
      </c>
      <c r="C368" s="815">
        <v>1.4449999999999999E-4</v>
      </c>
      <c r="D368" s="815">
        <v>1.3410000000000001E-4</v>
      </c>
      <c r="E368" s="816">
        <v>342803</v>
      </c>
      <c r="F368" s="816" t="s">
        <v>185</v>
      </c>
      <c r="G368" s="817">
        <v>52886</v>
      </c>
      <c r="H368" s="818">
        <v>47056</v>
      </c>
      <c r="I368" s="817">
        <v>90967</v>
      </c>
      <c r="J368" s="816">
        <v>11364</v>
      </c>
      <c r="K368" s="818">
        <f t="shared" si="13"/>
        <v>202273</v>
      </c>
      <c r="L368" s="816"/>
      <c r="M368" s="817">
        <v>1775</v>
      </c>
      <c r="N368" s="817">
        <v>0</v>
      </c>
      <c r="O368" s="816">
        <v>0</v>
      </c>
      <c r="P368" s="818">
        <f t="shared" si="14"/>
        <v>1775</v>
      </c>
      <c r="Q368" s="816"/>
      <c r="R368" s="817">
        <v>95222</v>
      </c>
      <c r="S368" s="816">
        <v>5935</v>
      </c>
      <c r="T368" s="819">
        <v>101157</v>
      </c>
    </row>
    <row r="369" spans="1:20" x14ac:dyDescent="0.25">
      <c r="A369" s="813">
        <v>93671</v>
      </c>
      <c r="B369" s="814" t="s">
        <v>2896</v>
      </c>
      <c r="C369" s="815">
        <v>3.3950000000000001E-4</v>
      </c>
      <c r="D369" s="815">
        <v>3.5530000000000002E-4</v>
      </c>
      <c r="E369" s="816">
        <v>805410</v>
      </c>
      <c r="F369" s="816" t="s">
        <v>185</v>
      </c>
      <c r="G369" s="817">
        <v>124256</v>
      </c>
      <c r="H369" s="818">
        <v>110559</v>
      </c>
      <c r="I369" s="817">
        <v>213725</v>
      </c>
      <c r="J369" s="816">
        <v>15579</v>
      </c>
      <c r="K369" s="818">
        <f t="shared" si="13"/>
        <v>464119</v>
      </c>
      <c r="L369" s="816"/>
      <c r="M369" s="817">
        <v>4169</v>
      </c>
      <c r="N369" s="817">
        <v>0</v>
      </c>
      <c r="O369" s="816">
        <v>2038</v>
      </c>
      <c r="P369" s="818">
        <f t="shared" si="14"/>
        <v>6207</v>
      </c>
      <c r="Q369" s="816"/>
      <c r="R369" s="817">
        <v>223721</v>
      </c>
      <c r="S369" s="816">
        <v>29805</v>
      </c>
      <c r="T369" s="819">
        <v>253526</v>
      </c>
    </row>
    <row r="370" spans="1:20" x14ac:dyDescent="0.25">
      <c r="A370" s="813">
        <v>93677</v>
      </c>
      <c r="B370" s="814" t="s">
        <v>1497</v>
      </c>
      <c r="C370" s="815">
        <v>0</v>
      </c>
      <c r="D370" s="815">
        <v>0</v>
      </c>
      <c r="E370" s="816">
        <v>0</v>
      </c>
      <c r="F370" s="816" t="s">
        <v>185</v>
      </c>
      <c r="G370" s="817">
        <v>0</v>
      </c>
      <c r="H370" s="818">
        <v>0</v>
      </c>
      <c r="I370" s="817">
        <v>0</v>
      </c>
      <c r="J370" s="816">
        <v>0</v>
      </c>
      <c r="K370" s="818">
        <f t="shared" si="13"/>
        <v>0</v>
      </c>
      <c r="L370" s="816"/>
      <c r="M370" s="817">
        <v>0</v>
      </c>
      <c r="N370" s="817">
        <v>0</v>
      </c>
      <c r="O370" s="816">
        <v>0</v>
      </c>
      <c r="P370" s="818">
        <f t="shared" si="14"/>
        <v>0</v>
      </c>
      <c r="Q370" s="816"/>
      <c r="R370" s="817">
        <v>0</v>
      </c>
      <c r="S370" s="816">
        <v>-718</v>
      </c>
      <c r="T370" s="819">
        <v>-718</v>
      </c>
    </row>
    <row r="371" spans="1:20" x14ac:dyDescent="0.25">
      <c r="A371" s="813">
        <v>93681</v>
      </c>
      <c r="B371" s="814" t="s">
        <v>4103</v>
      </c>
      <c r="C371" s="815">
        <v>1.211E-4</v>
      </c>
      <c r="D371" s="815">
        <v>1.1179999999999999E-4</v>
      </c>
      <c r="E371" s="816">
        <v>287291</v>
      </c>
      <c r="F371" s="816" t="s">
        <v>185</v>
      </c>
      <c r="G371" s="817">
        <v>44322</v>
      </c>
      <c r="H371" s="818">
        <v>39436</v>
      </c>
      <c r="I371" s="817">
        <v>76236</v>
      </c>
      <c r="J371" s="816">
        <v>6600</v>
      </c>
      <c r="K371" s="818">
        <f t="shared" si="13"/>
        <v>166594</v>
      </c>
      <c r="L371" s="816"/>
      <c r="M371" s="817">
        <v>1487</v>
      </c>
      <c r="N371" s="817">
        <v>0</v>
      </c>
      <c r="O371" s="816">
        <v>6023</v>
      </c>
      <c r="P371" s="818">
        <f t="shared" si="14"/>
        <v>7510</v>
      </c>
      <c r="Q371" s="816"/>
      <c r="R371" s="817">
        <v>79802</v>
      </c>
      <c r="S371" s="816">
        <v>-4842</v>
      </c>
      <c r="T371" s="819">
        <v>74960</v>
      </c>
    </row>
    <row r="372" spans="1:20" x14ac:dyDescent="0.25">
      <c r="A372" s="813">
        <v>93691</v>
      </c>
      <c r="B372" s="814" t="s">
        <v>2898</v>
      </c>
      <c r="C372" s="815">
        <v>1.0357999999999999E-3</v>
      </c>
      <c r="D372" s="815">
        <v>1.0858E-3</v>
      </c>
      <c r="E372" s="816">
        <v>2457272</v>
      </c>
      <c r="F372" s="816" t="s">
        <v>185</v>
      </c>
      <c r="G372" s="817">
        <v>379099</v>
      </c>
      <c r="H372" s="818">
        <v>337310</v>
      </c>
      <c r="I372" s="817">
        <v>652065</v>
      </c>
      <c r="J372" s="816">
        <v>0</v>
      </c>
      <c r="K372" s="818">
        <f t="shared" si="13"/>
        <v>1368474</v>
      </c>
      <c r="L372" s="816"/>
      <c r="M372" s="817">
        <v>12721</v>
      </c>
      <c r="N372" s="817">
        <v>0</v>
      </c>
      <c r="O372" s="816">
        <v>115243</v>
      </c>
      <c r="P372" s="818">
        <f t="shared" si="14"/>
        <v>127964</v>
      </c>
      <c r="Q372" s="816"/>
      <c r="R372" s="817">
        <v>682564</v>
      </c>
      <c r="S372" s="816">
        <v>-52906</v>
      </c>
      <c r="T372" s="819">
        <v>629658</v>
      </c>
    </row>
    <row r="373" spans="1:20" x14ac:dyDescent="0.25">
      <c r="A373" s="813">
        <v>93701</v>
      </c>
      <c r="B373" s="814" t="s">
        <v>3554</v>
      </c>
      <c r="C373" s="815">
        <v>4.6779999999999999E-4</v>
      </c>
      <c r="D373" s="815">
        <v>4.5800000000000002E-4</v>
      </c>
      <c r="E373" s="816">
        <v>1109782</v>
      </c>
      <c r="F373" s="816" t="s">
        <v>185</v>
      </c>
      <c r="G373" s="817">
        <v>171213</v>
      </c>
      <c r="H373" s="818">
        <v>152340</v>
      </c>
      <c r="I373" s="817">
        <v>294493</v>
      </c>
      <c r="J373" s="816">
        <v>2163</v>
      </c>
      <c r="K373" s="818">
        <f t="shared" si="13"/>
        <v>620209</v>
      </c>
      <c r="L373" s="816"/>
      <c r="M373" s="817">
        <v>5745</v>
      </c>
      <c r="N373" s="817">
        <v>0</v>
      </c>
      <c r="O373" s="816">
        <v>13331</v>
      </c>
      <c r="P373" s="818">
        <f t="shared" si="14"/>
        <v>19076</v>
      </c>
      <c r="Q373" s="816"/>
      <c r="R373" s="817">
        <v>308268</v>
      </c>
      <c r="S373" s="816">
        <v>304</v>
      </c>
      <c r="T373" s="819">
        <v>308572</v>
      </c>
    </row>
    <row r="374" spans="1:20" x14ac:dyDescent="0.25">
      <c r="A374" s="813">
        <v>93704</v>
      </c>
      <c r="B374" s="814" t="s">
        <v>2900</v>
      </c>
      <c r="C374" s="815">
        <v>2.7E-6</v>
      </c>
      <c r="D374" s="815">
        <v>3.0000000000000001E-6</v>
      </c>
      <c r="E374" s="816">
        <v>6405</v>
      </c>
      <c r="F374" s="816" t="s">
        <v>185</v>
      </c>
      <c r="G374" s="817">
        <v>988</v>
      </c>
      <c r="H374" s="818">
        <v>879</v>
      </c>
      <c r="I374" s="817">
        <v>1700</v>
      </c>
      <c r="J374" s="816">
        <v>747</v>
      </c>
      <c r="K374" s="818">
        <f t="shared" si="13"/>
        <v>4314</v>
      </c>
      <c r="L374" s="816"/>
      <c r="M374" s="817">
        <v>33</v>
      </c>
      <c r="N374" s="817">
        <v>0</v>
      </c>
      <c r="O374" s="816">
        <v>0</v>
      </c>
      <c r="P374" s="818">
        <f t="shared" si="14"/>
        <v>33</v>
      </c>
      <c r="Q374" s="816"/>
      <c r="R374" s="817">
        <v>1779</v>
      </c>
      <c r="S374" s="816">
        <v>224</v>
      </c>
      <c r="T374" s="819">
        <v>2003</v>
      </c>
    </row>
    <row r="375" spans="1:20" x14ac:dyDescent="0.25">
      <c r="A375" s="813">
        <v>93801</v>
      </c>
      <c r="B375" s="814" t="s">
        <v>2901</v>
      </c>
      <c r="C375" s="815">
        <v>4.3570000000000002E-4</v>
      </c>
      <c r="D375" s="815">
        <v>4.7889999999999999E-4</v>
      </c>
      <c r="E375" s="816">
        <v>1033629</v>
      </c>
      <c r="F375" s="816" t="s">
        <v>185</v>
      </c>
      <c r="G375" s="817">
        <v>159464</v>
      </c>
      <c r="H375" s="818">
        <v>141886</v>
      </c>
      <c r="I375" s="817">
        <v>274285</v>
      </c>
      <c r="J375" s="816">
        <v>70779</v>
      </c>
      <c r="K375" s="818">
        <f t="shared" si="13"/>
        <v>646414</v>
      </c>
      <c r="L375" s="816"/>
      <c r="M375" s="817">
        <v>5351</v>
      </c>
      <c r="N375" s="817">
        <v>0</v>
      </c>
      <c r="O375" s="816">
        <v>76863</v>
      </c>
      <c r="P375" s="818">
        <f t="shared" si="14"/>
        <v>82214</v>
      </c>
      <c r="Q375" s="816"/>
      <c r="R375" s="817">
        <v>287115</v>
      </c>
      <c r="S375" s="816">
        <v>18841</v>
      </c>
      <c r="T375" s="819">
        <v>305956</v>
      </c>
    </row>
    <row r="376" spans="1:20" x14ac:dyDescent="0.25">
      <c r="A376" s="813">
        <v>93803</v>
      </c>
      <c r="B376" s="814" t="s">
        <v>2902</v>
      </c>
      <c r="C376" s="815">
        <v>1.122E-4</v>
      </c>
      <c r="D376" s="815">
        <v>1.1900000000000001E-4</v>
      </c>
      <c r="E376" s="816">
        <v>266177</v>
      </c>
      <c r="F376" s="816" t="s">
        <v>185</v>
      </c>
      <c r="G376" s="817">
        <v>41065</v>
      </c>
      <c r="H376" s="818">
        <v>36538</v>
      </c>
      <c r="I376" s="817">
        <v>70633</v>
      </c>
      <c r="J376" s="816">
        <v>0</v>
      </c>
      <c r="K376" s="818">
        <f t="shared" si="13"/>
        <v>148236</v>
      </c>
      <c r="L376" s="816"/>
      <c r="M376" s="817">
        <v>1378</v>
      </c>
      <c r="N376" s="817">
        <v>0</v>
      </c>
      <c r="O376" s="816">
        <v>35149</v>
      </c>
      <c r="P376" s="818">
        <f t="shared" si="14"/>
        <v>36527</v>
      </c>
      <c r="Q376" s="816"/>
      <c r="R376" s="817">
        <v>73937</v>
      </c>
      <c r="S376" s="816">
        <v>-19959</v>
      </c>
      <c r="T376" s="819">
        <v>53978</v>
      </c>
    </row>
    <row r="377" spans="1:20" x14ac:dyDescent="0.25">
      <c r="A377" s="813">
        <v>93806</v>
      </c>
      <c r="B377" s="814" t="s">
        <v>2903</v>
      </c>
      <c r="C377" s="815">
        <v>7.6100000000000007E-5</v>
      </c>
      <c r="D377" s="815">
        <v>9.3900000000000006E-5</v>
      </c>
      <c r="E377" s="816">
        <v>180535</v>
      </c>
      <c r="F377" s="816" t="s">
        <v>185</v>
      </c>
      <c r="G377" s="817">
        <v>27852</v>
      </c>
      <c r="H377" s="818">
        <v>24782</v>
      </c>
      <c r="I377" s="817">
        <v>47907</v>
      </c>
      <c r="J377" s="816">
        <v>9616</v>
      </c>
      <c r="K377" s="818">
        <f t="shared" si="13"/>
        <v>110157</v>
      </c>
      <c r="L377" s="816"/>
      <c r="M377" s="817">
        <v>935</v>
      </c>
      <c r="N377" s="817">
        <v>0</v>
      </c>
      <c r="O377" s="816">
        <v>8835</v>
      </c>
      <c r="P377" s="818">
        <f t="shared" si="14"/>
        <v>9770</v>
      </c>
      <c r="Q377" s="816"/>
      <c r="R377" s="817">
        <v>50148</v>
      </c>
      <c r="S377" s="816">
        <v>-8146</v>
      </c>
      <c r="T377" s="819">
        <v>42002</v>
      </c>
    </row>
    <row r="378" spans="1:20" x14ac:dyDescent="0.25">
      <c r="A378" s="813">
        <v>93821</v>
      </c>
      <c r="B378" s="814" t="s">
        <v>4104</v>
      </c>
      <c r="C378" s="815">
        <v>5.6799999999999998E-5</v>
      </c>
      <c r="D378" s="815">
        <v>2.9899999999999998E-5</v>
      </c>
      <c r="E378" s="816">
        <v>134749</v>
      </c>
      <c r="F378" s="816" t="s">
        <v>185</v>
      </c>
      <c r="G378" s="817">
        <v>20789</v>
      </c>
      <c r="H378" s="818">
        <v>18497</v>
      </c>
      <c r="I378" s="817">
        <v>35757</v>
      </c>
      <c r="J378" s="816">
        <v>51463</v>
      </c>
      <c r="K378" s="818">
        <f t="shared" si="13"/>
        <v>126506</v>
      </c>
      <c r="L378" s="816"/>
      <c r="M378" s="817">
        <v>698</v>
      </c>
      <c r="N378" s="817">
        <v>0</v>
      </c>
      <c r="O378" s="816">
        <v>258</v>
      </c>
      <c r="P378" s="818">
        <f t="shared" si="14"/>
        <v>956</v>
      </c>
      <c r="Q378" s="816"/>
      <c r="R378" s="817">
        <v>37430</v>
      </c>
      <c r="S378" s="816">
        <v>17809</v>
      </c>
      <c r="T378" s="819">
        <v>55239</v>
      </c>
    </row>
    <row r="379" spans="1:20" x14ac:dyDescent="0.25">
      <c r="A379" s="813">
        <v>93901</v>
      </c>
      <c r="B379" s="814" t="s">
        <v>2905</v>
      </c>
      <c r="C379" s="815">
        <v>1.7718E-3</v>
      </c>
      <c r="D379" s="815">
        <v>1.7974E-3</v>
      </c>
      <c r="E379" s="816">
        <v>4203316</v>
      </c>
      <c r="F379" s="816" t="s">
        <v>185</v>
      </c>
      <c r="G379" s="817">
        <v>648472</v>
      </c>
      <c r="H379" s="818">
        <v>576990</v>
      </c>
      <c r="I379" s="817">
        <v>1115398</v>
      </c>
      <c r="J379" s="816">
        <v>112021</v>
      </c>
      <c r="K379" s="818">
        <f t="shared" si="13"/>
        <v>2452881</v>
      </c>
      <c r="L379" s="816"/>
      <c r="M379" s="817">
        <v>21759</v>
      </c>
      <c r="N379" s="817">
        <v>0</v>
      </c>
      <c r="O379" s="816">
        <v>0</v>
      </c>
      <c r="P379" s="818">
        <f t="shared" si="14"/>
        <v>21759</v>
      </c>
      <c r="Q379" s="816"/>
      <c r="R379" s="817">
        <v>1167568</v>
      </c>
      <c r="S379" s="816">
        <v>46506</v>
      </c>
      <c r="T379" s="819">
        <v>1214074</v>
      </c>
    </row>
    <row r="380" spans="1:20" x14ac:dyDescent="0.25">
      <c r="A380" s="813">
        <v>93904</v>
      </c>
      <c r="B380" s="814" t="s">
        <v>2906</v>
      </c>
      <c r="C380" s="815">
        <v>3.3099999999999998E-5</v>
      </c>
      <c r="D380" s="815">
        <v>3.0000000000000001E-5</v>
      </c>
      <c r="E380" s="816">
        <v>78525</v>
      </c>
      <c r="F380" s="816" t="s">
        <v>185</v>
      </c>
      <c r="G380" s="817">
        <v>12114</v>
      </c>
      <c r="H380" s="818">
        <v>10779</v>
      </c>
      <c r="I380" s="817">
        <v>20837</v>
      </c>
      <c r="J380" s="816">
        <v>12315</v>
      </c>
      <c r="K380" s="818">
        <f t="shared" si="13"/>
        <v>56045</v>
      </c>
      <c r="L380" s="816"/>
      <c r="M380" s="817">
        <v>407</v>
      </c>
      <c r="N380" s="817">
        <v>0</v>
      </c>
      <c r="O380" s="816">
        <v>0</v>
      </c>
      <c r="P380" s="818">
        <f t="shared" si="14"/>
        <v>407</v>
      </c>
      <c r="Q380" s="816"/>
      <c r="R380" s="817">
        <v>21812</v>
      </c>
      <c r="S380" s="816">
        <v>4588</v>
      </c>
      <c r="T380" s="819">
        <v>26400</v>
      </c>
    </row>
    <row r="381" spans="1:20" x14ac:dyDescent="0.25">
      <c r="A381" s="813">
        <v>93906</v>
      </c>
      <c r="B381" s="814" t="s">
        <v>2907</v>
      </c>
      <c r="C381" s="815">
        <v>3.1683000000000002E-3</v>
      </c>
      <c r="D381" s="815">
        <v>3.3882000000000001E-3</v>
      </c>
      <c r="E381" s="816">
        <v>7516291</v>
      </c>
      <c r="F381" s="816" t="s">
        <v>185</v>
      </c>
      <c r="G381" s="817">
        <v>1159585</v>
      </c>
      <c r="H381" s="818">
        <v>1031763</v>
      </c>
      <c r="I381" s="817">
        <v>1994534</v>
      </c>
      <c r="J381" s="816">
        <v>0</v>
      </c>
      <c r="K381" s="818">
        <f t="shared" si="13"/>
        <v>4185882</v>
      </c>
      <c r="L381" s="816"/>
      <c r="M381" s="817">
        <v>38910</v>
      </c>
      <c r="N381" s="817">
        <v>0</v>
      </c>
      <c r="O381" s="816">
        <v>309182</v>
      </c>
      <c r="P381" s="818">
        <f t="shared" si="14"/>
        <v>348092</v>
      </c>
      <c r="Q381" s="816"/>
      <c r="R381" s="817">
        <v>2087824</v>
      </c>
      <c r="S381" s="816">
        <v>-113805</v>
      </c>
      <c r="T381" s="819">
        <v>1974019</v>
      </c>
    </row>
    <row r="382" spans="1:20" x14ac:dyDescent="0.25">
      <c r="A382" s="813">
        <v>93908</v>
      </c>
      <c r="B382" s="814" t="s">
        <v>3555</v>
      </c>
      <c r="C382" s="815">
        <v>4.6920000000000002E-4</v>
      </c>
      <c r="D382" s="815">
        <v>5.1219999999999998E-4</v>
      </c>
      <c r="E382" s="816">
        <v>1113103</v>
      </c>
      <c r="F382" s="816" t="s">
        <v>185</v>
      </c>
      <c r="G382" s="817">
        <v>171725</v>
      </c>
      <c r="H382" s="818">
        <v>152796</v>
      </c>
      <c r="I382" s="817">
        <v>295375</v>
      </c>
      <c r="J382" s="816">
        <v>6110</v>
      </c>
      <c r="K382" s="818">
        <f t="shared" si="13"/>
        <v>626006</v>
      </c>
      <c r="L382" s="816"/>
      <c r="M382" s="817">
        <v>5762</v>
      </c>
      <c r="N382" s="817">
        <v>0</v>
      </c>
      <c r="O382" s="816">
        <v>27396</v>
      </c>
      <c r="P382" s="818">
        <f t="shared" si="14"/>
        <v>33158</v>
      </c>
      <c r="Q382" s="816"/>
      <c r="R382" s="817">
        <v>309190</v>
      </c>
      <c r="S382" s="816">
        <v>-7217</v>
      </c>
      <c r="T382" s="819">
        <v>301973</v>
      </c>
    </row>
    <row r="383" spans="1:20" x14ac:dyDescent="0.25">
      <c r="A383" s="813">
        <v>93910</v>
      </c>
      <c r="B383" s="814" t="s">
        <v>2909</v>
      </c>
      <c r="C383" s="815">
        <v>2.5769999999999998E-4</v>
      </c>
      <c r="D383" s="815">
        <v>2.786E-4</v>
      </c>
      <c r="E383" s="816">
        <v>611353</v>
      </c>
      <c r="F383" s="816" t="s">
        <v>185</v>
      </c>
      <c r="G383" s="817">
        <v>94317</v>
      </c>
      <c r="H383" s="818">
        <v>83921</v>
      </c>
      <c r="I383" s="817">
        <v>162229</v>
      </c>
      <c r="J383" s="816">
        <v>0</v>
      </c>
      <c r="K383" s="818">
        <f t="shared" si="13"/>
        <v>340467</v>
      </c>
      <c r="L383" s="816"/>
      <c r="M383" s="817">
        <v>3165</v>
      </c>
      <c r="N383" s="817">
        <v>0</v>
      </c>
      <c r="O383" s="816">
        <v>35418</v>
      </c>
      <c r="P383" s="818">
        <f t="shared" si="14"/>
        <v>38583</v>
      </c>
      <c r="Q383" s="816"/>
      <c r="R383" s="817">
        <v>169817</v>
      </c>
      <c r="S383" s="816">
        <v>-18432</v>
      </c>
      <c r="T383" s="819">
        <v>151385</v>
      </c>
    </row>
    <row r="384" spans="1:20" x14ac:dyDescent="0.25">
      <c r="A384" s="813">
        <v>93911</v>
      </c>
      <c r="B384" s="814" t="s">
        <v>2910</v>
      </c>
      <c r="C384" s="815">
        <v>6.5010000000000003E-4</v>
      </c>
      <c r="D384" s="815">
        <v>6.3429999999999997E-4</v>
      </c>
      <c r="E384" s="816">
        <v>1542260</v>
      </c>
      <c r="F384" s="816" t="s">
        <v>185</v>
      </c>
      <c r="G384" s="817">
        <v>237934</v>
      </c>
      <c r="H384" s="818">
        <v>211706</v>
      </c>
      <c r="I384" s="817">
        <v>409256</v>
      </c>
      <c r="J384" s="816">
        <v>18849</v>
      </c>
      <c r="K384" s="818">
        <f t="shared" si="13"/>
        <v>877745</v>
      </c>
      <c r="L384" s="816"/>
      <c r="M384" s="817">
        <v>7984</v>
      </c>
      <c r="N384" s="817">
        <v>0</v>
      </c>
      <c r="O384" s="816">
        <v>38804</v>
      </c>
      <c r="P384" s="818">
        <f t="shared" si="14"/>
        <v>46788</v>
      </c>
      <c r="Q384" s="816"/>
      <c r="R384" s="817">
        <v>428398</v>
      </c>
      <c r="S384" s="816">
        <v>-3385</v>
      </c>
      <c r="T384" s="819">
        <v>425013</v>
      </c>
    </row>
    <row r="385" spans="1:20" x14ac:dyDescent="0.25">
      <c r="A385" s="813">
        <v>93913</v>
      </c>
      <c r="B385" s="814" t="s">
        <v>2911</v>
      </c>
      <c r="C385" s="815">
        <v>5.8799999999999999E-5</v>
      </c>
      <c r="D385" s="815">
        <v>5.8799999999999999E-5</v>
      </c>
      <c r="E385" s="816">
        <v>139494</v>
      </c>
      <c r="F385" s="816" t="s">
        <v>185</v>
      </c>
      <c r="G385" s="817">
        <v>21521</v>
      </c>
      <c r="H385" s="818">
        <v>19148</v>
      </c>
      <c r="I385" s="817">
        <v>37016</v>
      </c>
      <c r="J385" s="816">
        <v>4809</v>
      </c>
      <c r="K385" s="818">
        <f t="shared" si="13"/>
        <v>82494</v>
      </c>
      <c r="L385" s="816"/>
      <c r="M385" s="817">
        <v>722</v>
      </c>
      <c r="N385" s="817">
        <v>0</v>
      </c>
      <c r="O385" s="816">
        <v>526</v>
      </c>
      <c r="P385" s="818">
        <f t="shared" si="14"/>
        <v>1248</v>
      </c>
      <c r="Q385" s="816"/>
      <c r="R385" s="817">
        <v>38748</v>
      </c>
      <c r="S385" s="816">
        <v>1207</v>
      </c>
      <c r="T385" s="819">
        <v>39955</v>
      </c>
    </row>
    <row r="386" spans="1:20" x14ac:dyDescent="0.25">
      <c r="A386" s="813">
        <v>93914</v>
      </c>
      <c r="B386" s="814" t="s">
        <v>4105</v>
      </c>
      <c r="C386" s="815">
        <v>7.1999999999999997E-6</v>
      </c>
      <c r="D386" s="815">
        <v>8.1000000000000004E-6</v>
      </c>
      <c r="E386" s="816">
        <v>17081</v>
      </c>
      <c r="F386" s="816" t="s">
        <v>185</v>
      </c>
      <c r="G386" s="817">
        <v>2635</v>
      </c>
      <c r="H386" s="818">
        <v>2345</v>
      </c>
      <c r="I386" s="817">
        <v>4533</v>
      </c>
      <c r="J386" s="816">
        <v>4000</v>
      </c>
      <c r="K386" s="818">
        <f t="shared" si="13"/>
        <v>13513</v>
      </c>
      <c r="L386" s="816"/>
      <c r="M386" s="817">
        <v>88</v>
      </c>
      <c r="N386" s="817">
        <v>0</v>
      </c>
      <c r="O386" s="816">
        <v>0</v>
      </c>
      <c r="P386" s="818">
        <f t="shared" si="14"/>
        <v>88</v>
      </c>
      <c r="Q386" s="816"/>
      <c r="R386" s="817">
        <v>4745</v>
      </c>
      <c r="S386" s="816">
        <v>2002</v>
      </c>
      <c r="T386" s="819">
        <v>6747</v>
      </c>
    </row>
    <row r="387" spans="1:20" x14ac:dyDescent="0.25">
      <c r="A387" s="813">
        <v>93921</v>
      </c>
      <c r="B387" s="814" t="s">
        <v>2913</v>
      </c>
      <c r="C387" s="815">
        <v>2.8259999999999998E-4</v>
      </c>
      <c r="D387" s="815">
        <v>2.9020000000000001E-4</v>
      </c>
      <c r="E387" s="816">
        <v>670424</v>
      </c>
      <c r="F387" s="816" t="s">
        <v>185</v>
      </c>
      <c r="G387" s="817">
        <v>103430</v>
      </c>
      <c r="H387" s="818">
        <v>92030</v>
      </c>
      <c r="I387" s="817">
        <v>177905</v>
      </c>
      <c r="J387" s="816">
        <v>8166</v>
      </c>
      <c r="K387" s="818">
        <f t="shared" si="13"/>
        <v>381531</v>
      </c>
      <c r="L387" s="816"/>
      <c r="M387" s="817">
        <v>3471</v>
      </c>
      <c r="N387" s="817">
        <v>0</v>
      </c>
      <c r="O387" s="816">
        <v>9312</v>
      </c>
      <c r="P387" s="818">
        <f t="shared" si="14"/>
        <v>12783</v>
      </c>
      <c r="Q387" s="816"/>
      <c r="R387" s="817">
        <v>186226</v>
      </c>
      <c r="S387" s="816">
        <v>4786</v>
      </c>
      <c r="T387" s="819">
        <v>191012</v>
      </c>
    </row>
    <row r="388" spans="1:20" x14ac:dyDescent="0.25">
      <c r="A388" s="813">
        <v>93931</v>
      </c>
      <c r="B388" s="814" t="s">
        <v>4106</v>
      </c>
      <c r="C388" s="815">
        <v>5.4460000000000001E-4</v>
      </c>
      <c r="D388" s="815">
        <v>5.0029999999999996E-4</v>
      </c>
      <c r="E388" s="816">
        <v>1291977</v>
      </c>
      <c r="F388" s="816" t="s">
        <v>185</v>
      </c>
      <c r="G388" s="817">
        <v>199321</v>
      </c>
      <c r="H388" s="818">
        <v>177350</v>
      </c>
      <c r="I388" s="817">
        <v>342841</v>
      </c>
      <c r="J388" s="816">
        <v>27595</v>
      </c>
      <c r="K388" s="818">
        <f t="shared" si="13"/>
        <v>747107</v>
      </c>
      <c r="L388" s="816"/>
      <c r="M388" s="817">
        <v>6688</v>
      </c>
      <c r="N388" s="817">
        <v>0</v>
      </c>
      <c r="O388" s="816">
        <v>28225</v>
      </c>
      <c r="P388" s="818">
        <f t="shared" si="14"/>
        <v>34913</v>
      </c>
      <c r="Q388" s="816"/>
      <c r="R388" s="817">
        <v>358877</v>
      </c>
      <c r="S388" s="816">
        <v>80772</v>
      </c>
      <c r="T388" s="819">
        <v>439649</v>
      </c>
    </row>
    <row r="389" spans="1:20" x14ac:dyDescent="0.25">
      <c r="A389" s="813">
        <v>94001</v>
      </c>
      <c r="B389" s="814" t="s">
        <v>2915</v>
      </c>
      <c r="C389" s="815">
        <v>9.366E-4</v>
      </c>
      <c r="D389" s="815">
        <v>9.209E-4</v>
      </c>
      <c r="E389" s="816">
        <v>2221936</v>
      </c>
      <c r="F389" s="816" t="s">
        <v>185</v>
      </c>
      <c r="G389" s="817">
        <v>342792</v>
      </c>
      <c r="H389" s="818">
        <v>305006</v>
      </c>
      <c r="I389" s="817">
        <v>589616</v>
      </c>
      <c r="J389" s="816">
        <v>45071</v>
      </c>
      <c r="K389" s="818">
        <f t="shared" si="13"/>
        <v>1282485</v>
      </c>
      <c r="L389" s="816"/>
      <c r="M389" s="817">
        <v>11502</v>
      </c>
      <c r="N389" s="817">
        <v>0</v>
      </c>
      <c r="O389" s="816">
        <v>944</v>
      </c>
      <c r="P389" s="818">
        <f t="shared" si="14"/>
        <v>12446</v>
      </c>
      <c r="Q389" s="816"/>
      <c r="R389" s="817">
        <v>617194</v>
      </c>
      <c r="S389" s="816">
        <v>-8755</v>
      </c>
      <c r="T389" s="819">
        <v>608439</v>
      </c>
    </row>
    <row r="390" spans="1:20" x14ac:dyDescent="0.25">
      <c r="A390" s="813">
        <v>94002</v>
      </c>
      <c r="B390" s="814" t="s">
        <v>2916</v>
      </c>
      <c r="C390" s="815">
        <v>5.9000000000000003E-6</v>
      </c>
      <c r="D390" s="815">
        <v>7.0999999999999998E-6</v>
      </c>
      <c r="E390" s="816">
        <v>13997</v>
      </c>
      <c r="F390" s="816" t="s">
        <v>185</v>
      </c>
      <c r="G390" s="817">
        <v>2159</v>
      </c>
      <c r="H390" s="818">
        <v>1921</v>
      </c>
      <c r="I390" s="817">
        <v>3714</v>
      </c>
      <c r="J390" s="816">
        <v>1637</v>
      </c>
      <c r="K390" s="818">
        <f t="shared" si="13"/>
        <v>9431</v>
      </c>
      <c r="L390" s="816"/>
      <c r="M390" s="817">
        <v>72</v>
      </c>
      <c r="N390" s="817">
        <v>0</v>
      </c>
      <c r="O390" s="816">
        <v>0</v>
      </c>
      <c r="P390" s="818">
        <f t="shared" si="14"/>
        <v>72</v>
      </c>
      <c r="Q390" s="816"/>
      <c r="R390" s="817">
        <v>3888</v>
      </c>
      <c r="S390" s="816">
        <v>404</v>
      </c>
      <c r="T390" s="819">
        <v>4292</v>
      </c>
    </row>
    <row r="391" spans="1:20" x14ac:dyDescent="0.25">
      <c r="A391" s="813">
        <v>94004</v>
      </c>
      <c r="B391" s="814" t="s">
        <v>2917</v>
      </c>
      <c r="C391" s="815">
        <v>7.3000000000000004E-6</v>
      </c>
      <c r="D391" s="815">
        <v>7.3000000000000004E-6</v>
      </c>
      <c r="E391" s="816">
        <v>17318</v>
      </c>
      <c r="F391" s="816" t="s">
        <v>185</v>
      </c>
      <c r="G391" s="817">
        <v>2672</v>
      </c>
      <c r="H391" s="818">
        <v>2377</v>
      </c>
      <c r="I391" s="817">
        <v>4596</v>
      </c>
      <c r="J391" s="816">
        <v>4289</v>
      </c>
      <c r="K391" s="818">
        <f t="shared" si="13"/>
        <v>13934</v>
      </c>
      <c r="L391" s="816"/>
      <c r="M391" s="817">
        <v>90</v>
      </c>
      <c r="N391" s="817">
        <v>0</v>
      </c>
      <c r="O391" s="816">
        <v>35</v>
      </c>
      <c r="P391" s="818">
        <f t="shared" si="14"/>
        <v>125</v>
      </c>
      <c r="Q391" s="816"/>
      <c r="R391" s="817">
        <v>4811</v>
      </c>
      <c r="S391" s="816">
        <v>918</v>
      </c>
      <c r="T391" s="819">
        <v>5729</v>
      </c>
    </row>
    <row r="392" spans="1:20" x14ac:dyDescent="0.25">
      <c r="A392" s="813">
        <v>94005</v>
      </c>
      <c r="B392" s="814" t="s">
        <v>2918</v>
      </c>
      <c r="C392" s="815">
        <v>4.6999999999999999E-6</v>
      </c>
      <c r="D392" s="815">
        <v>0</v>
      </c>
      <c r="E392" s="816">
        <v>11150</v>
      </c>
      <c r="F392" s="816" t="s">
        <v>185</v>
      </c>
      <c r="G392" s="817">
        <v>1720</v>
      </c>
      <c r="H392" s="818">
        <v>1531</v>
      </c>
      <c r="I392" s="817">
        <v>2959</v>
      </c>
      <c r="J392" s="816">
        <v>3483</v>
      </c>
      <c r="K392" s="818">
        <f t="shared" si="13"/>
        <v>9693</v>
      </c>
      <c r="L392" s="816"/>
      <c r="M392" s="817">
        <v>58</v>
      </c>
      <c r="N392" s="817">
        <v>0</v>
      </c>
      <c r="O392" s="816">
        <v>3881</v>
      </c>
      <c r="P392" s="818">
        <f t="shared" si="14"/>
        <v>3939</v>
      </c>
      <c r="Q392" s="816"/>
      <c r="R392" s="817">
        <v>3097</v>
      </c>
      <c r="S392" s="816">
        <v>-1112</v>
      </c>
      <c r="T392" s="819">
        <v>1985</v>
      </c>
    </row>
    <row r="393" spans="1:20" x14ac:dyDescent="0.25">
      <c r="A393" s="813">
        <v>94011</v>
      </c>
      <c r="B393" s="814" t="s">
        <v>4107</v>
      </c>
      <c r="C393" s="815">
        <v>2.8399999999999999E-5</v>
      </c>
      <c r="D393" s="815">
        <v>2.3600000000000001E-5</v>
      </c>
      <c r="E393" s="816">
        <v>67375</v>
      </c>
      <c r="F393" s="816" t="s">
        <v>185</v>
      </c>
      <c r="G393" s="817">
        <v>10394</v>
      </c>
      <c r="H393" s="818">
        <v>9249</v>
      </c>
      <c r="I393" s="817">
        <v>17879</v>
      </c>
      <c r="J393" s="816">
        <v>3892</v>
      </c>
      <c r="K393" s="818">
        <f t="shared" si="13"/>
        <v>41414</v>
      </c>
      <c r="L393" s="816"/>
      <c r="M393" s="817">
        <v>349</v>
      </c>
      <c r="N393" s="817">
        <v>0</v>
      </c>
      <c r="O393" s="816">
        <v>2020</v>
      </c>
      <c r="P393" s="818">
        <f t="shared" si="14"/>
        <v>2369</v>
      </c>
      <c r="Q393" s="816"/>
      <c r="R393" s="817">
        <v>18715</v>
      </c>
      <c r="S393" s="816">
        <v>438</v>
      </c>
      <c r="T393" s="819">
        <v>19153</v>
      </c>
    </row>
    <row r="394" spans="1:20" x14ac:dyDescent="0.25">
      <c r="A394" s="813">
        <v>94021</v>
      </c>
      <c r="B394" s="814" t="s">
        <v>4108</v>
      </c>
      <c r="C394" s="815">
        <v>8.8800000000000004E-5</v>
      </c>
      <c r="D394" s="815">
        <v>9.3399999999999993E-5</v>
      </c>
      <c r="E394" s="816">
        <v>210664</v>
      </c>
      <c r="F394" s="816" t="s">
        <v>185</v>
      </c>
      <c r="G394" s="817">
        <v>32500</v>
      </c>
      <c r="H394" s="818">
        <v>28917</v>
      </c>
      <c r="I394" s="817">
        <v>55902</v>
      </c>
      <c r="J394" s="816">
        <v>11919</v>
      </c>
      <c r="K394" s="818">
        <f t="shared" si="13"/>
        <v>129238</v>
      </c>
      <c r="L394" s="816"/>
      <c r="M394" s="817">
        <v>1091</v>
      </c>
      <c r="N394" s="817">
        <v>0</v>
      </c>
      <c r="O394" s="816">
        <v>0</v>
      </c>
      <c r="P394" s="818">
        <f t="shared" si="14"/>
        <v>1091</v>
      </c>
      <c r="Q394" s="816"/>
      <c r="R394" s="817">
        <v>58517</v>
      </c>
      <c r="S394" s="816">
        <v>8639</v>
      </c>
      <c r="T394" s="819">
        <v>67156</v>
      </c>
    </row>
    <row r="395" spans="1:20" x14ac:dyDescent="0.25">
      <c r="A395" s="813">
        <v>94031</v>
      </c>
      <c r="B395" s="814" t="s">
        <v>4109</v>
      </c>
      <c r="C395" s="815">
        <v>4.8999999999999997E-6</v>
      </c>
      <c r="D395" s="815">
        <v>5.4E-6</v>
      </c>
      <c r="E395" s="816">
        <v>11624</v>
      </c>
      <c r="F395" s="816" t="s">
        <v>185</v>
      </c>
      <c r="G395" s="817">
        <v>1793</v>
      </c>
      <c r="H395" s="818">
        <v>1596</v>
      </c>
      <c r="I395" s="817">
        <v>3085</v>
      </c>
      <c r="J395" s="816">
        <v>7753</v>
      </c>
      <c r="K395" s="818">
        <f t="shared" si="13"/>
        <v>14227</v>
      </c>
      <c r="L395" s="816"/>
      <c r="M395" s="817">
        <v>60</v>
      </c>
      <c r="N395" s="817">
        <v>0</v>
      </c>
      <c r="O395" s="816">
        <v>0</v>
      </c>
      <c r="P395" s="818">
        <f t="shared" si="14"/>
        <v>60</v>
      </c>
      <c r="Q395" s="816"/>
      <c r="R395" s="817">
        <v>3229</v>
      </c>
      <c r="S395" s="816">
        <v>3678</v>
      </c>
      <c r="T395" s="819">
        <v>6907</v>
      </c>
    </row>
    <row r="396" spans="1:20" x14ac:dyDescent="0.25">
      <c r="A396" s="813">
        <v>94101</v>
      </c>
      <c r="B396" s="814" t="s">
        <v>2922</v>
      </c>
      <c r="C396" s="815">
        <v>1.8137199999999999E-2</v>
      </c>
      <c r="D396" s="815">
        <v>1.8321799999999999E-2</v>
      </c>
      <c r="E396" s="816">
        <v>43027641</v>
      </c>
      <c r="F396" s="816" t="s">
        <v>185</v>
      </c>
      <c r="G396" s="817">
        <v>6638143</v>
      </c>
      <c r="H396" s="818">
        <v>5906416</v>
      </c>
      <c r="I396" s="817">
        <v>11417875</v>
      </c>
      <c r="J396" s="816">
        <v>156015</v>
      </c>
      <c r="K396" s="818">
        <f t="shared" si="13"/>
        <v>24118449</v>
      </c>
      <c r="L396" s="816"/>
      <c r="M396" s="817">
        <v>222743</v>
      </c>
      <c r="N396" s="817">
        <v>0</v>
      </c>
      <c r="O396" s="816">
        <v>304690</v>
      </c>
      <c r="P396" s="818">
        <f t="shared" si="14"/>
        <v>527433</v>
      </c>
      <c r="Q396" s="816"/>
      <c r="R396" s="817">
        <v>11951925</v>
      </c>
      <c r="S396" s="816">
        <v>-259645</v>
      </c>
      <c r="T396" s="819">
        <v>11692280</v>
      </c>
    </row>
    <row r="397" spans="1:20" x14ac:dyDescent="0.25">
      <c r="A397" s="813">
        <v>94102</v>
      </c>
      <c r="B397" s="814" t="s">
        <v>2923</v>
      </c>
      <c r="C397" s="815">
        <v>2.8909999999999998E-4</v>
      </c>
      <c r="D397" s="815">
        <v>2.965E-4</v>
      </c>
      <c r="E397" s="816">
        <v>685844</v>
      </c>
      <c r="F397" s="816" t="s">
        <v>185</v>
      </c>
      <c r="G397" s="817">
        <v>105809</v>
      </c>
      <c r="H397" s="818">
        <v>94146</v>
      </c>
      <c r="I397" s="817">
        <v>181997</v>
      </c>
      <c r="J397" s="816">
        <v>0</v>
      </c>
      <c r="K397" s="818">
        <f t="shared" ref="K397:K460" si="15">G397+H397+I397+J397</f>
        <v>381952</v>
      </c>
      <c r="L397" s="816"/>
      <c r="M397" s="817">
        <v>3550</v>
      </c>
      <c r="N397" s="817">
        <v>0</v>
      </c>
      <c r="O397" s="816">
        <v>53559</v>
      </c>
      <c r="P397" s="818">
        <f t="shared" ref="P397:P460" si="16">M397+N397+O397</f>
        <v>57109</v>
      </c>
      <c r="Q397" s="816"/>
      <c r="R397" s="817">
        <v>190509</v>
      </c>
      <c r="S397" s="816">
        <v>-18988</v>
      </c>
      <c r="T397" s="819">
        <v>171521</v>
      </c>
    </row>
    <row r="398" spans="1:20" x14ac:dyDescent="0.25">
      <c r="A398" s="813">
        <v>94108</v>
      </c>
      <c r="B398" s="814" t="s">
        <v>2924</v>
      </c>
      <c r="C398" s="815">
        <v>3.8549999999999999E-4</v>
      </c>
      <c r="D398" s="815">
        <v>3.1389999999999999E-4</v>
      </c>
      <c r="E398" s="816">
        <v>914538</v>
      </c>
      <c r="F398" s="816" t="s">
        <v>185</v>
      </c>
      <c r="G398" s="817">
        <v>141091</v>
      </c>
      <c r="H398" s="818">
        <v>125539</v>
      </c>
      <c r="I398" s="817">
        <v>242683</v>
      </c>
      <c r="J398" s="816">
        <v>13586</v>
      </c>
      <c r="K398" s="818">
        <f t="shared" si="15"/>
        <v>522899</v>
      </c>
      <c r="L398" s="816"/>
      <c r="M398" s="817">
        <v>4734</v>
      </c>
      <c r="N398" s="817">
        <v>0</v>
      </c>
      <c r="O398" s="816">
        <v>61281</v>
      </c>
      <c r="P398" s="818">
        <f t="shared" si="16"/>
        <v>66015</v>
      </c>
      <c r="Q398" s="816"/>
      <c r="R398" s="817">
        <v>254034</v>
      </c>
      <c r="S398" s="816">
        <v>-43929</v>
      </c>
      <c r="T398" s="819">
        <v>210105</v>
      </c>
    </row>
    <row r="399" spans="1:20" x14ac:dyDescent="0.25">
      <c r="A399" s="813">
        <v>94109</v>
      </c>
      <c r="B399" s="814" t="s">
        <v>2925</v>
      </c>
      <c r="C399" s="815">
        <v>9.8200000000000002E-5</v>
      </c>
      <c r="D399" s="815">
        <v>9.09E-5</v>
      </c>
      <c r="E399" s="816">
        <v>232964</v>
      </c>
      <c r="F399" s="816" t="s">
        <v>185</v>
      </c>
      <c r="G399" s="817">
        <v>35941</v>
      </c>
      <c r="H399" s="818">
        <v>31979</v>
      </c>
      <c r="I399" s="817">
        <v>61820</v>
      </c>
      <c r="J399" s="816">
        <v>0</v>
      </c>
      <c r="K399" s="818">
        <f t="shared" si="15"/>
        <v>129740</v>
      </c>
      <c r="L399" s="816"/>
      <c r="M399" s="817">
        <v>1206</v>
      </c>
      <c r="N399" s="817">
        <v>0</v>
      </c>
      <c r="O399" s="816">
        <v>33379</v>
      </c>
      <c r="P399" s="818">
        <f t="shared" si="16"/>
        <v>34585</v>
      </c>
      <c r="Q399" s="816"/>
      <c r="R399" s="817">
        <v>64711</v>
      </c>
      <c r="S399" s="816">
        <v>-14342</v>
      </c>
      <c r="T399" s="819">
        <v>50369</v>
      </c>
    </row>
    <row r="400" spans="1:20" x14ac:dyDescent="0.25">
      <c r="A400" s="813">
        <v>94111</v>
      </c>
      <c r="B400" s="814" t="s">
        <v>2926</v>
      </c>
      <c r="C400" s="815">
        <v>2.4882899999999999E-2</v>
      </c>
      <c r="D400" s="815">
        <v>2.5682300000000002E-2</v>
      </c>
      <c r="E400" s="816">
        <v>59030749</v>
      </c>
      <c r="F400" s="816" t="s">
        <v>185</v>
      </c>
      <c r="G400" s="817">
        <v>9107042</v>
      </c>
      <c r="H400" s="818">
        <v>8103166</v>
      </c>
      <c r="I400" s="817">
        <v>15664482</v>
      </c>
      <c r="J400" s="816">
        <v>0</v>
      </c>
      <c r="K400" s="818">
        <f t="shared" si="15"/>
        <v>32874690</v>
      </c>
      <c r="L400" s="816"/>
      <c r="M400" s="817">
        <v>305587</v>
      </c>
      <c r="N400" s="817">
        <v>0</v>
      </c>
      <c r="O400" s="816">
        <v>1628449</v>
      </c>
      <c r="P400" s="818">
        <f t="shared" si="16"/>
        <v>1934036</v>
      </c>
      <c r="Q400" s="816"/>
      <c r="R400" s="817">
        <v>16397159</v>
      </c>
      <c r="S400" s="816">
        <v>-691916</v>
      </c>
      <c r="T400" s="819">
        <v>15705243</v>
      </c>
    </row>
    <row r="401" spans="1:20" x14ac:dyDescent="0.25">
      <c r="A401" s="813">
        <v>94112</v>
      </c>
      <c r="B401" s="814" t="s">
        <v>4110</v>
      </c>
      <c r="C401" s="815">
        <v>1.684E-4</v>
      </c>
      <c r="D401" s="815">
        <v>1.6699999999999999E-4</v>
      </c>
      <c r="E401" s="816">
        <v>399502</v>
      </c>
      <c r="F401" s="816" t="s">
        <v>185</v>
      </c>
      <c r="G401" s="817">
        <v>61634</v>
      </c>
      <c r="H401" s="818">
        <v>54840</v>
      </c>
      <c r="I401" s="817">
        <v>106013</v>
      </c>
      <c r="J401" s="816">
        <v>0</v>
      </c>
      <c r="K401" s="818">
        <f t="shared" si="15"/>
        <v>222487</v>
      </c>
      <c r="L401" s="816"/>
      <c r="M401" s="817">
        <v>2068</v>
      </c>
      <c r="N401" s="817">
        <v>0</v>
      </c>
      <c r="O401" s="816">
        <v>14012</v>
      </c>
      <c r="P401" s="818">
        <f t="shared" si="16"/>
        <v>16080</v>
      </c>
      <c r="Q401" s="816"/>
      <c r="R401" s="817">
        <v>110971</v>
      </c>
      <c r="S401" s="816">
        <v>-9395</v>
      </c>
      <c r="T401" s="819">
        <v>101576</v>
      </c>
    </row>
    <row r="402" spans="1:20" x14ac:dyDescent="0.25">
      <c r="A402" s="813">
        <v>94117</v>
      </c>
      <c r="B402" s="814" t="s">
        <v>2928</v>
      </c>
      <c r="C402" s="815">
        <v>3.5429999999999999E-4</v>
      </c>
      <c r="D402" s="815">
        <v>3.9809999999999997E-4</v>
      </c>
      <c r="E402" s="816">
        <v>840521</v>
      </c>
      <c r="F402" s="816" t="s">
        <v>185</v>
      </c>
      <c r="G402" s="817">
        <v>129672</v>
      </c>
      <c r="H402" s="818">
        <v>115378</v>
      </c>
      <c r="I402" s="817">
        <v>223042</v>
      </c>
      <c r="J402" s="816">
        <v>3605</v>
      </c>
      <c r="K402" s="818">
        <f t="shared" si="15"/>
        <v>471697</v>
      </c>
      <c r="L402" s="816"/>
      <c r="M402" s="817">
        <v>4351</v>
      </c>
      <c r="N402" s="817">
        <v>0</v>
      </c>
      <c r="O402" s="816">
        <v>34793</v>
      </c>
      <c r="P402" s="818">
        <f t="shared" si="16"/>
        <v>39144</v>
      </c>
      <c r="Q402" s="816"/>
      <c r="R402" s="817">
        <v>233474</v>
      </c>
      <c r="S402" s="816">
        <v>-6033</v>
      </c>
      <c r="T402" s="819">
        <v>227441</v>
      </c>
    </row>
    <row r="403" spans="1:20" x14ac:dyDescent="0.25">
      <c r="A403" s="813">
        <v>94118</v>
      </c>
      <c r="B403" s="814" t="s">
        <v>2929</v>
      </c>
      <c r="C403" s="815">
        <v>1.6009999999999999E-4</v>
      </c>
      <c r="D403" s="815">
        <v>1.494E-4</v>
      </c>
      <c r="E403" s="816">
        <v>379812</v>
      </c>
      <c r="F403" s="816" t="s">
        <v>185</v>
      </c>
      <c r="G403" s="817">
        <v>58596</v>
      </c>
      <c r="H403" s="818">
        <v>52137</v>
      </c>
      <c r="I403" s="817">
        <v>100787</v>
      </c>
      <c r="J403" s="816">
        <v>0</v>
      </c>
      <c r="K403" s="818">
        <f t="shared" si="15"/>
        <v>211520</v>
      </c>
      <c r="L403" s="816"/>
      <c r="M403" s="817">
        <v>1966</v>
      </c>
      <c r="N403" s="817">
        <v>0</v>
      </c>
      <c r="O403" s="816">
        <v>35288</v>
      </c>
      <c r="P403" s="818">
        <f t="shared" si="16"/>
        <v>37254</v>
      </c>
      <c r="Q403" s="816"/>
      <c r="R403" s="817">
        <v>105502</v>
      </c>
      <c r="S403" s="816">
        <v>-25547</v>
      </c>
      <c r="T403" s="819">
        <v>79955</v>
      </c>
    </row>
    <row r="404" spans="1:20" x14ac:dyDescent="0.25">
      <c r="A404" s="813">
        <v>94121</v>
      </c>
      <c r="B404" s="814" t="s">
        <v>2930</v>
      </c>
      <c r="C404" s="815">
        <v>1.1314299999999999E-2</v>
      </c>
      <c r="D404" s="815">
        <v>1.1246000000000001E-2</v>
      </c>
      <c r="E404" s="816">
        <v>26841389</v>
      </c>
      <c r="F404" s="816" t="s">
        <v>185</v>
      </c>
      <c r="G404" s="817">
        <v>4140989</v>
      </c>
      <c r="H404" s="818">
        <v>3684524</v>
      </c>
      <c r="I404" s="817">
        <v>7122669</v>
      </c>
      <c r="J404" s="816">
        <v>178797</v>
      </c>
      <c r="K404" s="818">
        <f t="shared" si="15"/>
        <v>15126979</v>
      </c>
      <c r="L404" s="816"/>
      <c r="M404" s="817">
        <v>138951</v>
      </c>
      <c r="N404" s="817">
        <v>0</v>
      </c>
      <c r="O404" s="816">
        <v>124923</v>
      </c>
      <c r="P404" s="818">
        <f t="shared" si="16"/>
        <v>263874</v>
      </c>
      <c r="Q404" s="816"/>
      <c r="R404" s="817">
        <v>7455818</v>
      </c>
      <c r="S404" s="816">
        <v>-92749</v>
      </c>
      <c r="T404" s="819">
        <v>7363069</v>
      </c>
    </row>
    <row r="405" spans="1:20" x14ac:dyDescent="0.25">
      <c r="A405" s="813">
        <v>94127</v>
      </c>
      <c r="B405" s="814" t="s">
        <v>2931</v>
      </c>
      <c r="C405" s="815">
        <v>1.5310000000000001E-4</v>
      </c>
      <c r="D405" s="815">
        <v>1.7310000000000001E-4</v>
      </c>
      <c r="E405" s="816">
        <v>363206</v>
      </c>
      <c r="F405" s="816" t="s">
        <v>185</v>
      </c>
      <c r="G405" s="817">
        <v>56034</v>
      </c>
      <c r="H405" s="818">
        <v>49857</v>
      </c>
      <c r="I405" s="817">
        <v>96381</v>
      </c>
      <c r="J405" s="816">
        <v>5878</v>
      </c>
      <c r="K405" s="818">
        <f t="shared" si="15"/>
        <v>208150</v>
      </c>
      <c r="L405" s="816"/>
      <c r="M405" s="817">
        <v>1880</v>
      </c>
      <c r="N405" s="817">
        <v>0</v>
      </c>
      <c r="O405" s="816">
        <v>12665</v>
      </c>
      <c r="P405" s="818">
        <f t="shared" si="16"/>
        <v>14545</v>
      </c>
      <c r="Q405" s="816"/>
      <c r="R405" s="817">
        <v>100889</v>
      </c>
      <c r="S405" s="816">
        <v>-521</v>
      </c>
      <c r="T405" s="819">
        <v>100368</v>
      </c>
    </row>
    <row r="406" spans="1:20" x14ac:dyDescent="0.25">
      <c r="A406" s="813">
        <v>94131</v>
      </c>
      <c r="B406" s="814" t="s">
        <v>4111</v>
      </c>
      <c r="C406" s="815">
        <v>2.039E-4</v>
      </c>
      <c r="D406" s="815">
        <v>1.7479999999999999E-4</v>
      </c>
      <c r="E406" s="816">
        <v>483721</v>
      </c>
      <c r="F406" s="816" t="s">
        <v>185</v>
      </c>
      <c r="G406" s="817">
        <v>74627</v>
      </c>
      <c r="H406" s="818">
        <v>66401</v>
      </c>
      <c r="I406" s="817">
        <v>128361</v>
      </c>
      <c r="J406" s="816">
        <v>26135</v>
      </c>
      <c r="K406" s="818">
        <f t="shared" si="15"/>
        <v>295524</v>
      </c>
      <c r="L406" s="816"/>
      <c r="M406" s="817">
        <v>2504</v>
      </c>
      <c r="N406" s="817">
        <v>0</v>
      </c>
      <c r="O406" s="816">
        <v>6379</v>
      </c>
      <c r="P406" s="818">
        <f t="shared" si="16"/>
        <v>8883</v>
      </c>
      <c r="Q406" s="816"/>
      <c r="R406" s="817">
        <v>134365</v>
      </c>
      <c r="S406" s="816">
        <v>5028</v>
      </c>
      <c r="T406" s="819">
        <v>139393</v>
      </c>
    </row>
    <row r="407" spans="1:20" x14ac:dyDescent="0.25">
      <c r="A407" s="813">
        <v>94151</v>
      </c>
      <c r="B407" s="814" t="s">
        <v>4112</v>
      </c>
      <c r="C407" s="815">
        <v>4.6470000000000002E-4</v>
      </c>
      <c r="D407" s="815">
        <v>4.1590000000000003E-4</v>
      </c>
      <c r="E407" s="816">
        <v>1102427</v>
      </c>
      <c r="F407" s="816" t="s">
        <v>185</v>
      </c>
      <c r="G407" s="817">
        <v>170078</v>
      </c>
      <c r="H407" s="818">
        <v>151331</v>
      </c>
      <c r="I407" s="817">
        <v>292542</v>
      </c>
      <c r="J407" s="816">
        <v>12138</v>
      </c>
      <c r="K407" s="818">
        <f t="shared" si="15"/>
        <v>626089</v>
      </c>
      <c r="L407" s="816"/>
      <c r="M407" s="817">
        <v>5707</v>
      </c>
      <c r="N407" s="817">
        <v>0</v>
      </c>
      <c r="O407" s="816">
        <v>23819</v>
      </c>
      <c r="P407" s="818">
        <f t="shared" si="16"/>
        <v>29526</v>
      </c>
      <c r="Q407" s="816"/>
      <c r="R407" s="817">
        <v>306225</v>
      </c>
      <c r="S407" s="816">
        <v>-9818</v>
      </c>
      <c r="T407" s="819">
        <v>296407</v>
      </c>
    </row>
    <row r="408" spans="1:20" x14ac:dyDescent="0.25">
      <c r="A408" s="813">
        <v>94157</v>
      </c>
      <c r="B408" s="814" t="s">
        <v>2934</v>
      </c>
      <c r="C408" s="815">
        <v>8.4999999999999999E-6</v>
      </c>
      <c r="D408" s="815">
        <v>8.8999999999999995E-6</v>
      </c>
      <c r="E408" s="816">
        <v>20165</v>
      </c>
      <c r="F408" s="816" t="s">
        <v>185</v>
      </c>
      <c r="G408" s="817">
        <v>3111</v>
      </c>
      <c r="H408" s="818">
        <v>2768</v>
      </c>
      <c r="I408" s="817">
        <v>5351</v>
      </c>
      <c r="J408" s="816">
        <v>2192</v>
      </c>
      <c r="K408" s="818">
        <f t="shared" si="15"/>
        <v>13422</v>
      </c>
      <c r="L408" s="816"/>
      <c r="M408" s="817">
        <v>104</v>
      </c>
      <c r="N408" s="817">
        <v>0</v>
      </c>
      <c r="O408" s="816">
        <v>0</v>
      </c>
      <c r="P408" s="818">
        <f t="shared" si="16"/>
        <v>104</v>
      </c>
      <c r="Q408" s="816"/>
      <c r="R408" s="817">
        <v>5601</v>
      </c>
      <c r="S408" s="816">
        <v>2203</v>
      </c>
      <c r="T408" s="819">
        <v>7804</v>
      </c>
    </row>
    <row r="409" spans="1:20" x14ac:dyDescent="0.25">
      <c r="A409" s="813">
        <v>94161</v>
      </c>
      <c r="B409" s="814" t="s">
        <v>4113</v>
      </c>
      <c r="C409" s="815">
        <v>3.4999999999999997E-5</v>
      </c>
      <c r="D409" s="815">
        <v>5.1900000000000001E-5</v>
      </c>
      <c r="E409" s="816">
        <v>83032</v>
      </c>
      <c r="F409" s="816" t="s">
        <v>185</v>
      </c>
      <c r="G409" s="817">
        <v>12810</v>
      </c>
      <c r="H409" s="818">
        <v>11398</v>
      </c>
      <c r="I409" s="817">
        <v>22033</v>
      </c>
      <c r="J409" s="816">
        <v>2371</v>
      </c>
      <c r="K409" s="818">
        <f t="shared" si="15"/>
        <v>48612</v>
      </c>
      <c r="L409" s="816"/>
      <c r="M409" s="817">
        <v>430</v>
      </c>
      <c r="N409" s="817">
        <v>0</v>
      </c>
      <c r="O409" s="816">
        <v>9815</v>
      </c>
      <c r="P409" s="818">
        <f t="shared" si="16"/>
        <v>10245</v>
      </c>
      <c r="Q409" s="816"/>
      <c r="R409" s="817">
        <v>23064</v>
      </c>
      <c r="S409" s="816">
        <v>432</v>
      </c>
      <c r="T409" s="819">
        <v>23496</v>
      </c>
    </row>
    <row r="410" spans="1:20" x14ac:dyDescent="0.25">
      <c r="A410" s="813">
        <v>94168</v>
      </c>
      <c r="B410" s="814" t="s">
        <v>2936</v>
      </c>
      <c r="C410" s="815">
        <v>5.0800000000000002E-5</v>
      </c>
      <c r="D410" s="815">
        <v>2.5899999999999999E-5</v>
      </c>
      <c r="E410" s="816">
        <v>120515</v>
      </c>
      <c r="F410" s="816" t="s">
        <v>185</v>
      </c>
      <c r="G410" s="817">
        <v>18593</v>
      </c>
      <c r="H410" s="818">
        <v>16543</v>
      </c>
      <c r="I410" s="817">
        <v>31980</v>
      </c>
      <c r="J410" s="816">
        <v>15950</v>
      </c>
      <c r="K410" s="818">
        <f t="shared" si="15"/>
        <v>83066</v>
      </c>
      <c r="L410" s="816"/>
      <c r="M410" s="817">
        <v>624</v>
      </c>
      <c r="N410" s="817">
        <v>0</v>
      </c>
      <c r="O410" s="816">
        <v>6240</v>
      </c>
      <c r="P410" s="818">
        <f t="shared" si="16"/>
        <v>6864</v>
      </c>
      <c r="Q410" s="816"/>
      <c r="R410" s="817">
        <v>33476</v>
      </c>
      <c r="S410" s="816">
        <v>-1436</v>
      </c>
      <c r="T410" s="819">
        <v>32040</v>
      </c>
    </row>
    <row r="411" spans="1:20" x14ac:dyDescent="0.25">
      <c r="A411" s="813">
        <v>94171</v>
      </c>
      <c r="B411" s="814" t="s">
        <v>4114</v>
      </c>
      <c r="C411" s="815">
        <v>7.9800000000000002E-5</v>
      </c>
      <c r="D411" s="815">
        <v>6.9800000000000003E-5</v>
      </c>
      <c r="E411" s="816">
        <v>189313</v>
      </c>
      <c r="F411" s="816" t="s">
        <v>185</v>
      </c>
      <c r="G411" s="817">
        <v>29206</v>
      </c>
      <c r="H411" s="818">
        <v>25987</v>
      </c>
      <c r="I411" s="817">
        <v>50236</v>
      </c>
      <c r="J411" s="816">
        <v>8192</v>
      </c>
      <c r="K411" s="818">
        <f t="shared" si="15"/>
        <v>113621</v>
      </c>
      <c r="L411" s="816"/>
      <c r="M411" s="817">
        <v>980</v>
      </c>
      <c r="N411" s="817">
        <v>0</v>
      </c>
      <c r="O411" s="816">
        <v>0</v>
      </c>
      <c r="P411" s="818">
        <f t="shared" si="16"/>
        <v>980</v>
      </c>
      <c r="Q411" s="816"/>
      <c r="R411" s="817">
        <v>52586</v>
      </c>
      <c r="S411" s="816">
        <v>3244</v>
      </c>
      <c r="T411" s="819">
        <v>55830</v>
      </c>
    </row>
    <row r="412" spans="1:20" x14ac:dyDescent="0.25">
      <c r="A412" s="813">
        <v>94172</v>
      </c>
      <c r="B412" s="814" t="s">
        <v>2938</v>
      </c>
      <c r="C412" s="815">
        <v>2.833E-4</v>
      </c>
      <c r="D412" s="815">
        <v>2.6289999999999999E-4</v>
      </c>
      <c r="E412" s="816">
        <v>672084</v>
      </c>
      <c r="F412" s="816" t="s">
        <v>185</v>
      </c>
      <c r="G412" s="817">
        <v>103687</v>
      </c>
      <c r="H412" s="818">
        <v>92258</v>
      </c>
      <c r="I412" s="817">
        <v>178345</v>
      </c>
      <c r="J412" s="816">
        <v>0</v>
      </c>
      <c r="K412" s="818">
        <f t="shared" si="15"/>
        <v>374290</v>
      </c>
      <c r="L412" s="816"/>
      <c r="M412" s="817">
        <v>3479</v>
      </c>
      <c r="N412" s="817">
        <v>0</v>
      </c>
      <c r="O412" s="816">
        <v>61943</v>
      </c>
      <c r="P412" s="818">
        <f t="shared" si="16"/>
        <v>65422</v>
      </c>
      <c r="Q412" s="816"/>
      <c r="R412" s="817">
        <v>186687</v>
      </c>
      <c r="S412" s="816">
        <v>-44260</v>
      </c>
      <c r="T412" s="819">
        <v>142427</v>
      </c>
    </row>
    <row r="413" spans="1:20" x14ac:dyDescent="0.25">
      <c r="A413" s="813">
        <v>94201</v>
      </c>
      <c r="B413" s="814" t="s">
        <v>2939</v>
      </c>
      <c r="C413" s="815">
        <v>3.2913999999999999E-3</v>
      </c>
      <c r="D413" s="815">
        <v>3.3658999999999998E-3</v>
      </c>
      <c r="E413" s="816">
        <v>7808326</v>
      </c>
      <c r="F413" s="816" t="s">
        <v>185</v>
      </c>
      <c r="G413" s="817">
        <v>1204639</v>
      </c>
      <c r="H413" s="818">
        <v>1071851</v>
      </c>
      <c r="I413" s="817">
        <v>2072028</v>
      </c>
      <c r="J413" s="816">
        <v>19861</v>
      </c>
      <c r="K413" s="818">
        <f t="shared" si="15"/>
        <v>4368379</v>
      </c>
      <c r="L413" s="816"/>
      <c r="M413" s="817">
        <v>40422</v>
      </c>
      <c r="N413" s="817">
        <v>0</v>
      </c>
      <c r="O413" s="816">
        <v>84937</v>
      </c>
      <c r="P413" s="818">
        <f t="shared" si="16"/>
        <v>125359</v>
      </c>
      <c r="Q413" s="816"/>
      <c r="R413" s="817">
        <v>2168944</v>
      </c>
      <c r="S413" s="816">
        <v>-9281</v>
      </c>
      <c r="T413" s="819">
        <v>2159663</v>
      </c>
    </row>
    <row r="414" spans="1:20" x14ac:dyDescent="0.25">
      <c r="A414" s="813">
        <v>94204</v>
      </c>
      <c r="B414" s="814" t="s">
        <v>2940</v>
      </c>
      <c r="C414" s="815">
        <v>2.73E-5</v>
      </c>
      <c r="D414" s="815">
        <v>2.5899999999999999E-5</v>
      </c>
      <c r="E414" s="816">
        <v>64765</v>
      </c>
      <c r="F414" s="816" t="s">
        <v>185</v>
      </c>
      <c r="G414" s="817">
        <v>9992</v>
      </c>
      <c r="H414" s="818">
        <v>8890</v>
      </c>
      <c r="I414" s="817">
        <v>17186</v>
      </c>
      <c r="J414" s="816">
        <v>12296</v>
      </c>
      <c r="K414" s="818">
        <f t="shared" si="15"/>
        <v>48364</v>
      </c>
      <c r="L414" s="816"/>
      <c r="M414" s="817">
        <v>335</v>
      </c>
      <c r="N414" s="817">
        <v>0</v>
      </c>
      <c r="O414" s="816">
        <v>0</v>
      </c>
      <c r="P414" s="818">
        <f t="shared" si="16"/>
        <v>335</v>
      </c>
      <c r="Q414" s="816"/>
      <c r="R414" s="817">
        <v>17990</v>
      </c>
      <c r="S414" s="816">
        <v>6257</v>
      </c>
      <c r="T414" s="819">
        <v>24247</v>
      </c>
    </row>
    <row r="415" spans="1:20" x14ac:dyDescent="0.25">
      <c r="A415" s="813">
        <v>94205</v>
      </c>
      <c r="B415" s="814" t="s">
        <v>2941</v>
      </c>
      <c r="C415" s="815">
        <v>1.8300000000000001E-5</v>
      </c>
      <c r="D415" s="815">
        <v>2.0699999999999998E-5</v>
      </c>
      <c r="E415" s="816">
        <v>43414</v>
      </c>
      <c r="F415" s="816" t="s">
        <v>185</v>
      </c>
      <c r="G415" s="817">
        <v>6698</v>
      </c>
      <c r="H415" s="818">
        <v>5959</v>
      </c>
      <c r="I415" s="817">
        <v>11520</v>
      </c>
      <c r="J415" s="816">
        <v>1408</v>
      </c>
      <c r="K415" s="818">
        <f t="shared" si="15"/>
        <v>25585</v>
      </c>
      <c r="L415" s="816"/>
      <c r="M415" s="817">
        <v>225</v>
      </c>
      <c r="N415" s="817">
        <v>0</v>
      </c>
      <c r="O415" s="816">
        <v>1277</v>
      </c>
      <c r="P415" s="818">
        <f t="shared" si="16"/>
        <v>1502</v>
      </c>
      <c r="Q415" s="816"/>
      <c r="R415" s="817">
        <v>12059</v>
      </c>
      <c r="S415" s="816">
        <v>-2857</v>
      </c>
      <c r="T415" s="819">
        <v>9202</v>
      </c>
    </row>
    <row r="416" spans="1:20" x14ac:dyDescent="0.25">
      <c r="A416" s="813">
        <v>94209</v>
      </c>
      <c r="B416" s="814" t="s">
        <v>2942</v>
      </c>
      <c r="C416" s="815">
        <v>3.1700000000000001E-4</v>
      </c>
      <c r="D416" s="815">
        <v>3.4190000000000002E-4</v>
      </c>
      <c r="E416" s="816">
        <v>752032</v>
      </c>
      <c r="F416" s="816" t="s">
        <v>185</v>
      </c>
      <c r="G416" s="817">
        <v>116021</v>
      </c>
      <c r="H416" s="818">
        <v>103231</v>
      </c>
      <c r="I416" s="817">
        <v>199560</v>
      </c>
      <c r="J416" s="816">
        <v>11815</v>
      </c>
      <c r="K416" s="818">
        <f t="shared" si="15"/>
        <v>430627</v>
      </c>
      <c r="L416" s="816"/>
      <c r="M416" s="817">
        <v>3893</v>
      </c>
      <c r="N416" s="817">
        <v>0</v>
      </c>
      <c r="O416" s="816">
        <v>21749</v>
      </c>
      <c r="P416" s="818">
        <f t="shared" si="16"/>
        <v>25642</v>
      </c>
      <c r="Q416" s="816"/>
      <c r="R416" s="817">
        <v>208894</v>
      </c>
      <c r="S416" s="816">
        <v>4832</v>
      </c>
      <c r="T416" s="819">
        <v>213726</v>
      </c>
    </row>
    <row r="417" spans="1:20" x14ac:dyDescent="0.25">
      <c r="A417" s="813">
        <v>94211</v>
      </c>
      <c r="B417" s="814" t="s">
        <v>4115</v>
      </c>
      <c r="C417" s="815">
        <v>1.615E-4</v>
      </c>
      <c r="D417" s="815">
        <v>1.3660000000000001E-4</v>
      </c>
      <c r="E417" s="816">
        <v>383133</v>
      </c>
      <c r="F417" s="816" t="s">
        <v>185</v>
      </c>
      <c r="G417" s="817">
        <v>59108</v>
      </c>
      <c r="H417" s="818">
        <v>52593</v>
      </c>
      <c r="I417" s="817">
        <v>101669</v>
      </c>
      <c r="J417" s="816">
        <v>11603</v>
      </c>
      <c r="K417" s="818">
        <f t="shared" si="15"/>
        <v>224973</v>
      </c>
      <c r="L417" s="816"/>
      <c r="M417" s="817">
        <v>1983</v>
      </c>
      <c r="N417" s="817">
        <v>0</v>
      </c>
      <c r="O417" s="816">
        <v>3873</v>
      </c>
      <c r="P417" s="818">
        <f t="shared" si="16"/>
        <v>5856</v>
      </c>
      <c r="Q417" s="816"/>
      <c r="R417" s="817">
        <v>106424</v>
      </c>
      <c r="S417" s="816">
        <v>-10032</v>
      </c>
      <c r="T417" s="819">
        <v>96392</v>
      </c>
    </row>
    <row r="418" spans="1:20" x14ac:dyDescent="0.25">
      <c r="A418" s="813">
        <v>94221</v>
      </c>
      <c r="B418" s="814" t="s">
        <v>2944</v>
      </c>
      <c r="C418" s="815">
        <v>1.0311999999999999E-3</v>
      </c>
      <c r="D418" s="815">
        <v>1.0436E-3</v>
      </c>
      <c r="E418" s="816">
        <v>2446359</v>
      </c>
      <c r="F418" s="816" t="s">
        <v>185</v>
      </c>
      <c r="G418" s="817">
        <v>377415</v>
      </c>
      <c r="H418" s="818">
        <v>335812</v>
      </c>
      <c r="I418" s="817">
        <v>649169</v>
      </c>
      <c r="J418" s="816">
        <v>28711</v>
      </c>
      <c r="K418" s="818">
        <f t="shared" si="15"/>
        <v>1391107</v>
      </c>
      <c r="L418" s="816"/>
      <c r="M418" s="817">
        <v>12664</v>
      </c>
      <c r="N418" s="817">
        <v>0</v>
      </c>
      <c r="O418" s="816">
        <v>85091</v>
      </c>
      <c r="P418" s="818">
        <f t="shared" si="16"/>
        <v>97755</v>
      </c>
      <c r="Q418" s="816"/>
      <c r="R418" s="817">
        <v>679533</v>
      </c>
      <c r="S418" s="816">
        <v>-30381</v>
      </c>
      <c r="T418" s="819">
        <v>649152</v>
      </c>
    </row>
    <row r="419" spans="1:20" x14ac:dyDescent="0.25">
      <c r="A419" s="813">
        <v>94231</v>
      </c>
      <c r="B419" s="814" t="s">
        <v>4116</v>
      </c>
      <c r="C419" s="815">
        <v>2.009E-4</v>
      </c>
      <c r="D419" s="815">
        <v>2.2609999999999999E-4</v>
      </c>
      <c r="E419" s="816">
        <v>476604</v>
      </c>
      <c r="F419" s="816" t="s">
        <v>185</v>
      </c>
      <c r="G419" s="817">
        <v>73529</v>
      </c>
      <c r="H419" s="818">
        <v>65423</v>
      </c>
      <c r="I419" s="817">
        <v>126472</v>
      </c>
      <c r="J419" s="816">
        <v>6119</v>
      </c>
      <c r="K419" s="818">
        <f t="shared" si="15"/>
        <v>271543</v>
      </c>
      <c r="L419" s="816"/>
      <c r="M419" s="817">
        <v>2467</v>
      </c>
      <c r="N419" s="817">
        <v>0</v>
      </c>
      <c r="O419" s="816">
        <v>26463</v>
      </c>
      <c r="P419" s="818">
        <f t="shared" si="16"/>
        <v>28930</v>
      </c>
      <c r="Q419" s="816"/>
      <c r="R419" s="817">
        <v>132388</v>
      </c>
      <c r="S419" s="816">
        <v>-8958</v>
      </c>
      <c r="T419" s="819">
        <v>123430</v>
      </c>
    </row>
    <row r="420" spans="1:20" x14ac:dyDescent="0.25">
      <c r="A420" s="813">
        <v>94241</v>
      </c>
      <c r="B420" s="814" t="s">
        <v>4117</v>
      </c>
      <c r="C420" s="815">
        <v>1.227E-4</v>
      </c>
      <c r="D420" s="815">
        <v>1.2669999999999999E-4</v>
      </c>
      <c r="E420" s="816">
        <v>291086</v>
      </c>
      <c r="F420" s="816" t="s">
        <v>185</v>
      </c>
      <c r="G420" s="817">
        <v>44908</v>
      </c>
      <c r="H420" s="818">
        <v>39958</v>
      </c>
      <c r="I420" s="817">
        <v>77243</v>
      </c>
      <c r="J420" s="816">
        <v>19412</v>
      </c>
      <c r="K420" s="818">
        <f t="shared" si="15"/>
        <v>181521</v>
      </c>
      <c r="L420" s="816"/>
      <c r="M420" s="817">
        <v>1507</v>
      </c>
      <c r="N420" s="817">
        <v>0</v>
      </c>
      <c r="O420" s="816">
        <v>7181</v>
      </c>
      <c r="P420" s="818">
        <f t="shared" si="16"/>
        <v>8688</v>
      </c>
      <c r="Q420" s="816"/>
      <c r="R420" s="817">
        <v>80856</v>
      </c>
      <c r="S420" s="816">
        <v>5128</v>
      </c>
      <c r="T420" s="819">
        <v>85984</v>
      </c>
    </row>
    <row r="421" spans="1:20" x14ac:dyDescent="0.25">
      <c r="A421" s="813">
        <v>94251</v>
      </c>
      <c r="B421" s="814" t="s">
        <v>4118</v>
      </c>
      <c r="C421" s="815">
        <v>1.59E-5</v>
      </c>
      <c r="D421" s="815">
        <v>1.95E-5</v>
      </c>
      <c r="E421" s="816">
        <v>37720</v>
      </c>
      <c r="F421" s="816" t="s">
        <v>185</v>
      </c>
      <c r="G421" s="817">
        <v>5819</v>
      </c>
      <c r="H421" s="818">
        <v>5178</v>
      </c>
      <c r="I421" s="817">
        <v>10009</v>
      </c>
      <c r="J421" s="816">
        <v>2468</v>
      </c>
      <c r="K421" s="818">
        <f t="shared" si="15"/>
        <v>23474</v>
      </c>
      <c r="L421" s="816"/>
      <c r="M421" s="817">
        <v>195</v>
      </c>
      <c r="N421" s="817">
        <v>0</v>
      </c>
      <c r="O421" s="816">
        <v>4449</v>
      </c>
      <c r="P421" s="818">
        <f t="shared" si="16"/>
        <v>4644</v>
      </c>
      <c r="Q421" s="816"/>
      <c r="R421" s="817">
        <v>10478</v>
      </c>
      <c r="S421" s="816">
        <v>-2557</v>
      </c>
      <c r="T421" s="819">
        <v>7921</v>
      </c>
    </row>
    <row r="422" spans="1:20" x14ac:dyDescent="0.25">
      <c r="A422" s="813">
        <v>94261</v>
      </c>
      <c r="B422" s="814" t="s">
        <v>4119</v>
      </c>
      <c r="C422" s="815">
        <v>3.6199999999999999E-5</v>
      </c>
      <c r="D422" s="815">
        <v>3.9199999999999997E-5</v>
      </c>
      <c r="E422" s="816">
        <v>85879</v>
      </c>
      <c r="F422" s="816" t="s">
        <v>185</v>
      </c>
      <c r="G422" s="817">
        <v>13249</v>
      </c>
      <c r="H422" s="818">
        <v>11789</v>
      </c>
      <c r="I422" s="817">
        <v>22789</v>
      </c>
      <c r="J422" s="816">
        <v>10016</v>
      </c>
      <c r="K422" s="818">
        <f t="shared" si="15"/>
        <v>57843</v>
      </c>
      <c r="L422" s="816"/>
      <c r="M422" s="817">
        <v>445</v>
      </c>
      <c r="N422" s="817">
        <v>0</v>
      </c>
      <c r="O422" s="816">
        <v>790</v>
      </c>
      <c r="P422" s="818">
        <f t="shared" si="16"/>
        <v>1235</v>
      </c>
      <c r="Q422" s="816"/>
      <c r="R422" s="817">
        <v>23855</v>
      </c>
      <c r="S422" s="816">
        <v>5304</v>
      </c>
      <c r="T422" s="819">
        <v>29159</v>
      </c>
    </row>
    <row r="423" spans="1:20" x14ac:dyDescent="0.25">
      <c r="A423" s="813">
        <v>94301</v>
      </c>
      <c r="B423" s="814" t="s">
        <v>2949</v>
      </c>
      <c r="C423" s="815">
        <v>6.3552000000000001E-3</v>
      </c>
      <c r="D423" s="815">
        <v>6.2988999999999996E-3</v>
      </c>
      <c r="E423" s="816">
        <v>15076708</v>
      </c>
      <c r="F423" s="816" t="s">
        <v>185</v>
      </c>
      <c r="G423" s="817">
        <v>2325978</v>
      </c>
      <c r="H423" s="818">
        <v>2069584</v>
      </c>
      <c r="I423" s="817">
        <v>4000776</v>
      </c>
      <c r="J423" s="816">
        <v>62202</v>
      </c>
      <c r="K423" s="818">
        <f t="shared" si="15"/>
        <v>8458540</v>
      </c>
      <c r="L423" s="816"/>
      <c r="M423" s="817">
        <v>78048</v>
      </c>
      <c r="N423" s="817">
        <v>0</v>
      </c>
      <c r="O423" s="816">
        <v>66635</v>
      </c>
      <c r="P423" s="818">
        <f t="shared" si="16"/>
        <v>144683</v>
      </c>
      <c r="Q423" s="816"/>
      <c r="R423" s="817">
        <v>4187905</v>
      </c>
      <c r="S423" s="816">
        <v>-21615</v>
      </c>
      <c r="T423" s="819">
        <v>4166290</v>
      </c>
    </row>
    <row r="424" spans="1:20" x14ac:dyDescent="0.25">
      <c r="A424" s="813">
        <v>94311</v>
      </c>
      <c r="B424" s="814" t="s">
        <v>2950</v>
      </c>
      <c r="C424" s="815">
        <v>7.4359999999999997E-4</v>
      </c>
      <c r="D424" s="815">
        <v>7.8540000000000001E-4</v>
      </c>
      <c r="E424" s="816">
        <v>1764074</v>
      </c>
      <c r="F424" s="816" t="s">
        <v>185</v>
      </c>
      <c r="G424" s="817">
        <v>272155</v>
      </c>
      <c r="H424" s="818">
        <v>242155</v>
      </c>
      <c r="I424" s="817">
        <v>468117</v>
      </c>
      <c r="J424" s="816">
        <v>17528</v>
      </c>
      <c r="K424" s="818">
        <f t="shared" si="15"/>
        <v>999955</v>
      </c>
      <c r="L424" s="816"/>
      <c r="M424" s="817">
        <v>9132</v>
      </c>
      <c r="N424" s="817">
        <v>0</v>
      </c>
      <c r="O424" s="816">
        <v>53855</v>
      </c>
      <c r="P424" s="818">
        <f t="shared" si="16"/>
        <v>62987</v>
      </c>
      <c r="Q424" s="816"/>
      <c r="R424" s="817">
        <v>490012</v>
      </c>
      <c r="S424" s="816">
        <v>-19332</v>
      </c>
      <c r="T424" s="819">
        <v>470680</v>
      </c>
    </row>
    <row r="425" spans="1:20" x14ac:dyDescent="0.25">
      <c r="A425" s="813">
        <v>94313</v>
      </c>
      <c r="B425" s="814" t="s">
        <v>2951</v>
      </c>
      <c r="C425" s="815">
        <v>2.1699999999999999E-5</v>
      </c>
      <c r="D425" s="815">
        <v>1.8700000000000001E-5</v>
      </c>
      <c r="E425" s="816">
        <v>51480</v>
      </c>
      <c r="F425" s="816" t="s">
        <v>185</v>
      </c>
      <c r="G425" s="817">
        <v>7942</v>
      </c>
      <c r="H425" s="818">
        <v>7067</v>
      </c>
      <c r="I425" s="817">
        <v>13661</v>
      </c>
      <c r="J425" s="816">
        <v>9311</v>
      </c>
      <c r="K425" s="818">
        <f t="shared" si="15"/>
        <v>37981</v>
      </c>
      <c r="L425" s="816"/>
      <c r="M425" s="817">
        <v>266</v>
      </c>
      <c r="N425" s="817">
        <v>0</v>
      </c>
      <c r="O425" s="816">
        <v>0</v>
      </c>
      <c r="P425" s="818">
        <f t="shared" si="16"/>
        <v>266</v>
      </c>
      <c r="Q425" s="816"/>
      <c r="R425" s="817">
        <v>14300</v>
      </c>
      <c r="S425" s="816">
        <v>4369</v>
      </c>
      <c r="T425" s="819">
        <v>18669</v>
      </c>
    </row>
    <row r="426" spans="1:20" x14ac:dyDescent="0.25">
      <c r="A426" s="813">
        <v>94317</v>
      </c>
      <c r="B426" s="814" t="s">
        <v>2952</v>
      </c>
      <c r="C426" s="815">
        <v>1.15E-5</v>
      </c>
      <c r="D426" s="815">
        <v>1.2E-5</v>
      </c>
      <c r="E426" s="816">
        <v>27282</v>
      </c>
      <c r="F426" s="816" t="s">
        <v>185</v>
      </c>
      <c r="G426" s="817">
        <v>4209</v>
      </c>
      <c r="H426" s="818">
        <v>3745</v>
      </c>
      <c r="I426" s="817">
        <v>7240</v>
      </c>
      <c r="J426" s="816">
        <v>8256</v>
      </c>
      <c r="K426" s="818">
        <f t="shared" si="15"/>
        <v>23450</v>
      </c>
      <c r="L426" s="816"/>
      <c r="M426" s="817">
        <v>141</v>
      </c>
      <c r="N426" s="817">
        <v>0</v>
      </c>
      <c r="O426" s="816">
        <v>0</v>
      </c>
      <c r="P426" s="818">
        <f t="shared" si="16"/>
        <v>141</v>
      </c>
      <c r="Q426" s="816"/>
      <c r="R426" s="817">
        <v>7578</v>
      </c>
      <c r="S426" s="816">
        <v>4052</v>
      </c>
      <c r="T426" s="819">
        <v>11630</v>
      </c>
    </row>
    <row r="427" spans="1:20" x14ac:dyDescent="0.25">
      <c r="A427" s="813">
        <v>94321</v>
      </c>
      <c r="B427" s="814" t="s">
        <v>4120</v>
      </c>
      <c r="C427" s="815">
        <v>2.8160000000000001E-4</v>
      </c>
      <c r="D427" s="815">
        <v>2.7760000000000003E-4</v>
      </c>
      <c r="E427" s="816">
        <v>668052</v>
      </c>
      <c r="F427" s="816" t="s">
        <v>185</v>
      </c>
      <c r="G427" s="817">
        <v>103064</v>
      </c>
      <c r="H427" s="818">
        <v>91703</v>
      </c>
      <c r="I427" s="817">
        <v>177275</v>
      </c>
      <c r="J427" s="816">
        <v>0</v>
      </c>
      <c r="K427" s="818">
        <f t="shared" si="15"/>
        <v>372042</v>
      </c>
      <c r="L427" s="816"/>
      <c r="M427" s="817">
        <v>3458</v>
      </c>
      <c r="N427" s="817">
        <v>0</v>
      </c>
      <c r="O427" s="816">
        <v>23408</v>
      </c>
      <c r="P427" s="818">
        <f t="shared" si="16"/>
        <v>26866</v>
      </c>
      <c r="Q427" s="816"/>
      <c r="R427" s="817">
        <v>185567</v>
      </c>
      <c r="S427" s="816">
        <v>-8371</v>
      </c>
      <c r="T427" s="819">
        <v>177196</v>
      </c>
    </row>
    <row r="428" spans="1:20" x14ac:dyDescent="0.25">
      <c r="A428" s="813">
        <v>94331</v>
      </c>
      <c r="B428" s="814" t="s">
        <v>4121</v>
      </c>
      <c r="C428" s="815">
        <v>1.6090000000000001E-4</v>
      </c>
      <c r="D428" s="815">
        <v>1.3569999999999999E-4</v>
      </c>
      <c r="E428" s="816">
        <v>381710</v>
      </c>
      <c r="F428" s="816" t="s">
        <v>185</v>
      </c>
      <c r="G428" s="817">
        <v>58889</v>
      </c>
      <c r="H428" s="818">
        <v>52397</v>
      </c>
      <c r="I428" s="817">
        <v>101291</v>
      </c>
      <c r="J428" s="816">
        <v>20048</v>
      </c>
      <c r="K428" s="818">
        <f t="shared" si="15"/>
        <v>232625</v>
      </c>
      <c r="L428" s="816"/>
      <c r="M428" s="817">
        <v>1976</v>
      </c>
      <c r="N428" s="817">
        <v>0</v>
      </c>
      <c r="O428" s="816">
        <v>7457</v>
      </c>
      <c r="P428" s="818">
        <f t="shared" si="16"/>
        <v>9433</v>
      </c>
      <c r="Q428" s="816"/>
      <c r="R428" s="817">
        <v>106029</v>
      </c>
      <c r="S428" s="816">
        <v>7534</v>
      </c>
      <c r="T428" s="819">
        <v>113563</v>
      </c>
    </row>
    <row r="429" spans="1:20" x14ac:dyDescent="0.25">
      <c r="A429" s="813">
        <v>94341</v>
      </c>
      <c r="B429" s="814" t="s">
        <v>4122</v>
      </c>
      <c r="C429" s="815">
        <v>8.3300000000000005E-5</v>
      </c>
      <c r="D429" s="815">
        <v>9.4699999999999998E-5</v>
      </c>
      <c r="E429" s="816">
        <v>197616</v>
      </c>
      <c r="F429" s="816" t="s">
        <v>185</v>
      </c>
      <c r="G429" s="817">
        <v>30487</v>
      </c>
      <c r="H429" s="818">
        <v>27127</v>
      </c>
      <c r="I429" s="817">
        <v>52440</v>
      </c>
      <c r="J429" s="816">
        <v>4074</v>
      </c>
      <c r="K429" s="818">
        <f t="shared" si="15"/>
        <v>114128</v>
      </c>
      <c r="L429" s="816"/>
      <c r="M429" s="817">
        <v>1023</v>
      </c>
      <c r="N429" s="817">
        <v>0</v>
      </c>
      <c r="O429" s="816">
        <v>12325</v>
      </c>
      <c r="P429" s="818">
        <f t="shared" si="16"/>
        <v>13348</v>
      </c>
      <c r="Q429" s="816"/>
      <c r="R429" s="817">
        <v>54892</v>
      </c>
      <c r="S429" s="816">
        <v>-4230</v>
      </c>
      <c r="T429" s="819">
        <v>50662</v>
      </c>
    </row>
    <row r="430" spans="1:20" x14ac:dyDescent="0.25">
      <c r="A430" s="813">
        <v>94347</v>
      </c>
      <c r="B430" s="814" t="s">
        <v>4123</v>
      </c>
      <c r="C430" s="815">
        <v>7.9999999999999996E-6</v>
      </c>
      <c r="D430" s="815">
        <v>1.22E-5</v>
      </c>
      <c r="E430" s="816">
        <v>18979</v>
      </c>
      <c r="F430" s="816" t="s">
        <v>185</v>
      </c>
      <c r="G430" s="817">
        <v>2928</v>
      </c>
      <c r="H430" s="818">
        <v>2605</v>
      </c>
      <c r="I430" s="817">
        <v>5036</v>
      </c>
      <c r="J430" s="816">
        <v>2389</v>
      </c>
      <c r="K430" s="818">
        <f t="shared" si="15"/>
        <v>12958</v>
      </c>
      <c r="L430" s="816"/>
      <c r="M430" s="817">
        <v>98</v>
      </c>
      <c r="N430" s="817">
        <v>0</v>
      </c>
      <c r="O430" s="816">
        <v>948</v>
      </c>
      <c r="P430" s="818">
        <f t="shared" si="16"/>
        <v>1046</v>
      </c>
      <c r="Q430" s="816"/>
      <c r="R430" s="817">
        <v>5272</v>
      </c>
      <c r="S430" s="816">
        <v>1646</v>
      </c>
      <c r="T430" s="819">
        <v>6918</v>
      </c>
    </row>
    <row r="431" spans="1:20" x14ac:dyDescent="0.25">
      <c r="A431" s="813">
        <v>94351</v>
      </c>
      <c r="B431" s="814" t="s">
        <v>4124</v>
      </c>
      <c r="C431" s="815">
        <v>2.477E-4</v>
      </c>
      <c r="D431" s="815">
        <v>2.433E-4</v>
      </c>
      <c r="E431" s="816">
        <v>587629</v>
      </c>
      <c r="F431" s="816" t="s">
        <v>185</v>
      </c>
      <c r="G431" s="817">
        <v>90657</v>
      </c>
      <c r="H431" s="818">
        <v>80664</v>
      </c>
      <c r="I431" s="817">
        <v>155934</v>
      </c>
      <c r="J431" s="816">
        <v>716</v>
      </c>
      <c r="K431" s="818">
        <f t="shared" si="15"/>
        <v>327971</v>
      </c>
      <c r="L431" s="816"/>
      <c r="M431" s="817">
        <v>3042</v>
      </c>
      <c r="N431" s="817">
        <v>0</v>
      </c>
      <c r="O431" s="816">
        <v>6580</v>
      </c>
      <c r="P431" s="818">
        <f t="shared" si="16"/>
        <v>9622</v>
      </c>
      <c r="Q431" s="816"/>
      <c r="R431" s="817">
        <v>163228</v>
      </c>
      <c r="S431" s="816">
        <v>-2766</v>
      </c>
      <c r="T431" s="819">
        <v>160462</v>
      </c>
    </row>
    <row r="432" spans="1:20" x14ac:dyDescent="0.25">
      <c r="A432" s="813">
        <v>94401</v>
      </c>
      <c r="B432" s="814" t="s">
        <v>3556</v>
      </c>
      <c r="C432" s="815">
        <v>3.2688999999999999E-3</v>
      </c>
      <c r="D432" s="815">
        <v>3.2718000000000001E-3</v>
      </c>
      <c r="E432" s="816">
        <v>7754949</v>
      </c>
      <c r="F432" s="816" t="s">
        <v>185</v>
      </c>
      <c r="G432" s="817">
        <v>1196404</v>
      </c>
      <c r="H432" s="818">
        <v>1064524</v>
      </c>
      <c r="I432" s="817">
        <v>2057864</v>
      </c>
      <c r="J432" s="816">
        <v>19959</v>
      </c>
      <c r="K432" s="818">
        <f t="shared" si="15"/>
        <v>4338751</v>
      </c>
      <c r="L432" s="816"/>
      <c r="M432" s="817">
        <v>40145</v>
      </c>
      <c r="N432" s="817">
        <v>0</v>
      </c>
      <c r="O432" s="816">
        <v>62594</v>
      </c>
      <c r="P432" s="818">
        <f t="shared" si="16"/>
        <v>102739</v>
      </c>
      <c r="Q432" s="816"/>
      <c r="R432" s="817">
        <v>2154117</v>
      </c>
      <c r="S432" s="816">
        <v>-9013</v>
      </c>
      <c r="T432" s="819">
        <v>2145104</v>
      </c>
    </row>
    <row r="433" spans="1:20" x14ac:dyDescent="0.25">
      <c r="A433" s="813">
        <v>94402</v>
      </c>
      <c r="B433" s="814" t="s">
        <v>2959</v>
      </c>
      <c r="C433" s="815">
        <v>0</v>
      </c>
      <c r="D433" s="815">
        <v>0</v>
      </c>
      <c r="E433" s="816">
        <v>0</v>
      </c>
      <c r="F433" s="816" t="s">
        <v>185</v>
      </c>
      <c r="G433" s="817">
        <v>0</v>
      </c>
      <c r="H433" s="818">
        <v>0</v>
      </c>
      <c r="I433" s="817">
        <v>0</v>
      </c>
      <c r="J433" s="816">
        <v>0</v>
      </c>
      <c r="K433" s="818">
        <f t="shared" si="15"/>
        <v>0</v>
      </c>
      <c r="L433" s="816"/>
      <c r="M433" s="817">
        <v>0</v>
      </c>
      <c r="N433" s="817">
        <v>0</v>
      </c>
      <c r="O433" s="816">
        <v>767649</v>
      </c>
      <c r="P433" s="818">
        <f t="shared" si="16"/>
        <v>767649</v>
      </c>
      <c r="Q433" s="816"/>
      <c r="R433" s="817">
        <v>0</v>
      </c>
      <c r="S433" s="816">
        <v>-1006718</v>
      </c>
      <c r="T433" s="819">
        <v>-1006718</v>
      </c>
    </row>
    <row r="434" spans="1:20" x14ac:dyDescent="0.25">
      <c r="A434" s="813">
        <v>94403</v>
      </c>
      <c r="B434" s="814" t="s">
        <v>3557</v>
      </c>
      <c r="C434" s="815">
        <v>3.1900000000000003E-5</v>
      </c>
      <c r="D434" s="815">
        <v>2.2099999999999998E-5</v>
      </c>
      <c r="E434" s="816">
        <v>75678</v>
      </c>
      <c r="F434" s="816" t="s">
        <v>185</v>
      </c>
      <c r="G434" s="817">
        <v>11675</v>
      </c>
      <c r="H434" s="818">
        <v>10388</v>
      </c>
      <c r="I434" s="817">
        <v>20082</v>
      </c>
      <c r="J434" s="816">
        <v>18814</v>
      </c>
      <c r="K434" s="818">
        <f t="shared" si="15"/>
        <v>60959</v>
      </c>
      <c r="L434" s="816"/>
      <c r="M434" s="817">
        <v>392</v>
      </c>
      <c r="N434" s="817">
        <v>0</v>
      </c>
      <c r="O434" s="816">
        <v>0</v>
      </c>
      <c r="P434" s="818">
        <f t="shared" si="16"/>
        <v>392</v>
      </c>
      <c r="Q434" s="816"/>
      <c r="R434" s="817">
        <v>21021</v>
      </c>
      <c r="S434" s="816">
        <v>5618</v>
      </c>
      <c r="T434" s="819">
        <v>26639</v>
      </c>
    </row>
    <row r="435" spans="1:20" x14ac:dyDescent="0.25">
      <c r="A435" s="813">
        <v>94408</v>
      </c>
      <c r="B435" s="814" t="s">
        <v>2960</v>
      </c>
      <c r="C435" s="815">
        <v>4.6E-5</v>
      </c>
      <c r="D435" s="815">
        <v>4.2400000000000001E-5</v>
      </c>
      <c r="E435" s="816">
        <v>109128</v>
      </c>
      <c r="F435" s="816" t="s">
        <v>185</v>
      </c>
      <c r="G435" s="817">
        <v>16836</v>
      </c>
      <c r="H435" s="818">
        <v>14980</v>
      </c>
      <c r="I435" s="817">
        <v>28958</v>
      </c>
      <c r="J435" s="816">
        <v>4785</v>
      </c>
      <c r="K435" s="818">
        <f t="shared" si="15"/>
        <v>65559</v>
      </c>
      <c r="L435" s="816"/>
      <c r="M435" s="817">
        <v>565</v>
      </c>
      <c r="N435" s="817">
        <v>0</v>
      </c>
      <c r="O435" s="816">
        <v>2759</v>
      </c>
      <c r="P435" s="818">
        <f t="shared" si="16"/>
        <v>3324</v>
      </c>
      <c r="Q435" s="816"/>
      <c r="R435" s="817">
        <v>30313</v>
      </c>
      <c r="S435" s="816">
        <v>129</v>
      </c>
      <c r="T435" s="819">
        <v>30442</v>
      </c>
    </row>
    <row r="436" spans="1:20" x14ac:dyDescent="0.25">
      <c r="A436" s="813">
        <v>94411</v>
      </c>
      <c r="B436" s="814" t="s">
        <v>4125</v>
      </c>
      <c r="C436" s="815">
        <v>1.2620000000000001E-3</v>
      </c>
      <c r="D436" s="815">
        <v>1.2672E-3</v>
      </c>
      <c r="E436" s="816">
        <v>2993896</v>
      </c>
      <c r="F436" s="816" t="s">
        <v>185</v>
      </c>
      <c r="G436" s="817">
        <v>461887</v>
      </c>
      <c r="H436" s="818">
        <v>410973</v>
      </c>
      <c r="I436" s="817">
        <v>794464</v>
      </c>
      <c r="J436" s="816">
        <v>43913</v>
      </c>
      <c r="K436" s="818">
        <f t="shared" si="15"/>
        <v>1711237</v>
      </c>
      <c r="L436" s="816"/>
      <c r="M436" s="817">
        <v>15499</v>
      </c>
      <c r="N436" s="817">
        <v>0</v>
      </c>
      <c r="O436" s="816">
        <v>31638</v>
      </c>
      <c r="P436" s="818">
        <f t="shared" si="16"/>
        <v>47137</v>
      </c>
      <c r="Q436" s="816"/>
      <c r="R436" s="817">
        <v>831624</v>
      </c>
      <c r="S436" s="816">
        <v>10868</v>
      </c>
      <c r="T436" s="819">
        <v>842492</v>
      </c>
    </row>
    <row r="437" spans="1:20" x14ac:dyDescent="0.25">
      <c r="A437" s="813">
        <v>94412</v>
      </c>
      <c r="B437" s="814" t="s">
        <v>2962</v>
      </c>
      <c r="C437" s="815">
        <v>1.5500000000000001E-5</v>
      </c>
      <c r="D437" s="815">
        <v>1.5099999999999999E-5</v>
      </c>
      <c r="E437" s="816">
        <v>36771</v>
      </c>
      <c r="F437" s="816" t="s">
        <v>185</v>
      </c>
      <c r="G437" s="817">
        <v>5673</v>
      </c>
      <c r="H437" s="818">
        <v>5047</v>
      </c>
      <c r="I437" s="817">
        <v>9758</v>
      </c>
      <c r="J437" s="816">
        <v>12196</v>
      </c>
      <c r="K437" s="818">
        <f t="shared" si="15"/>
        <v>32674</v>
      </c>
      <c r="L437" s="816"/>
      <c r="M437" s="817">
        <v>190</v>
      </c>
      <c r="N437" s="817">
        <v>0</v>
      </c>
      <c r="O437" s="816">
        <v>0</v>
      </c>
      <c r="P437" s="818">
        <f t="shared" si="16"/>
        <v>190</v>
      </c>
      <c r="Q437" s="816"/>
      <c r="R437" s="817">
        <v>10214</v>
      </c>
      <c r="S437" s="816">
        <v>7254</v>
      </c>
      <c r="T437" s="819">
        <v>17468</v>
      </c>
    </row>
    <row r="438" spans="1:20" x14ac:dyDescent="0.25">
      <c r="A438" s="813">
        <v>94421</v>
      </c>
      <c r="B438" s="814" t="s">
        <v>4126</v>
      </c>
      <c r="C438" s="815">
        <v>1.6080000000000001E-4</v>
      </c>
      <c r="D438" s="815">
        <v>1.6679999999999999E-4</v>
      </c>
      <c r="E438" s="816">
        <v>381473</v>
      </c>
      <c r="F438" s="816" t="s">
        <v>185</v>
      </c>
      <c r="G438" s="817">
        <v>58852</v>
      </c>
      <c r="H438" s="818">
        <v>52365</v>
      </c>
      <c r="I438" s="817">
        <v>101228</v>
      </c>
      <c r="J438" s="816">
        <v>2434</v>
      </c>
      <c r="K438" s="818">
        <f t="shared" si="15"/>
        <v>214879</v>
      </c>
      <c r="L438" s="816"/>
      <c r="M438" s="817">
        <v>1975</v>
      </c>
      <c r="N438" s="817">
        <v>0</v>
      </c>
      <c r="O438" s="816">
        <v>6283</v>
      </c>
      <c r="P438" s="818">
        <f t="shared" si="16"/>
        <v>8258</v>
      </c>
      <c r="Q438" s="816"/>
      <c r="R438" s="817">
        <v>105963</v>
      </c>
      <c r="S438" s="816">
        <v>-5086</v>
      </c>
      <c r="T438" s="819">
        <v>100877</v>
      </c>
    </row>
    <row r="439" spans="1:20" x14ac:dyDescent="0.25">
      <c r="A439" s="813">
        <v>94427</v>
      </c>
      <c r="B439" s="814" t="s">
        <v>2964</v>
      </c>
      <c r="C439" s="815">
        <v>1.63E-5</v>
      </c>
      <c r="D439" s="815">
        <v>1.5699999999999999E-5</v>
      </c>
      <c r="E439" s="816">
        <v>38669</v>
      </c>
      <c r="F439" s="816" t="s">
        <v>185</v>
      </c>
      <c r="G439" s="817">
        <v>5966</v>
      </c>
      <c r="H439" s="818">
        <v>5308</v>
      </c>
      <c r="I439" s="817">
        <v>10261</v>
      </c>
      <c r="J439" s="816">
        <v>5569</v>
      </c>
      <c r="K439" s="818">
        <f t="shared" si="15"/>
        <v>27104</v>
      </c>
      <c r="L439" s="816"/>
      <c r="M439" s="817">
        <v>200</v>
      </c>
      <c r="N439" s="817">
        <v>0</v>
      </c>
      <c r="O439" s="816">
        <v>246</v>
      </c>
      <c r="P439" s="818">
        <f t="shared" si="16"/>
        <v>446</v>
      </c>
      <c r="Q439" s="816"/>
      <c r="R439" s="817">
        <v>10741</v>
      </c>
      <c r="S439" s="816">
        <v>1607</v>
      </c>
      <c r="T439" s="819">
        <v>12348</v>
      </c>
    </row>
    <row r="440" spans="1:20" x14ac:dyDescent="0.25">
      <c r="A440" s="813">
        <v>94428</v>
      </c>
      <c r="B440" s="814" t="s">
        <v>2965</v>
      </c>
      <c r="C440" s="815">
        <v>7.2000000000000002E-5</v>
      </c>
      <c r="D440" s="815">
        <v>6.5199999999999999E-5</v>
      </c>
      <c r="E440" s="816">
        <v>170809</v>
      </c>
      <c r="F440" s="816" t="s">
        <v>185</v>
      </c>
      <c r="G440" s="817">
        <v>26352</v>
      </c>
      <c r="H440" s="818">
        <v>23447</v>
      </c>
      <c r="I440" s="817">
        <v>45326</v>
      </c>
      <c r="J440" s="816">
        <v>7270</v>
      </c>
      <c r="K440" s="818">
        <f t="shared" si="15"/>
        <v>102395</v>
      </c>
      <c r="L440" s="816"/>
      <c r="M440" s="817">
        <v>884</v>
      </c>
      <c r="N440" s="817">
        <v>0</v>
      </c>
      <c r="O440" s="816">
        <v>2510</v>
      </c>
      <c r="P440" s="818">
        <f t="shared" si="16"/>
        <v>3394</v>
      </c>
      <c r="Q440" s="816"/>
      <c r="R440" s="817">
        <v>47446</v>
      </c>
      <c r="S440" s="816">
        <v>1904</v>
      </c>
      <c r="T440" s="819">
        <v>49350</v>
      </c>
    </row>
    <row r="441" spans="1:20" x14ac:dyDescent="0.25">
      <c r="A441" s="813">
        <v>94431</v>
      </c>
      <c r="B441" s="814" t="s">
        <v>4127</v>
      </c>
      <c r="C441" s="815">
        <v>3.882E-4</v>
      </c>
      <c r="D441" s="815">
        <v>4.2440000000000002E-4</v>
      </c>
      <c r="E441" s="816">
        <v>920943</v>
      </c>
      <c r="F441" s="816" t="s">
        <v>185</v>
      </c>
      <c r="G441" s="817">
        <v>142080</v>
      </c>
      <c r="H441" s="818">
        <v>126418</v>
      </c>
      <c r="I441" s="817">
        <v>244383</v>
      </c>
      <c r="J441" s="816">
        <v>207234</v>
      </c>
      <c r="K441" s="818">
        <f t="shared" si="15"/>
        <v>720115</v>
      </c>
      <c r="L441" s="816"/>
      <c r="M441" s="817">
        <v>4767</v>
      </c>
      <c r="N441" s="817">
        <v>0</v>
      </c>
      <c r="O441" s="816">
        <v>0</v>
      </c>
      <c r="P441" s="818">
        <f t="shared" si="16"/>
        <v>4767</v>
      </c>
      <c r="Q441" s="816"/>
      <c r="R441" s="817">
        <v>255813</v>
      </c>
      <c r="S441" s="816">
        <v>84678</v>
      </c>
      <c r="T441" s="819">
        <v>340491</v>
      </c>
    </row>
    <row r="442" spans="1:20" x14ac:dyDescent="0.25">
      <c r="A442" s="813">
        <v>94437</v>
      </c>
      <c r="B442" s="814" t="s">
        <v>2967</v>
      </c>
      <c r="C442" s="815">
        <v>1.63E-5</v>
      </c>
      <c r="D442" s="815">
        <v>1.5299999999999999E-5</v>
      </c>
      <c r="E442" s="816">
        <v>38669</v>
      </c>
      <c r="F442" s="816" t="s">
        <v>185</v>
      </c>
      <c r="G442" s="817">
        <v>5966</v>
      </c>
      <c r="H442" s="818">
        <v>5308</v>
      </c>
      <c r="I442" s="817">
        <v>10261</v>
      </c>
      <c r="J442" s="816">
        <v>13304</v>
      </c>
      <c r="K442" s="818">
        <f t="shared" si="15"/>
        <v>34839</v>
      </c>
      <c r="L442" s="816"/>
      <c r="M442" s="817">
        <v>200</v>
      </c>
      <c r="N442" s="817">
        <v>0</v>
      </c>
      <c r="O442" s="816">
        <v>0</v>
      </c>
      <c r="P442" s="818">
        <f t="shared" si="16"/>
        <v>200</v>
      </c>
      <c r="Q442" s="816"/>
      <c r="R442" s="817">
        <v>10741</v>
      </c>
      <c r="S442" s="816">
        <v>6892</v>
      </c>
      <c r="T442" s="819">
        <v>17633</v>
      </c>
    </row>
    <row r="443" spans="1:20" x14ac:dyDescent="0.25">
      <c r="A443" s="813">
        <v>94501</v>
      </c>
      <c r="B443" s="814" t="s">
        <v>2968</v>
      </c>
      <c r="C443" s="815">
        <v>5.8639E-3</v>
      </c>
      <c r="D443" s="815">
        <v>5.6991000000000003E-3</v>
      </c>
      <c r="E443" s="816">
        <v>13911176</v>
      </c>
      <c r="F443" s="816" t="s">
        <v>185</v>
      </c>
      <c r="G443" s="817">
        <v>2146164</v>
      </c>
      <c r="H443" s="818">
        <v>1909591</v>
      </c>
      <c r="I443" s="817">
        <v>3691489</v>
      </c>
      <c r="J443" s="816">
        <v>148578</v>
      </c>
      <c r="K443" s="818">
        <f t="shared" si="15"/>
        <v>7895822</v>
      </c>
      <c r="L443" s="816"/>
      <c r="M443" s="817">
        <v>72015</v>
      </c>
      <c r="N443" s="817">
        <v>0</v>
      </c>
      <c r="O443" s="816">
        <v>8676</v>
      </c>
      <c r="P443" s="818">
        <f t="shared" si="16"/>
        <v>80691</v>
      </c>
      <c r="Q443" s="816"/>
      <c r="R443" s="817">
        <v>3864152</v>
      </c>
      <c r="S443" s="816">
        <v>125529</v>
      </c>
      <c r="T443" s="819">
        <v>3989681</v>
      </c>
    </row>
    <row r="444" spans="1:20" x14ac:dyDescent="0.25">
      <c r="A444" s="813">
        <v>94511</v>
      </c>
      <c r="B444" s="814" t="s">
        <v>2969</v>
      </c>
      <c r="C444" s="815">
        <v>1.9548999999999999E-3</v>
      </c>
      <c r="D444" s="815">
        <v>1.8538999999999999E-3</v>
      </c>
      <c r="E444" s="816">
        <v>4637691</v>
      </c>
      <c r="F444" s="816" t="s">
        <v>185</v>
      </c>
      <c r="G444" s="817">
        <v>715486</v>
      </c>
      <c r="H444" s="818">
        <v>636617</v>
      </c>
      <c r="I444" s="817">
        <v>1230664</v>
      </c>
      <c r="J444" s="816">
        <v>90765</v>
      </c>
      <c r="K444" s="818">
        <f t="shared" si="15"/>
        <v>2673532</v>
      </c>
      <c r="L444" s="816"/>
      <c r="M444" s="817">
        <v>24008</v>
      </c>
      <c r="N444" s="817">
        <v>0</v>
      </c>
      <c r="O444" s="816">
        <v>20572</v>
      </c>
      <c r="P444" s="818">
        <f t="shared" si="16"/>
        <v>44580</v>
      </c>
      <c r="Q444" s="816"/>
      <c r="R444" s="817">
        <v>1288226</v>
      </c>
      <c r="S444" s="816">
        <v>77659</v>
      </c>
      <c r="T444" s="819">
        <v>1365885</v>
      </c>
    </row>
    <row r="445" spans="1:20" x14ac:dyDescent="0.25">
      <c r="A445" s="813">
        <v>94512</v>
      </c>
      <c r="B445" s="814" t="s">
        <v>2970</v>
      </c>
      <c r="C445" s="815">
        <v>0</v>
      </c>
      <c r="D445" s="815">
        <v>0</v>
      </c>
      <c r="E445" s="816">
        <v>0</v>
      </c>
      <c r="F445" s="816" t="s">
        <v>185</v>
      </c>
      <c r="G445" s="817">
        <v>0</v>
      </c>
      <c r="H445" s="818">
        <v>0</v>
      </c>
      <c r="I445" s="817">
        <v>0</v>
      </c>
      <c r="J445" s="816">
        <v>0</v>
      </c>
      <c r="K445" s="818">
        <f t="shared" si="15"/>
        <v>0</v>
      </c>
      <c r="L445" s="816"/>
      <c r="M445" s="817">
        <v>0</v>
      </c>
      <c r="N445" s="817">
        <v>0</v>
      </c>
      <c r="O445" s="816">
        <v>59923</v>
      </c>
      <c r="P445" s="818">
        <f t="shared" si="16"/>
        <v>59923</v>
      </c>
      <c r="Q445" s="816"/>
      <c r="R445" s="817">
        <v>0</v>
      </c>
      <c r="S445" s="816">
        <v>-78657</v>
      </c>
      <c r="T445" s="819">
        <v>-78657</v>
      </c>
    </row>
    <row r="446" spans="1:20" x14ac:dyDescent="0.25">
      <c r="A446" s="813">
        <v>94517</v>
      </c>
      <c r="B446" s="814" t="s">
        <v>2971</v>
      </c>
      <c r="C446" s="815">
        <v>3.6199999999999999E-5</v>
      </c>
      <c r="D446" s="815">
        <v>4.7599999999999998E-5</v>
      </c>
      <c r="E446" s="816">
        <v>85879</v>
      </c>
      <c r="F446" s="816" t="s">
        <v>185</v>
      </c>
      <c r="G446" s="817">
        <v>13249</v>
      </c>
      <c r="H446" s="818">
        <v>11789</v>
      </c>
      <c r="I446" s="817">
        <v>22789</v>
      </c>
      <c r="J446" s="816">
        <v>12828</v>
      </c>
      <c r="K446" s="818">
        <f t="shared" si="15"/>
        <v>60655</v>
      </c>
      <c r="L446" s="816"/>
      <c r="M446" s="817">
        <v>445</v>
      </c>
      <c r="N446" s="817">
        <v>0</v>
      </c>
      <c r="O446" s="816">
        <v>0</v>
      </c>
      <c r="P446" s="818">
        <f t="shared" si="16"/>
        <v>445</v>
      </c>
      <c r="Q446" s="816"/>
      <c r="R446" s="817">
        <v>23855</v>
      </c>
      <c r="S446" s="816">
        <v>9761</v>
      </c>
      <c r="T446" s="819">
        <v>33616</v>
      </c>
    </row>
    <row r="447" spans="1:20" x14ac:dyDescent="0.25">
      <c r="A447" s="813">
        <v>94521</v>
      </c>
      <c r="B447" s="814" t="s">
        <v>4128</v>
      </c>
      <c r="C447" s="815">
        <v>1.5880000000000001E-4</v>
      </c>
      <c r="D447" s="815">
        <v>1.517E-4</v>
      </c>
      <c r="E447" s="816">
        <v>376728</v>
      </c>
      <c r="F447" s="816" t="s">
        <v>185</v>
      </c>
      <c r="G447" s="817">
        <v>58120</v>
      </c>
      <c r="H447" s="818">
        <v>51714</v>
      </c>
      <c r="I447" s="817">
        <v>99969</v>
      </c>
      <c r="J447" s="816">
        <v>10090</v>
      </c>
      <c r="K447" s="818">
        <f t="shared" si="15"/>
        <v>219893</v>
      </c>
      <c r="L447" s="816"/>
      <c r="M447" s="817">
        <v>1950</v>
      </c>
      <c r="N447" s="817">
        <v>0</v>
      </c>
      <c r="O447" s="816">
        <v>14325</v>
      </c>
      <c r="P447" s="818">
        <f t="shared" si="16"/>
        <v>16275</v>
      </c>
      <c r="Q447" s="816"/>
      <c r="R447" s="817">
        <v>104645</v>
      </c>
      <c r="S447" s="816">
        <v>-908</v>
      </c>
      <c r="T447" s="819">
        <v>103737</v>
      </c>
    </row>
    <row r="448" spans="1:20" x14ac:dyDescent="0.25">
      <c r="A448" s="813">
        <v>94527</v>
      </c>
      <c r="B448" s="814" t="s">
        <v>2973</v>
      </c>
      <c r="C448" s="815">
        <v>6.6000000000000003E-6</v>
      </c>
      <c r="D448" s="815">
        <v>5.4E-6</v>
      </c>
      <c r="E448" s="816">
        <v>15657</v>
      </c>
      <c r="F448" s="816" t="s">
        <v>185</v>
      </c>
      <c r="G448" s="817">
        <v>2416</v>
      </c>
      <c r="H448" s="818">
        <v>2149</v>
      </c>
      <c r="I448" s="817">
        <v>4155</v>
      </c>
      <c r="J448" s="816">
        <v>803</v>
      </c>
      <c r="K448" s="818">
        <f t="shared" si="15"/>
        <v>9523</v>
      </c>
      <c r="L448" s="816"/>
      <c r="M448" s="817">
        <v>81</v>
      </c>
      <c r="N448" s="817">
        <v>0</v>
      </c>
      <c r="O448" s="816">
        <v>2247</v>
      </c>
      <c r="P448" s="818">
        <f t="shared" si="16"/>
        <v>2328</v>
      </c>
      <c r="Q448" s="816"/>
      <c r="R448" s="817">
        <v>4349</v>
      </c>
      <c r="S448" s="816">
        <v>-787</v>
      </c>
      <c r="T448" s="819">
        <v>3562</v>
      </c>
    </row>
    <row r="449" spans="1:20" x14ac:dyDescent="0.25">
      <c r="A449" s="813">
        <v>94531</v>
      </c>
      <c r="B449" s="814" t="s">
        <v>4129</v>
      </c>
      <c r="C449" s="815">
        <v>1.4E-5</v>
      </c>
      <c r="D449" s="815">
        <v>1.5E-5</v>
      </c>
      <c r="E449" s="816">
        <v>33213</v>
      </c>
      <c r="F449" s="816" t="s">
        <v>185</v>
      </c>
      <c r="G449" s="817">
        <v>5124</v>
      </c>
      <c r="H449" s="818">
        <v>4559</v>
      </c>
      <c r="I449" s="817">
        <v>8813</v>
      </c>
      <c r="J449" s="816">
        <v>7957</v>
      </c>
      <c r="K449" s="818">
        <f t="shared" si="15"/>
        <v>26453</v>
      </c>
      <c r="L449" s="816"/>
      <c r="M449" s="817">
        <v>172</v>
      </c>
      <c r="N449" s="817">
        <v>0</v>
      </c>
      <c r="O449" s="816">
        <v>0</v>
      </c>
      <c r="P449" s="818">
        <f t="shared" si="16"/>
        <v>172</v>
      </c>
      <c r="Q449" s="816"/>
      <c r="R449" s="817">
        <v>9226</v>
      </c>
      <c r="S449" s="816">
        <v>3665</v>
      </c>
      <c r="T449" s="819">
        <v>12891</v>
      </c>
    </row>
    <row r="450" spans="1:20" x14ac:dyDescent="0.25">
      <c r="A450" s="813">
        <v>94532</v>
      </c>
      <c r="B450" s="814" t="s">
        <v>2975</v>
      </c>
      <c r="C450" s="815">
        <v>1.0280000000000001E-4</v>
      </c>
      <c r="D450" s="815">
        <v>8.7800000000000006E-5</v>
      </c>
      <c r="E450" s="816">
        <v>243877</v>
      </c>
      <c r="F450" s="816" t="s">
        <v>185</v>
      </c>
      <c r="G450" s="817">
        <v>37624</v>
      </c>
      <c r="H450" s="818">
        <v>33477</v>
      </c>
      <c r="I450" s="817">
        <v>64715</v>
      </c>
      <c r="J450" s="816">
        <v>9560</v>
      </c>
      <c r="K450" s="818">
        <f t="shared" si="15"/>
        <v>145376</v>
      </c>
      <c r="L450" s="816"/>
      <c r="M450" s="817">
        <v>1262</v>
      </c>
      <c r="N450" s="817">
        <v>0</v>
      </c>
      <c r="O450" s="816">
        <v>4871</v>
      </c>
      <c r="P450" s="818">
        <f t="shared" si="16"/>
        <v>6133</v>
      </c>
      <c r="Q450" s="816"/>
      <c r="R450" s="817">
        <v>67742</v>
      </c>
      <c r="S450" s="816">
        <v>-3107</v>
      </c>
      <c r="T450" s="819">
        <v>64635</v>
      </c>
    </row>
    <row r="451" spans="1:20" x14ac:dyDescent="0.25">
      <c r="A451" s="813">
        <v>94541</v>
      </c>
      <c r="B451" s="814" t="s">
        <v>4130</v>
      </c>
      <c r="C451" s="815">
        <v>2.8219999999999997E-4</v>
      </c>
      <c r="D451" s="815">
        <v>2.9300000000000002E-4</v>
      </c>
      <c r="E451" s="816">
        <v>669475</v>
      </c>
      <c r="F451" s="816" t="s">
        <v>185</v>
      </c>
      <c r="G451" s="817">
        <v>103284</v>
      </c>
      <c r="H451" s="818">
        <v>91899</v>
      </c>
      <c r="I451" s="817">
        <v>177653</v>
      </c>
      <c r="J451" s="816">
        <v>0</v>
      </c>
      <c r="K451" s="818">
        <f t="shared" si="15"/>
        <v>372836</v>
      </c>
      <c r="L451" s="816"/>
      <c r="M451" s="817">
        <v>3466</v>
      </c>
      <c r="N451" s="817">
        <v>0</v>
      </c>
      <c r="O451" s="816">
        <v>31668</v>
      </c>
      <c r="P451" s="818">
        <f t="shared" si="16"/>
        <v>35134</v>
      </c>
      <c r="Q451" s="816"/>
      <c r="R451" s="817">
        <v>185962</v>
      </c>
      <c r="S451" s="816">
        <v>-14289</v>
      </c>
      <c r="T451" s="819">
        <v>171673</v>
      </c>
    </row>
    <row r="452" spans="1:20" x14ac:dyDescent="0.25">
      <c r="A452" s="813">
        <v>94547</v>
      </c>
      <c r="B452" s="814" t="s">
        <v>2977</v>
      </c>
      <c r="C452" s="815">
        <v>1.01E-5</v>
      </c>
      <c r="D452" s="815">
        <v>1.08E-5</v>
      </c>
      <c r="E452" s="816">
        <v>23961</v>
      </c>
      <c r="F452" s="816" t="s">
        <v>185</v>
      </c>
      <c r="G452" s="817">
        <v>3697</v>
      </c>
      <c r="H452" s="818">
        <v>3289</v>
      </c>
      <c r="I452" s="817">
        <v>6358</v>
      </c>
      <c r="J452" s="816">
        <v>4672</v>
      </c>
      <c r="K452" s="818">
        <f t="shared" si="15"/>
        <v>18016</v>
      </c>
      <c r="L452" s="816"/>
      <c r="M452" s="817">
        <v>124</v>
      </c>
      <c r="N452" s="817">
        <v>0</v>
      </c>
      <c r="O452" s="816">
        <v>0</v>
      </c>
      <c r="P452" s="818">
        <f t="shared" si="16"/>
        <v>124</v>
      </c>
      <c r="Q452" s="816"/>
      <c r="R452" s="817">
        <v>6656</v>
      </c>
      <c r="S452" s="816">
        <v>1705</v>
      </c>
      <c r="T452" s="819">
        <v>8361</v>
      </c>
    </row>
    <row r="453" spans="1:20" x14ac:dyDescent="0.25">
      <c r="A453" s="813">
        <v>94551</v>
      </c>
      <c r="B453" s="814" t="s">
        <v>4131</v>
      </c>
      <c r="C453" s="815">
        <v>4.9200000000000003E-5</v>
      </c>
      <c r="D453" s="815">
        <v>4.1900000000000002E-5</v>
      </c>
      <c r="E453" s="816">
        <v>116719</v>
      </c>
      <c r="F453" s="816" t="s">
        <v>185</v>
      </c>
      <c r="G453" s="817">
        <v>18007</v>
      </c>
      <c r="H453" s="818">
        <v>16022</v>
      </c>
      <c r="I453" s="817">
        <v>30973</v>
      </c>
      <c r="J453" s="816">
        <v>13168</v>
      </c>
      <c r="K453" s="818">
        <f t="shared" si="15"/>
        <v>78170</v>
      </c>
      <c r="L453" s="816"/>
      <c r="M453" s="817">
        <v>604</v>
      </c>
      <c r="N453" s="817">
        <v>0</v>
      </c>
      <c r="O453" s="816">
        <v>710</v>
      </c>
      <c r="P453" s="818">
        <f t="shared" si="16"/>
        <v>1314</v>
      </c>
      <c r="Q453" s="816"/>
      <c r="R453" s="817">
        <v>32421</v>
      </c>
      <c r="S453" s="816">
        <v>5732</v>
      </c>
      <c r="T453" s="819">
        <v>38153</v>
      </c>
    </row>
    <row r="454" spans="1:20" x14ac:dyDescent="0.25">
      <c r="A454" s="813">
        <v>94601</v>
      </c>
      <c r="B454" s="814" t="s">
        <v>2979</v>
      </c>
      <c r="C454" s="815">
        <v>1.0712E-3</v>
      </c>
      <c r="D454" s="815">
        <v>1.0602999999999999E-3</v>
      </c>
      <c r="E454" s="816">
        <v>2541253</v>
      </c>
      <c r="F454" s="816" t="s">
        <v>185</v>
      </c>
      <c r="G454" s="817">
        <v>392055</v>
      </c>
      <c r="H454" s="818">
        <v>348838</v>
      </c>
      <c r="I454" s="817">
        <v>674350</v>
      </c>
      <c r="J454" s="816">
        <v>72678</v>
      </c>
      <c r="K454" s="818">
        <f t="shared" si="15"/>
        <v>1487921</v>
      </c>
      <c r="L454" s="816"/>
      <c r="M454" s="817">
        <v>13155</v>
      </c>
      <c r="N454" s="817">
        <v>0</v>
      </c>
      <c r="O454" s="816">
        <v>984</v>
      </c>
      <c r="P454" s="818">
        <f t="shared" si="16"/>
        <v>14139</v>
      </c>
      <c r="Q454" s="816"/>
      <c r="R454" s="817">
        <v>705892</v>
      </c>
      <c r="S454" s="816">
        <v>26134</v>
      </c>
      <c r="T454" s="819">
        <v>732026</v>
      </c>
    </row>
    <row r="455" spans="1:20" x14ac:dyDescent="0.25">
      <c r="A455" s="813">
        <v>94604</v>
      </c>
      <c r="B455" s="814" t="s">
        <v>2980</v>
      </c>
      <c r="C455" s="815">
        <v>2.7699999999999999E-5</v>
      </c>
      <c r="D455" s="815">
        <v>2.62E-5</v>
      </c>
      <c r="E455" s="816">
        <v>65714</v>
      </c>
      <c r="F455" s="816" t="s">
        <v>185</v>
      </c>
      <c r="G455" s="817">
        <v>10138</v>
      </c>
      <c r="H455" s="818">
        <v>9021</v>
      </c>
      <c r="I455" s="817">
        <v>17438</v>
      </c>
      <c r="J455" s="816">
        <v>3578</v>
      </c>
      <c r="K455" s="818">
        <f t="shared" si="15"/>
        <v>40175</v>
      </c>
      <c r="L455" s="816"/>
      <c r="M455" s="817">
        <v>340</v>
      </c>
      <c r="N455" s="817">
        <v>0</v>
      </c>
      <c r="O455" s="816">
        <v>0</v>
      </c>
      <c r="P455" s="818">
        <f t="shared" si="16"/>
        <v>340</v>
      </c>
      <c r="Q455" s="816"/>
      <c r="R455" s="817">
        <v>18254</v>
      </c>
      <c r="S455" s="816">
        <v>1154</v>
      </c>
      <c r="T455" s="819">
        <v>19408</v>
      </c>
    </row>
    <row r="456" spans="1:20" x14ac:dyDescent="0.25">
      <c r="A456" s="813">
        <v>94606</v>
      </c>
      <c r="B456" s="814" t="s">
        <v>2981</v>
      </c>
      <c r="C456" s="815">
        <v>1.9019999999999999E-4</v>
      </c>
      <c r="D456" s="815">
        <v>2.3550000000000001E-4</v>
      </c>
      <c r="E456" s="816">
        <v>451219</v>
      </c>
      <c r="F456" s="816" t="s">
        <v>185</v>
      </c>
      <c r="G456" s="817">
        <v>69612</v>
      </c>
      <c r="H456" s="818">
        <v>61939</v>
      </c>
      <c r="I456" s="817">
        <v>119736</v>
      </c>
      <c r="J456" s="816">
        <v>0</v>
      </c>
      <c r="K456" s="818">
        <f t="shared" si="15"/>
        <v>251287</v>
      </c>
      <c r="L456" s="816"/>
      <c r="M456" s="817">
        <v>2336</v>
      </c>
      <c r="N456" s="817">
        <v>0</v>
      </c>
      <c r="O456" s="816">
        <v>52852</v>
      </c>
      <c r="P456" s="818">
        <f t="shared" si="16"/>
        <v>55188</v>
      </c>
      <c r="Q456" s="816"/>
      <c r="R456" s="817">
        <v>125337</v>
      </c>
      <c r="S456" s="816">
        <v>-30387</v>
      </c>
      <c r="T456" s="819">
        <v>94950</v>
      </c>
    </row>
    <row r="457" spans="1:20" x14ac:dyDescent="0.25">
      <c r="A457" s="813">
        <v>94611</v>
      </c>
      <c r="B457" s="814" t="s">
        <v>4132</v>
      </c>
      <c r="C457" s="815">
        <v>3.5149999999999998E-4</v>
      </c>
      <c r="D457" s="815">
        <v>3.6850000000000001E-4</v>
      </c>
      <c r="E457" s="816">
        <v>833878</v>
      </c>
      <c r="F457" s="816" t="s">
        <v>185</v>
      </c>
      <c r="G457" s="817">
        <v>128648</v>
      </c>
      <c r="H457" s="818">
        <v>114467</v>
      </c>
      <c r="I457" s="817">
        <v>221279</v>
      </c>
      <c r="J457" s="816">
        <v>1175</v>
      </c>
      <c r="K457" s="818">
        <f t="shared" si="15"/>
        <v>465569</v>
      </c>
      <c r="L457" s="816"/>
      <c r="M457" s="817">
        <v>4317</v>
      </c>
      <c r="N457" s="817">
        <v>0</v>
      </c>
      <c r="O457" s="816">
        <v>24785</v>
      </c>
      <c r="P457" s="818">
        <f t="shared" si="16"/>
        <v>29102</v>
      </c>
      <c r="Q457" s="816"/>
      <c r="R457" s="817">
        <v>231629</v>
      </c>
      <c r="S457" s="816">
        <v>-9311</v>
      </c>
      <c r="T457" s="819">
        <v>222318</v>
      </c>
    </row>
    <row r="458" spans="1:20" x14ac:dyDescent="0.25">
      <c r="A458" s="813">
        <v>94621</v>
      </c>
      <c r="B458" s="814" t="s">
        <v>4133</v>
      </c>
      <c r="C458" s="815">
        <v>1.0450000000000001E-4</v>
      </c>
      <c r="D458" s="815">
        <v>9.7600000000000001E-5</v>
      </c>
      <c r="E458" s="816">
        <v>247910</v>
      </c>
      <c r="F458" s="816" t="s">
        <v>185</v>
      </c>
      <c r="G458" s="817">
        <v>38247</v>
      </c>
      <c r="H458" s="818">
        <v>34031</v>
      </c>
      <c r="I458" s="817">
        <v>65786</v>
      </c>
      <c r="J458" s="816">
        <v>19728</v>
      </c>
      <c r="K458" s="818">
        <f t="shared" si="15"/>
        <v>157792</v>
      </c>
      <c r="L458" s="816"/>
      <c r="M458" s="817">
        <v>1283</v>
      </c>
      <c r="N458" s="817">
        <v>0</v>
      </c>
      <c r="O458" s="816">
        <v>10114</v>
      </c>
      <c r="P458" s="818">
        <f t="shared" si="16"/>
        <v>11397</v>
      </c>
      <c r="Q458" s="816"/>
      <c r="R458" s="817">
        <v>68863</v>
      </c>
      <c r="S458" s="816">
        <v>3576</v>
      </c>
      <c r="T458" s="819">
        <v>72439</v>
      </c>
    </row>
    <row r="459" spans="1:20" x14ac:dyDescent="0.25">
      <c r="A459" s="813">
        <v>94631</v>
      </c>
      <c r="B459" s="814" t="s">
        <v>4134</v>
      </c>
      <c r="C459" s="815">
        <v>4.4799999999999998E-5</v>
      </c>
      <c r="D459" s="815">
        <v>3.9100000000000002E-5</v>
      </c>
      <c r="E459" s="816">
        <v>106281</v>
      </c>
      <c r="F459" s="816" t="s">
        <v>185</v>
      </c>
      <c r="G459" s="817">
        <v>16397</v>
      </c>
      <c r="H459" s="818">
        <v>14590</v>
      </c>
      <c r="I459" s="817">
        <v>28203</v>
      </c>
      <c r="J459" s="816">
        <v>7035</v>
      </c>
      <c r="K459" s="818">
        <f t="shared" si="15"/>
        <v>66225</v>
      </c>
      <c r="L459" s="816"/>
      <c r="M459" s="817">
        <v>550</v>
      </c>
      <c r="N459" s="817">
        <v>0</v>
      </c>
      <c r="O459" s="816">
        <v>0</v>
      </c>
      <c r="P459" s="818">
        <f t="shared" si="16"/>
        <v>550</v>
      </c>
      <c r="Q459" s="816"/>
      <c r="R459" s="817">
        <v>29522</v>
      </c>
      <c r="S459" s="816">
        <v>3256</v>
      </c>
      <c r="T459" s="819">
        <v>32778</v>
      </c>
    </row>
    <row r="460" spans="1:20" x14ac:dyDescent="0.25">
      <c r="A460" s="813">
        <v>94641</v>
      </c>
      <c r="B460" s="814" t="s">
        <v>4135</v>
      </c>
      <c r="C460" s="815">
        <v>3.5999999999999998E-6</v>
      </c>
      <c r="D460" s="815">
        <v>3.8999999999999999E-6</v>
      </c>
      <c r="E460" s="816">
        <v>8540</v>
      </c>
      <c r="F460" s="816" t="s">
        <v>185</v>
      </c>
      <c r="G460" s="817">
        <v>1318</v>
      </c>
      <c r="H460" s="818">
        <v>1173</v>
      </c>
      <c r="I460" s="817">
        <v>2266</v>
      </c>
      <c r="J460" s="816">
        <v>5161</v>
      </c>
      <c r="K460" s="818">
        <f t="shared" si="15"/>
        <v>9918</v>
      </c>
      <c r="L460" s="816"/>
      <c r="M460" s="817">
        <v>44</v>
      </c>
      <c r="N460" s="817">
        <v>0</v>
      </c>
      <c r="O460" s="816">
        <v>0</v>
      </c>
      <c r="P460" s="818">
        <f t="shared" si="16"/>
        <v>44</v>
      </c>
      <c r="Q460" s="816"/>
      <c r="R460" s="817">
        <v>2372</v>
      </c>
      <c r="S460" s="816">
        <v>2728</v>
      </c>
      <c r="T460" s="819">
        <v>5100</v>
      </c>
    </row>
    <row r="461" spans="1:20" x14ac:dyDescent="0.25">
      <c r="A461" s="813">
        <v>94701</v>
      </c>
      <c r="B461" s="814" t="s">
        <v>2986</v>
      </c>
      <c r="C461" s="815">
        <v>2.3993999999999999E-3</v>
      </c>
      <c r="D461" s="815">
        <v>2.5446000000000002E-3</v>
      </c>
      <c r="E461" s="816">
        <v>5692197</v>
      </c>
      <c r="F461" s="816" t="s">
        <v>185</v>
      </c>
      <c r="G461" s="817">
        <v>878171</v>
      </c>
      <c r="H461" s="818">
        <v>781370</v>
      </c>
      <c r="I461" s="817">
        <v>1510489</v>
      </c>
      <c r="J461" s="816">
        <v>14859</v>
      </c>
      <c r="K461" s="818">
        <f t="shared" ref="K461:K526" si="17">G461+H461+I461+J461</f>
        <v>3184889</v>
      </c>
      <c r="L461" s="816"/>
      <c r="M461" s="817">
        <v>29467</v>
      </c>
      <c r="N461" s="817">
        <v>0</v>
      </c>
      <c r="O461" s="816">
        <v>188404</v>
      </c>
      <c r="P461" s="818">
        <f t="shared" ref="P461:P526" si="18">M461+N461+O461</f>
        <v>217871</v>
      </c>
      <c r="Q461" s="816"/>
      <c r="R461" s="817">
        <v>1581140</v>
      </c>
      <c r="S461" s="816">
        <v>-32473</v>
      </c>
      <c r="T461" s="819">
        <v>1548667</v>
      </c>
    </row>
    <row r="462" spans="1:20" x14ac:dyDescent="0.25">
      <c r="A462" s="813">
        <v>94704</v>
      </c>
      <c r="B462" s="814" t="s">
        <v>2987</v>
      </c>
      <c r="C462" s="815">
        <v>1.63E-5</v>
      </c>
      <c r="D462" s="815">
        <v>9.5000000000000005E-6</v>
      </c>
      <c r="E462" s="816">
        <v>38669</v>
      </c>
      <c r="F462" s="816" t="s">
        <v>185</v>
      </c>
      <c r="G462" s="817">
        <v>5966</v>
      </c>
      <c r="H462" s="818">
        <v>5308</v>
      </c>
      <c r="I462" s="817">
        <v>10261</v>
      </c>
      <c r="J462" s="816">
        <v>4937</v>
      </c>
      <c r="K462" s="818">
        <f t="shared" si="17"/>
        <v>26472</v>
      </c>
      <c r="L462" s="816"/>
      <c r="M462" s="817">
        <v>200</v>
      </c>
      <c r="N462" s="817">
        <v>0</v>
      </c>
      <c r="O462" s="816">
        <v>69</v>
      </c>
      <c r="P462" s="818">
        <f t="shared" si="18"/>
        <v>269</v>
      </c>
      <c r="Q462" s="816"/>
      <c r="R462" s="817">
        <v>10741</v>
      </c>
      <c r="S462" s="816">
        <v>1269</v>
      </c>
      <c r="T462" s="819">
        <v>12010</v>
      </c>
    </row>
    <row r="463" spans="1:20" x14ac:dyDescent="0.25">
      <c r="A463" s="813">
        <v>94711</v>
      </c>
      <c r="B463" s="814" t="s">
        <v>4136</v>
      </c>
      <c r="C463" s="815">
        <v>3.3589999999999998E-4</v>
      </c>
      <c r="D463" s="815">
        <v>3.3599999999999998E-4</v>
      </c>
      <c r="E463" s="816">
        <v>796870</v>
      </c>
      <c r="F463" s="816"/>
      <c r="G463" s="817">
        <v>122938</v>
      </c>
      <c r="H463" s="818">
        <v>109386</v>
      </c>
      <c r="I463" s="817">
        <v>211458</v>
      </c>
      <c r="J463" s="816">
        <v>6983</v>
      </c>
      <c r="K463" s="818">
        <f t="shared" si="17"/>
        <v>450765</v>
      </c>
      <c r="L463" s="816"/>
      <c r="M463" s="817">
        <v>4125</v>
      </c>
      <c r="N463" s="817">
        <v>0</v>
      </c>
      <c r="O463" s="816">
        <v>2875</v>
      </c>
      <c r="P463" s="818">
        <f t="shared" si="18"/>
        <v>7000</v>
      </c>
      <c r="Q463" s="816"/>
      <c r="R463" s="817">
        <v>221349</v>
      </c>
      <c r="S463" s="816">
        <v>1908</v>
      </c>
      <c r="T463" s="819">
        <v>223257</v>
      </c>
    </row>
    <row r="464" spans="1:20" x14ac:dyDescent="0.25">
      <c r="A464" s="813">
        <v>94801</v>
      </c>
      <c r="B464" s="814" t="s">
        <v>2989</v>
      </c>
      <c r="C464" s="815">
        <v>6.7719999999999998E-4</v>
      </c>
      <c r="D464" s="815">
        <v>7.2440000000000004E-4</v>
      </c>
      <c r="E464" s="816">
        <v>1606550</v>
      </c>
      <c r="F464" s="816"/>
      <c r="G464" s="817">
        <v>247852</v>
      </c>
      <c r="H464" s="818">
        <v>220532</v>
      </c>
      <c r="I464" s="817">
        <v>426316</v>
      </c>
      <c r="J464" s="816">
        <v>17822</v>
      </c>
      <c r="K464" s="818">
        <f t="shared" si="17"/>
        <v>912522</v>
      </c>
      <c r="L464" s="816"/>
      <c r="M464" s="817">
        <v>8317</v>
      </c>
      <c r="N464" s="817">
        <v>0</v>
      </c>
      <c r="O464" s="816">
        <v>36966</v>
      </c>
      <c r="P464" s="818">
        <f t="shared" si="18"/>
        <v>45283</v>
      </c>
      <c r="Q464" s="816"/>
      <c r="R464" s="817">
        <v>446257</v>
      </c>
      <c r="S464" s="816">
        <v>12092</v>
      </c>
      <c r="T464" s="819">
        <v>458349</v>
      </c>
    </row>
    <row r="465" spans="1:20" x14ac:dyDescent="0.25">
      <c r="A465" s="813">
        <v>94804</v>
      </c>
      <c r="B465" s="814" t="s">
        <v>2990</v>
      </c>
      <c r="C465" s="815">
        <v>3.3000000000000002E-6</v>
      </c>
      <c r="D465" s="815">
        <v>3.8E-6</v>
      </c>
      <c r="E465" s="816">
        <v>7829</v>
      </c>
      <c r="F465" s="816"/>
      <c r="G465" s="817">
        <v>1208</v>
      </c>
      <c r="H465" s="818">
        <v>1075</v>
      </c>
      <c r="I465" s="817">
        <v>2077</v>
      </c>
      <c r="J465" s="816">
        <v>1172</v>
      </c>
      <c r="K465" s="818">
        <f t="shared" si="17"/>
        <v>5532</v>
      </c>
      <c r="L465" s="816"/>
      <c r="M465" s="817">
        <v>41</v>
      </c>
      <c r="N465" s="817">
        <v>0</v>
      </c>
      <c r="O465" s="816">
        <v>142</v>
      </c>
      <c r="P465" s="818">
        <f t="shared" si="18"/>
        <v>183</v>
      </c>
      <c r="Q465" s="816"/>
      <c r="R465" s="817">
        <v>2175</v>
      </c>
      <c r="S465" s="816">
        <v>2000</v>
      </c>
      <c r="T465" s="819">
        <v>4175</v>
      </c>
    </row>
    <row r="466" spans="1:20" x14ac:dyDescent="0.25">
      <c r="A466" s="813">
        <v>94812</v>
      </c>
      <c r="B466" s="814" t="s">
        <v>2991</v>
      </c>
      <c r="C466" s="815">
        <v>3.2100000000000001E-5</v>
      </c>
      <c r="D466" s="815">
        <v>3.3000000000000003E-5</v>
      </c>
      <c r="E466" s="816">
        <v>76152</v>
      </c>
      <c r="F466" s="816" t="s">
        <v>185</v>
      </c>
      <c r="G466" s="817">
        <v>11748</v>
      </c>
      <c r="H466" s="818">
        <v>10453</v>
      </c>
      <c r="I466" s="817">
        <v>20208</v>
      </c>
      <c r="J466" s="816">
        <v>9807</v>
      </c>
      <c r="K466" s="818">
        <f t="shared" si="17"/>
        <v>52216</v>
      </c>
      <c r="L466" s="816"/>
      <c r="M466" s="817">
        <v>394</v>
      </c>
      <c r="N466" s="817">
        <v>0</v>
      </c>
      <c r="O466" s="816">
        <v>0</v>
      </c>
      <c r="P466" s="818">
        <f t="shared" si="18"/>
        <v>394</v>
      </c>
      <c r="Q466" s="816"/>
      <c r="R466" s="817">
        <v>21153</v>
      </c>
      <c r="S466" s="816">
        <v>4887</v>
      </c>
      <c r="T466" s="819">
        <v>26040</v>
      </c>
    </row>
    <row r="467" spans="1:20" x14ac:dyDescent="0.25">
      <c r="A467" s="813">
        <v>94901</v>
      </c>
      <c r="B467" s="814" t="s">
        <v>2992</v>
      </c>
      <c r="C467" s="815">
        <v>7.1234000000000002E-3</v>
      </c>
      <c r="D467" s="815">
        <v>6.7841999999999998E-3</v>
      </c>
      <c r="E467" s="816">
        <v>16899141</v>
      </c>
      <c r="F467" s="816" t="s">
        <v>185</v>
      </c>
      <c r="G467" s="817">
        <v>2607136</v>
      </c>
      <c r="H467" s="818">
        <v>2319750</v>
      </c>
      <c r="I467" s="817">
        <v>4484380</v>
      </c>
      <c r="J467" s="816">
        <v>225129</v>
      </c>
      <c r="K467" s="818">
        <f t="shared" si="17"/>
        <v>9636395</v>
      </c>
      <c r="L467" s="816"/>
      <c r="M467" s="817">
        <v>87482</v>
      </c>
      <c r="N467" s="817">
        <v>0</v>
      </c>
      <c r="O467" s="816">
        <v>81221</v>
      </c>
      <c r="P467" s="818">
        <f t="shared" si="18"/>
        <v>168703</v>
      </c>
      <c r="Q467" s="816"/>
      <c r="R467" s="817">
        <v>4694128</v>
      </c>
      <c r="S467" s="816">
        <v>18634</v>
      </c>
      <c r="T467" s="819">
        <v>4712762</v>
      </c>
    </row>
    <row r="468" spans="1:20" x14ac:dyDescent="0.25">
      <c r="A468" s="813">
        <v>94908</v>
      </c>
      <c r="B468" s="814" t="s">
        <v>2993</v>
      </c>
      <c r="C468" s="815">
        <v>6.8000000000000001E-6</v>
      </c>
      <c r="D468" s="815">
        <v>7.7000000000000008E-6</v>
      </c>
      <c r="E468" s="816">
        <v>16132</v>
      </c>
      <c r="F468" s="816" t="s">
        <v>185</v>
      </c>
      <c r="G468" s="817">
        <v>2489</v>
      </c>
      <c r="H468" s="818">
        <v>2215</v>
      </c>
      <c r="I468" s="817">
        <v>4281</v>
      </c>
      <c r="J468" s="816">
        <v>0</v>
      </c>
      <c r="K468" s="818">
        <f t="shared" si="17"/>
        <v>8985</v>
      </c>
      <c r="L468" s="816"/>
      <c r="M468" s="817">
        <v>84</v>
      </c>
      <c r="N468" s="817">
        <v>0</v>
      </c>
      <c r="O468" s="816">
        <v>15303</v>
      </c>
      <c r="P468" s="818">
        <f t="shared" si="18"/>
        <v>15387</v>
      </c>
      <c r="Q468" s="816"/>
      <c r="R468" s="817">
        <v>4481</v>
      </c>
      <c r="S468" s="816">
        <v>-6873</v>
      </c>
      <c r="T468" s="819">
        <v>-2392</v>
      </c>
    </row>
    <row r="469" spans="1:20" x14ac:dyDescent="0.25">
      <c r="A469" s="813">
        <v>94911</v>
      </c>
      <c r="B469" s="814" t="s">
        <v>2994</v>
      </c>
      <c r="C469" s="815">
        <v>2.9845000000000002E-3</v>
      </c>
      <c r="D469" s="815">
        <v>2.8311E-3</v>
      </c>
      <c r="E469" s="816">
        <v>7080255</v>
      </c>
      <c r="F469" s="816" t="s">
        <v>185</v>
      </c>
      <c r="G469" s="817">
        <v>1092315</v>
      </c>
      <c r="H469" s="818">
        <v>971909</v>
      </c>
      <c r="I469" s="817">
        <v>1878826</v>
      </c>
      <c r="J469" s="816">
        <v>119500</v>
      </c>
      <c r="K469" s="818">
        <f t="shared" si="17"/>
        <v>4062550</v>
      </c>
      <c r="L469" s="816"/>
      <c r="M469" s="817">
        <v>36653</v>
      </c>
      <c r="N469" s="817">
        <v>0</v>
      </c>
      <c r="O469" s="816">
        <v>21376</v>
      </c>
      <c r="P469" s="818">
        <f t="shared" si="18"/>
        <v>58029</v>
      </c>
      <c r="Q469" s="816"/>
      <c r="R469" s="817">
        <v>1966705</v>
      </c>
      <c r="S469" s="816">
        <v>15404</v>
      </c>
      <c r="T469" s="819">
        <v>1982109</v>
      </c>
    </row>
    <row r="470" spans="1:20" x14ac:dyDescent="0.25">
      <c r="A470" s="813">
        <v>94917</v>
      </c>
      <c r="B470" s="814" t="s">
        <v>2995</v>
      </c>
      <c r="C470" s="815">
        <v>3.0899999999999999E-5</v>
      </c>
      <c r="D470" s="815">
        <v>3.5099999999999999E-5</v>
      </c>
      <c r="E470" s="816">
        <v>73305</v>
      </c>
      <c r="F470" s="816" t="s">
        <v>185</v>
      </c>
      <c r="G470" s="817">
        <v>11309</v>
      </c>
      <c r="H470" s="818">
        <v>10063</v>
      </c>
      <c r="I470" s="817">
        <v>19452</v>
      </c>
      <c r="J470" s="816">
        <v>16632</v>
      </c>
      <c r="K470" s="818">
        <f t="shared" si="17"/>
        <v>57456</v>
      </c>
      <c r="L470" s="816"/>
      <c r="M470" s="817">
        <v>379</v>
      </c>
      <c r="N470" s="817">
        <v>0</v>
      </c>
      <c r="O470" s="816">
        <v>0</v>
      </c>
      <c r="P470" s="818">
        <f t="shared" si="18"/>
        <v>379</v>
      </c>
      <c r="Q470" s="816"/>
      <c r="R470" s="817">
        <v>20362</v>
      </c>
      <c r="S470" s="816">
        <v>8881</v>
      </c>
      <c r="T470" s="819">
        <v>29243</v>
      </c>
    </row>
    <row r="471" spans="1:20" x14ac:dyDescent="0.25">
      <c r="A471" s="813">
        <v>94921</v>
      </c>
      <c r="B471" s="814" t="s">
        <v>2996</v>
      </c>
      <c r="C471" s="815">
        <v>3.9271000000000002E-3</v>
      </c>
      <c r="D471" s="815">
        <v>3.9515000000000002E-3</v>
      </c>
      <c r="E471" s="816">
        <v>9316424</v>
      </c>
      <c r="F471" s="816" t="s">
        <v>185</v>
      </c>
      <c r="G471" s="817">
        <v>1437303</v>
      </c>
      <c r="H471" s="818">
        <v>1278868</v>
      </c>
      <c r="I471" s="817">
        <v>2472219</v>
      </c>
      <c r="J471" s="816">
        <v>14401</v>
      </c>
      <c r="K471" s="818">
        <f t="shared" si="17"/>
        <v>5202791</v>
      </c>
      <c r="L471" s="816"/>
      <c r="M471" s="817">
        <v>48229</v>
      </c>
      <c r="N471" s="817">
        <v>0</v>
      </c>
      <c r="O471" s="816">
        <v>338996</v>
      </c>
      <c r="P471" s="818">
        <f t="shared" si="18"/>
        <v>387225</v>
      </c>
      <c r="Q471" s="816"/>
      <c r="R471" s="817">
        <v>2587853</v>
      </c>
      <c r="S471" s="816">
        <v>-186399</v>
      </c>
      <c r="T471" s="819">
        <v>2401454</v>
      </c>
    </row>
    <row r="472" spans="1:20" x14ac:dyDescent="0.25">
      <c r="A472" s="813">
        <v>94923</v>
      </c>
      <c r="B472" s="814" t="s">
        <v>2997</v>
      </c>
      <c r="C472" s="815">
        <v>2.9099999999999999E-5</v>
      </c>
      <c r="D472" s="815">
        <v>3.0700000000000001E-5</v>
      </c>
      <c r="E472" s="816">
        <v>69035</v>
      </c>
      <c r="F472" s="816" t="s">
        <v>185</v>
      </c>
      <c r="G472" s="817">
        <v>10650</v>
      </c>
      <c r="H472" s="818">
        <v>9477</v>
      </c>
      <c r="I472" s="817">
        <v>18319</v>
      </c>
      <c r="J472" s="816">
        <v>4323</v>
      </c>
      <c r="K472" s="818">
        <f t="shared" si="17"/>
        <v>42769</v>
      </c>
      <c r="L472" s="816"/>
      <c r="M472" s="817">
        <v>357</v>
      </c>
      <c r="N472" s="817">
        <v>0</v>
      </c>
      <c r="O472" s="816">
        <v>0</v>
      </c>
      <c r="P472" s="818">
        <f t="shared" si="18"/>
        <v>357</v>
      </c>
      <c r="Q472" s="816"/>
      <c r="R472" s="817">
        <v>19176</v>
      </c>
      <c r="S472" s="816">
        <v>1615</v>
      </c>
      <c r="T472" s="819">
        <v>20791</v>
      </c>
    </row>
    <row r="473" spans="1:20" x14ac:dyDescent="0.25">
      <c r="A473" s="813">
        <v>94927</v>
      </c>
      <c r="B473" s="814" t="s">
        <v>2998</v>
      </c>
      <c r="C473" s="815">
        <v>2.76E-5</v>
      </c>
      <c r="D473" s="815">
        <v>3.0599999999999998E-5</v>
      </c>
      <c r="E473" s="816">
        <v>65477</v>
      </c>
      <c r="F473" s="816" t="s">
        <v>185</v>
      </c>
      <c r="G473" s="817">
        <v>10101</v>
      </c>
      <c r="H473" s="818">
        <v>8988</v>
      </c>
      <c r="I473" s="817">
        <v>17375</v>
      </c>
      <c r="J473" s="816">
        <v>4844</v>
      </c>
      <c r="K473" s="818">
        <f t="shared" si="17"/>
        <v>41308</v>
      </c>
      <c r="L473" s="816"/>
      <c r="M473" s="817">
        <v>339</v>
      </c>
      <c r="N473" s="817">
        <v>0</v>
      </c>
      <c r="O473" s="816">
        <v>0</v>
      </c>
      <c r="P473" s="818">
        <f t="shared" si="18"/>
        <v>339</v>
      </c>
      <c r="Q473" s="816"/>
      <c r="R473" s="817">
        <v>18188</v>
      </c>
      <c r="S473" s="816">
        <v>1685</v>
      </c>
      <c r="T473" s="819">
        <v>19873</v>
      </c>
    </row>
    <row r="474" spans="1:20" x14ac:dyDescent="0.25">
      <c r="A474" s="813">
        <v>94931</v>
      </c>
      <c r="B474" s="814" t="s">
        <v>4137</v>
      </c>
      <c r="C474" s="815">
        <v>2.0350000000000001E-4</v>
      </c>
      <c r="D474" s="815">
        <v>2.163E-4</v>
      </c>
      <c r="E474" s="816">
        <v>482772</v>
      </c>
      <c r="F474" s="816" t="s">
        <v>185</v>
      </c>
      <c r="G474" s="817">
        <v>74480</v>
      </c>
      <c r="H474" s="818">
        <v>66270</v>
      </c>
      <c r="I474" s="817">
        <v>128109</v>
      </c>
      <c r="J474" s="816">
        <v>716</v>
      </c>
      <c r="K474" s="818">
        <f t="shared" si="17"/>
        <v>269575</v>
      </c>
      <c r="L474" s="816"/>
      <c r="M474" s="817">
        <v>2499</v>
      </c>
      <c r="N474" s="817">
        <v>0</v>
      </c>
      <c r="O474" s="816">
        <v>15634</v>
      </c>
      <c r="P474" s="818">
        <f t="shared" si="18"/>
        <v>18133</v>
      </c>
      <c r="Q474" s="816"/>
      <c r="R474" s="817">
        <v>134101</v>
      </c>
      <c r="S474" s="816">
        <v>-9864</v>
      </c>
      <c r="T474" s="819">
        <v>124237</v>
      </c>
    </row>
    <row r="475" spans="1:20" x14ac:dyDescent="0.25">
      <c r="A475" s="813">
        <v>94937</v>
      </c>
      <c r="B475" s="820" t="s">
        <v>4138</v>
      </c>
      <c r="C475" s="815">
        <v>0</v>
      </c>
      <c r="D475" s="815">
        <v>0</v>
      </c>
      <c r="E475" s="816">
        <v>0</v>
      </c>
      <c r="F475" s="816" t="s">
        <v>185</v>
      </c>
      <c r="G475" s="817">
        <v>0</v>
      </c>
      <c r="H475" s="818">
        <v>0</v>
      </c>
      <c r="I475" s="817">
        <v>0</v>
      </c>
      <c r="J475" s="816">
        <v>0</v>
      </c>
      <c r="K475" s="818"/>
      <c r="L475" s="816"/>
      <c r="M475" s="817">
        <v>0</v>
      </c>
      <c r="N475" s="817">
        <v>0</v>
      </c>
      <c r="O475" s="816">
        <v>0</v>
      </c>
      <c r="P475" s="818"/>
      <c r="Q475" s="816"/>
      <c r="R475" s="817">
        <v>0</v>
      </c>
      <c r="S475" s="816">
        <v>0</v>
      </c>
      <c r="T475" s="819">
        <v>0</v>
      </c>
    </row>
    <row r="476" spans="1:20" x14ac:dyDescent="0.25">
      <c r="A476" s="813">
        <v>94941</v>
      </c>
      <c r="B476" s="814" t="s">
        <v>3000</v>
      </c>
      <c r="C476" s="815">
        <v>5.4239999999999996E-4</v>
      </c>
      <c r="D476" s="815">
        <v>5.7879999999999997E-4</v>
      </c>
      <c r="E476" s="816">
        <v>1286758</v>
      </c>
      <c r="F476" s="816" t="s">
        <v>185</v>
      </c>
      <c r="G476" s="817">
        <v>198516</v>
      </c>
      <c r="H476" s="818">
        <v>176633</v>
      </c>
      <c r="I476" s="817">
        <v>341456</v>
      </c>
      <c r="J476" s="816">
        <v>22905</v>
      </c>
      <c r="K476" s="818">
        <f t="shared" si="17"/>
        <v>739510</v>
      </c>
      <c r="L476" s="816"/>
      <c r="M476" s="817">
        <v>6661</v>
      </c>
      <c r="N476" s="817">
        <v>0</v>
      </c>
      <c r="O476" s="816">
        <v>39327</v>
      </c>
      <c r="P476" s="818">
        <f t="shared" si="18"/>
        <v>45988</v>
      </c>
      <c r="Q476" s="816"/>
      <c r="R476" s="817">
        <v>357427</v>
      </c>
      <c r="S476" s="816">
        <v>36038</v>
      </c>
      <c r="T476" s="819">
        <v>393465</v>
      </c>
    </row>
    <row r="477" spans="1:20" x14ac:dyDescent="0.25">
      <c r="A477" s="813">
        <v>94947</v>
      </c>
      <c r="B477" s="820" t="s">
        <v>4139</v>
      </c>
      <c r="C477" s="815">
        <v>0</v>
      </c>
      <c r="D477" s="815">
        <v>0</v>
      </c>
      <c r="E477" s="816">
        <v>0</v>
      </c>
      <c r="F477" s="816" t="s">
        <v>185</v>
      </c>
      <c r="G477" s="817">
        <v>0</v>
      </c>
      <c r="H477" s="818">
        <v>0</v>
      </c>
      <c r="I477" s="817">
        <v>0</v>
      </c>
      <c r="J477" s="816">
        <v>0</v>
      </c>
      <c r="K477" s="818"/>
      <c r="L477" s="816"/>
      <c r="M477" s="817">
        <v>0</v>
      </c>
      <c r="N477" s="817">
        <v>0</v>
      </c>
      <c r="O477" s="816">
        <v>0</v>
      </c>
      <c r="P477" s="818"/>
      <c r="Q477" s="816"/>
      <c r="R477" s="817">
        <v>0</v>
      </c>
      <c r="S477" s="816">
        <v>0</v>
      </c>
      <c r="T477" s="819">
        <v>0</v>
      </c>
    </row>
    <row r="478" spans="1:20" x14ac:dyDescent="0.25">
      <c r="A478" s="813">
        <v>95001</v>
      </c>
      <c r="B478" s="814" t="s">
        <v>3001</v>
      </c>
      <c r="C478" s="815">
        <v>2.3002999999999999E-3</v>
      </c>
      <c r="D478" s="815">
        <v>2.4867000000000001E-3</v>
      </c>
      <c r="E478" s="816">
        <v>5457098</v>
      </c>
      <c r="F478" s="816" t="s">
        <v>185</v>
      </c>
      <c r="G478" s="817">
        <v>841901</v>
      </c>
      <c r="H478" s="818">
        <v>749098</v>
      </c>
      <c r="I478" s="817">
        <v>1448103</v>
      </c>
      <c r="J478" s="816">
        <v>121208</v>
      </c>
      <c r="K478" s="818">
        <f t="shared" si="17"/>
        <v>3160310</v>
      </c>
      <c r="L478" s="816"/>
      <c r="M478" s="817">
        <v>28250</v>
      </c>
      <c r="N478" s="817">
        <v>0</v>
      </c>
      <c r="O478" s="816">
        <v>49464</v>
      </c>
      <c r="P478" s="818">
        <f t="shared" si="18"/>
        <v>77714</v>
      </c>
      <c r="Q478" s="816"/>
      <c r="R478" s="817">
        <v>1515836</v>
      </c>
      <c r="S478" s="816">
        <v>39325</v>
      </c>
      <c r="T478" s="819">
        <v>1555161</v>
      </c>
    </row>
    <row r="479" spans="1:20" x14ac:dyDescent="0.25">
      <c r="A479" s="813">
        <v>95002</v>
      </c>
      <c r="B479" s="814" t="s">
        <v>3002</v>
      </c>
      <c r="C479" s="815">
        <v>1.8589999999999999E-4</v>
      </c>
      <c r="D479" s="815">
        <v>1.907E-4</v>
      </c>
      <c r="E479" s="816">
        <v>441018</v>
      </c>
      <c r="F479" s="816" t="s">
        <v>185</v>
      </c>
      <c r="G479" s="817">
        <v>68039</v>
      </c>
      <c r="H479" s="818">
        <v>60538</v>
      </c>
      <c r="I479" s="817">
        <v>117029</v>
      </c>
      <c r="J479" s="816">
        <v>18706</v>
      </c>
      <c r="K479" s="818">
        <f t="shared" si="17"/>
        <v>264312</v>
      </c>
      <c r="L479" s="816"/>
      <c r="M479" s="817">
        <v>2283</v>
      </c>
      <c r="N479" s="817">
        <v>0</v>
      </c>
      <c r="O479" s="816">
        <v>0</v>
      </c>
      <c r="P479" s="818">
        <f t="shared" si="18"/>
        <v>2283</v>
      </c>
      <c r="Q479" s="816"/>
      <c r="R479" s="817">
        <v>122503</v>
      </c>
      <c r="S479" s="816">
        <v>8615</v>
      </c>
      <c r="T479" s="819">
        <v>131118</v>
      </c>
    </row>
    <row r="480" spans="1:20" x14ac:dyDescent="0.25">
      <c r="A480" s="813">
        <v>95005</v>
      </c>
      <c r="B480" s="814" t="s">
        <v>3003</v>
      </c>
      <c r="C480" s="815">
        <v>2.131E-4</v>
      </c>
      <c r="D480" s="815">
        <v>2.2949999999999999E-4</v>
      </c>
      <c r="E480" s="816">
        <v>505546</v>
      </c>
      <c r="F480" s="816" t="s">
        <v>185</v>
      </c>
      <c r="G480" s="817">
        <v>77994</v>
      </c>
      <c r="H480" s="818">
        <v>69397</v>
      </c>
      <c r="I480" s="817">
        <v>134152</v>
      </c>
      <c r="J480" s="816">
        <v>4292</v>
      </c>
      <c r="K480" s="818">
        <f t="shared" si="17"/>
        <v>285835</v>
      </c>
      <c r="L480" s="816"/>
      <c r="M480" s="817">
        <v>2617</v>
      </c>
      <c r="N480" s="817">
        <v>0</v>
      </c>
      <c r="O480" s="816">
        <v>4029</v>
      </c>
      <c r="P480" s="818">
        <f t="shared" si="18"/>
        <v>6646</v>
      </c>
      <c r="Q480" s="816"/>
      <c r="R480" s="817">
        <v>140427</v>
      </c>
      <c r="S480" s="816">
        <v>8291</v>
      </c>
      <c r="T480" s="819">
        <v>148718</v>
      </c>
    </row>
    <row r="481" spans="1:20" x14ac:dyDescent="0.25">
      <c r="A481" s="813">
        <v>95008</v>
      </c>
      <c r="B481" s="814" t="s">
        <v>3004</v>
      </c>
      <c r="C481" s="815">
        <v>1.188E-4</v>
      </c>
      <c r="D481" s="815">
        <v>1.1519999999999999E-4</v>
      </c>
      <c r="E481" s="816">
        <v>281834</v>
      </c>
      <c r="F481" s="816" t="s">
        <v>185</v>
      </c>
      <c r="G481" s="817">
        <v>43480</v>
      </c>
      <c r="H481" s="818">
        <v>38688</v>
      </c>
      <c r="I481" s="817">
        <v>74788</v>
      </c>
      <c r="J481" s="816">
        <v>18509</v>
      </c>
      <c r="K481" s="818">
        <f t="shared" si="17"/>
        <v>175465</v>
      </c>
      <c r="L481" s="816"/>
      <c r="M481" s="817">
        <v>1459</v>
      </c>
      <c r="N481" s="817">
        <v>0</v>
      </c>
      <c r="O481" s="816">
        <v>4058</v>
      </c>
      <c r="P481" s="818">
        <f t="shared" si="18"/>
        <v>5517</v>
      </c>
      <c r="Q481" s="816"/>
      <c r="R481" s="817">
        <v>78286</v>
      </c>
      <c r="S481" s="816">
        <v>11671</v>
      </c>
      <c r="T481" s="819">
        <v>89957</v>
      </c>
    </row>
    <row r="482" spans="1:20" x14ac:dyDescent="0.25">
      <c r="A482" s="813">
        <v>95009</v>
      </c>
      <c r="B482" s="814" t="s">
        <v>3558</v>
      </c>
      <c r="C482" s="815">
        <v>4.0277999999999998E-3</v>
      </c>
      <c r="D482" s="815">
        <v>4.2208999999999997E-3</v>
      </c>
      <c r="E482" s="816">
        <v>9555319</v>
      </c>
      <c r="F482" s="816" t="s">
        <v>185</v>
      </c>
      <c r="G482" s="817">
        <v>1474159</v>
      </c>
      <c r="H482" s="818">
        <v>1311662</v>
      </c>
      <c r="I482" s="817">
        <v>2535613</v>
      </c>
      <c r="J482" s="816">
        <v>318871</v>
      </c>
      <c r="K482" s="818">
        <f t="shared" si="17"/>
        <v>5640305</v>
      </c>
      <c r="L482" s="816"/>
      <c r="M482" s="817">
        <v>49465</v>
      </c>
      <c r="N482" s="817">
        <v>0</v>
      </c>
      <c r="O482" s="816">
        <v>113116</v>
      </c>
      <c r="P482" s="818">
        <f t="shared" si="18"/>
        <v>162581</v>
      </c>
      <c r="Q482" s="816"/>
      <c r="R482" s="817">
        <v>2654211</v>
      </c>
      <c r="S482" s="816">
        <v>550303</v>
      </c>
      <c r="T482" s="819">
        <v>3204514</v>
      </c>
    </row>
    <row r="483" spans="1:20" x14ac:dyDescent="0.25">
      <c r="A483" s="813">
        <v>95011</v>
      </c>
      <c r="B483" s="814" t="s">
        <v>4140</v>
      </c>
      <c r="C483" s="815">
        <v>1.8760000000000001E-4</v>
      </c>
      <c r="D483" s="815">
        <v>1.8000000000000001E-4</v>
      </c>
      <c r="E483" s="816">
        <v>445051</v>
      </c>
      <c r="F483" s="816" t="s">
        <v>185</v>
      </c>
      <c r="G483" s="817">
        <v>68661</v>
      </c>
      <c r="H483" s="818">
        <v>61093</v>
      </c>
      <c r="I483" s="817">
        <v>118099</v>
      </c>
      <c r="J483" s="816">
        <v>5719</v>
      </c>
      <c r="K483" s="818">
        <f t="shared" si="17"/>
        <v>253572</v>
      </c>
      <c r="L483" s="816"/>
      <c r="M483" s="817">
        <v>2304</v>
      </c>
      <c r="N483" s="817">
        <v>0</v>
      </c>
      <c r="O483" s="816">
        <v>4270</v>
      </c>
      <c r="P483" s="818">
        <f t="shared" si="18"/>
        <v>6574</v>
      </c>
      <c r="Q483" s="816"/>
      <c r="R483" s="817">
        <v>123623</v>
      </c>
      <c r="S483" s="816">
        <v>-3004</v>
      </c>
      <c r="T483" s="819">
        <v>120619</v>
      </c>
    </row>
    <row r="484" spans="1:20" x14ac:dyDescent="0.25">
      <c r="A484" s="813">
        <v>95017</v>
      </c>
      <c r="B484" s="814" t="s">
        <v>3007</v>
      </c>
      <c r="C484" s="815">
        <v>4.5500000000000001E-5</v>
      </c>
      <c r="D484" s="815">
        <v>3.8800000000000001E-5</v>
      </c>
      <c r="E484" s="816">
        <v>107942</v>
      </c>
      <c r="F484" s="816" t="s">
        <v>185</v>
      </c>
      <c r="G484" s="817">
        <v>16653</v>
      </c>
      <c r="H484" s="818">
        <v>14818</v>
      </c>
      <c r="I484" s="817">
        <v>28644</v>
      </c>
      <c r="J484" s="816">
        <v>6820</v>
      </c>
      <c r="K484" s="818">
        <f t="shared" si="17"/>
        <v>66935</v>
      </c>
      <c r="L484" s="816"/>
      <c r="M484" s="817">
        <v>559</v>
      </c>
      <c r="N484" s="817">
        <v>0</v>
      </c>
      <c r="O484" s="816">
        <v>0</v>
      </c>
      <c r="P484" s="818">
        <f t="shared" si="18"/>
        <v>559</v>
      </c>
      <c r="Q484" s="816"/>
      <c r="R484" s="817">
        <v>29983</v>
      </c>
      <c r="S484" s="816">
        <v>7890</v>
      </c>
      <c r="T484" s="819">
        <v>37873</v>
      </c>
    </row>
    <row r="485" spans="1:20" x14ac:dyDescent="0.25">
      <c r="A485" s="813">
        <v>95101</v>
      </c>
      <c r="B485" s="814" t="s">
        <v>3008</v>
      </c>
      <c r="C485" s="815">
        <v>8.5109999999999995E-3</v>
      </c>
      <c r="D485" s="815">
        <v>8.3750999999999999E-3</v>
      </c>
      <c r="E485" s="816">
        <v>20191003</v>
      </c>
      <c r="F485" s="816" t="s">
        <v>185</v>
      </c>
      <c r="G485" s="817">
        <v>3114992</v>
      </c>
      <c r="H485" s="818">
        <v>2771624</v>
      </c>
      <c r="I485" s="817">
        <v>5357913</v>
      </c>
      <c r="J485" s="816">
        <v>2454</v>
      </c>
      <c r="K485" s="818">
        <f t="shared" si="17"/>
        <v>11246983</v>
      </c>
      <c r="L485" s="816"/>
      <c r="M485" s="817">
        <v>104524</v>
      </c>
      <c r="N485" s="817">
        <v>0</v>
      </c>
      <c r="O485" s="816">
        <v>152878</v>
      </c>
      <c r="P485" s="818">
        <f t="shared" si="18"/>
        <v>257402</v>
      </c>
      <c r="Q485" s="816"/>
      <c r="R485" s="817">
        <v>5608519</v>
      </c>
      <c r="S485" s="816">
        <v>-16926</v>
      </c>
      <c r="T485" s="819">
        <v>5591593</v>
      </c>
    </row>
    <row r="486" spans="1:20" x14ac:dyDescent="0.25">
      <c r="A486" s="813">
        <v>95103</v>
      </c>
      <c r="B486" s="814" t="s">
        <v>3009</v>
      </c>
      <c r="C486" s="815">
        <v>4.4400000000000002E-5</v>
      </c>
      <c r="D486" s="815">
        <v>4.9100000000000001E-5</v>
      </c>
      <c r="E486" s="816">
        <v>105332</v>
      </c>
      <c r="F486" s="816" t="s">
        <v>185</v>
      </c>
      <c r="G486" s="817">
        <v>16250</v>
      </c>
      <c r="H486" s="818">
        <v>14459</v>
      </c>
      <c r="I486" s="817">
        <v>27951</v>
      </c>
      <c r="J486" s="816">
        <v>9697</v>
      </c>
      <c r="K486" s="818">
        <f t="shared" si="17"/>
        <v>68357</v>
      </c>
      <c r="L486" s="816"/>
      <c r="M486" s="817">
        <v>545</v>
      </c>
      <c r="N486" s="817">
        <v>0</v>
      </c>
      <c r="O486" s="816">
        <v>0</v>
      </c>
      <c r="P486" s="818">
        <f t="shared" si="18"/>
        <v>545</v>
      </c>
      <c r="Q486" s="816"/>
      <c r="R486" s="817">
        <v>29258</v>
      </c>
      <c r="S486" s="816">
        <v>18768</v>
      </c>
      <c r="T486" s="819">
        <v>48026</v>
      </c>
    </row>
    <row r="487" spans="1:20" x14ac:dyDescent="0.25">
      <c r="A487" s="813">
        <v>95104</v>
      </c>
      <c r="B487" s="814" t="s">
        <v>3010</v>
      </c>
      <c r="C487" s="815">
        <v>9.8300000000000004E-5</v>
      </c>
      <c r="D487" s="815">
        <v>1.02E-4</v>
      </c>
      <c r="E487" s="816">
        <v>233201</v>
      </c>
      <c r="F487" s="816" t="s">
        <v>185</v>
      </c>
      <c r="G487" s="817">
        <v>35977</v>
      </c>
      <c r="H487" s="818">
        <v>32012</v>
      </c>
      <c r="I487" s="817">
        <v>61883</v>
      </c>
      <c r="J487" s="816">
        <v>19229</v>
      </c>
      <c r="K487" s="818">
        <f t="shared" si="17"/>
        <v>149101</v>
      </c>
      <c r="L487" s="816"/>
      <c r="M487" s="817">
        <v>1207</v>
      </c>
      <c r="N487" s="817">
        <v>0</v>
      </c>
      <c r="O487" s="816">
        <v>0</v>
      </c>
      <c r="P487" s="818">
        <f t="shared" si="18"/>
        <v>1207</v>
      </c>
      <c r="Q487" s="816"/>
      <c r="R487" s="817">
        <v>64777</v>
      </c>
      <c r="S487" s="816">
        <v>10356</v>
      </c>
      <c r="T487" s="819">
        <v>75133</v>
      </c>
    </row>
    <row r="488" spans="1:20" x14ac:dyDescent="0.25">
      <c r="A488" s="813">
        <v>95105</v>
      </c>
      <c r="B488" s="814" t="s">
        <v>3011</v>
      </c>
      <c r="C488" s="815">
        <v>6.5900000000000003E-5</v>
      </c>
      <c r="D488" s="815">
        <v>6.1099999999999994E-5</v>
      </c>
      <c r="E488" s="816">
        <v>156337</v>
      </c>
      <c r="F488" s="816" t="s">
        <v>185</v>
      </c>
      <c r="G488" s="817">
        <v>24119</v>
      </c>
      <c r="H488" s="818">
        <v>21460</v>
      </c>
      <c r="I488" s="817">
        <v>41486</v>
      </c>
      <c r="J488" s="816">
        <v>10343</v>
      </c>
      <c r="K488" s="818">
        <f t="shared" si="17"/>
        <v>97408</v>
      </c>
      <c r="L488" s="816"/>
      <c r="M488" s="817">
        <v>809</v>
      </c>
      <c r="N488" s="817">
        <v>0</v>
      </c>
      <c r="O488" s="816">
        <v>0</v>
      </c>
      <c r="P488" s="818">
        <f t="shared" si="18"/>
        <v>809</v>
      </c>
      <c r="Q488" s="816"/>
      <c r="R488" s="817">
        <v>43426</v>
      </c>
      <c r="S488" s="816">
        <v>5557</v>
      </c>
      <c r="T488" s="819">
        <v>48983</v>
      </c>
    </row>
    <row r="489" spans="1:20" x14ac:dyDescent="0.25">
      <c r="A489" s="813">
        <v>95106</v>
      </c>
      <c r="B489" s="814" t="s">
        <v>4141</v>
      </c>
      <c r="C489" s="815">
        <v>1.3900000000000001E-5</v>
      </c>
      <c r="D489" s="815">
        <v>1.2099999999999999E-5</v>
      </c>
      <c r="E489" s="816">
        <v>32976</v>
      </c>
      <c r="F489" s="816" t="s">
        <v>185</v>
      </c>
      <c r="G489" s="817">
        <v>5087</v>
      </c>
      <c r="H489" s="818">
        <v>4527</v>
      </c>
      <c r="I489" s="817">
        <v>8750</v>
      </c>
      <c r="J489" s="816">
        <v>4636</v>
      </c>
      <c r="K489" s="818">
        <f t="shared" si="17"/>
        <v>23000</v>
      </c>
      <c r="L489" s="816"/>
      <c r="M489" s="817">
        <v>171</v>
      </c>
      <c r="N489" s="817">
        <v>0</v>
      </c>
      <c r="O489" s="816">
        <v>1076</v>
      </c>
      <c r="P489" s="818">
        <f t="shared" si="18"/>
        <v>1247</v>
      </c>
      <c r="Q489" s="816"/>
      <c r="R489" s="817">
        <v>9160</v>
      </c>
      <c r="S489" s="816">
        <v>2803</v>
      </c>
      <c r="T489" s="819">
        <v>11963</v>
      </c>
    </row>
    <row r="490" spans="1:20" x14ac:dyDescent="0.25">
      <c r="A490" s="813">
        <v>95110</v>
      </c>
      <c r="B490" s="814" t="s">
        <v>3013</v>
      </c>
      <c r="C490" s="815">
        <v>3.5975E-3</v>
      </c>
      <c r="D490" s="815">
        <v>4.2902000000000001E-3</v>
      </c>
      <c r="E490" s="816">
        <v>8534500</v>
      </c>
      <c r="F490" s="816" t="s">
        <v>185</v>
      </c>
      <c r="G490" s="817">
        <v>1316671</v>
      </c>
      <c r="H490" s="818">
        <v>1171533</v>
      </c>
      <c r="I490" s="817">
        <v>2264727</v>
      </c>
      <c r="J490" s="816">
        <v>0</v>
      </c>
      <c r="K490" s="818">
        <f t="shared" si="17"/>
        <v>4752931</v>
      </c>
      <c r="L490" s="816"/>
      <c r="M490" s="817">
        <v>44181</v>
      </c>
      <c r="N490" s="817">
        <v>0</v>
      </c>
      <c r="O490" s="816">
        <v>813395</v>
      </c>
      <c r="P490" s="818">
        <f t="shared" si="18"/>
        <v>857576</v>
      </c>
      <c r="Q490" s="816"/>
      <c r="R490" s="817">
        <v>2370655</v>
      </c>
      <c r="S490" s="816">
        <v>-720222</v>
      </c>
      <c r="T490" s="819">
        <v>1650433</v>
      </c>
    </row>
    <row r="491" spans="1:20" x14ac:dyDescent="0.25">
      <c r="A491" s="813">
        <v>95111</v>
      </c>
      <c r="B491" s="814" t="s">
        <v>4142</v>
      </c>
      <c r="C491" s="815">
        <v>1.1188999999999999E-3</v>
      </c>
      <c r="D491" s="815">
        <v>1.0778999999999999E-3</v>
      </c>
      <c r="E491" s="816">
        <v>2654413</v>
      </c>
      <c r="F491" s="816" t="s">
        <v>185</v>
      </c>
      <c r="G491" s="817">
        <v>409513</v>
      </c>
      <c r="H491" s="818">
        <v>364372</v>
      </c>
      <c r="I491" s="817">
        <v>704379</v>
      </c>
      <c r="J491" s="816">
        <v>0</v>
      </c>
      <c r="K491" s="818">
        <f t="shared" si="17"/>
        <v>1478264</v>
      </c>
      <c r="L491" s="816"/>
      <c r="M491" s="817">
        <v>13741</v>
      </c>
      <c r="N491" s="817">
        <v>0</v>
      </c>
      <c r="O491" s="816">
        <v>72731</v>
      </c>
      <c r="P491" s="818">
        <f t="shared" si="18"/>
        <v>86472</v>
      </c>
      <c r="Q491" s="816"/>
      <c r="R491" s="817">
        <v>737325</v>
      </c>
      <c r="S491" s="816">
        <v>-62211</v>
      </c>
      <c r="T491" s="819">
        <v>675114</v>
      </c>
    </row>
    <row r="492" spans="1:20" x14ac:dyDescent="0.25">
      <c r="A492" s="813">
        <v>95113</v>
      </c>
      <c r="B492" s="814" t="s">
        <v>3015</v>
      </c>
      <c r="C492" s="815">
        <v>4.49E-5</v>
      </c>
      <c r="D492" s="815">
        <v>4.6699999999999997E-5</v>
      </c>
      <c r="E492" s="816">
        <v>106518</v>
      </c>
      <c r="F492" s="816" t="s">
        <v>185</v>
      </c>
      <c r="G492" s="817">
        <v>16433</v>
      </c>
      <c r="H492" s="818">
        <v>14621</v>
      </c>
      <c r="I492" s="817">
        <v>28266</v>
      </c>
      <c r="J492" s="816">
        <v>91937</v>
      </c>
      <c r="K492" s="818">
        <f t="shared" si="17"/>
        <v>151257</v>
      </c>
      <c r="L492" s="816"/>
      <c r="M492" s="817">
        <v>551</v>
      </c>
      <c r="N492" s="817">
        <v>0</v>
      </c>
      <c r="O492" s="816">
        <v>0</v>
      </c>
      <c r="P492" s="818">
        <f t="shared" si="18"/>
        <v>551</v>
      </c>
      <c r="Q492" s="816"/>
      <c r="R492" s="817">
        <v>29588</v>
      </c>
      <c r="S492" s="816">
        <v>41492</v>
      </c>
      <c r="T492" s="819">
        <v>71080</v>
      </c>
    </row>
    <row r="493" spans="1:20" x14ac:dyDescent="0.25">
      <c r="A493" s="813">
        <v>95121</v>
      </c>
      <c r="B493" s="814" t="s">
        <v>4143</v>
      </c>
      <c r="C493" s="815">
        <v>5.2059999999999997E-4</v>
      </c>
      <c r="D493" s="815">
        <v>4.9770000000000001E-4</v>
      </c>
      <c r="E493" s="816">
        <v>1235041</v>
      </c>
      <c r="F493" s="816" t="s">
        <v>185</v>
      </c>
      <c r="G493" s="817">
        <v>190538</v>
      </c>
      <c r="H493" s="818">
        <v>169535</v>
      </c>
      <c r="I493" s="817">
        <v>327732</v>
      </c>
      <c r="J493" s="816">
        <v>13463</v>
      </c>
      <c r="K493" s="818">
        <f t="shared" si="17"/>
        <v>701268</v>
      </c>
      <c r="L493" s="816"/>
      <c r="M493" s="817">
        <v>6393</v>
      </c>
      <c r="N493" s="817">
        <v>0</v>
      </c>
      <c r="O493" s="816">
        <v>1285</v>
      </c>
      <c r="P493" s="818">
        <f t="shared" si="18"/>
        <v>7678</v>
      </c>
      <c r="Q493" s="816"/>
      <c r="R493" s="817">
        <v>343061</v>
      </c>
      <c r="S493" s="816">
        <v>-5897</v>
      </c>
      <c r="T493" s="819">
        <v>337164</v>
      </c>
    </row>
    <row r="494" spans="1:20" x14ac:dyDescent="0.25">
      <c r="A494" s="813">
        <v>95122</v>
      </c>
      <c r="B494" s="814" t="s">
        <v>4144</v>
      </c>
      <c r="C494" s="815">
        <v>6.6000000000000003E-6</v>
      </c>
      <c r="D494" s="815">
        <v>6.4999999999999996E-6</v>
      </c>
      <c r="E494" s="816">
        <v>15657</v>
      </c>
      <c r="F494" s="816" t="s">
        <v>185</v>
      </c>
      <c r="G494" s="817">
        <v>2416</v>
      </c>
      <c r="H494" s="818">
        <v>2149</v>
      </c>
      <c r="I494" s="817">
        <v>4155</v>
      </c>
      <c r="J494" s="816">
        <v>3737</v>
      </c>
      <c r="K494" s="818">
        <f t="shared" si="17"/>
        <v>12457</v>
      </c>
      <c r="L494" s="816"/>
      <c r="M494" s="817">
        <v>81</v>
      </c>
      <c r="N494" s="817">
        <v>0</v>
      </c>
      <c r="O494" s="816">
        <v>0</v>
      </c>
      <c r="P494" s="818">
        <f t="shared" si="18"/>
        <v>81</v>
      </c>
      <c r="Q494" s="816"/>
      <c r="R494" s="817">
        <v>4349</v>
      </c>
      <c r="S494" s="816">
        <v>1394</v>
      </c>
      <c r="T494" s="819">
        <v>5743</v>
      </c>
    </row>
    <row r="495" spans="1:20" x14ac:dyDescent="0.25">
      <c r="A495" s="813">
        <v>95123</v>
      </c>
      <c r="B495" s="814" t="s">
        <v>3018</v>
      </c>
      <c r="C495" s="815">
        <v>5.41E-5</v>
      </c>
      <c r="D495" s="815">
        <v>5.7399999999999999E-5</v>
      </c>
      <c r="E495" s="816">
        <v>128344</v>
      </c>
      <c r="F495" s="816" t="s">
        <v>185</v>
      </c>
      <c r="G495" s="817">
        <v>19800</v>
      </c>
      <c r="H495" s="818">
        <v>17617</v>
      </c>
      <c r="I495" s="817">
        <v>34057</v>
      </c>
      <c r="J495" s="816">
        <v>5660</v>
      </c>
      <c r="K495" s="818">
        <f t="shared" si="17"/>
        <v>77134</v>
      </c>
      <c r="L495" s="816"/>
      <c r="M495" s="817">
        <v>664</v>
      </c>
      <c r="N495" s="817">
        <v>0</v>
      </c>
      <c r="O495" s="816">
        <v>0</v>
      </c>
      <c r="P495" s="818">
        <f t="shared" si="18"/>
        <v>664</v>
      </c>
      <c r="Q495" s="816"/>
      <c r="R495" s="817">
        <v>35650</v>
      </c>
      <c r="S495" s="816">
        <v>1881</v>
      </c>
      <c r="T495" s="819">
        <v>37531</v>
      </c>
    </row>
    <row r="496" spans="1:20" x14ac:dyDescent="0.25">
      <c r="A496" s="813">
        <v>95131</v>
      </c>
      <c r="B496" s="814" t="s">
        <v>4145</v>
      </c>
      <c r="C496" s="815">
        <v>1.7581000000000001E-3</v>
      </c>
      <c r="D496" s="815">
        <v>1.6682999999999999E-3</v>
      </c>
      <c r="E496" s="816">
        <v>4170814</v>
      </c>
      <c r="F496" s="816" t="s">
        <v>185</v>
      </c>
      <c r="G496" s="817">
        <v>643458</v>
      </c>
      <c r="H496" s="818">
        <v>572529</v>
      </c>
      <c r="I496" s="817">
        <v>1106773</v>
      </c>
      <c r="J496" s="816">
        <v>95997</v>
      </c>
      <c r="K496" s="818">
        <f t="shared" si="17"/>
        <v>2418757</v>
      </c>
      <c r="L496" s="816"/>
      <c r="M496" s="817">
        <v>21591</v>
      </c>
      <c r="N496" s="817">
        <v>0</v>
      </c>
      <c r="O496" s="816">
        <v>0</v>
      </c>
      <c r="P496" s="818">
        <f t="shared" si="18"/>
        <v>21591</v>
      </c>
      <c r="Q496" s="816"/>
      <c r="R496" s="817">
        <v>1158540</v>
      </c>
      <c r="S496" s="816">
        <v>40038</v>
      </c>
      <c r="T496" s="819">
        <v>1198578</v>
      </c>
    </row>
    <row r="497" spans="1:20" x14ac:dyDescent="0.25">
      <c r="A497" s="813">
        <v>95141</v>
      </c>
      <c r="B497" s="814" t="s">
        <v>4146</v>
      </c>
      <c r="C497" s="815">
        <v>3.2400000000000001E-4</v>
      </c>
      <c r="D497" s="815">
        <v>3.2220000000000003E-4</v>
      </c>
      <c r="E497" s="816">
        <v>768639</v>
      </c>
      <c r="F497" s="816" t="s">
        <v>185</v>
      </c>
      <c r="G497" s="817">
        <v>118583</v>
      </c>
      <c r="H497" s="818">
        <v>105512</v>
      </c>
      <c r="I497" s="817">
        <v>203967</v>
      </c>
      <c r="J497" s="816">
        <v>0</v>
      </c>
      <c r="K497" s="818">
        <f t="shared" si="17"/>
        <v>428062</v>
      </c>
      <c r="L497" s="816"/>
      <c r="M497" s="817">
        <v>3979</v>
      </c>
      <c r="N497" s="817">
        <v>0</v>
      </c>
      <c r="O497" s="816">
        <v>23502</v>
      </c>
      <c r="P497" s="818">
        <f t="shared" si="18"/>
        <v>27481</v>
      </c>
      <c r="Q497" s="816"/>
      <c r="R497" s="817">
        <v>213507</v>
      </c>
      <c r="S497" s="816">
        <v>-12963</v>
      </c>
      <c r="T497" s="819">
        <v>200544</v>
      </c>
    </row>
    <row r="498" spans="1:20" x14ac:dyDescent="0.25">
      <c r="A498" s="813">
        <v>95151</v>
      </c>
      <c r="B498" s="814" t="s">
        <v>4147</v>
      </c>
      <c r="C498" s="815">
        <v>1.159E-4</v>
      </c>
      <c r="D498" s="815">
        <v>1.092E-4</v>
      </c>
      <c r="E498" s="816">
        <v>274954</v>
      </c>
      <c r="F498" s="816" t="s">
        <v>185</v>
      </c>
      <c r="G498" s="817">
        <v>42419</v>
      </c>
      <c r="H498" s="818">
        <v>37743</v>
      </c>
      <c r="I498" s="817">
        <v>72962</v>
      </c>
      <c r="J498" s="816">
        <v>249</v>
      </c>
      <c r="K498" s="818">
        <f t="shared" si="17"/>
        <v>153373</v>
      </c>
      <c r="L498" s="816"/>
      <c r="M498" s="817">
        <v>1423</v>
      </c>
      <c r="N498" s="817">
        <v>0</v>
      </c>
      <c r="O498" s="816">
        <v>7102</v>
      </c>
      <c r="P498" s="818">
        <f t="shared" si="18"/>
        <v>8525</v>
      </c>
      <c r="Q498" s="816"/>
      <c r="R498" s="817">
        <v>76375</v>
      </c>
      <c r="S498" s="816">
        <v>-3275</v>
      </c>
      <c r="T498" s="819">
        <v>73100</v>
      </c>
    </row>
    <row r="499" spans="1:20" x14ac:dyDescent="0.25">
      <c r="A499" s="813">
        <v>95161</v>
      </c>
      <c r="B499" s="814" t="s">
        <v>4148</v>
      </c>
      <c r="C499" s="815">
        <v>6.9200000000000002E-5</v>
      </c>
      <c r="D499" s="815">
        <v>6.8100000000000002E-5</v>
      </c>
      <c r="E499" s="816">
        <v>164166</v>
      </c>
      <c r="F499" s="816" t="s">
        <v>185</v>
      </c>
      <c r="G499" s="817">
        <v>25327</v>
      </c>
      <c r="H499" s="818">
        <v>22535</v>
      </c>
      <c r="I499" s="817">
        <v>43563</v>
      </c>
      <c r="J499" s="816">
        <v>10072</v>
      </c>
      <c r="K499" s="818">
        <f t="shared" si="17"/>
        <v>101497</v>
      </c>
      <c r="L499" s="816"/>
      <c r="M499" s="817">
        <v>850</v>
      </c>
      <c r="N499" s="817">
        <v>0</v>
      </c>
      <c r="O499" s="816">
        <v>610</v>
      </c>
      <c r="P499" s="818">
        <f t="shared" si="18"/>
        <v>1460</v>
      </c>
      <c r="Q499" s="816"/>
      <c r="R499" s="817">
        <v>45601</v>
      </c>
      <c r="S499" s="816">
        <v>2943</v>
      </c>
      <c r="T499" s="819">
        <v>48544</v>
      </c>
    </row>
    <row r="500" spans="1:20" x14ac:dyDescent="0.25">
      <c r="A500" s="813">
        <v>95171</v>
      </c>
      <c r="B500" s="814" t="s">
        <v>4149</v>
      </c>
      <c r="C500" s="815">
        <v>8.8599999999999999E-5</v>
      </c>
      <c r="D500" s="815">
        <v>1.0459999999999999E-4</v>
      </c>
      <c r="E500" s="816">
        <v>210190</v>
      </c>
      <c r="F500" s="816" t="s">
        <v>185</v>
      </c>
      <c r="G500" s="817">
        <v>32427</v>
      </c>
      <c r="H500" s="818">
        <v>28853</v>
      </c>
      <c r="I500" s="817">
        <v>55776</v>
      </c>
      <c r="J500" s="816">
        <v>3021</v>
      </c>
      <c r="K500" s="818">
        <f t="shared" si="17"/>
        <v>120077</v>
      </c>
      <c r="L500" s="816"/>
      <c r="M500" s="817">
        <v>1088</v>
      </c>
      <c r="N500" s="817">
        <v>0</v>
      </c>
      <c r="O500" s="816">
        <v>15947</v>
      </c>
      <c r="P500" s="818">
        <f t="shared" si="18"/>
        <v>17035</v>
      </c>
      <c r="Q500" s="816"/>
      <c r="R500" s="817">
        <v>58385</v>
      </c>
      <c r="S500" s="816">
        <v>-5663</v>
      </c>
      <c r="T500" s="819">
        <v>52722</v>
      </c>
    </row>
    <row r="501" spans="1:20" x14ac:dyDescent="0.25">
      <c r="A501" s="813">
        <v>95181</v>
      </c>
      <c r="B501" s="814" t="s">
        <v>4150</v>
      </c>
      <c r="C501" s="815">
        <v>7.7899999999999996E-5</v>
      </c>
      <c r="D501" s="815">
        <v>7.7100000000000004E-5</v>
      </c>
      <c r="E501" s="816">
        <v>184805</v>
      </c>
      <c r="F501" s="816" t="s">
        <v>185</v>
      </c>
      <c r="G501" s="817">
        <v>28511</v>
      </c>
      <c r="H501" s="818">
        <v>25368</v>
      </c>
      <c r="I501" s="817">
        <v>49040</v>
      </c>
      <c r="J501" s="816">
        <v>482</v>
      </c>
      <c r="K501" s="818">
        <f t="shared" si="17"/>
        <v>103401</v>
      </c>
      <c r="L501" s="816"/>
      <c r="M501" s="817">
        <v>957</v>
      </c>
      <c r="N501" s="817">
        <v>0</v>
      </c>
      <c r="O501" s="816">
        <v>10181</v>
      </c>
      <c r="P501" s="818">
        <f t="shared" si="18"/>
        <v>11138</v>
      </c>
      <c r="Q501" s="816"/>
      <c r="R501" s="817">
        <v>51334</v>
      </c>
      <c r="S501" s="816">
        <v>-3375</v>
      </c>
      <c r="T501" s="819">
        <v>47959</v>
      </c>
    </row>
    <row r="502" spans="1:20" x14ac:dyDescent="0.25">
      <c r="A502" s="813">
        <v>95191</v>
      </c>
      <c r="B502" s="814" t="s">
        <v>4151</v>
      </c>
      <c r="C502" s="815">
        <v>4.2599999999999999E-5</v>
      </c>
      <c r="D502" s="815">
        <v>5.3999999999999998E-5</v>
      </c>
      <c r="E502" s="816">
        <v>101062</v>
      </c>
      <c r="F502" s="816" t="s">
        <v>185</v>
      </c>
      <c r="G502" s="817">
        <v>15591</v>
      </c>
      <c r="H502" s="818">
        <v>13873</v>
      </c>
      <c r="I502" s="817">
        <v>26818</v>
      </c>
      <c r="J502" s="816">
        <v>9524</v>
      </c>
      <c r="K502" s="818">
        <f t="shared" si="17"/>
        <v>65806</v>
      </c>
      <c r="L502" s="816"/>
      <c r="M502" s="817">
        <v>523</v>
      </c>
      <c r="N502" s="817">
        <v>0</v>
      </c>
      <c r="O502" s="816">
        <v>3442</v>
      </c>
      <c r="P502" s="818">
        <f t="shared" si="18"/>
        <v>3965</v>
      </c>
      <c r="Q502" s="816"/>
      <c r="R502" s="817">
        <v>28072</v>
      </c>
      <c r="S502" s="816">
        <v>5235</v>
      </c>
      <c r="T502" s="819">
        <v>33307</v>
      </c>
    </row>
    <row r="503" spans="1:20" x14ac:dyDescent="0.25">
      <c r="A503" s="813">
        <v>95201</v>
      </c>
      <c r="B503" s="814" t="s">
        <v>3026</v>
      </c>
      <c r="C503" s="815">
        <v>7.0259999999999995E-4</v>
      </c>
      <c r="D503" s="815">
        <v>7.0969999999999996E-4</v>
      </c>
      <c r="E503" s="816">
        <v>1666807</v>
      </c>
      <c r="F503" s="816" t="s">
        <v>185</v>
      </c>
      <c r="G503" s="817">
        <v>257149</v>
      </c>
      <c r="H503" s="818">
        <v>228803</v>
      </c>
      <c r="I503" s="817">
        <v>442306</v>
      </c>
      <c r="J503" s="816">
        <v>4233</v>
      </c>
      <c r="K503" s="818">
        <f t="shared" si="17"/>
        <v>932491</v>
      </c>
      <c r="L503" s="816"/>
      <c r="M503" s="817">
        <v>8629</v>
      </c>
      <c r="N503" s="817">
        <v>0</v>
      </c>
      <c r="O503" s="816">
        <v>29894</v>
      </c>
      <c r="P503" s="818">
        <f t="shared" si="18"/>
        <v>38523</v>
      </c>
      <c r="Q503" s="816"/>
      <c r="R503" s="817">
        <v>462994</v>
      </c>
      <c r="S503" s="816">
        <v>-14817</v>
      </c>
      <c r="T503" s="819">
        <v>448177</v>
      </c>
    </row>
    <row r="504" spans="1:20" x14ac:dyDescent="0.25">
      <c r="A504" s="813">
        <v>95204</v>
      </c>
      <c r="B504" s="814" t="s">
        <v>3027</v>
      </c>
      <c r="C504" s="815">
        <v>1.06E-5</v>
      </c>
      <c r="D504" s="815">
        <v>1.26E-5</v>
      </c>
      <c r="E504" s="816">
        <v>25147</v>
      </c>
      <c r="F504" s="816" t="s">
        <v>185</v>
      </c>
      <c r="G504" s="817">
        <v>3880</v>
      </c>
      <c r="H504" s="818">
        <v>3452</v>
      </c>
      <c r="I504" s="817">
        <v>6673</v>
      </c>
      <c r="J504" s="816">
        <v>1368</v>
      </c>
      <c r="K504" s="818">
        <f t="shared" si="17"/>
        <v>15373</v>
      </c>
      <c r="L504" s="816"/>
      <c r="M504" s="817">
        <v>130</v>
      </c>
      <c r="N504" s="817">
        <v>0</v>
      </c>
      <c r="O504" s="816">
        <v>775</v>
      </c>
      <c r="P504" s="818">
        <f t="shared" si="18"/>
        <v>905</v>
      </c>
      <c r="Q504" s="816"/>
      <c r="R504" s="817">
        <v>6985</v>
      </c>
      <c r="S504" s="816">
        <v>-261</v>
      </c>
      <c r="T504" s="819">
        <v>6724</v>
      </c>
    </row>
    <row r="505" spans="1:20" x14ac:dyDescent="0.25">
      <c r="A505" s="813">
        <v>95205</v>
      </c>
      <c r="B505" s="814" t="s">
        <v>3028</v>
      </c>
      <c r="C505" s="815">
        <v>1.7E-6</v>
      </c>
      <c r="D505" s="815">
        <v>4.5000000000000001E-6</v>
      </c>
      <c r="E505" s="816">
        <v>4033</v>
      </c>
      <c r="F505" s="816" t="s">
        <v>185</v>
      </c>
      <c r="G505" s="817">
        <v>622</v>
      </c>
      <c r="H505" s="818">
        <v>553</v>
      </c>
      <c r="I505" s="817">
        <v>1070</v>
      </c>
      <c r="J505" s="816">
        <v>294</v>
      </c>
      <c r="K505" s="818">
        <f t="shared" si="17"/>
        <v>2539</v>
      </c>
      <c r="L505" s="816"/>
      <c r="M505" s="817">
        <v>21</v>
      </c>
      <c r="N505" s="817">
        <v>0</v>
      </c>
      <c r="O505" s="816">
        <v>949</v>
      </c>
      <c r="P505" s="818">
        <f t="shared" si="18"/>
        <v>970</v>
      </c>
      <c r="Q505" s="816"/>
      <c r="R505" s="817">
        <v>1120</v>
      </c>
      <c r="S505" s="816">
        <v>74</v>
      </c>
      <c r="T505" s="819">
        <v>1194</v>
      </c>
    </row>
    <row r="506" spans="1:20" x14ac:dyDescent="0.25">
      <c r="A506" s="813">
        <v>95211</v>
      </c>
      <c r="B506" s="814" t="s">
        <v>4152</v>
      </c>
      <c r="C506" s="815">
        <v>5.4999999999999999E-6</v>
      </c>
      <c r="D506" s="815">
        <v>8.3999999999999992E-6</v>
      </c>
      <c r="E506" s="816">
        <v>13048</v>
      </c>
      <c r="F506" s="816" t="s">
        <v>185</v>
      </c>
      <c r="G506" s="817">
        <v>2013</v>
      </c>
      <c r="H506" s="818">
        <v>1791</v>
      </c>
      <c r="I506" s="817">
        <v>3462</v>
      </c>
      <c r="J506" s="816">
        <v>946</v>
      </c>
      <c r="K506" s="818">
        <f t="shared" si="17"/>
        <v>8212</v>
      </c>
      <c r="L506" s="816"/>
      <c r="M506" s="817">
        <v>68</v>
      </c>
      <c r="N506" s="817">
        <v>0</v>
      </c>
      <c r="O506" s="816">
        <v>1758</v>
      </c>
      <c r="P506" s="818">
        <f t="shared" si="18"/>
        <v>1826</v>
      </c>
      <c r="Q506" s="816"/>
      <c r="R506" s="817">
        <v>3624</v>
      </c>
      <c r="S506" s="816">
        <v>-902</v>
      </c>
      <c r="T506" s="819">
        <v>2722</v>
      </c>
    </row>
    <row r="507" spans="1:20" x14ac:dyDescent="0.25">
      <c r="A507" s="813">
        <v>95221</v>
      </c>
      <c r="B507" s="814" t="s">
        <v>4153</v>
      </c>
      <c r="C507" s="815">
        <v>5.7000000000000003E-5</v>
      </c>
      <c r="D507" s="815">
        <v>4.4100000000000001E-5</v>
      </c>
      <c r="E507" s="816">
        <v>135223</v>
      </c>
      <c r="F507" s="816" t="s">
        <v>185</v>
      </c>
      <c r="G507" s="817">
        <v>20862</v>
      </c>
      <c r="H507" s="818">
        <v>18562</v>
      </c>
      <c r="I507" s="817">
        <v>35883</v>
      </c>
      <c r="J507" s="816">
        <v>20204</v>
      </c>
      <c r="K507" s="818">
        <f t="shared" si="17"/>
        <v>95511</v>
      </c>
      <c r="L507" s="816"/>
      <c r="M507" s="817">
        <v>700</v>
      </c>
      <c r="N507" s="817">
        <v>0</v>
      </c>
      <c r="O507" s="816">
        <v>6516</v>
      </c>
      <c r="P507" s="818">
        <f t="shared" si="18"/>
        <v>7216</v>
      </c>
      <c r="Q507" s="816"/>
      <c r="R507" s="817">
        <v>37561</v>
      </c>
      <c r="S507" s="816">
        <v>4121</v>
      </c>
      <c r="T507" s="819">
        <v>41682</v>
      </c>
    </row>
    <row r="508" spans="1:20" x14ac:dyDescent="0.25">
      <c r="A508" s="813">
        <v>95301</v>
      </c>
      <c r="B508" s="814" t="s">
        <v>3031</v>
      </c>
      <c r="C508" s="815">
        <v>2.3362000000000001E-3</v>
      </c>
      <c r="D508" s="815">
        <v>2.3917999999999999E-3</v>
      </c>
      <c r="E508" s="816">
        <v>5542265</v>
      </c>
      <c r="F508" s="816" t="s">
        <v>185</v>
      </c>
      <c r="G508" s="817">
        <v>855040</v>
      </c>
      <c r="H508" s="818">
        <v>760788</v>
      </c>
      <c r="I508" s="817">
        <v>1470703</v>
      </c>
      <c r="J508" s="816">
        <v>42774</v>
      </c>
      <c r="K508" s="818">
        <f t="shared" si="17"/>
        <v>3129305</v>
      </c>
      <c r="L508" s="816"/>
      <c r="M508" s="817">
        <v>28691</v>
      </c>
      <c r="N508" s="817">
        <v>0</v>
      </c>
      <c r="O508" s="816">
        <v>25264</v>
      </c>
      <c r="P508" s="818">
        <f t="shared" si="18"/>
        <v>53955</v>
      </c>
      <c r="Q508" s="816"/>
      <c r="R508" s="817">
        <v>1539493</v>
      </c>
      <c r="S508" s="816">
        <v>13159</v>
      </c>
      <c r="T508" s="819">
        <v>1552652</v>
      </c>
    </row>
    <row r="509" spans="1:20" x14ac:dyDescent="0.25">
      <c r="A509" s="813">
        <v>95311</v>
      </c>
      <c r="B509" s="814" t="s">
        <v>3032</v>
      </c>
      <c r="C509" s="815">
        <v>2.6302999999999999E-3</v>
      </c>
      <c r="D509" s="815">
        <v>2.6873999999999999E-3</v>
      </c>
      <c r="E509" s="816">
        <v>6239971</v>
      </c>
      <c r="F509" s="816" t="s">
        <v>185</v>
      </c>
      <c r="G509" s="817">
        <v>962679</v>
      </c>
      <c r="H509" s="818">
        <v>856562</v>
      </c>
      <c r="I509" s="817">
        <v>1655847</v>
      </c>
      <c r="J509" s="816">
        <v>41494</v>
      </c>
      <c r="K509" s="818">
        <f t="shared" si="17"/>
        <v>3516582</v>
      </c>
      <c r="L509" s="816"/>
      <c r="M509" s="817">
        <v>32303</v>
      </c>
      <c r="N509" s="817">
        <v>0</v>
      </c>
      <c r="O509" s="816">
        <v>58842</v>
      </c>
      <c r="P509" s="818">
        <f t="shared" si="18"/>
        <v>91145</v>
      </c>
      <c r="Q509" s="816"/>
      <c r="R509" s="817">
        <v>1733297</v>
      </c>
      <c r="S509" s="816">
        <v>-43357</v>
      </c>
      <c r="T509" s="819">
        <v>1689940</v>
      </c>
    </row>
    <row r="510" spans="1:20" x14ac:dyDescent="0.25">
      <c r="A510" s="813">
        <v>95317</v>
      </c>
      <c r="B510" s="814" t="s">
        <v>3033</v>
      </c>
      <c r="C510" s="815">
        <v>4.32E-5</v>
      </c>
      <c r="D510" s="815">
        <v>4.8900000000000003E-5</v>
      </c>
      <c r="E510" s="816">
        <v>102485</v>
      </c>
      <c r="F510" s="816" t="s">
        <v>185</v>
      </c>
      <c r="G510" s="817">
        <v>15811</v>
      </c>
      <c r="H510" s="818">
        <v>14068</v>
      </c>
      <c r="I510" s="817">
        <v>27196</v>
      </c>
      <c r="J510" s="816">
        <v>4826</v>
      </c>
      <c r="K510" s="818">
        <f t="shared" si="17"/>
        <v>61901</v>
      </c>
      <c r="L510" s="816"/>
      <c r="M510" s="817">
        <v>531</v>
      </c>
      <c r="N510" s="817">
        <v>0</v>
      </c>
      <c r="O510" s="816">
        <v>0</v>
      </c>
      <c r="P510" s="818">
        <f t="shared" si="18"/>
        <v>531</v>
      </c>
      <c r="Q510" s="816"/>
      <c r="R510" s="817">
        <v>28468</v>
      </c>
      <c r="S510" s="816">
        <v>2726</v>
      </c>
      <c r="T510" s="819">
        <v>31194</v>
      </c>
    </row>
    <row r="511" spans="1:20" x14ac:dyDescent="0.25">
      <c r="A511" s="813">
        <v>95321</v>
      </c>
      <c r="B511" s="814" t="s">
        <v>4154</v>
      </c>
      <c r="C511" s="815">
        <v>5.1999999999999997E-5</v>
      </c>
      <c r="D511" s="815">
        <v>4.71E-5</v>
      </c>
      <c r="E511" s="816">
        <v>123362</v>
      </c>
      <c r="F511" s="816" t="s">
        <v>185</v>
      </c>
      <c r="G511" s="817">
        <v>19032</v>
      </c>
      <c r="H511" s="818">
        <v>16934</v>
      </c>
      <c r="I511" s="817">
        <v>32735</v>
      </c>
      <c r="J511" s="816">
        <v>6589</v>
      </c>
      <c r="K511" s="818">
        <f t="shared" si="17"/>
        <v>75290</v>
      </c>
      <c r="L511" s="816"/>
      <c r="M511" s="817">
        <v>639</v>
      </c>
      <c r="N511" s="817">
        <v>0</v>
      </c>
      <c r="O511" s="816">
        <v>1618</v>
      </c>
      <c r="P511" s="818">
        <f t="shared" si="18"/>
        <v>2257</v>
      </c>
      <c r="Q511" s="816"/>
      <c r="R511" s="817">
        <v>34267</v>
      </c>
      <c r="S511" s="816">
        <v>2368</v>
      </c>
      <c r="T511" s="819">
        <v>36635</v>
      </c>
    </row>
    <row r="512" spans="1:20" x14ac:dyDescent="0.25">
      <c r="A512" s="813">
        <v>95401</v>
      </c>
      <c r="B512" s="814" t="s">
        <v>3035</v>
      </c>
      <c r="C512" s="815">
        <v>2.8792000000000002E-3</v>
      </c>
      <c r="D512" s="815">
        <v>2.9992E-3</v>
      </c>
      <c r="E512" s="816">
        <v>6830447</v>
      </c>
      <c r="F512" s="816" t="s">
        <v>185</v>
      </c>
      <c r="G512" s="817">
        <v>1053776</v>
      </c>
      <c r="H512" s="818">
        <v>937617</v>
      </c>
      <c r="I512" s="817">
        <v>1812537</v>
      </c>
      <c r="J512" s="816">
        <v>12696</v>
      </c>
      <c r="K512" s="818">
        <f t="shared" si="17"/>
        <v>3816626</v>
      </c>
      <c r="L512" s="816"/>
      <c r="M512" s="817">
        <v>35359</v>
      </c>
      <c r="N512" s="817">
        <v>0</v>
      </c>
      <c r="O512" s="816">
        <v>132713</v>
      </c>
      <c r="P512" s="818">
        <f t="shared" si="18"/>
        <v>168072</v>
      </c>
      <c r="Q512" s="816"/>
      <c r="R512" s="817">
        <v>1897315</v>
      </c>
      <c r="S512" s="816">
        <v>-19424</v>
      </c>
      <c r="T512" s="819">
        <v>1877891</v>
      </c>
    </row>
    <row r="513" spans="1:20" x14ac:dyDescent="0.25">
      <c r="A513" s="813">
        <v>95404</v>
      </c>
      <c r="B513" s="814" t="s">
        <v>3036</v>
      </c>
      <c r="C513" s="815">
        <v>5.0000000000000002E-5</v>
      </c>
      <c r="D513" s="815">
        <v>5.3100000000000003E-5</v>
      </c>
      <c r="E513" s="816">
        <v>118617</v>
      </c>
      <c r="F513" s="816" t="s">
        <v>185</v>
      </c>
      <c r="G513" s="817">
        <v>18300</v>
      </c>
      <c r="H513" s="818">
        <v>16283</v>
      </c>
      <c r="I513" s="817">
        <v>31476</v>
      </c>
      <c r="J513" s="816">
        <v>3211</v>
      </c>
      <c r="K513" s="818">
        <f t="shared" si="17"/>
        <v>69270</v>
      </c>
      <c r="L513" s="816"/>
      <c r="M513" s="817">
        <v>614</v>
      </c>
      <c r="N513" s="817">
        <v>0</v>
      </c>
      <c r="O513" s="816">
        <v>3328</v>
      </c>
      <c r="P513" s="818">
        <f t="shared" si="18"/>
        <v>3942</v>
      </c>
      <c r="Q513" s="816"/>
      <c r="R513" s="817">
        <v>32949</v>
      </c>
      <c r="S513" s="816">
        <v>1115</v>
      </c>
      <c r="T513" s="819">
        <v>34064</v>
      </c>
    </row>
    <row r="514" spans="1:20" x14ac:dyDescent="0.25">
      <c r="A514" s="813">
        <v>95405</v>
      </c>
      <c r="B514" s="814" t="s">
        <v>3037</v>
      </c>
      <c r="C514" s="815">
        <v>1.7600000000000001E-5</v>
      </c>
      <c r="D514" s="815">
        <v>1.84E-5</v>
      </c>
      <c r="E514" s="816">
        <v>41753</v>
      </c>
      <c r="F514" s="816" t="s">
        <v>185</v>
      </c>
      <c r="G514" s="817">
        <v>6442</v>
      </c>
      <c r="H514" s="818">
        <v>5731</v>
      </c>
      <c r="I514" s="817">
        <v>11080</v>
      </c>
      <c r="J514" s="816">
        <v>18233</v>
      </c>
      <c r="K514" s="818">
        <f t="shared" si="17"/>
        <v>41486</v>
      </c>
      <c r="L514" s="816"/>
      <c r="M514" s="817">
        <v>216</v>
      </c>
      <c r="N514" s="817">
        <v>0</v>
      </c>
      <c r="O514" s="816">
        <v>0</v>
      </c>
      <c r="P514" s="818">
        <f t="shared" si="18"/>
        <v>216</v>
      </c>
      <c r="Q514" s="816"/>
      <c r="R514" s="817">
        <v>11598</v>
      </c>
      <c r="S514" s="816">
        <v>7516</v>
      </c>
      <c r="T514" s="819">
        <v>19114</v>
      </c>
    </row>
    <row r="515" spans="1:20" x14ac:dyDescent="0.25">
      <c r="A515" s="813">
        <v>95411</v>
      </c>
      <c r="B515" s="814" t="s">
        <v>3038</v>
      </c>
      <c r="C515" s="815">
        <v>2.1646E-3</v>
      </c>
      <c r="D515" s="815">
        <v>2.2173000000000002E-3</v>
      </c>
      <c r="E515" s="816">
        <v>5135171</v>
      </c>
      <c r="F515" s="816" t="s">
        <v>185</v>
      </c>
      <c r="G515" s="817">
        <v>792235</v>
      </c>
      <c r="H515" s="818">
        <v>704906</v>
      </c>
      <c r="I515" s="817">
        <v>1362676</v>
      </c>
      <c r="J515" s="816">
        <v>8705</v>
      </c>
      <c r="K515" s="818">
        <f t="shared" si="17"/>
        <v>2868522</v>
      </c>
      <c r="L515" s="816"/>
      <c r="M515" s="817">
        <v>26583</v>
      </c>
      <c r="N515" s="817">
        <v>0</v>
      </c>
      <c r="O515" s="816">
        <v>37742</v>
      </c>
      <c r="P515" s="818">
        <f t="shared" si="18"/>
        <v>64325</v>
      </c>
      <c r="Q515" s="816"/>
      <c r="R515" s="817">
        <v>1426413</v>
      </c>
      <c r="S515" s="816">
        <v>-25353</v>
      </c>
      <c r="T515" s="819">
        <v>1401060</v>
      </c>
    </row>
    <row r="516" spans="1:20" x14ac:dyDescent="0.25">
      <c r="A516" s="813">
        <v>95412</v>
      </c>
      <c r="B516" s="814" t="s">
        <v>3039</v>
      </c>
      <c r="C516" s="815">
        <v>0</v>
      </c>
      <c r="D516" s="815">
        <v>0</v>
      </c>
      <c r="E516" s="816">
        <v>0</v>
      </c>
      <c r="F516" s="816" t="s">
        <v>185</v>
      </c>
      <c r="G516" s="817">
        <v>0</v>
      </c>
      <c r="H516" s="818">
        <v>0</v>
      </c>
      <c r="I516" s="817">
        <v>0</v>
      </c>
      <c r="J516" s="816">
        <v>0</v>
      </c>
      <c r="K516" s="818">
        <f t="shared" si="17"/>
        <v>0</v>
      </c>
      <c r="L516" s="816"/>
      <c r="M516" s="817">
        <v>0</v>
      </c>
      <c r="N516" s="817">
        <v>0</v>
      </c>
      <c r="O516" s="816">
        <v>9383</v>
      </c>
      <c r="P516" s="818">
        <f t="shared" si="18"/>
        <v>9383</v>
      </c>
      <c r="Q516" s="816"/>
      <c r="R516" s="817">
        <v>0</v>
      </c>
      <c r="S516" s="816">
        <v>-18447</v>
      </c>
      <c r="T516" s="819">
        <v>-18447</v>
      </c>
    </row>
    <row r="517" spans="1:20" x14ac:dyDescent="0.25">
      <c r="A517" s="813">
        <v>95413</v>
      </c>
      <c r="B517" s="814" t="s">
        <v>4155</v>
      </c>
      <c r="C517" s="815">
        <v>2.6879999999999997E-4</v>
      </c>
      <c r="D517" s="815">
        <v>2.5809999999999999E-4</v>
      </c>
      <c r="E517" s="816">
        <v>637686</v>
      </c>
      <c r="F517" s="816" t="s">
        <v>185</v>
      </c>
      <c r="G517" s="817">
        <v>98380</v>
      </c>
      <c r="H517" s="818">
        <v>87535</v>
      </c>
      <c r="I517" s="817">
        <v>169217</v>
      </c>
      <c r="J517" s="816">
        <v>167873</v>
      </c>
      <c r="K517" s="818">
        <f t="shared" si="17"/>
        <v>523005</v>
      </c>
      <c r="L517" s="816"/>
      <c r="M517" s="817">
        <v>3301</v>
      </c>
      <c r="N517" s="817">
        <v>0</v>
      </c>
      <c r="O517" s="816">
        <v>0</v>
      </c>
      <c r="P517" s="818">
        <f t="shared" si="18"/>
        <v>3301</v>
      </c>
      <c r="Q517" s="816"/>
      <c r="R517" s="817">
        <v>177132</v>
      </c>
      <c r="S517" s="816">
        <v>79192</v>
      </c>
      <c r="T517" s="819">
        <v>256324</v>
      </c>
    </row>
    <row r="518" spans="1:20" x14ac:dyDescent="0.25">
      <c r="A518" s="813">
        <v>95415</v>
      </c>
      <c r="B518" s="814" t="s">
        <v>3041</v>
      </c>
      <c r="C518" s="815">
        <v>7.1099999999999994E-5</v>
      </c>
      <c r="D518" s="815">
        <v>6.2899999999999997E-5</v>
      </c>
      <c r="E518" s="816">
        <v>168674</v>
      </c>
      <c r="F518" s="816" t="s">
        <v>185</v>
      </c>
      <c r="G518" s="817">
        <v>26022</v>
      </c>
      <c r="H518" s="818">
        <v>23154</v>
      </c>
      <c r="I518" s="817">
        <v>44759</v>
      </c>
      <c r="J518" s="816">
        <v>3142</v>
      </c>
      <c r="K518" s="818">
        <f t="shared" si="17"/>
        <v>97077</v>
      </c>
      <c r="L518" s="816"/>
      <c r="M518" s="817">
        <v>873</v>
      </c>
      <c r="N518" s="817">
        <v>0</v>
      </c>
      <c r="O518" s="816">
        <v>11354</v>
      </c>
      <c r="P518" s="818">
        <f t="shared" si="18"/>
        <v>12227</v>
      </c>
      <c r="Q518" s="816"/>
      <c r="R518" s="817">
        <v>46853</v>
      </c>
      <c r="S518" s="816">
        <v>567</v>
      </c>
      <c r="T518" s="819">
        <v>47420</v>
      </c>
    </row>
    <row r="519" spans="1:20" x14ac:dyDescent="0.25">
      <c r="A519" s="813">
        <v>95421</v>
      </c>
      <c r="B519" s="814" t="s">
        <v>4156</v>
      </c>
      <c r="C519" s="815">
        <v>3.8300000000000003E-5</v>
      </c>
      <c r="D519" s="815">
        <v>3.8699999999999999E-5</v>
      </c>
      <c r="E519" s="816">
        <v>90861</v>
      </c>
      <c r="F519" s="816" t="s">
        <v>185</v>
      </c>
      <c r="G519" s="817">
        <v>14018</v>
      </c>
      <c r="H519" s="818">
        <v>12473</v>
      </c>
      <c r="I519" s="817">
        <v>24111</v>
      </c>
      <c r="J519" s="816">
        <v>560</v>
      </c>
      <c r="K519" s="818">
        <f t="shared" si="17"/>
        <v>51162</v>
      </c>
      <c r="L519" s="816"/>
      <c r="M519" s="817">
        <v>470</v>
      </c>
      <c r="N519" s="817">
        <v>0</v>
      </c>
      <c r="O519" s="816">
        <v>4403</v>
      </c>
      <c r="P519" s="818">
        <f t="shared" si="18"/>
        <v>4873</v>
      </c>
      <c r="Q519" s="816"/>
      <c r="R519" s="817">
        <v>25239</v>
      </c>
      <c r="S519" s="816">
        <v>-4796</v>
      </c>
      <c r="T519" s="819">
        <v>20443</v>
      </c>
    </row>
    <row r="520" spans="1:20" x14ac:dyDescent="0.25">
      <c r="A520" s="813">
        <v>95431</v>
      </c>
      <c r="B520" s="814" t="s">
        <v>4157</v>
      </c>
      <c r="C520" s="815">
        <v>1.4630000000000001E-4</v>
      </c>
      <c r="D520" s="815">
        <v>1.5300000000000001E-4</v>
      </c>
      <c r="E520" s="816">
        <v>347074</v>
      </c>
      <c r="F520" s="816" t="s">
        <v>185</v>
      </c>
      <c r="G520" s="817">
        <v>53545</v>
      </c>
      <c r="H520" s="818">
        <v>47643</v>
      </c>
      <c r="I520" s="817">
        <v>92100</v>
      </c>
      <c r="J520" s="816">
        <v>0</v>
      </c>
      <c r="K520" s="818">
        <f t="shared" si="17"/>
        <v>193288</v>
      </c>
      <c r="L520" s="816"/>
      <c r="M520" s="817">
        <v>1797</v>
      </c>
      <c r="N520" s="817">
        <v>0</v>
      </c>
      <c r="O520" s="816">
        <v>33027</v>
      </c>
      <c r="P520" s="818">
        <f t="shared" si="18"/>
        <v>34824</v>
      </c>
      <c r="Q520" s="816"/>
      <c r="R520" s="817">
        <v>96408</v>
      </c>
      <c r="S520" s="816">
        <v>-12213</v>
      </c>
      <c r="T520" s="819">
        <v>84195</v>
      </c>
    </row>
    <row r="521" spans="1:20" x14ac:dyDescent="0.25">
      <c r="A521" s="813">
        <v>95501</v>
      </c>
      <c r="B521" s="814" t="s">
        <v>3044</v>
      </c>
      <c r="C521" s="815">
        <v>4.8900999999999997E-3</v>
      </c>
      <c r="D521" s="815">
        <v>4.8764999999999998E-3</v>
      </c>
      <c r="E521" s="816">
        <v>11600990</v>
      </c>
      <c r="F521" s="816" t="s">
        <v>185</v>
      </c>
      <c r="G521" s="817">
        <v>1789757</v>
      </c>
      <c r="H521" s="818">
        <v>1592471</v>
      </c>
      <c r="I521" s="817">
        <v>3078455</v>
      </c>
      <c r="J521" s="816">
        <v>0</v>
      </c>
      <c r="K521" s="818">
        <f t="shared" si="17"/>
        <v>6460683</v>
      </c>
      <c r="L521" s="816"/>
      <c r="M521" s="817">
        <v>60055</v>
      </c>
      <c r="N521" s="817">
        <v>0</v>
      </c>
      <c r="O521" s="816">
        <v>141278</v>
      </c>
      <c r="P521" s="818">
        <f t="shared" si="18"/>
        <v>201333</v>
      </c>
      <c r="Q521" s="816"/>
      <c r="R521" s="817">
        <v>3222444</v>
      </c>
      <c r="S521" s="816">
        <v>-23300</v>
      </c>
      <c r="T521" s="819">
        <v>3199144</v>
      </c>
    </row>
    <row r="522" spans="1:20" x14ac:dyDescent="0.25">
      <c r="A522" s="813">
        <v>95504</v>
      </c>
      <c r="B522" s="814" t="s">
        <v>3045</v>
      </c>
      <c r="C522" s="815">
        <v>8.8000000000000004E-6</v>
      </c>
      <c r="D522" s="815">
        <v>9.3999999999999998E-6</v>
      </c>
      <c r="E522" s="816">
        <v>20877</v>
      </c>
      <c r="F522" s="816" t="s">
        <v>185</v>
      </c>
      <c r="G522" s="817">
        <v>3221</v>
      </c>
      <c r="H522" s="818">
        <v>2866</v>
      </c>
      <c r="I522" s="817">
        <v>5540</v>
      </c>
      <c r="J522" s="816">
        <v>9317</v>
      </c>
      <c r="K522" s="818">
        <f t="shared" si="17"/>
        <v>20944</v>
      </c>
      <c r="L522" s="816"/>
      <c r="M522" s="817">
        <v>108</v>
      </c>
      <c r="N522" s="817">
        <v>0</v>
      </c>
      <c r="O522" s="816">
        <v>0</v>
      </c>
      <c r="P522" s="818">
        <f t="shared" si="18"/>
        <v>108</v>
      </c>
      <c r="Q522" s="816"/>
      <c r="R522" s="817">
        <v>5799</v>
      </c>
      <c r="S522" s="816">
        <v>4040</v>
      </c>
      <c r="T522" s="819">
        <v>9839</v>
      </c>
    </row>
    <row r="523" spans="1:20" x14ac:dyDescent="0.25">
      <c r="A523" s="813">
        <v>95511</v>
      </c>
      <c r="B523" s="814" t="s">
        <v>3046</v>
      </c>
      <c r="C523" s="815">
        <v>9.5339999999999997E-4</v>
      </c>
      <c r="D523" s="815">
        <v>9.7460000000000005E-4</v>
      </c>
      <c r="E523" s="816">
        <v>2261791</v>
      </c>
      <c r="F523" s="816" t="s">
        <v>185</v>
      </c>
      <c r="G523" s="817">
        <v>348941</v>
      </c>
      <c r="H523" s="818">
        <v>310477</v>
      </c>
      <c r="I523" s="817">
        <v>600192</v>
      </c>
      <c r="J523" s="816">
        <v>48211</v>
      </c>
      <c r="K523" s="818">
        <f t="shared" si="17"/>
        <v>1307821</v>
      </c>
      <c r="L523" s="816"/>
      <c r="M523" s="817">
        <v>11709</v>
      </c>
      <c r="N523" s="817">
        <v>0</v>
      </c>
      <c r="O523" s="816">
        <v>32399</v>
      </c>
      <c r="P523" s="818">
        <f t="shared" si="18"/>
        <v>44108</v>
      </c>
      <c r="Q523" s="816"/>
      <c r="R523" s="817">
        <v>628265</v>
      </c>
      <c r="S523" s="816">
        <v>103</v>
      </c>
      <c r="T523" s="819">
        <v>628368</v>
      </c>
    </row>
    <row r="524" spans="1:20" x14ac:dyDescent="0.25">
      <c r="A524" s="813">
        <v>95513</v>
      </c>
      <c r="B524" s="814" t="s">
        <v>3047</v>
      </c>
      <c r="C524" s="815">
        <v>4.5399999999999999E-5</v>
      </c>
      <c r="D524" s="815">
        <v>4.6699999999999997E-5</v>
      </c>
      <c r="E524" s="816">
        <v>107704</v>
      </c>
      <c r="F524" s="816" t="s">
        <v>185</v>
      </c>
      <c r="G524" s="817">
        <v>16616</v>
      </c>
      <c r="H524" s="818">
        <v>14785</v>
      </c>
      <c r="I524" s="817">
        <v>28581</v>
      </c>
      <c r="J524" s="816">
        <v>21477</v>
      </c>
      <c r="K524" s="818">
        <f t="shared" si="17"/>
        <v>81459</v>
      </c>
      <c r="L524" s="816"/>
      <c r="M524" s="817">
        <v>558</v>
      </c>
      <c r="N524" s="817">
        <v>0</v>
      </c>
      <c r="O524" s="816">
        <v>0</v>
      </c>
      <c r="P524" s="818">
        <f t="shared" si="18"/>
        <v>558</v>
      </c>
      <c r="Q524" s="816"/>
      <c r="R524" s="817">
        <v>29917</v>
      </c>
      <c r="S524" s="816">
        <v>11276</v>
      </c>
      <c r="T524" s="819">
        <v>41193</v>
      </c>
    </row>
    <row r="525" spans="1:20" x14ac:dyDescent="0.25">
      <c r="A525" s="813">
        <v>95517</v>
      </c>
      <c r="B525" s="814" t="s">
        <v>4158</v>
      </c>
      <c r="C525" s="815">
        <v>1.88E-5</v>
      </c>
      <c r="D525" s="815">
        <v>2.4499999999999999E-5</v>
      </c>
      <c r="E525" s="816">
        <v>44600</v>
      </c>
      <c r="F525" s="816" t="s">
        <v>185</v>
      </c>
      <c r="G525" s="817">
        <v>6881</v>
      </c>
      <c r="H525" s="818">
        <v>6122</v>
      </c>
      <c r="I525" s="817">
        <v>11835</v>
      </c>
      <c r="J525" s="816">
        <v>11454</v>
      </c>
      <c r="K525" s="818">
        <f t="shared" si="17"/>
        <v>36292</v>
      </c>
      <c r="L525" s="816"/>
      <c r="M525" s="817">
        <v>231</v>
      </c>
      <c r="N525" s="817">
        <v>0</v>
      </c>
      <c r="O525" s="816">
        <v>2556</v>
      </c>
      <c r="P525" s="818">
        <f t="shared" si="18"/>
        <v>2787</v>
      </c>
      <c r="Q525" s="816"/>
      <c r="R525" s="817">
        <v>12389</v>
      </c>
      <c r="S525" s="816">
        <v>5895</v>
      </c>
      <c r="T525" s="819">
        <v>18284</v>
      </c>
    </row>
    <row r="526" spans="1:20" x14ac:dyDescent="0.25">
      <c r="A526" s="813">
        <v>95601</v>
      </c>
      <c r="B526" s="814" t="s">
        <v>3049</v>
      </c>
      <c r="C526" s="815">
        <v>2.6251999999999998E-3</v>
      </c>
      <c r="D526" s="815">
        <v>2.6280000000000001E-3</v>
      </c>
      <c r="E526" s="816">
        <v>6227872</v>
      </c>
      <c r="F526" s="816" t="s">
        <v>185</v>
      </c>
      <c r="G526" s="817">
        <v>960813</v>
      </c>
      <c r="H526" s="818">
        <v>854902</v>
      </c>
      <c r="I526" s="817">
        <v>1652637</v>
      </c>
      <c r="J526" s="816">
        <v>33391</v>
      </c>
      <c r="K526" s="818">
        <f t="shared" si="17"/>
        <v>3501743</v>
      </c>
      <c r="L526" s="816"/>
      <c r="M526" s="817">
        <v>32240</v>
      </c>
      <c r="N526" s="817">
        <v>0</v>
      </c>
      <c r="O526" s="816">
        <v>33658</v>
      </c>
      <c r="P526" s="818">
        <f t="shared" si="18"/>
        <v>65898</v>
      </c>
      <c r="Q526" s="816"/>
      <c r="R526" s="817">
        <v>1729936</v>
      </c>
      <c r="S526" s="816">
        <v>42593</v>
      </c>
      <c r="T526" s="819">
        <v>1772529</v>
      </c>
    </row>
    <row r="527" spans="1:20" x14ac:dyDescent="0.25">
      <c r="A527" s="813">
        <v>95611</v>
      </c>
      <c r="B527" s="814" t="s">
        <v>4159</v>
      </c>
      <c r="C527" s="815">
        <v>3.8440000000000002E-4</v>
      </c>
      <c r="D527" s="815">
        <v>4.0660000000000002E-4</v>
      </c>
      <c r="E527" s="816">
        <v>911928</v>
      </c>
      <c r="F527" s="816" t="s">
        <v>185</v>
      </c>
      <c r="G527" s="817">
        <v>140689</v>
      </c>
      <c r="H527" s="818">
        <v>125180</v>
      </c>
      <c r="I527" s="817">
        <v>241991</v>
      </c>
      <c r="J527" s="816">
        <v>5465</v>
      </c>
      <c r="K527" s="818">
        <f t="shared" ref="K527:K590" si="19">G527+H527+I527+J527</f>
        <v>513325</v>
      </c>
      <c r="L527" s="816"/>
      <c r="M527" s="817">
        <v>4721</v>
      </c>
      <c r="N527" s="817">
        <v>0</v>
      </c>
      <c r="O527" s="816">
        <v>4327</v>
      </c>
      <c r="P527" s="818">
        <f t="shared" ref="P527:P590" si="20">M527+N527+O527</f>
        <v>9048</v>
      </c>
      <c r="Q527" s="816"/>
      <c r="R527" s="817">
        <v>253309</v>
      </c>
      <c r="S527" s="816">
        <v>529</v>
      </c>
      <c r="T527" s="819">
        <v>253838</v>
      </c>
    </row>
    <row r="528" spans="1:20" x14ac:dyDescent="0.25">
      <c r="A528" s="813">
        <v>95617</v>
      </c>
      <c r="B528" s="814" t="s">
        <v>3051</v>
      </c>
      <c r="C528" s="815">
        <v>1.59E-5</v>
      </c>
      <c r="D528" s="815">
        <v>1.6399999999999999E-5</v>
      </c>
      <c r="E528" s="816">
        <v>37720</v>
      </c>
      <c r="F528" s="816" t="s">
        <v>185</v>
      </c>
      <c r="G528" s="817">
        <v>5819</v>
      </c>
      <c r="H528" s="818">
        <v>5178</v>
      </c>
      <c r="I528" s="817">
        <v>10009</v>
      </c>
      <c r="J528" s="816">
        <v>916</v>
      </c>
      <c r="K528" s="818">
        <f t="shared" si="19"/>
        <v>21922</v>
      </c>
      <c r="L528" s="816"/>
      <c r="M528" s="817">
        <v>195</v>
      </c>
      <c r="N528" s="817">
        <v>0</v>
      </c>
      <c r="O528" s="816">
        <v>417</v>
      </c>
      <c r="P528" s="818">
        <f t="shared" si="20"/>
        <v>612</v>
      </c>
      <c r="Q528" s="816"/>
      <c r="R528" s="817">
        <v>10478</v>
      </c>
      <c r="S528" s="816">
        <v>-554</v>
      </c>
      <c r="T528" s="819">
        <v>9924</v>
      </c>
    </row>
    <row r="529" spans="1:20" x14ac:dyDescent="0.25">
      <c r="A529" s="813">
        <v>95621</v>
      </c>
      <c r="B529" s="814" t="s">
        <v>4160</v>
      </c>
      <c r="C529" s="815">
        <v>4.9019999999999999E-4</v>
      </c>
      <c r="D529" s="815">
        <v>4.5360000000000002E-4</v>
      </c>
      <c r="E529" s="816">
        <v>1162922</v>
      </c>
      <c r="F529" s="816" t="s">
        <v>185</v>
      </c>
      <c r="G529" s="817">
        <v>179411</v>
      </c>
      <c r="H529" s="818">
        <v>159635</v>
      </c>
      <c r="I529" s="817">
        <v>308595</v>
      </c>
      <c r="J529" s="816">
        <v>42371</v>
      </c>
      <c r="K529" s="818">
        <f t="shared" si="19"/>
        <v>690012</v>
      </c>
      <c r="L529" s="816"/>
      <c r="M529" s="817">
        <v>6020</v>
      </c>
      <c r="N529" s="817">
        <v>0</v>
      </c>
      <c r="O529" s="816">
        <v>2706</v>
      </c>
      <c r="P529" s="818">
        <f t="shared" si="20"/>
        <v>8726</v>
      </c>
      <c r="Q529" s="816"/>
      <c r="R529" s="817">
        <v>323029</v>
      </c>
      <c r="S529" s="816">
        <v>12042</v>
      </c>
      <c r="T529" s="819">
        <v>335071</v>
      </c>
    </row>
    <row r="530" spans="1:20" x14ac:dyDescent="0.25">
      <c r="A530" s="813">
        <v>95701</v>
      </c>
      <c r="B530" s="814" t="s">
        <v>3053</v>
      </c>
      <c r="C530" s="815">
        <v>1.3044E-3</v>
      </c>
      <c r="D530" s="815">
        <v>1.3747E-3</v>
      </c>
      <c r="E530" s="816">
        <v>3094483</v>
      </c>
      <c r="F530" s="816" t="s">
        <v>185</v>
      </c>
      <c r="G530" s="817">
        <v>477405</v>
      </c>
      <c r="H530" s="818">
        <v>424780</v>
      </c>
      <c r="I530" s="817">
        <v>821156</v>
      </c>
      <c r="J530" s="816">
        <v>34377</v>
      </c>
      <c r="K530" s="818">
        <f t="shared" si="19"/>
        <v>1757718</v>
      </c>
      <c r="L530" s="816"/>
      <c r="M530" s="817">
        <v>16019</v>
      </c>
      <c r="N530" s="817">
        <v>0</v>
      </c>
      <c r="O530" s="816">
        <v>77258</v>
      </c>
      <c r="P530" s="818">
        <f t="shared" si="20"/>
        <v>93277</v>
      </c>
      <c r="Q530" s="816"/>
      <c r="R530" s="817">
        <v>859564</v>
      </c>
      <c r="S530" s="816">
        <v>9205</v>
      </c>
      <c r="T530" s="819">
        <v>868769</v>
      </c>
    </row>
    <row r="531" spans="1:20" x14ac:dyDescent="0.25">
      <c r="A531" s="813">
        <v>95711</v>
      </c>
      <c r="B531" s="814" t="s">
        <v>4161</v>
      </c>
      <c r="C531" s="815">
        <v>1.4349999999999999E-4</v>
      </c>
      <c r="D531" s="815">
        <v>1.394E-4</v>
      </c>
      <c r="E531" s="816">
        <v>340431</v>
      </c>
      <c r="F531" s="816" t="s">
        <v>185</v>
      </c>
      <c r="G531" s="817">
        <v>52520</v>
      </c>
      <c r="H531" s="818">
        <v>46731</v>
      </c>
      <c r="I531" s="817">
        <v>90337</v>
      </c>
      <c r="J531" s="816">
        <v>2879</v>
      </c>
      <c r="K531" s="818">
        <f t="shared" si="19"/>
        <v>192467</v>
      </c>
      <c r="L531" s="816"/>
      <c r="M531" s="817">
        <v>1762</v>
      </c>
      <c r="N531" s="817">
        <v>0</v>
      </c>
      <c r="O531" s="816">
        <v>9110</v>
      </c>
      <c r="P531" s="818">
        <f t="shared" si="20"/>
        <v>10872</v>
      </c>
      <c r="Q531" s="816"/>
      <c r="R531" s="817">
        <v>94563</v>
      </c>
      <c r="S531" s="816">
        <v>468</v>
      </c>
      <c r="T531" s="819">
        <v>95031</v>
      </c>
    </row>
    <row r="532" spans="1:20" x14ac:dyDescent="0.25">
      <c r="A532" s="813">
        <v>95721</v>
      </c>
      <c r="B532" s="814" t="s">
        <v>4162</v>
      </c>
      <c r="C532" s="815">
        <v>6.7799999999999995E-5</v>
      </c>
      <c r="D532" s="815">
        <v>6.7600000000000003E-5</v>
      </c>
      <c r="E532" s="816">
        <v>160845</v>
      </c>
      <c r="F532" s="816" t="s">
        <v>185</v>
      </c>
      <c r="G532" s="817">
        <v>24815</v>
      </c>
      <c r="H532" s="818">
        <v>22080</v>
      </c>
      <c r="I532" s="817">
        <v>42682</v>
      </c>
      <c r="J532" s="816">
        <v>0</v>
      </c>
      <c r="K532" s="818">
        <f t="shared" si="19"/>
        <v>89577</v>
      </c>
      <c r="L532" s="816"/>
      <c r="M532" s="817">
        <v>833</v>
      </c>
      <c r="N532" s="817">
        <v>0</v>
      </c>
      <c r="O532" s="816">
        <v>6588</v>
      </c>
      <c r="P532" s="818">
        <f t="shared" si="20"/>
        <v>7421</v>
      </c>
      <c r="Q532" s="816"/>
      <c r="R532" s="817">
        <v>44678</v>
      </c>
      <c r="S532" s="816">
        <v>-4986</v>
      </c>
      <c r="T532" s="819">
        <v>39692</v>
      </c>
    </row>
    <row r="533" spans="1:20" x14ac:dyDescent="0.25">
      <c r="A533" s="813">
        <v>95733</v>
      </c>
      <c r="B533" s="814" t="s">
        <v>3056</v>
      </c>
      <c r="C533" s="815">
        <v>1.5500000000000001E-5</v>
      </c>
      <c r="D533" s="815">
        <v>1.5400000000000002E-5</v>
      </c>
      <c r="E533" s="816">
        <v>36771</v>
      </c>
      <c r="F533" s="816" t="s">
        <v>185</v>
      </c>
      <c r="G533" s="817">
        <v>5673</v>
      </c>
      <c r="H533" s="818">
        <v>5047</v>
      </c>
      <c r="I533" s="817">
        <v>9758</v>
      </c>
      <c r="J533" s="816">
        <v>293</v>
      </c>
      <c r="K533" s="818">
        <f t="shared" si="19"/>
        <v>20771</v>
      </c>
      <c r="L533" s="816"/>
      <c r="M533" s="817">
        <v>190</v>
      </c>
      <c r="N533" s="817">
        <v>0</v>
      </c>
      <c r="O533" s="816">
        <v>329</v>
      </c>
      <c r="P533" s="818">
        <f t="shared" si="20"/>
        <v>519</v>
      </c>
      <c r="Q533" s="816"/>
      <c r="R533" s="817">
        <v>10214</v>
      </c>
      <c r="S533" s="816">
        <v>222</v>
      </c>
      <c r="T533" s="819">
        <v>10436</v>
      </c>
    </row>
    <row r="534" spans="1:20" x14ac:dyDescent="0.25">
      <c r="A534" s="813">
        <v>95801</v>
      </c>
      <c r="B534" s="814" t="s">
        <v>3057</v>
      </c>
      <c r="C534" s="815">
        <v>9.7999999999999997E-4</v>
      </c>
      <c r="D534" s="815">
        <v>9.6310000000000005E-4</v>
      </c>
      <c r="E534" s="816">
        <v>2324895</v>
      </c>
      <c r="F534" s="816" t="s">
        <v>185</v>
      </c>
      <c r="G534" s="817">
        <v>358676</v>
      </c>
      <c r="H534" s="818">
        <v>319139</v>
      </c>
      <c r="I534" s="817">
        <v>616937</v>
      </c>
      <c r="J534" s="816">
        <v>66360</v>
      </c>
      <c r="K534" s="818">
        <f t="shared" si="19"/>
        <v>1361112</v>
      </c>
      <c r="L534" s="816"/>
      <c r="M534" s="817">
        <v>12035</v>
      </c>
      <c r="N534" s="817">
        <v>0</v>
      </c>
      <c r="O534" s="816">
        <v>165</v>
      </c>
      <c r="P534" s="818">
        <f t="shared" si="20"/>
        <v>12200</v>
      </c>
      <c r="Q534" s="816"/>
      <c r="R534" s="817">
        <v>645794</v>
      </c>
      <c r="S534" s="816">
        <v>20070</v>
      </c>
      <c r="T534" s="819">
        <v>665864</v>
      </c>
    </row>
    <row r="535" spans="1:20" x14ac:dyDescent="0.25">
      <c r="A535" s="813">
        <v>95802</v>
      </c>
      <c r="B535" s="814" t="s">
        <v>4163</v>
      </c>
      <c r="C535" s="815">
        <v>5.4E-6</v>
      </c>
      <c r="D535" s="815">
        <v>6.1E-6</v>
      </c>
      <c r="E535" s="816">
        <v>12811</v>
      </c>
      <c r="F535" s="816" t="s">
        <v>185</v>
      </c>
      <c r="G535" s="817">
        <v>1976</v>
      </c>
      <c r="H535" s="818">
        <v>1759</v>
      </c>
      <c r="I535" s="817">
        <v>3399</v>
      </c>
      <c r="J535" s="816">
        <v>4124</v>
      </c>
      <c r="K535" s="818">
        <f t="shared" si="19"/>
        <v>11258</v>
      </c>
      <c r="L535" s="816"/>
      <c r="M535" s="817">
        <v>66</v>
      </c>
      <c r="N535" s="817">
        <v>0</v>
      </c>
      <c r="O535" s="816">
        <v>0</v>
      </c>
      <c r="P535" s="818">
        <f t="shared" si="20"/>
        <v>66</v>
      </c>
      <c r="Q535" s="816"/>
      <c r="R535" s="817">
        <v>3558</v>
      </c>
      <c r="S535" s="816">
        <v>434</v>
      </c>
      <c r="T535" s="819">
        <v>3992</v>
      </c>
    </row>
    <row r="536" spans="1:20" x14ac:dyDescent="0.25">
      <c r="A536" s="813">
        <v>95804</v>
      </c>
      <c r="B536" s="814" t="s">
        <v>3059</v>
      </c>
      <c r="C536" s="815">
        <v>2.1699999999999999E-5</v>
      </c>
      <c r="D536" s="815">
        <v>2.19E-5</v>
      </c>
      <c r="E536" s="816">
        <v>51480</v>
      </c>
      <c r="F536" s="816" t="s">
        <v>185</v>
      </c>
      <c r="G536" s="817">
        <v>7942</v>
      </c>
      <c r="H536" s="818">
        <v>7067</v>
      </c>
      <c r="I536" s="817">
        <v>13661</v>
      </c>
      <c r="J536" s="816">
        <v>2008</v>
      </c>
      <c r="K536" s="818">
        <f t="shared" si="19"/>
        <v>30678</v>
      </c>
      <c r="L536" s="816"/>
      <c r="M536" s="817">
        <v>266</v>
      </c>
      <c r="N536" s="817">
        <v>0</v>
      </c>
      <c r="O536" s="816">
        <v>2353</v>
      </c>
      <c r="P536" s="818">
        <f t="shared" si="20"/>
        <v>2619</v>
      </c>
      <c r="Q536" s="816"/>
      <c r="R536" s="817">
        <v>14300</v>
      </c>
      <c r="S536" s="816">
        <v>1035</v>
      </c>
      <c r="T536" s="819">
        <v>15335</v>
      </c>
    </row>
    <row r="537" spans="1:20" x14ac:dyDescent="0.25">
      <c r="A537" s="813">
        <v>95811</v>
      </c>
      <c r="B537" s="814" t="s">
        <v>4164</v>
      </c>
      <c r="C537" s="815">
        <v>5.2729999999999997E-4</v>
      </c>
      <c r="D537" s="815">
        <v>5.3129999999999996E-4</v>
      </c>
      <c r="E537" s="816">
        <v>1250936</v>
      </c>
      <c r="F537" s="816" t="s">
        <v>185</v>
      </c>
      <c r="G537" s="817">
        <v>192990</v>
      </c>
      <c r="H537" s="818">
        <v>171716</v>
      </c>
      <c r="I537" s="817">
        <v>331950</v>
      </c>
      <c r="J537" s="816">
        <v>1612</v>
      </c>
      <c r="K537" s="818">
        <f t="shared" si="19"/>
        <v>698268</v>
      </c>
      <c r="L537" s="816"/>
      <c r="M537" s="817">
        <v>6476</v>
      </c>
      <c r="N537" s="817">
        <v>0</v>
      </c>
      <c r="O537" s="816">
        <v>2962</v>
      </c>
      <c r="P537" s="818">
        <f t="shared" si="20"/>
        <v>9438</v>
      </c>
      <c r="Q537" s="816"/>
      <c r="R537" s="817">
        <v>347476</v>
      </c>
      <c r="S537" s="816">
        <v>-1308</v>
      </c>
      <c r="T537" s="819">
        <v>346168</v>
      </c>
    </row>
    <row r="538" spans="1:20" x14ac:dyDescent="0.25">
      <c r="A538" s="813">
        <v>95813</v>
      </c>
      <c r="B538" s="814" t="s">
        <v>3061</v>
      </c>
      <c r="C538" s="815">
        <v>5.0699999999999999E-5</v>
      </c>
      <c r="D538" s="815">
        <v>4.88E-5</v>
      </c>
      <c r="E538" s="816">
        <v>120278</v>
      </c>
      <c r="F538" s="816" t="s">
        <v>185</v>
      </c>
      <c r="G538" s="817">
        <v>18556</v>
      </c>
      <c r="H538" s="818">
        <v>16511</v>
      </c>
      <c r="I538" s="817">
        <v>31917</v>
      </c>
      <c r="J538" s="816">
        <v>86198</v>
      </c>
      <c r="K538" s="818">
        <f t="shared" si="19"/>
        <v>153182</v>
      </c>
      <c r="L538" s="816"/>
      <c r="M538" s="817">
        <v>623</v>
      </c>
      <c r="N538" s="817">
        <v>0</v>
      </c>
      <c r="O538" s="816">
        <v>0</v>
      </c>
      <c r="P538" s="818">
        <f t="shared" si="20"/>
        <v>623</v>
      </c>
      <c r="Q538" s="816"/>
      <c r="R538" s="817">
        <v>33410</v>
      </c>
      <c r="S538" s="816">
        <v>34117</v>
      </c>
      <c r="T538" s="819">
        <v>67527</v>
      </c>
    </row>
    <row r="539" spans="1:20" x14ac:dyDescent="0.25">
      <c r="A539" s="813">
        <v>95821</v>
      </c>
      <c r="B539" s="814" t="s">
        <v>4165</v>
      </c>
      <c r="C539" s="815">
        <v>0</v>
      </c>
      <c r="D539" s="815">
        <v>0</v>
      </c>
      <c r="E539" s="816">
        <v>0</v>
      </c>
      <c r="F539" s="816" t="s">
        <v>185</v>
      </c>
      <c r="G539" s="817">
        <v>0</v>
      </c>
      <c r="H539" s="818">
        <v>0</v>
      </c>
      <c r="I539" s="817">
        <v>0</v>
      </c>
      <c r="J539" s="816">
        <v>2281</v>
      </c>
      <c r="K539" s="818">
        <f t="shared" si="19"/>
        <v>2281</v>
      </c>
      <c r="L539" s="816"/>
      <c r="M539" s="817">
        <v>0</v>
      </c>
      <c r="N539" s="817">
        <v>0</v>
      </c>
      <c r="O539" s="816">
        <v>489</v>
      </c>
      <c r="P539" s="818">
        <f t="shared" si="20"/>
        <v>489</v>
      </c>
      <c r="Q539" s="816"/>
      <c r="R539" s="817">
        <v>0</v>
      </c>
      <c r="S539" s="816">
        <v>861</v>
      </c>
      <c r="T539" s="819">
        <v>861</v>
      </c>
    </row>
    <row r="540" spans="1:20" x14ac:dyDescent="0.25">
      <c r="A540" s="813">
        <v>95831</v>
      </c>
      <c r="B540" s="814" t="s">
        <v>4166</v>
      </c>
      <c r="C540" s="815">
        <v>1.8E-5</v>
      </c>
      <c r="D540" s="815">
        <v>1.6799999999999998E-5</v>
      </c>
      <c r="E540" s="816">
        <v>42702</v>
      </c>
      <c r="F540" s="816" t="s">
        <v>185</v>
      </c>
      <c r="G540" s="817">
        <v>6588</v>
      </c>
      <c r="H540" s="818">
        <v>5862</v>
      </c>
      <c r="I540" s="817">
        <v>11332</v>
      </c>
      <c r="J540" s="816">
        <v>26223</v>
      </c>
      <c r="K540" s="818">
        <f t="shared" si="19"/>
        <v>50005</v>
      </c>
      <c r="L540" s="816"/>
      <c r="M540" s="817">
        <v>221</v>
      </c>
      <c r="N540" s="817">
        <v>0</v>
      </c>
      <c r="O540" s="816">
        <v>0</v>
      </c>
      <c r="P540" s="818">
        <f t="shared" si="20"/>
        <v>221</v>
      </c>
      <c r="Q540" s="816"/>
      <c r="R540" s="817">
        <v>11862</v>
      </c>
      <c r="S540" s="816">
        <v>10648</v>
      </c>
      <c r="T540" s="819">
        <v>22510</v>
      </c>
    </row>
    <row r="541" spans="1:20" x14ac:dyDescent="0.25">
      <c r="A541" s="813">
        <v>95841</v>
      </c>
      <c r="B541" s="814" t="s">
        <v>4167</v>
      </c>
      <c r="C541" s="815">
        <v>2.0000000000000002E-5</v>
      </c>
      <c r="D541" s="815">
        <v>2.0999999999999999E-5</v>
      </c>
      <c r="E541" s="816">
        <v>47447</v>
      </c>
      <c r="F541" s="816" t="s">
        <v>185</v>
      </c>
      <c r="G541" s="817">
        <v>7320</v>
      </c>
      <c r="H541" s="818">
        <v>6513</v>
      </c>
      <c r="I541" s="817">
        <v>12591</v>
      </c>
      <c r="J541" s="816">
        <v>3014</v>
      </c>
      <c r="K541" s="818">
        <f t="shared" si="19"/>
        <v>29438</v>
      </c>
      <c r="L541" s="816"/>
      <c r="M541" s="817">
        <v>246</v>
      </c>
      <c r="N541" s="817">
        <v>0</v>
      </c>
      <c r="O541" s="816">
        <v>0</v>
      </c>
      <c r="P541" s="818">
        <f t="shared" si="20"/>
        <v>246</v>
      </c>
      <c r="Q541" s="816"/>
      <c r="R541" s="817">
        <v>13179</v>
      </c>
      <c r="S541" s="816">
        <v>1248</v>
      </c>
      <c r="T541" s="819">
        <v>14427</v>
      </c>
    </row>
    <row r="542" spans="1:20" x14ac:dyDescent="0.25">
      <c r="A542" s="813">
        <v>95851</v>
      </c>
      <c r="B542" s="814" t="s">
        <v>4168</v>
      </c>
      <c r="C542" s="815">
        <v>1.403E-4</v>
      </c>
      <c r="D542" s="815">
        <v>1.327E-4</v>
      </c>
      <c r="E542" s="816">
        <v>332840</v>
      </c>
      <c r="F542" s="816" t="s">
        <v>185</v>
      </c>
      <c r="G542" s="817">
        <v>51349</v>
      </c>
      <c r="H542" s="818">
        <v>45689</v>
      </c>
      <c r="I542" s="817">
        <v>88323</v>
      </c>
      <c r="J542" s="816">
        <v>151488</v>
      </c>
      <c r="K542" s="818">
        <f t="shared" si="19"/>
        <v>336849</v>
      </c>
      <c r="L542" s="816"/>
      <c r="M542" s="817">
        <v>1723</v>
      </c>
      <c r="N542" s="817">
        <v>0</v>
      </c>
      <c r="O542" s="816">
        <v>0</v>
      </c>
      <c r="P542" s="818">
        <f t="shared" si="20"/>
        <v>1723</v>
      </c>
      <c r="Q542" s="816"/>
      <c r="R542" s="817">
        <v>92454</v>
      </c>
      <c r="S542" s="816">
        <v>56099</v>
      </c>
      <c r="T542" s="819">
        <v>148553</v>
      </c>
    </row>
    <row r="543" spans="1:20" x14ac:dyDescent="0.25">
      <c r="A543" s="813">
        <v>95853</v>
      </c>
      <c r="B543" s="814" t="s">
        <v>3066</v>
      </c>
      <c r="C543" s="815">
        <v>3.1300000000000002E-5</v>
      </c>
      <c r="D543" s="815">
        <v>2.69E-5</v>
      </c>
      <c r="E543" s="816">
        <v>74254</v>
      </c>
      <c r="F543" s="816" t="s">
        <v>185</v>
      </c>
      <c r="G543" s="817">
        <v>11456</v>
      </c>
      <c r="H543" s="818">
        <v>10193</v>
      </c>
      <c r="I543" s="817">
        <v>19704</v>
      </c>
      <c r="J543" s="816">
        <v>8786</v>
      </c>
      <c r="K543" s="818">
        <f t="shared" si="19"/>
        <v>50139</v>
      </c>
      <c r="L543" s="816"/>
      <c r="M543" s="817">
        <v>384</v>
      </c>
      <c r="N543" s="817">
        <v>0</v>
      </c>
      <c r="O543" s="816">
        <v>0</v>
      </c>
      <c r="P543" s="818">
        <f t="shared" si="20"/>
        <v>384</v>
      </c>
      <c r="Q543" s="816"/>
      <c r="R543" s="817">
        <v>20626</v>
      </c>
      <c r="S543" s="816">
        <v>4580</v>
      </c>
      <c r="T543" s="819">
        <v>25206</v>
      </c>
    </row>
    <row r="544" spans="1:20" x14ac:dyDescent="0.25">
      <c r="A544" s="813">
        <v>95901</v>
      </c>
      <c r="B544" s="814" t="s">
        <v>3067</v>
      </c>
      <c r="C544" s="815">
        <v>1.9158000000000001E-3</v>
      </c>
      <c r="D544" s="815">
        <v>1.8714999999999999E-3</v>
      </c>
      <c r="E544" s="816">
        <v>4544933</v>
      </c>
      <c r="F544" s="816" t="s">
        <v>185</v>
      </c>
      <c r="G544" s="817">
        <v>701175</v>
      </c>
      <c r="H544" s="818">
        <v>623884</v>
      </c>
      <c r="I544" s="817">
        <v>1206050</v>
      </c>
      <c r="J544" s="816">
        <v>4319</v>
      </c>
      <c r="K544" s="818">
        <f t="shared" si="19"/>
        <v>2535428</v>
      </c>
      <c r="L544" s="816"/>
      <c r="M544" s="817">
        <v>23528</v>
      </c>
      <c r="N544" s="817">
        <v>0</v>
      </c>
      <c r="O544" s="816">
        <v>11578</v>
      </c>
      <c r="P544" s="818">
        <f t="shared" si="20"/>
        <v>35106</v>
      </c>
      <c r="Q544" s="816"/>
      <c r="R544" s="817">
        <v>1262460</v>
      </c>
      <c r="S544" s="816">
        <v>27562</v>
      </c>
      <c r="T544" s="819">
        <v>1290022</v>
      </c>
    </row>
    <row r="545" spans="1:20" x14ac:dyDescent="0.25">
      <c r="A545" s="813">
        <v>95908</v>
      </c>
      <c r="B545" s="814" t="s">
        <v>3068</v>
      </c>
      <c r="C545" s="815">
        <v>6.1099999999999994E-5</v>
      </c>
      <c r="D545" s="815">
        <v>7.2200000000000007E-5</v>
      </c>
      <c r="E545" s="816">
        <v>144950</v>
      </c>
      <c r="F545" s="816" t="s">
        <v>185</v>
      </c>
      <c r="G545" s="817">
        <v>22362</v>
      </c>
      <c r="H545" s="818">
        <v>19898</v>
      </c>
      <c r="I545" s="817">
        <v>38464</v>
      </c>
      <c r="J545" s="816">
        <v>0</v>
      </c>
      <c r="K545" s="818">
        <f t="shared" si="19"/>
        <v>80724</v>
      </c>
      <c r="L545" s="816"/>
      <c r="M545" s="817">
        <v>750</v>
      </c>
      <c r="N545" s="817">
        <v>0</v>
      </c>
      <c r="O545" s="816">
        <v>21950</v>
      </c>
      <c r="P545" s="818">
        <f t="shared" si="20"/>
        <v>22700</v>
      </c>
      <c r="Q545" s="816"/>
      <c r="R545" s="817">
        <v>40263</v>
      </c>
      <c r="S545" s="816">
        <v>-13336</v>
      </c>
      <c r="T545" s="819">
        <v>26927</v>
      </c>
    </row>
    <row r="546" spans="1:20" x14ac:dyDescent="0.25">
      <c r="A546" s="813">
        <v>95911</v>
      </c>
      <c r="B546" s="814" t="s">
        <v>4169</v>
      </c>
      <c r="C546" s="815">
        <v>5.576E-4</v>
      </c>
      <c r="D546" s="815">
        <v>5.7450000000000003E-4</v>
      </c>
      <c r="E546" s="816">
        <v>1322818</v>
      </c>
      <c r="F546" s="816" t="s">
        <v>185</v>
      </c>
      <c r="G546" s="817">
        <v>204079</v>
      </c>
      <c r="H546" s="818">
        <v>181583</v>
      </c>
      <c r="I546" s="817">
        <v>351025</v>
      </c>
      <c r="J546" s="816">
        <v>1306</v>
      </c>
      <c r="K546" s="818">
        <f t="shared" si="19"/>
        <v>737993</v>
      </c>
      <c r="L546" s="816"/>
      <c r="M546" s="817">
        <v>6848</v>
      </c>
      <c r="N546" s="817">
        <v>0</v>
      </c>
      <c r="O546" s="816">
        <v>50349</v>
      </c>
      <c r="P546" s="818">
        <f t="shared" si="20"/>
        <v>57197</v>
      </c>
      <c r="Q546" s="816"/>
      <c r="R546" s="817">
        <v>367443</v>
      </c>
      <c r="S546" s="816">
        <v>-20293</v>
      </c>
      <c r="T546" s="819">
        <v>347150</v>
      </c>
    </row>
    <row r="547" spans="1:20" x14ac:dyDescent="0.25">
      <c r="A547" s="813">
        <v>95917</v>
      </c>
      <c r="B547" s="814" t="s">
        <v>3070</v>
      </c>
      <c r="C547" s="815">
        <v>2.05E-5</v>
      </c>
      <c r="D547" s="815">
        <v>2.6699999999999998E-5</v>
      </c>
      <c r="E547" s="816">
        <v>48633</v>
      </c>
      <c r="F547" s="816" t="s">
        <v>185</v>
      </c>
      <c r="G547" s="817">
        <v>7503</v>
      </c>
      <c r="H547" s="818">
        <v>6676</v>
      </c>
      <c r="I547" s="817">
        <v>12905</v>
      </c>
      <c r="J547" s="816">
        <v>1999</v>
      </c>
      <c r="K547" s="818">
        <f t="shared" si="19"/>
        <v>29083</v>
      </c>
      <c r="L547" s="816"/>
      <c r="M547" s="817">
        <v>252</v>
      </c>
      <c r="N547" s="817">
        <v>0</v>
      </c>
      <c r="O547" s="816">
        <v>3512</v>
      </c>
      <c r="P547" s="818">
        <f t="shared" si="20"/>
        <v>3764</v>
      </c>
      <c r="Q547" s="816"/>
      <c r="R547" s="817">
        <v>13509</v>
      </c>
      <c r="S547" s="816">
        <v>1407</v>
      </c>
      <c r="T547" s="819">
        <v>14916</v>
      </c>
    </row>
    <row r="548" spans="1:20" x14ac:dyDescent="0.25">
      <c r="A548" s="813">
        <v>95921</v>
      </c>
      <c r="B548" s="814" t="s">
        <v>4170</v>
      </c>
      <c r="C548" s="815">
        <v>4.9799999999999998E-5</v>
      </c>
      <c r="D548" s="815">
        <v>4.7500000000000003E-5</v>
      </c>
      <c r="E548" s="816">
        <v>118143</v>
      </c>
      <c r="F548" s="816" t="s">
        <v>185</v>
      </c>
      <c r="G548" s="817">
        <v>18227</v>
      </c>
      <c r="H548" s="818">
        <v>16217</v>
      </c>
      <c r="I548" s="817">
        <v>31350</v>
      </c>
      <c r="J548" s="816">
        <v>4597</v>
      </c>
      <c r="K548" s="818">
        <f t="shared" si="19"/>
        <v>70391</v>
      </c>
      <c r="L548" s="816"/>
      <c r="M548" s="817">
        <v>612</v>
      </c>
      <c r="N548" s="817">
        <v>0</v>
      </c>
      <c r="O548" s="816">
        <v>0</v>
      </c>
      <c r="P548" s="818">
        <f t="shared" si="20"/>
        <v>612</v>
      </c>
      <c r="Q548" s="816"/>
      <c r="R548" s="817">
        <v>32817</v>
      </c>
      <c r="S548" s="816">
        <v>1077</v>
      </c>
      <c r="T548" s="819">
        <v>33894</v>
      </c>
    </row>
    <row r="549" spans="1:20" x14ac:dyDescent="0.25">
      <c r="A549" s="813">
        <v>96001</v>
      </c>
      <c r="B549" s="814" t="s">
        <v>3072</v>
      </c>
      <c r="C549" s="815">
        <v>4.3840400000000002E-2</v>
      </c>
      <c r="D549" s="815">
        <v>4.4386399999999999E-2</v>
      </c>
      <c r="E549" s="816">
        <v>104004422</v>
      </c>
      <c r="F549" s="816" t="s">
        <v>185</v>
      </c>
      <c r="G549" s="817">
        <v>16045411</v>
      </c>
      <c r="H549" s="818">
        <v>14276714</v>
      </c>
      <c r="I549" s="817">
        <v>27598759</v>
      </c>
      <c r="J549" s="816">
        <v>120257</v>
      </c>
      <c r="K549" s="818">
        <f t="shared" si="19"/>
        <v>58041141</v>
      </c>
      <c r="L549" s="816"/>
      <c r="M549" s="817">
        <v>538404</v>
      </c>
      <c r="N549" s="817">
        <v>0</v>
      </c>
      <c r="O549" s="816">
        <v>696147</v>
      </c>
      <c r="P549" s="818">
        <f t="shared" si="20"/>
        <v>1234551</v>
      </c>
      <c r="Q549" s="816"/>
      <c r="R549" s="817">
        <v>28889640</v>
      </c>
      <c r="S549" s="816">
        <v>1107085</v>
      </c>
      <c r="T549" s="819">
        <v>29996725</v>
      </c>
    </row>
    <row r="550" spans="1:20" x14ac:dyDescent="0.25">
      <c r="A550" s="813">
        <v>96003</v>
      </c>
      <c r="B550" s="814" t="s">
        <v>3073</v>
      </c>
      <c r="C550" s="815">
        <v>1.6191999999999999E-3</v>
      </c>
      <c r="D550" s="815">
        <v>1.6523E-3</v>
      </c>
      <c r="E550" s="816">
        <v>3841296</v>
      </c>
      <c r="F550" s="816" t="s">
        <v>185</v>
      </c>
      <c r="G550" s="817">
        <v>592621</v>
      </c>
      <c r="H550" s="818">
        <v>527296</v>
      </c>
      <c r="I550" s="817">
        <v>1019332</v>
      </c>
      <c r="J550" s="816">
        <v>1392</v>
      </c>
      <c r="K550" s="818">
        <f t="shared" si="19"/>
        <v>2140641</v>
      </c>
      <c r="L550" s="816"/>
      <c r="M550" s="817">
        <v>19885</v>
      </c>
      <c r="N550" s="817">
        <v>0</v>
      </c>
      <c r="O550" s="816">
        <v>162038</v>
      </c>
      <c r="P550" s="818">
        <f t="shared" si="20"/>
        <v>181923</v>
      </c>
      <c r="Q550" s="816"/>
      <c r="R550" s="817">
        <v>1067009</v>
      </c>
      <c r="S550" s="816">
        <v>-76658</v>
      </c>
      <c r="T550" s="819">
        <v>990351</v>
      </c>
    </row>
    <row r="551" spans="1:20" x14ac:dyDescent="0.25">
      <c r="A551" s="813">
        <v>96004</v>
      </c>
      <c r="B551" s="814" t="s">
        <v>3074</v>
      </c>
      <c r="C551" s="815">
        <v>9.0419999999999997E-4</v>
      </c>
      <c r="D551" s="815">
        <v>8.9439999999999995E-4</v>
      </c>
      <c r="E551" s="816">
        <v>2145072</v>
      </c>
      <c r="F551" s="816" t="s">
        <v>185</v>
      </c>
      <c r="G551" s="817">
        <v>330934</v>
      </c>
      <c r="H551" s="818">
        <v>294454</v>
      </c>
      <c r="I551" s="817">
        <v>569219</v>
      </c>
      <c r="J551" s="816">
        <v>137510</v>
      </c>
      <c r="K551" s="818">
        <f t="shared" si="19"/>
        <v>1332117</v>
      </c>
      <c r="L551" s="816"/>
      <c r="M551" s="817">
        <v>11104</v>
      </c>
      <c r="N551" s="817">
        <v>0</v>
      </c>
      <c r="O551" s="816">
        <v>0</v>
      </c>
      <c r="P551" s="818">
        <f t="shared" si="20"/>
        <v>11104</v>
      </c>
      <c r="Q551" s="816"/>
      <c r="R551" s="817">
        <v>595843</v>
      </c>
      <c r="S551" s="816">
        <v>78642</v>
      </c>
      <c r="T551" s="819">
        <v>674485</v>
      </c>
    </row>
    <row r="552" spans="1:20" x14ac:dyDescent="0.25">
      <c r="A552" s="813">
        <v>96005</v>
      </c>
      <c r="B552" s="814" t="s">
        <v>3075</v>
      </c>
      <c r="C552" s="815">
        <v>2.6172999999999999E-3</v>
      </c>
      <c r="D552" s="815">
        <v>2.6733999999999998E-3</v>
      </c>
      <c r="E552" s="816">
        <v>6209131</v>
      </c>
      <c r="F552" s="816" t="s">
        <v>185</v>
      </c>
      <c r="G552" s="817">
        <v>957921</v>
      </c>
      <c r="H552" s="818">
        <v>852329</v>
      </c>
      <c r="I552" s="817">
        <v>1647664</v>
      </c>
      <c r="J552" s="816">
        <v>64243</v>
      </c>
      <c r="K552" s="818">
        <f t="shared" si="19"/>
        <v>3522157</v>
      </c>
      <c r="L552" s="816"/>
      <c r="M552" s="817">
        <v>32143</v>
      </c>
      <c r="N552" s="817">
        <v>0</v>
      </c>
      <c r="O552" s="816">
        <v>8878</v>
      </c>
      <c r="P552" s="818">
        <f t="shared" si="20"/>
        <v>41021</v>
      </c>
      <c r="Q552" s="816"/>
      <c r="R552" s="817">
        <v>1724730</v>
      </c>
      <c r="S552" s="816">
        <v>155823</v>
      </c>
      <c r="T552" s="819">
        <v>1880553</v>
      </c>
    </row>
    <row r="553" spans="1:20" x14ac:dyDescent="0.25">
      <c r="A553" s="813">
        <v>96008</v>
      </c>
      <c r="B553" s="814" t="s">
        <v>3076</v>
      </c>
      <c r="C553" s="815">
        <v>6.1884000000000002E-3</v>
      </c>
      <c r="D553" s="815">
        <v>5.9955E-3</v>
      </c>
      <c r="E553" s="816">
        <v>14681001</v>
      </c>
      <c r="F553" s="816" t="s">
        <v>185</v>
      </c>
      <c r="G553" s="817">
        <v>2264930</v>
      </c>
      <c r="H553" s="818">
        <v>2015265</v>
      </c>
      <c r="I553" s="817">
        <v>3895771</v>
      </c>
      <c r="J553" s="816">
        <v>0</v>
      </c>
      <c r="K553" s="818">
        <f t="shared" si="19"/>
        <v>8175966</v>
      </c>
      <c r="L553" s="816"/>
      <c r="M553" s="817">
        <v>76000</v>
      </c>
      <c r="N553" s="817">
        <v>0</v>
      </c>
      <c r="O553" s="816">
        <v>922165</v>
      </c>
      <c r="P553" s="818">
        <f t="shared" si="20"/>
        <v>998165</v>
      </c>
      <c r="Q553" s="816"/>
      <c r="R553" s="817">
        <v>4077989</v>
      </c>
      <c r="S553" s="816">
        <v>-381090</v>
      </c>
      <c r="T553" s="819">
        <v>3696899</v>
      </c>
    </row>
    <row r="554" spans="1:20" x14ac:dyDescent="0.25">
      <c r="A554" s="813">
        <v>96009</v>
      </c>
      <c r="B554" s="814" t="s">
        <v>3077</v>
      </c>
      <c r="C554" s="815">
        <v>3.8460000000000002E-4</v>
      </c>
      <c r="D554" s="815">
        <v>3.7609999999999998E-4</v>
      </c>
      <c r="E554" s="816">
        <v>912403</v>
      </c>
      <c r="F554" s="816" t="s">
        <v>185</v>
      </c>
      <c r="G554" s="817">
        <v>140762</v>
      </c>
      <c r="H554" s="818">
        <v>125246</v>
      </c>
      <c r="I554" s="817">
        <v>242116</v>
      </c>
      <c r="J554" s="816">
        <v>46887</v>
      </c>
      <c r="K554" s="818">
        <f t="shared" si="19"/>
        <v>555011</v>
      </c>
      <c r="L554" s="816"/>
      <c r="M554" s="817">
        <v>4723</v>
      </c>
      <c r="N554" s="817">
        <v>0</v>
      </c>
      <c r="O554" s="816">
        <v>1687</v>
      </c>
      <c r="P554" s="818">
        <f t="shared" si="20"/>
        <v>6410</v>
      </c>
      <c r="Q554" s="816"/>
      <c r="R554" s="817">
        <v>253441</v>
      </c>
      <c r="S554" s="816">
        <v>17980</v>
      </c>
      <c r="T554" s="819">
        <v>271421</v>
      </c>
    </row>
    <row r="555" spans="1:20" x14ac:dyDescent="0.25">
      <c r="A555" s="813">
        <v>96011</v>
      </c>
      <c r="B555" s="814" t="s">
        <v>3078</v>
      </c>
      <c r="C555" s="815">
        <v>6.2526600000000002E-2</v>
      </c>
      <c r="D555" s="815">
        <v>6.1150400000000001E-2</v>
      </c>
      <c r="E555" s="816">
        <v>148334479</v>
      </c>
      <c r="F555" s="816" t="s">
        <v>185</v>
      </c>
      <c r="G555" s="817">
        <v>22884485</v>
      </c>
      <c r="H555" s="818">
        <v>20361912</v>
      </c>
      <c r="I555" s="817">
        <v>39362245</v>
      </c>
      <c r="J555" s="816">
        <v>1462569</v>
      </c>
      <c r="K555" s="818">
        <f t="shared" si="19"/>
        <v>84071211</v>
      </c>
      <c r="L555" s="816"/>
      <c r="M555" s="817">
        <v>767889</v>
      </c>
      <c r="N555" s="817">
        <v>0</v>
      </c>
      <c r="O555" s="816">
        <v>32612</v>
      </c>
      <c r="P555" s="818">
        <f t="shared" si="20"/>
        <v>800501</v>
      </c>
      <c r="Q555" s="816"/>
      <c r="R555" s="817">
        <v>41203341</v>
      </c>
      <c r="S555" s="816">
        <v>436963</v>
      </c>
      <c r="T555" s="819">
        <v>41640304</v>
      </c>
    </row>
    <row r="556" spans="1:20" x14ac:dyDescent="0.25">
      <c r="A556" s="813">
        <v>96012</v>
      </c>
      <c r="B556" s="814" t="s">
        <v>3079</v>
      </c>
      <c r="C556" s="815">
        <v>2.5303000000000001E-3</v>
      </c>
      <c r="D556" s="815">
        <v>2.4417000000000002E-3</v>
      </c>
      <c r="E556" s="816">
        <v>6002737</v>
      </c>
      <c r="F556" s="816" t="s">
        <v>185</v>
      </c>
      <c r="G556" s="817">
        <v>926080</v>
      </c>
      <c r="H556" s="818">
        <v>823997</v>
      </c>
      <c r="I556" s="817">
        <v>1592895</v>
      </c>
      <c r="J556" s="816">
        <v>95917</v>
      </c>
      <c r="K556" s="818">
        <f t="shared" si="19"/>
        <v>3438889</v>
      </c>
      <c r="L556" s="816"/>
      <c r="M556" s="817">
        <v>31075</v>
      </c>
      <c r="N556" s="817">
        <v>0</v>
      </c>
      <c r="O556" s="816">
        <v>703</v>
      </c>
      <c r="P556" s="818">
        <f t="shared" si="20"/>
        <v>31778</v>
      </c>
      <c r="Q556" s="816"/>
      <c r="R556" s="817">
        <v>1667399</v>
      </c>
      <c r="S556" s="816">
        <v>49156</v>
      </c>
      <c r="T556" s="819">
        <v>1716555</v>
      </c>
    </row>
    <row r="557" spans="1:20" x14ac:dyDescent="0.25">
      <c r="A557" s="813">
        <v>96018</v>
      </c>
      <c r="B557" s="814" t="s">
        <v>3080</v>
      </c>
      <c r="C557" s="815">
        <v>4.5000000000000003E-5</v>
      </c>
      <c r="D557" s="815">
        <v>4.3600000000000003E-5</v>
      </c>
      <c r="E557" s="816">
        <v>106755</v>
      </c>
      <c r="F557" s="816" t="s">
        <v>185</v>
      </c>
      <c r="G557" s="817">
        <v>16470</v>
      </c>
      <c r="H557" s="818">
        <v>14654</v>
      </c>
      <c r="I557" s="817">
        <v>28329</v>
      </c>
      <c r="J557" s="816">
        <v>3865</v>
      </c>
      <c r="K557" s="818">
        <f t="shared" si="19"/>
        <v>63318</v>
      </c>
      <c r="L557" s="816"/>
      <c r="M557" s="817">
        <v>553</v>
      </c>
      <c r="N557" s="817">
        <v>0</v>
      </c>
      <c r="O557" s="816">
        <v>0</v>
      </c>
      <c r="P557" s="818">
        <f t="shared" si="20"/>
        <v>553</v>
      </c>
      <c r="Q557" s="816"/>
      <c r="R557" s="817">
        <v>29654</v>
      </c>
      <c r="S557" s="816">
        <v>5885</v>
      </c>
      <c r="T557" s="819">
        <v>35539</v>
      </c>
    </row>
    <row r="558" spans="1:20" x14ac:dyDescent="0.25">
      <c r="A558" s="813">
        <v>96021</v>
      </c>
      <c r="B558" s="814" t="s">
        <v>4171</v>
      </c>
      <c r="C558" s="815">
        <v>7.3760000000000004E-4</v>
      </c>
      <c r="D558" s="815">
        <v>7.2090000000000001E-4</v>
      </c>
      <c r="E558" s="816">
        <v>1749839</v>
      </c>
      <c r="F558" s="816" t="s">
        <v>185</v>
      </c>
      <c r="G558" s="817">
        <v>269959</v>
      </c>
      <c r="H558" s="818">
        <v>240200</v>
      </c>
      <c r="I558" s="817">
        <v>464340</v>
      </c>
      <c r="J558" s="816">
        <v>15203</v>
      </c>
      <c r="K558" s="818">
        <f t="shared" si="19"/>
        <v>989702</v>
      </c>
      <c r="L558" s="816"/>
      <c r="M558" s="817">
        <v>9058</v>
      </c>
      <c r="N558" s="817">
        <v>0</v>
      </c>
      <c r="O558" s="816">
        <v>87034</v>
      </c>
      <c r="P558" s="818">
        <f t="shared" si="20"/>
        <v>96092</v>
      </c>
      <c r="Q558" s="816"/>
      <c r="R558" s="817">
        <v>486058</v>
      </c>
      <c r="S558" s="816">
        <v>-13480</v>
      </c>
      <c r="T558" s="819">
        <v>472578</v>
      </c>
    </row>
    <row r="559" spans="1:20" x14ac:dyDescent="0.25">
      <c r="A559" s="813">
        <v>96031</v>
      </c>
      <c r="B559" s="814" t="s">
        <v>4172</v>
      </c>
      <c r="C559" s="815">
        <v>8.5170000000000005E-4</v>
      </c>
      <c r="D559" s="815">
        <v>8.2580000000000001E-4</v>
      </c>
      <c r="E559" s="816">
        <v>2020524</v>
      </c>
      <c r="F559" s="816" t="s">
        <v>185</v>
      </c>
      <c r="G559" s="817">
        <v>311719</v>
      </c>
      <c r="H559" s="818">
        <v>277358</v>
      </c>
      <c r="I559" s="817">
        <v>536169</v>
      </c>
      <c r="J559" s="816">
        <v>0</v>
      </c>
      <c r="K559" s="818">
        <f t="shared" si="19"/>
        <v>1125246</v>
      </c>
      <c r="L559" s="816"/>
      <c r="M559" s="817">
        <v>10460</v>
      </c>
      <c r="N559" s="817">
        <v>0</v>
      </c>
      <c r="O559" s="816">
        <v>145457</v>
      </c>
      <c r="P559" s="818">
        <f t="shared" si="20"/>
        <v>155917</v>
      </c>
      <c r="Q559" s="816"/>
      <c r="R559" s="817">
        <v>561247</v>
      </c>
      <c r="S559" s="816">
        <v>-84382</v>
      </c>
      <c r="T559" s="819">
        <v>476865</v>
      </c>
    </row>
    <row r="560" spans="1:20" x14ac:dyDescent="0.25">
      <c r="A560" s="813">
        <v>96041</v>
      </c>
      <c r="B560" s="814" t="s">
        <v>4173</v>
      </c>
      <c r="C560" s="815">
        <v>1.7003999999999999E-3</v>
      </c>
      <c r="D560" s="815">
        <v>1.7361E-3</v>
      </c>
      <c r="E560" s="816">
        <v>4033930</v>
      </c>
      <c r="F560" s="816" t="s">
        <v>185</v>
      </c>
      <c r="G560" s="817">
        <v>622340</v>
      </c>
      <c r="H560" s="818">
        <v>553738</v>
      </c>
      <c r="I560" s="817">
        <v>1070449</v>
      </c>
      <c r="J560" s="816">
        <v>0</v>
      </c>
      <c r="K560" s="818">
        <f t="shared" si="19"/>
        <v>2246527</v>
      </c>
      <c r="L560" s="816"/>
      <c r="M560" s="817">
        <v>20883</v>
      </c>
      <c r="N560" s="817">
        <v>0</v>
      </c>
      <c r="O560" s="816">
        <v>162463</v>
      </c>
      <c r="P560" s="818">
        <f t="shared" si="20"/>
        <v>183346</v>
      </c>
      <c r="Q560" s="816"/>
      <c r="R560" s="817">
        <v>1120518</v>
      </c>
      <c r="S560" s="816">
        <v>-80644</v>
      </c>
      <c r="T560" s="819">
        <v>1039874</v>
      </c>
    </row>
    <row r="561" spans="1:20" x14ac:dyDescent="0.25">
      <c r="A561" s="813">
        <v>96051</v>
      </c>
      <c r="B561" s="814" t="s">
        <v>4174</v>
      </c>
      <c r="C561" s="815">
        <v>1.042E-3</v>
      </c>
      <c r="D561" s="815">
        <v>1.0062000000000001E-3</v>
      </c>
      <c r="E561" s="816">
        <v>2471980</v>
      </c>
      <c r="F561" s="816" t="s">
        <v>185</v>
      </c>
      <c r="G561" s="817">
        <v>381368</v>
      </c>
      <c r="H561" s="818">
        <v>339329</v>
      </c>
      <c r="I561" s="817">
        <v>655968</v>
      </c>
      <c r="J561" s="816">
        <v>0</v>
      </c>
      <c r="K561" s="818">
        <f t="shared" si="19"/>
        <v>1376665</v>
      </c>
      <c r="L561" s="816"/>
      <c r="M561" s="817">
        <v>12797</v>
      </c>
      <c r="N561" s="817">
        <v>0</v>
      </c>
      <c r="O561" s="816">
        <v>89308</v>
      </c>
      <c r="P561" s="818">
        <f t="shared" si="20"/>
        <v>102105</v>
      </c>
      <c r="Q561" s="816"/>
      <c r="R561" s="817">
        <v>686650</v>
      </c>
      <c r="S561" s="816">
        <v>-50724</v>
      </c>
      <c r="T561" s="819">
        <v>635926</v>
      </c>
    </row>
    <row r="562" spans="1:20" x14ac:dyDescent="0.25">
      <c r="A562" s="813">
        <v>96061</v>
      </c>
      <c r="B562" s="814" t="s">
        <v>4175</v>
      </c>
      <c r="C562" s="815">
        <v>3.1559999999999997E-4</v>
      </c>
      <c r="D562" s="815">
        <v>3.3950000000000001E-4</v>
      </c>
      <c r="E562" s="816">
        <v>748711</v>
      </c>
      <c r="F562" s="816" t="s">
        <v>185</v>
      </c>
      <c r="G562" s="817">
        <v>115508</v>
      </c>
      <c r="H562" s="818">
        <v>102775</v>
      </c>
      <c r="I562" s="817">
        <v>198679</v>
      </c>
      <c r="J562" s="816">
        <v>15967</v>
      </c>
      <c r="K562" s="818">
        <f t="shared" si="19"/>
        <v>432929</v>
      </c>
      <c r="L562" s="816"/>
      <c r="M562" s="817">
        <v>3876</v>
      </c>
      <c r="N562" s="817">
        <v>0</v>
      </c>
      <c r="O562" s="816">
        <v>13815</v>
      </c>
      <c r="P562" s="818">
        <f t="shared" si="20"/>
        <v>17691</v>
      </c>
      <c r="Q562" s="816"/>
      <c r="R562" s="817">
        <v>207972</v>
      </c>
      <c r="S562" s="816">
        <v>-246</v>
      </c>
      <c r="T562" s="819">
        <v>207726</v>
      </c>
    </row>
    <row r="563" spans="1:20" x14ac:dyDescent="0.25">
      <c r="A563" s="813">
        <v>96071</v>
      </c>
      <c r="B563" s="814" t="s">
        <v>4176</v>
      </c>
      <c r="C563" s="815">
        <v>1.1751000000000001E-3</v>
      </c>
      <c r="D563" s="815">
        <v>1.1367E-3</v>
      </c>
      <c r="E563" s="816">
        <v>2787739</v>
      </c>
      <c r="F563" s="816" t="s">
        <v>185</v>
      </c>
      <c r="G563" s="817">
        <v>430082</v>
      </c>
      <c r="H563" s="818">
        <v>382674</v>
      </c>
      <c r="I563" s="817">
        <v>739758</v>
      </c>
      <c r="J563" s="816">
        <v>90687</v>
      </c>
      <c r="K563" s="818">
        <f t="shared" si="19"/>
        <v>1643201</v>
      </c>
      <c r="L563" s="816"/>
      <c r="M563" s="817">
        <v>14431</v>
      </c>
      <c r="N563" s="817">
        <v>0</v>
      </c>
      <c r="O563" s="816">
        <v>39863</v>
      </c>
      <c r="P563" s="818">
        <f t="shared" si="20"/>
        <v>54294</v>
      </c>
      <c r="Q563" s="816"/>
      <c r="R563" s="817">
        <v>774359</v>
      </c>
      <c r="S563" s="816">
        <v>10914</v>
      </c>
      <c r="T563" s="819">
        <v>785273</v>
      </c>
    </row>
    <row r="564" spans="1:20" x14ac:dyDescent="0.25">
      <c r="A564" s="813">
        <v>96081</v>
      </c>
      <c r="B564" s="814" t="s">
        <v>4177</v>
      </c>
      <c r="C564" s="815">
        <v>5.4920000000000001E-4</v>
      </c>
      <c r="D564" s="815">
        <v>5.0900000000000001E-4</v>
      </c>
      <c r="E564" s="816">
        <v>1302890</v>
      </c>
      <c r="F564" s="816" t="s">
        <v>185</v>
      </c>
      <c r="G564" s="817">
        <v>201005</v>
      </c>
      <c r="H564" s="818">
        <v>178848</v>
      </c>
      <c r="I564" s="817">
        <v>345737</v>
      </c>
      <c r="J564" s="816">
        <v>10068</v>
      </c>
      <c r="K564" s="818">
        <f t="shared" si="19"/>
        <v>735658</v>
      </c>
      <c r="L564" s="816"/>
      <c r="M564" s="817">
        <v>6745</v>
      </c>
      <c r="N564" s="817">
        <v>0</v>
      </c>
      <c r="O564" s="816">
        <v>1853</v>
      </c>
      <c r="P564" s="818">
        <f t="shared" si="20"/>
        <v>8598</v>
      </c>
      <c r="Q564" s="816"/>
      <c r="R564" s="817">
        <v>361908</v>
      </c>
      <c r="S564" s="816">
        <v>6768</v>
      </c>
      <c r="T564" s="819">
        <v>368676</v>
      </c>
    </row>
    <row r="565" spans="1:20" x14ac:dyDescent="0.25">
      <c r="A565" s="813">
        <v>96101</v>
      </c>
      <c r="B565" s="814" t="s">
        <v>3088</v>
      </c>
      <c r="C565" s="815">
        <v>7.9739999999999998E-4</v>
      </c>
      <c r="D565" s="815">
        <v>7.6749999999999995E-4</v>
      </c>
      <c r="E565" s="816">
        <v>1891706</v>
      </c>
      <c r="F565" s="816" t="s">
        <v>185</v>
      </c>
      <c r="G565" s="817">
        <v>291845</v>
      </c>
      <c r="H565" s="818">
        <v>259675</v>
      </c>
      <c r="I565" s="817">
        <v>501986</v>
      </c>
      <c r="J565" s="816">
        <v>54889</v>
      </c>
      <c r="K565" s="818">
        <f t="shared" si="19"/>
        <v>1108395</v>
      </c>
      <c r="L565" s="816"/>
      <c r="M565" s="817">
        <v>9793</v>
      </c>
      <c r="N565" s="817">
        <v>0</v>
      </c>
      <c r="O565" s="816">
        <v>2275</v>
      </c>
      <c r="P565" s="818">
        <f t="shared" si="20"/>
        <v>12068</v>
      </c>
      <c r="Q565" s="816"/>
      <c r="R565" s="817">
        <v>525465</v>
      </c>
      <c r="S565" s="816">
        <v>25672</v>
      </c>
      <c r="T565" s="819">
        <v>551137</v>
      </c>
    </row>
    <row r="566" spans="1:20" x14ac:dyDescent="0.25">
      <c r="A566" s="813">
        <v>96102</v>
      </c>
      <c r="B566" s="814" t="s">
        <v>3089</v>
      </c>
      <c r="C566" s="815">
        <v>1.2999999999999999E-5</v>
      </c>
      <c r="D566" s="815">
        <v>1.36E-5</v>
      </c>
      <c r="E566" s="816">
        <v>30840</v>
      </c>
      <c r="F566" s="816" t="s">
        <v>185</v>
      </c>
      <c r="G566" s="817">
        <v>4758</v>
      </c>
      <c r="H566" s="818">
        <v>4233</v>
      </c>
      <c r="I566" s="817">
        <v>8184</v>
      </c>
      <c r="J566" s="816">
        <v>0</v>
      </c>
      <c r="K566" s="818">
        <f t="shared" si="19"/>
        <v>17175</v>
      </c>
      <c r="L566" s="816"/>
      <c r="M566" s="817">
        <v>160</v>
      </c>
      <c r="N566" s="817">
        <v>0</v>
      </c>
      <c r="O566" s="816">
        <v>3870</v>
      </c>
      <c r="P566" s="818">
        <f t="shared" si="20"/>
        <v>4030</v>
      </c>
      <c r="Q566" s="816"/>
      <c r="R566" s="817">
        <v>8567</v>
      </c>
      <c r="S566" s="816">
        <v>-1972</v>
      </c>
      <c r="T566" s="819">
        <v>6595</v>
      </c>
    </row>
    <row r="567" spans="1:20" x14ac:dyDescent="0.25">
      <c r="A567" s="813">
        <v>96111</v>
      </c>
      <c r="B567" s="814" t="s">
        <v>4178</v>
      </c>
      <c r="C567" s="815">
        <v>1.47E-4</v>
      </c>
      <c r="D567" s="815">
        <v>1.5349999999999999E-4</v>
      </c>
      <c r="E567" s="816">
        <v>348734</v>
      </c>
      <c r="F567" s="816" t="s">
        <v>185</v>
      </c>
      <c r="G567" s="817">
        <v>53801</v>
      </c>
      <c r="H567" s="818">
        <v>47871</v>
      </c>
      <c r="I567" s="817">
        <v>92541</v>
      </c>
      <c r="J567" s="816">
        <v>11049</v>
      </c>
      <c r="K567" s="818">
        <f t="shared" si="19"/>
        <v>205262</v>
      </c>
      <c r="L567" s="816"/>
      <c r="M567" s="817">
        <v>1805</v>
      </c>
      <c r="N567" s="817">
        <v>0</v>
      </c>
      <c r="O567" s="816">
        <v>1261</v>
      </c>
      <c r="P567" s="818">
        <f t="shared" si="20"/>
        <v>3066</v>
      </c>
      <c r="Q567" s="816"/>
      <c r="R567" s="817">
        <v>96869</v>
      </c>
      <c r="S567" s="816">
        <v>8891</v>
      </c>
      <c r="T567" s="819">
        <v>105760</v>
      </c>
    </row>
    <row r="568" spans="1:20" x14ac:dyDescent="0.25">
      <c r="A568" s="813">
        <v>96121</v>
      </c>
      <c r="B568" s="814" t="s">
        <v>4179</v>
      </c>
      <c r="C568" s="815">
        <v>2.1699999999999999E-5</v>
      </c>
      <c r="D568" s="815">
        <v>2.2500000000000001E-5</v>
      </c>
      <c r="E568" s="816">
        <v>51480</v>
      </c>
      <c r="F568" s="816" t="s">
        <v>185</v>
      </c>
      <c r="G568" s="817">
        <v>7942</v>
      </c>
      <c r="H568" s="818">
        <v>7067</v>
      </c>
      <c r="I568" s="817">
        <v>13661</v>
      </c>
      <c r="J568" s="816">
        <v>258</v>
      </c>
      <c r="K568" s="818">
        <f t="shared" si="19"/>
        <v>28928</v>
      </c>
      <c r="L568" s="816"/>
      <c r="M568" s="817">
        <v>266</v>
      </c>
      <c r="N568" s="817">
        <v>0</v>
      </c>
      <c r="O568" s="816">
        <v>2114</v>
      </c>
      <c r="P568" s="818">
        <f t="shared" si="20"/>
        <v>2380</v>
      </c>
      <c r="Q568" s="816"/>
      <c r="R568" s="817">
        <v>14300</v>
      </c>
      <c r="S568" s="816">
        <v>-1295</v>
      </c>
      <c r="T568" s="819">
        <v>13005</v>
      </c>
    </row>
    <row r="569" spans="1:20" x14ac:dyDescent="0.25">
      <c r="A569" s="813">
        <v>96201</v>
      </c>
      <c r="B569" s="814" t="s">
        <v>3092</v>
      </c>
      <c r="C569" s="815">
        <v>1.1052E-3</v>
      </c>
      <c r="D569" s="815">
        <v>1.1788E-3</v>
      </c>
      <c r="E569" s="816">
        <v>2621912</v>
      </c>
      <c r="F569" s="816" t="s">
        <v>185</v>
      </c>
      <c r="G569" s="817">
        <v>404499</v>
      </c>
      <c r="H569" s="818">
        <v>359910</v>
      </c>
      <c r="I569" s="817">
        <v>695754</v>
      </c>
      <c r="J569" s="816">
        <v>0</v>
      </c>
      <c r="K569" s="818">
        <f t="shared" si="19"/>
        <v>1460163</v>
      </c>
      <c r="L569" s="816"/>
      <c r="M569" s="817">
        <v>13573</v>
      </c>
      <c r="N569" s="817">
        <v>0</v>
      </c>
      <c r="O569" s="816">
        <v>100519</v>
      </c>
      <c r="P569" s="818">
        <f t="shared" si="20"/>
        <v>114092</v>
      </c>
      <c r="Q569" s="816"/>
      <c r="R569" s="817">
        <v>728297</v>
      </c>
      <c r="S569" s="816">
        <v>-35895</v>
      </c>
      <c r="T569" s="819">
        <v>692402</v>
      </c>
    </row>
    <row r="570" spans="1:20" x14ac:dyDescent="0.25">
      <c r="A570" s="813">
        <v>96204</v>
      </c>
      <c r="B570" s="814" t="s">
        <v>3093</v>
      </c>
      <c r="C570" s="815">
        <v>1.42E-5</v>
      </c>
      <c r="D570" s="815">
        <v>1.5099999999999999E-5</v>
      </c>
      <c r="E570" s="816">
        <v>33687</v>
      </c>
      <c r="F570" s="816" t="s">
        <v>185</v>
      </c>
      <c r="G570" s="817">
        <v>5197</v>
      </c>
      <c r="H570" s="818">
        <v>4624</v>
      </c>
      <c r="I570" s="817">
        <v>8939</v>
      </c>
      <c r="J570" s="816">
        <v>3075</v>
      </c>
      <c r="K570" s="818">
        <f t="shared" si="19"/>
        <v>21835</v>
      </c>
      <c r="L570" s="816"/>
      <c r="M570" s="817">
        <v>174</v>
      </c>
      <c r="N570" s="817">
        <v>0</v>
      </c>
      <c r="O570" s="816">
        <v>0</v>
      </c>
      <c r="P570" s="818">
        <f t="shared" si="20"/>
        <v>174</v>
      </c>
      <c r="Q570" s="816"/>
      <c r="R570" s="817">
        <v>9357</v>
      </c>
      <c r="S570" s="816">
        <v>1951</v>
      </c>
      <c r="T570" s="819">
        <v>11308</v>
      </c>
    </row>
    <row r="571" spans="1:20" x14ac:dyDescent="0.25">
      <c r="A571" s="813">
        <v>96211</v>
      </c>
      <c r="B571" s="814" t="s">
        <v>4180</v>
      </c>
      <c r="C571" s="815">
        <v>2.8099999999999999E-5</v>
      </c>
      <c r="D571" s="815">
        <v>2.62E-5</v>
      </c>
      <c r="E571" s="816">
        <v>66663</v>
      </c>
      <c r="F571" s="816" t="s">
        <v>185</v>
      </c>
      <c r="G571" s="817">
        <v>10284</v>
      </c>
      <c r="H571" s="818">
        <v>9151</v>
      </c>
      <c r="I571" s="817">
        <v>17690</v>
      </c>
      <c r="J571" s="816">
        <v>7064</v>
      </c>
      <c r="K571" s="818">
        <f t="shared" si="19"/>
        <v>44189</v>
      </c>
      <c r="L571" s="816"/>
      <c r="M571" s="817">
        <v>345</v>
      </c>
      <c r="N571" s="817">
        <v>0</v>
      </c>
      <c r="O571" s="816">
        <v>0</v>
      </c>
      <c r="P571" s="818">
        <f t="shared" si="20"/>
        <v>345</v>
      </c>
      <c r="Q571" s="816"/>
      <c r="R571" s="817">
        <v>18517</v>
      </c>
      <c r="S571" s="816">
        <v>-1535</v>
      </c>
      <c r="T571" s="819">
        <v>16982</v>
      </c>
    </row>
    <row r="572" spans="1:20" x14ac:dyDescent="0.25">
      <c r="A572" s="813">
        <v>96221</v>
      </c>
      <c r="B572" s="814" t="s">
        <v>4181</v>
      </c>
      <c r="C572" s="815">
        <v>2.2809999999999999E-4</v>
      </c>
      <c r="D572" s="815">
        <v>2.3350000000000001E-4</v>
      </c>
      <c r="E572" s="816">
        <v>541131</v>
      </c>
      <c r="F572" s="816" t="s">
        <v>185</v>
      </c>
      <c r="G572" s="817">
        <v>83484</v>
      </c>
      <c r="H572" s="818">
        <v>74281</v>
      </c>
      <c r="I572" s="817">
        <v>143595</v>
      </c>
      <c r="J572" s="816">
        <v>0</v>
      </c>
      <c r="K572" s="818">
        <f t="shared" si="19"/>
        <v>301360</v>
      </c>
      <c r="L572" s="816"/>
      <c r="M572" s="817">
        <v>2801</v>
      </c>
      <c r="N572" s="817">
        <v>0</v>
      </c>
      <c r="O572" s="816">
        <v>17587</v>
      </c>
      <c r="P572" s="818">
        <f t="shared" si="20"/>
        <v>20388</v>
      </c>
      <c r="Q572" s="816"/>
      <c r="R572" s="817">
        <v>150312</v>
      </c>
      <c r="S572" s="816">
        <v>-5474</v>
      </c>
      <c r="T572" s="819">
        <v>144838</v>
      </c>
    </row>
    <row r="573" spans="1:20" x14ac:dyDescent="0.25">
      <c r="A573" s="813">
        <v>96231</v>
      </c>
      <c r="B573" s="814" t="s">
        <v>4182</v>
      </c>
      <c r="C573" s="815">
        <v>1.2540000000000001E-4</v>
      </c>
      <c r="D573" s="815">
        <v>1.3339999999999999E-4</v>
      </c>
      <c r="E573" s="816">
        <v>297492</v>
      </c>
      <c r="F573" s="816" t="s">
        <v>185</v>
      </c>
      <c r="G573" s="817">
        <v>45896</v>
      </c>
      <c r="H573" s="818">
        <v>40837</v>
      </c>
      <c r="I573" s="817">
        <v>78943</v>
      </c>
      <c r="J573" s="816">
        <v>1915</v>
      </c>
      <c r="K573" s="818">
        <f t="shared" si="19"/>
        <v>167591</v>
      </c>
      <c r="L573" s="816"/>
      <c r="M573" s="817">
        <v>1540</v>
      </c>
      <c r="N573" s="817">
        <v>0</v>
      </c>
      <c r="O573" s="816">
        <v>22322</v>
      </c>
      <c r="P573" s="818">
        <f t="shared" si="20"/>
        <v>23862</v>
      </c>
      <c r="Q573" s="816"/>
      <c r="R573" s="817">
        <v>82635</v>
      </c>
      <c r="S573" s="816">
        <v>-10839</v>
      </c>
      <c r="T573" s="819">
        <v>71796</v>
      </c>
    </row>
    <row r="574" spans="1:20" x14ac:dyDescent="0.25">
      <c r="A574" s="813">
        <v>96241</v>
      </c>
      <c r="B574" s="814" t="s">
        <v>4183</v>
      </c>
      <c r="C574" s="815">
        <v>5.4299999999999998E-5</v>
      </c>
      <c r="D574" s="815">
        <v>4.4700000000000002E-5</v>
      </c>
      <c r="E574" s="816">
        <v>128818</v>
      </c>
      <c r="F574" s="816" t="s">
        <v>185</v>
      </c>
      <c r="G574" s="817">
        <v>19874</v>
      </c>
      <c r="H574" s="818">
        <v>17683</v>
      </c>
      <c r="I574" s="817">
        <v>34183</v>
      </c>
      <c r="J574" s="816">
        <v>5386</v>
      </c>
      <c r="K574" s="818">
        <f t="shared" si="19"/>
        <v>77126</v>
      </c>
      <c r="L574" s="816"/>
      <c r="M574" s="817">
        <v>667</v>
      </c>
      <c r="N574" s="817">
        <v>0</v>
      </c>
      <c r="O574" s="816">
        <v>2843</v>
      </c>
      <c r="P574" s="818">
        <f t="shared" si="20"/>
        <v>3510</v>
      </c>
      <c r="Q574" s="816"/>
      <c r="R574" s="817">
        <v>35782</v>
      </c>
      <c r="S574" s="816">
        <v>3441</v>
      </c>
      <c r="T574" s="819">
        <v>39223</v>
      </c>
    </row>
    <row r="575" spans="1:20" x14ac:dyDescent="0.25">
      <c r="A575" s="813">
        <v>96251</v>
      </c>
      <c r="B575" s="814" t="s">
        <v>4184</v>
      </c>
      <c r="C575" s="815">
        <v>1.011E-4</v>
      </c>
      <c r="D575" s="815">
        <v>9.3999999999999994E-5</v>
      </c>
      <c r="E575" s="816">
        <v>239844</v>
      </c>
      <c r="F575" s="816" t="s">
        <v>185</v>
      </c>
      <c r="G575" s="817">
        <v>37002</v>
      </c>
      <c r="H575" s="818">
        <v>32924</v>
      </c>
      <c r="I575" s="817">
        <v>63645</v>
      </c>
      <c r="J575" s="816">
        <v>4649</v>
      </c>
      <c r="K575" s="818">
        <f t="shared" si="19"/>
        <v>138220</v>
      </c>
      <c r="L575" s="816"/>
      <c r="M575" s="817">
        <v>1242</v>
      </c>
      <c r="N575" s="817">
        <v>0</v>
      </c>
      <c r="O575" s="816">
        <v>10419</v>
      </c>
      <c r="P575" s="818">
        <f t="shared" si="20"/>
        <v>11661</v>
      </c>
      <c r="Q575" s="816"/>
      <c r="R575" s="817">
        <v>66622</v>
      </c>
      <c r="S575" s="816">
        <v>-7630</v>
      </c>
      <c r="T575" s="819">
        <v>58992</v>
      </c>
    </row>
    <row r="576" spans="1:20" x14ac:dyDescent="0.25">
      <c r="A576" s="813">
        <v>96301</v>
      </c>
      <c r="B576" s="814" t="s">
        <v>3099</v>
      </c>
      <c r="C576" s="815">
        <v>4.4197999999999998E-3</v>
      </c>
      <c r="D576" s="815">
        <v>4.3712999999999998E-3</v>
      </c>
      <c r="E576" s="816">
        <v>10485277</v>
      </c>
      <c r="F576" s="816" t="s">
        <v>185</v>
      </c>
      <c r="G576" s="817">
        <v>1617629</v>
      </c>
      <c r="H576" s="818">
        <v>1439316</v>
      </c>
      <c r="I576" s="817">
        <v>2782388</v>
      </c>
      <c r="J576" s="816">
        <v>27387</v>
      </c>
      <c r="K576" s="818">
        <f t="shared" si="19"/>
        <v>5866720</v>
      </c>
      <c r="L576" s="816"/>
      <c r="M576" s="817">
        <v>54280</v>
      </c>
      <c r="N576" s="817">
        <v>0</v>
      </c>
      <c r="O576" s="816">
        <v>127331</v>
      </c>
      <c r="P576" s="818">
        <f t="shared" si="20"/>
        <v>181611</v>
      </c>
      <c r="Q576" s="816"/>
      <c r="R576" s="817">
        <v>2912529</v>
      </c>
      <c r="S576" s="816">
        <v>-34571</v>
      </c>
      <c r="T576" s="819">
        <v>2877958</v>
      </c>
    </row>
    <row r="577" spans="1:20" x14ac:dyDescent="0.25">
      <c r="A577" s="813">
        <v>96302</v>
      </c>
      <c r="B577" s="814" t="s">
        <v>4185</v>
      </c>
      <c r="C577" s="815">
        <v>2.3499999999999999E-5</v>
      </c>
      <c r="D577" s="815">
        <v>2.5199999999999999E-5</v>
      </c>
      <c r="E577" s="816">
        <v>55750</v>
      </c>
      <c r="F577" s="816" t="s">
        <v>185</v>
      </c>
      <c r="G577" s="817">
        <v>8601</v>
      </c>
      <c r="H577" s="818">
        <v>7653</v>
      </c>
      <c r="I577" s="817">
        <v>14794</v>
      </c>
      <c r="J577" s="816">
        <v>4772</v>
      </c>
      <c r="K577" s="818">
        <f t="shared" si="19"/>
        <v>35820</v>
      </c>
      <c r="L577" s="816"/>
      <c r="M577" s="817">
        <v>289</v>
      </c>
      <c r="N577" s="817">
        <v>0</v>
      </c>
      <c r="O577" s="816">
        <v>746</v>
      </c>
      <c r="P577" s="818">
        <f t="shared" si="20"/>
        <v>1035</v>
      </c>
      <c r="Q577" s="816"/>
      <c r="R577" s="817">
        <v>15486</v>
      </c>
      <c r="S577" s="816">
        <v>2441</v>
      </c>
      <c r="T577" s="819">
        <v>17927</v>
      </c>
    </row>
    <row r="578" spans="1:20" x14ac:dyDescent="0.25">
      <c r="A578" s="813">
        <v>96304</v>
      </c>
      <c r="B578" s="814" t="s">
        <v>3101</v>
      </c>
      <c r="C578" s="815">
        <v>4.7500000000000003E-5</v>
      </c>
      <c r="D578" s="815">
        <v>4.5500000000000001E-5</v>
      </c>
      <c r="E578" s="816">
        <v>112686</v>
      </c>
      <c r="F578" s="816" t="s">
        <v>185</v>
      </c>
      <c r="G578" s="817">
        <v>17385</v>
      </c>
      <c r="H578" s="818">
        <v>15469</v>
      </c>
      <c r="I578" s="817">
        <v>29903</v>
      </c>
      <c r="J578" s="816">
        <v>9034</v>
      </c>
      <c r="K578" s="818">
        <f t="shared" si="19"/>
        <v>71791</v>
      </c>
      <c r="L578" s="816"/>
      <c r="M578" s="817">
        <v>583</v>
      </c>
      <c r="N578" s="817">
        <v>0</v>
      </c>
      <c r="O578" s="816">
        <v>733</v>
      </c>
      <c r="P578" s="818">
        <f t="shared" si="20"/>
        <v>1316</v>
      </c>
      <c r="Q578" s="816"/>
      <c r="R578" s="817">
        <v>31301</v>
      </c>
      <c r="S578" s="816">
        <v>3589</v>
      </c>
      <c r="T578" s="819">
        <v>34890</v>
      </c>
    </row>
    <row r="579" spans="1:20" x14ac:dyDescent="0.25">
      <c r="A579" s="813">
        <v>96305</v>
      </c>
      <c r="B579" s="814" t="s">
        <v>3102</v>
      </c>
      <c r="C579" s="815">
        <v>4.1100000000000003E-5</v>
      </c>
      <c r="D579" s="815">
        <v>4.5500000000000001E-5</v>
      </c>
      <c r="E579" s="816">
        <v>97503</v>
      </c>
      <c r="F579" s="816" t="s">
        <v>185</v>
      </c>
      <c r="G579" s="817">
        <v>15042</v>
      </c>
      <c r="H579" s="818">
        <v>13384</v>
      </c>
      <c r="I579" s="817">
        <v>25874</v>
      </c>
      <c r="J579" s="816">
        <v>16290</v>
      </c>
      <c r="K579" s="818">
        <f t="shared" si="19"/>
        <v>70590</v>
      </c>
      <c r="L579" s="816"/>
      <c r="M579" s="817">
        <v>505</v>
      </c>
      <c r="N579" s="817">
        <v>0</v>
      </c>
      <c r="O579" s="816">
        <v>0</v>
      </c>
      <c r="P579" s="818">
        <f t="shared" si="20"/>
        <v>505</v>
      </c>
      <c r="Q579" s="816"/>
      <c r="R579" s="817">
        <v>27084</v>
      </c>
      <c r="S579" s="816">
        <v>6681</v>
      </c>
      <c r="T579" s="819">
        <v>33765</v>
      </c>
    </row>
    <row r="580" spans="1:20" x14ac:dyDescent="0.25">
      <c r="A580" s="813">
        <v>96310</v>
      </c>
      <c r="B580" s="814" t="s">
        <v>3103</v>
      </c>
      <c r="C580" s="815">
        <v>5.02E-5</v>
      </c>
      <c r="D580" s="815">
        <v>6.1099999999999994E-5</v>
      </c>
      <c r="E580" s="816">
        <v>119092</v>
      </c>
      <c r="F580" s="816" t="s">
        <v>185</v>
      </c>
      <c r="G580" s="817">
        <v>18373</v>
      </c>
      <c r="H580" s="818">
        <v>16347</v>
      </c>
      <c r="I580" s="817">
        <v>31602</v>
      </c>
      <c r="J580" s="816">
        <v>5953</v>
      </c>
      <c r="K580" s="818">
        <f t="shared" si="19"/>
        <v>72275</v>
      </c>
      <c r="L580" s="816"/>
      <c r="M580" s="817">
        <v>617</v>
      </c>
      <c r="N580" s="817">
        <v>0</v>
      </c>
      <c r="O580" s="816">
        <v>5950</v>
      </c>
      <c r="P580" s="818">
        <f t="shared" si="20"/>
        <v>6567</v>
      </c>
      <c r="Q580" s="816"/>
      <c r="R580" s="817">
        <v>33080</v>
      </c>
      <c r="S580" s="816">
        <v>2495</v>
      </c>
      <c r="T580" s="819">
        <v>35575</v>
      </c>
    </row>
    <row r="581" spans="1:20" x14ac:dyDescent="0.25">
      <c r="A581" s="813">
        <v>96311</v>
      </c>
      <c r="B581" s="814" t="s">
        <v>4186</v>
      </c>
      <c r="C581" s="815">
        <v>1.3328000000000001E-3</v>
      </c>
      <c r="D581" s="815">
        <v>1.3113000000000001E-3</v>
      </c>
      <c r="E581" s="816">
        <v>3161857</v>
      </c>
      <c r="F581" s="816" t="s">
        <v>185</v>
      </c>
      <c r="G581" s="817">
        <v>487799</v>
      </c>
      <c r="H581" s="818">
        <v>434029</v>
      </c>
      <c r="I581" s="817">
        <v>839035</v>
      </c>
      <c r="J581" s="816">
        <v>0</v>
      </c>
      <c r="K581" s="818">
        <f t="shared" si="19"/>
        <v>1760863</v>
      </c>
      <c r="L581" s="816"/>
      <c r="M581" s="817">
        <v>16368</v>
      </c>
      <c r="N581" s="817">
        <v>0</v>
      </c>
      <c r="O581" s="816">
        <v>112780</v>
      </c>
      <c r="P581" s="818">
        <f t="shared" si="20"/>
        <v>129148</v>
      </c>
      <c r="Q581" s="816"/>
      <c r="R581" s="817">
        <v>878279</v>
      </c>
      <c r="S581" s="816">
        <v>-38768</v>
      </c>
      <c r="T581" s="819">
        <v>839511</v>
      </c>
    </row>
    <row r="582" spans="1:20" x14ac:dyDescent="0.25">
      <c r="A582" s="813">
        <v>96312</v>
      </c>
      <c r="B582" s="814" t="s">
        <v>4187</v>
      </c>
      <c r="C582" s="815">
        <v>6.1E-6</v>
      </c>
      <c r="D582" s="815">
        <v>1.5999999999999999E-5</v>
      </c>
      <c r="E582" s="816">
        <v>14471</v>
      </c>
      <c r="F582" s="816" t="s">
        <v>185</v>
      </c>
      <c r="G582" s="817">
        <v>2233</v>
      </c>
      <c r="H582" s="818">
        <v>1987</v>
      </c>
      <c r="I582" s="817">
        <v>3840</v>
      </c>
      <c r="J582" s="816">
        <v>5741</v>
      </c>
      <c r="K582" s="818">
        <f t="shared" si="19"/>
        <v>13801</v>
      </c>
      <c r="L582" s="816"/>
      <c r="M582" s="817">
        <v>75</v>
      </c>
      <c r="N582" s="817">
        <v>0</v>
      </c>
      <c r="O582" s="816">
        <v>7008</v>
      </c>
      <c r="P582" s="818">
        <f t="shared" si="20"/>
        <v>7083</v>
      </c>
      <c r="Q582" s="816"/>
      <c r="R582" s="817">
        <v>4020</v>
      </c>
      <c r="S582" s="816">
        <v>-1283</v>
      </c>
      <c r="T582" s="819">
        <v>2737</v>
      </c>
    </row>
    <row r="583" spans="1:20" x14ac:dyDescent="0.25">
      <c r="A583" s="813">
        <v>96318</v>
      </c>
      <c r="B583" s="814" t="s">
        <v>3106</v>
      </c>
      <c r="C583" s="815">
        <v>2.2098999999999999E-3</v>
      </c>
      <c r="D583" s="815">
        <v>2.1684999999999999E-3</v>
      </c>
      <c r="E583" s="816">
        <v>5242639</v>
      </c>
      <c r="F583" s="816" t="s">
        <v>185</v>
      </c>
      <c r="G583" s="817">
        <v>808815</v>
      </c>
      <c r="H583" s="818">
        <v>719659</v>
      </c>
      <c r="I583" s="817">
        <v>1391194</v>
      </c>
      <c r="J583" s="816">
        <v>5150573</v>
      </c>
      <c r="K583" s="818">
        <f t="shared" si="19"/>
        <v>8070241</v>
      </c>
      <c r="L583" s="816"/>
      <c r="M583" s="817">
        <v>27140</v>
      </c>
      <c r="N583" s="817">
        <v>0</v>
      </c>
      <c r="O583" s="816">
        <v>0</v>
      </c>
      <c r="P583" s="818">
        <f t="shared" si="20"/>
        <v>27140</v>
      </c>
      <c r="Q583" s="816"/>
      <c r="R583" s="817">
        <v>1456264</v>
      </c>
      <c r="S583" s="816">
        <v>2691083</v>
      </c>
      <c r="T583" s="819">
        <v>4147347</v>
      </c>
    </row>
    <row r="584" spans="1:20" x14ac:dyDescent="0.25">
      <c r="A584" s="813">
        <v>96321</v>
      </c>
      <c r="B584" s="814" t="s">
        <v>4188</v>
      </c>
      <c r="C584" s="815">
        <v>3.7299999999999999E-5</v>
      </c>
      <c r="D584" s="815">
        <v>3.6900000000000002E-5</v>
      </c>
      <c r="E584" s="816">
        <v>88488</v>
      </c>
      <c r="F584" s="816" t="s">
        <v>185</v>
      </c>
      <c r="G584" s="817">
        <v>13652</v>
      </c>
      <c r="H584" s="818">
        <v>12147</v>
      </c>
      <c r="I584" s="817">
        <v>23481</v>
      </c>
      <c r="J584" s="816">
        <v>2037</v>
      </c>
      <c r="K584" s="818">
        <f t="shared" si="19"/>
        <v>51317</v>
      </c>
      <c r="L584" s="816"/>
      <c r="M584" s="817">
        <v>458</v>
      </c>
      <c r="N584" s="817">
        <v>0</v>
      </c>
      <c r="O584" s="816">
        <v>1391</v>
      </c>
      <c r="P584" s="818">
        <f t="shared" si="20"/>
        <v>1849</v>
      </c>
      <c r="Q584" s="816"/>
      <c r="R584" s="817">
        <v>24580</v>
      </c>
      <c r="S584" s="816">
        <v>-243</v>
      </c>
      <c r="T584" s="819">
        <v>24337</v>
      </c>
    </row>
    <row r="585" spans="1:20" x14ac:dyDescent="0.25">
      <c r="A585" s="813">
        <v>96331</v>
      </c>
      <c r="B585" s="814" t="s">
        <v>4189</v>
      </c>
      <c r="C585" s="815">
        <v>7.0220000000000005E-4</v>
      </c>
      <c r="D585" s="815">
        <v>7.0850000000000004E-4</v>
      </c>
      <c r="E585" s="816">
        <v>1665859</v>
      </c>
      <c r="F585" s="816" t="s">
        <v>185</v>
      </c>
      <c r="G585" s="817">
        <v>257002</v>
      </c>
      <c r="H585" s="818">
        <v>228672</v>
      </c>
      <c r="I585" s="817">
        <v>442055</v>
      </c>
      <c r="J585" s="816">
        <v>1400</v>
      </c>
      <c r="K585" s="818">
        <f t="shared" si="19"/>
        <v>929129</v>
      </c>
      <c r="L585" s="816"/>
      <c r="M585" s="817">
        <v>8624</v>
      </c>
      <c r="N585" s="817">
        <v>0</v>
      </c>
      <c r="O585" s="816">
        <v>67389</v>
      </c>
      <c r="P585" s="818">
        <f t="shared" si="20"/>
        <v>76013</v>
      </c>
      <c r="Q585" s="816"/>
      <c r="R585" s="817">
        <v>462731</v>
      </c>
      <c r="S585" s="816">
        <v>-31677</v>
      </c>
      <c r="T585" s="819">
        <v>431054</v>
      </c>
    </row>
    <row r="586" spans="1:20" x14ac:dyDescent="0.25">
      <c r="A586" s="813">
        <v>96341</v>
      </c>
      <c r="B586" s="814" t="s">
        <v>4190</v>
      </c>
      <c r="C586" s="815">
        <v>9.1399999999999999E-5</v>
      </c>
      <c r="D586" s="815">
        <v>8.3800000000000004E-5</v>
      </c>
      <c r="E586" s="816">
        <v>216832</v>
      </c>
      <c r="F586" s="816" t="s">
        <v>185</v>
      </c>
      <c r="G586" s="817">
        <v>33452</v>
      </c>
      <c r="H586" s="818">
        <v>29765</v>
      </c>
      <c r="I586" s="817">
        <v>57539</v>
      </c>
      <c r="J586" s="816">
        <v>7342</v>
      </c>
      <c r="K586" s="818">
        <f t="shared" si="19"/>
        <v>128098</v>
      </c>
      <c r="L586" s="816"/>
      <c r="M586" s="817">
        <v>1122</v>
      </c>
      <c r="N586" s="817">
        <v>0</v>
      </c>
      <c r="O586" s="816">
        <v>5984</v>
      </c>
      <c r="P586" s="818">
        <f t="shared" si="20"/>
        <v>7106</v>
      </c>
      <c r="Q586" s="816"/>
      <c r="R586" s="817">
        <v>60230</v>
      </c>
      <c r="S586" s="816">
        <v>-2239</v>
      </c>
      <c r="T586" s="819">
        <v>57991</v>
      </c>
    </row>
    <row r="587" spans="1:20" x14ac:dyDescent="0.25">
      <c r="A587" s="813">
        <v>96351</v>
      </c>
      <c r="B587" s="814" t="s">
        <v>4191</v>
      </c>
      <c r="C587" s="815">
        <v>1.0456E-3</v>
      </c>
      <c r="D587" s="815">
        <v>1.0616E-3</v>
      </c>
      <c r="E587" s="816">
        <v>2480521</v>
      </c>
      <c r="F587" s="816" t="s">
        <v>185</v>
      </c>
      <c r="G587" s="817">
        <v>382685</v>
      </c>
      <c r="H587" s="818">
        <v>340501</v>
      </c>
      <c r="I587" s="817">
        <v>658234</v>
      </c>
      <c r="J587" s="816">
        <v>1398</v>
      </c>
      <c r="K587" s="818">
        <f t="shared" si="19"/>
        <v>1382818</v>
      </c>
      <c r="L587" s="816"/>
      <c r="M587" s="817">
        <v>12841</v>
      </c>
      <c r="N587" s="817">
        <v>0</v>
      </c>
      <c r="O587" s="816">
        <v>35067</v>
      </c>
      <c r="P587" s="818">
        <f t="shared" si="20"/>
        <v>47908</v>
      </c>
      <c r="Q587" s="816"/>
      <c r="R587" s="817">
        <v>689022</v>
      </c>
      <c r="S587" s="816">
        <v>-9188</v>
      </c>
      <c r="T587" s="819">
        <v>679834</v>
      </c>
    </row>
    <row r="588" spans="1:20" x14ac:dyDescent="0.25">
      <c r="A588" s="813">
        <v>96361</v>
      </c>
      <c r="B588" s="814" t="s">
        <v>4192</v>
      </c>
      <c r="C588" s="815">
        <v>4.9400000000000001E-5</v>
      </c>
      <c r="D588" s="815">
        <v>5.5699999999999999E-5</v>
      </c>
      <c r="E588" s="816">
        <v>117194</v>
      </c>
      <c r="F588" s="816" t="s">
        <v>185</v>
      </c>
      <c r="G588" s="817">
        <v>18080</v>
      </c>
      <c r="H588" s="818">
        <v>16088</v>
      </c>
      <c r="I588" s="817">
        <v>31099</v>
      </c>
      <c r="J588" s="816">
        <v>1546</v>
      </c>
      <c r="K588" s="818">
        <f t="shared" si="19"/>
        <v>66813</v>
      </c>
      <c r="L588" s="816"/>
      <c r="M588" s="817">
        <v>607</v>
      </c>
      <c r="N588" s="817">
        <v>0</v>
      </c>
      <c r="O588" s="816">
        <v>5439</v>
      </c>
      <c r="P588" s="818">
        <f t="shared" si="20"/>
        <v>6046</v>
      </c>
      <c r="Q588" s="816"/>
      <c r="R588" s="817">
        <v>32553</v>
      </c>
      <c r="S588" s="816">
        <v>190</v>
      </c>
      <c r="T588" s="819">
        <v>32743</v>
      </c>
    </row>
    <row r="589" spans="1:20" x14ac:dyDescent="0.25">
      <c r="A589" s="813">
        <v>96371</v>
      </c>
      <c r="B589" s="814" t="s">
        <v>4193</v>
      </c>
      <c r="C589" s="815">
        <v>1.4200000000000001E-4</v>
      </c>
      <c r="D589" s="815">
        <v>1.5249999999999999E-4</v>
      </c>
      <c r="E589" s="816">
        <v>336873</v>
      </c>
      <c r="F589" s="816" t="s">
        <v>185</v>
      </c>
      <c r="G589" s="817">
        <v>51971</v>
      </c>
      <c r="H589" s="818">
        <v>46242</v>
      </c>
      <c r="I589" s="817">
        <v>89393</v>
      </c>
      <c r="J589" s="816">
        <v>0</v>
      </c>
      <c r="K589" s="818">
        <f t="shared" si="19"/>
        <v>187606</v>
      </c>
      <c r="L589" s="816"/>
      <c r="M589" s="817">
        <v>1744</v>
      </c>
      <c r="N589" s="817">
        <v>0</v>
      </c>
      <c r="O589" s="816">
        <v>16072</v>
      </c>
      <c r="P589" s="818">
        <f t="shared" si="20"/>
        <v>17816</v>
      </c>
      <c r="Q589" s="816"/>
      <c r="R589" s="817">
        <v>93574</v>
      </c>
      <c r="S589" s="816">
        <v>-4573</v>
      </c>
      <c r="T589" s="819">
        <v>89001</v>
      </c>
    </row>
    <row r="590" spans="1:20" x14ac:dyDescent="0.25">
      <c r="A590" s="813">
        <v>96381</v>
      </c>
      <c r="B590" s="814" t="s">
        <v>3113</v>
      </c>
      <c r="C590" s="815">
        <v>3.5200000000000002E-5</v>
      </c>
      <c r="D590" s="815">
        <v>3.2100000000000001E-5</v>
      </c>
      <c r="E590" s="816">
        <v>83506</v>
      </c>
      <c r="F590" s="816" t="s">
        <v>185</v>
      </c>
      <c r="G590" s="817">
        <v>12883</v>
      </c>
      <c r="H590" s="818">
        <v>11463</v>
      </c>
      <c r="I590" s="817">
        <v>22159</v>
      </c>
      <c r="J590" s="816">
        <v>1710</v>
      </c>
      <c r="K590" s="818">
        <f t="shared" si="19"/>
        <v>48215</v>
      </c>
      <c r="L590" s="816"/>
      <c r="M590" s="817">
        <v>432</v>
      </c>
      <c r="N590" s="817">
        <v>0</v>
      </c>
      <c r="O590" s="816">
        <v>634</v>
      </c>
      <c r="P590" s="818">
        <f t="shared" si="20"/>
        <v>1066</v>
      </c>
      <c r="Q590" s="816"/>
      <c r="R590" s="817">
        <v>23196</v>
      </c>
      <c r="S590" s="816">
        <v>-775</v>
      </c>
      <c r="T590" s="819">
        <v>22421</v>
      </c>
    </row>
    <row r="591" spans="1:20" x14ac:dyDescent="0.25">
      <c r="A591" s="813">
        <v>96391</v>
      </c>
      <c r="B591" s="814" t="s">
        <v>4194</v>
      </c>
      <c r="C591" s="815">
        <v>2.1350000000000001E-4</v>
      </c>
      <c r="D591" s="815">
        <v>2.029E-4</v>
      </c>
      <c r="E591" s="816">
        <v>506495</v>
      </c>
      <c r="F591" s="816" t="s">
        <v>185</v>
      </c>
      <c r="G591" s="817">
        <v>78140</v>
      </c>
      <c r="H591" s="818">
        <v>69527</v>
      </c>
      <c r="I591" s="817">
        <v>134404</v>
      </c>
      <c r="J591" s="816">
        <v>0</v>
      </c>
      <c r="K591" s="818">
        <f t="shared" ref="K591:K655" si="21">G591+H591+I591+J591</f>
        <v>282071</v>
      </c>
      <c r="L591" s="816"/>
      <c r="M591" s="817">
        <v>2622</v>
      </c>
      <c r="N591" s="817">
        <v>0</v>
      </c>
      <c r="O591" s="816">
        <v>20575</v>
      </c>
      <c r="P591" s="818">
        <f t="shared" ref="P591:P655" si="22">M591+N591+O591</f>
        <v>23197</v>
      </c>
      <c r="Q591" s="816"/>
      <c r="R591" s="817">
        <v>140691</v>
      </c>
      <c r="S591" s="816">
        <v>-665</v>
      </c>
      <c r="T591" s="819">
        <v>140026</v>
      </c>
    </row>
    <row r="592" spans="1:20" x14ac:dyDescent="0.25">
      <c r="A592" s="813">
        <v>96401</v>
      </c>
      <c r="B592" s="814" t="s">
        <v>3115</v>
      </c>
      <c r="C592" s="815">
        <v>4.4764999999999996E-3</v>
      </c>
      <c r="D592" s="815">
        <v>4.5672000000000004E-3</v>
      </c>
      <c r="E592" s="816">
        <v>10619789</v>
      </c>
      <c r="F592" s="816" t="s">
        <v>185</v>
      </c>
      <c r="G592" s="817">
        <v>1638381</v>
      </c>
      <c r="H592" s="818">
        <v>1457781</v>
      </c>
      <c r="I592" s="817">
        <v>2818082</v>
      </c>
      <c r="J592" s="816">
        <v>0</v>
      </c>
      <c r="K592" s="818">
        <f t="shared" si="21"/>
        <v>5914244</v>
      </c>
      <c r="L592" s="816"/>
      <c r="M592" s="817">
        <v>54976</v>
      </c>
      <c r="N592" s="817">
        <v>0</v>
      </c>
      <c r="O592" s="816">
        <v>163892</v>
      </c>
      <c r="P592" s="818">
        <f t="shared" si="22"/>
        <v>218868</v>
      </c>
      <c r="Q592" s="816"/>
      <c r="R592" s="817">
        <v>2949893</v>
      </c>
      <c r="S592" s="816">
        <v>-37128</v>
      </c>
      <c r="T592" s="819">
        <v>2912765</v>
      </c>
    </row>
    <row r="593" spans="1:20" x14ac:dyDescent="0.25">
      <c r="A593" s="813">
        <v>96404</v>
      </c>
      <c r="B593" s="814" t="s">
        <v>3116</v>
      </c>
      <c r="C593" s="815">
        <v>9.98E-5</v>
      </c>
      <c r="D593" s="815">
        <v>1.026E-4</v>
      </c>
      <c r="E593" s="816">
        <v>236760</v>
      </c>
      <c r="F593" s="816" t="s">
        <v>185</v>
      </c>
      <c r="G593" s="817">
        <v>36526</v>
      </c>
      <c r="H593" s="818">
        <v>32500</v>
      </c>
      <c r="I593" s="817">
        <v>62827</v>
      </c>
      <c r="J593" s="816">
        <v>25677</v>
      </c>
      <c r="K593" s="818">
        <f t="shared" si="21"/>
        <v>157530</v>
      </c>
      <c r="L593" s="816"/>
      <c r="M593" s="817">
        <v>1226</v>
      </c>
      <c r="N593" s="817">
        <v>0</v>
      </c>
      <c r="O593" s="816">
        <v>0</v>
      </c>
      <c r="P593" s="818">
        <f t="shared" si="22"/>
        <v>1226</v>
      </c>
      <c r="Q593" s="816"/>
      <c r="R593" s="817">
        <v>65766</v>
      </c>
      <c r="S593" s="816">
        <v>12826</v>
      </c>
      <c r="T593" s="819">
        <v>78592</v>
      </c>
    </row>
    <row r="594" spans="1:20" x14ac:dyDescent="0.25">
      <c r="A594" s="813">
        <v>96405</v>
      </c>
      <c r="B594" s="814" t="s">
        <v>3117</v>
      </c>
      <c r="C594" s="815">
        <v>1.3219999999999999E-4</v>
      </c>
      <c r="D594" s="815">
        <v>1.6139999999999999E-4</v>
      </c>
      <c r="E594" s="816">
        <v>313624</v>
      </c>
      <c r="F594" s="816" t="s">
        <v>185</v>
      </c>
      <c r="G594" s="817">
        <v>48385</v>
      </c>
      <c r="H594" s="818">
        <v>43051</v>
      </c>
      <c r="I594" s="817">
        <v>83224</v>
      </c>
      <c r="J594" s="816">
        <v>4606</v>
      </c>
      <c r="K594" s="818">
        <f t="shared" si="21"/>
        <v>179266</v>
      </c>
      <c r="L594" s="816"/>
      <c r="M594" s="817">
        <v>1624</v>
      </c>
      <c r="N594" s="817">
        <v>0</v>
      </c>
      <c r="O594" s="816">
        <v>1578</v>
      </c>
      <c r="P594" s="818">
        <f t="shared" si="22"/>
        <v>3202</v>
      </c>
      <c r="Q594" s="816"/>
      <c r="R594" s="817">
        <v>87116</v>
      </c>
      <c r="S594" s="816">
        <v>4206</v>
      </c>
      <c r="T594" s="819">
        <v>91322</v>
      </c>
    </row>
    <row r="595" spans="1:20" x14ac:dyDescent="0.25">
      <c r="A595" s="813">
        <v>96411</v>
      </c>
      <c r="B595" s="814" t="s">
        <v>4195</v>
      </c>
      <c r="C595" s="815">
        <v>7.1899999999999999E-5</v>
      </c>
      <c r="D595" s="815">
        <v>7.2299999999999996E-5</v>
      </c>
      <c r="E595" s="816">
        <v>170571</v>
      </c>
      <c r="F595" s="816" t="s">
        <v>185</v>
      </c>
      <c r="G595" s="817">
        <v>26315</v>
      </c>
      <c r="H595" s="818">
        <v>23414</v>
      </c>
      <c r="I595" s="817">
        <v>45263</v>
      </c>
      <c r="J595" s="816">
        <v>7628</v>
      </c>
      <c r="K595" s="818">
        <f t="shared" si="21"/>
        <v>102620</v>
      </c>
      <c r="L595" s="816"/>
      <c r="M595" s="817">
        <v>883</v>
      </c>
      <c r="N595" s="817">
        <v>0</v>
      </c>
      <c r="O595" s="816">
        <v>5714</v>
      </c>
      <c r="P595" s="818">
        <f t="shared" si="22"/>
        <v>6597</v>
      </c>
      <c r="Q595" s="816"/>
      <c r="R595" s="817">
        <v>47380</v>
      </c>
      <c r="S595" s="816">
        <v>1584</v>
      </c>
      <c r="T595" s="819">
        <v>48964</v>
      </c>
    </row>
    <row r="596" spans="1:20" x14ac:dyDescent="0.25">
      <c r="A596" s="813">
        <v>96421</v>
      </c>
      <c r="B596" s="814" t="s">
        <v>4196</v>
      </c>
      <c r="C596" s="815">
        <v>4.2880000000000001E-4</v>
      </c>
      <c r="D596" s="815">
        <v>4.2529999999999998E-4</v>
      </c>
      <c r="E596" s="816">
        <v>1017260</v>
      </c>
      <c r="F596" s="816" t="s">
        <v>185</v>
      </c>
      <c r="G596" s="817">
        <v>156939</v>
      </c>
      <c r="H596" s="818">
        <v>139640</v>
      </c>
      <c r="I596" s="817">
        <v>269942</v>
      </c>
      <c r="J596" s="816">
        <v>0</v>
      </c>
      <c r="K596" s="818">
        <f t="shared" si="21"/>
        <v>566521</v>
      </c>
      <c r="L596" s="816"/>
      <c r="M596" s="817">
        <v>5266</v>
      </c>
      <c r="N596" s="817">
        <v>0</v>
      </c>
      <c r="O596" s="816">
        <v>60679</v>
      </c>
      <c r="P596" s="818">
        <f t="shared" si="22"/>
        <v>65945</v>
      </c>
      <c r="Q596" s="816"/>
      <c r="R596" s="817">
        <v>282568</v>
      </c>
      <c r="S596" s="816">
        <v>-39301</v>
      </c>
      <c r="T596" s="819">
        <v>243267</v>
      </c>
    </row>
    <row r="597" spans="1:20" x14ac:dyDescent="0.25">
      <c r="A597" s="813">
        <v>96431</v>
      </c>
      <c r="B597" s="814" t="s">
        <v>4197</v>
      </c>
      <c r="C597" s="815">
        <v>3.0599999999999998E-5</v>
      </c>
      <c r="D597" s="815">
        <v>4.2799999999999997E-5</v>
      </c>
      <c r="E597" s="816">
        <v>72594</v>
      </c>
      <c r="F597" s="816" t="s">
        <v>185</v>
      </c>
      <c r="G597" s="817">
        <v>11199</v>
      </c>
      <c r="H597" s="818">
        <v>9965</v>
      </c>
      <c r="I597" s="817">
        <v>19264</v>
      </c>
      <c r="J597" s="816">
        <v>4082</v>
      </c>
      <c r="K597" s="818">
        <f t="shared" si="21"/>
        <v>44510</v>
      </c>
      <c r="L597" s="816"/>
      <c r="M597" s="817">
        <v>376</v>
      </c>
      <c r="N597" s="817">
        <v>0</v>
      </c>
      <c r="O597" s="816">
        <v>9581</v>
      </c>
      <c r="P597" s="818">
        <f t="shared" si="22"/>
        <v>9957</v>
      </c>
      <c r="Q597" s="816"/>
      <c r="R597" s="817">
        <v>20165</v>
      </c>
      <c r="S597" s="816">
        <v>-2392</v>
      </c>
      <c r="T597" s="819">
        <v>17773</v>
      </c>
    </row>
    <row r="598" spans="1:20" x14ac:dyDescent="0.25">
      <c r="A598" s="813">
        <v>96441</v>
      </c>
      <c r="B598" s="814" t="s">
        <v>4198</v>
      </c>
      <c r="C598" s="815">
        <v>2.8E-5</v>
      </c>
      <c r="D598" s="815">
        <v>2.97E-5</v>
      </c>
      <c r="E598" s="816">
        <v>66426</v>
      </c>
      <c r="F598" s="816" t="s">
        <v>185</v>
      </c>
      <c r="G598" s="817">
        <v>10248</v>
      </c>
      <c r="H598" s="818">
        <v>9118</v>
      </c>
      <c r="I598" s="817">
        <v>17627</v>
      </c>
      <c r="J598" s="816">
        <v>4392</v>
      </c>
      <c r="K598" s="818">
        <f t="shared" si="21"/>
        <v>41385</v>
      </c>
      <c r="L598" s="816"/>
      <c r="M598" s="817">
        <v>344</v>
      </c>
      <c r="N598" s="817">
        <v>0</v>
      </c>
      <c r="O598" s="816">
        <v>57</v>
      </c>
      <c r="P598" s="818">
        <f t="shared" si="22"/>
        <v>401</v>
      </c>
      <c r="Q598" s="816"/>
      <c r="R598" s="817">
        <v>18451</v>
      </c>
      <c r="S598" s="816">
        <v>2845</v>
      </c>
      <c r="T598" s="819">
        <v>21296</v>
      </c>
    </row>
    <row r="599" spans="1:20" x14ac:dyDescent="0.25">
      <c r="A599" s="813">
        <v>96451</v>
      </c>
      <c r="B599" s="814" t="s">
        <v>4199</v>
      </c>
      <c r="C599" s="815">
        <v>1.8700000000000001E-5</v>
      </c>
      <c r="D599" s="815">
        <v>2.0299999999999999E-5</v>
      </c>
      <c r="E599" s="816">
        <v>44363</v>
      </c>
      <c r="F599" s="816" t="s">
        <v>185</v>
      </c>
      <c r="G599" s="817">
        <v>6844</v>
      </c>
      <c r="H599" s="818">
        <v>6089</v>
      </c>
      <c r="I599" s="817">
        <v>11772</v>
      </c>
      <c r="J599" s="816">
        <v>4558</v>
      </c>
      <c r="K599" s="818">
        <f t="shared" si="21"/>
        <v>29263</v>
      </c>
      <c r="L599" s="816"/>
      <c r="M599" s="817">
        <v>230</v>
      </c>
      <c r="N599" s="817">
        <v>0</v>
      </c>
      <c r="O599" s="816">
        <v>2079</v>
      </c>
      <c r="P599" s="818">
        <f t="shared" si="22"/>
        <v>2309</v>
      </c>
      <c r="Q599" s="816"/>
      <c r="R599" s="817">
        <v>12323</v>
      </c>
      <c r="S599" s="816">
        <v>588</v>
      </c>
      <c r="T599" s="819">
        <v>12911</v>
      </c>
    </row>
    <row r="600" spans="1:20" x14ac:dyDescent="0.25">
      <c r="A600" s="813">
        <v>96461</v>
      </c>
      <c r="B600" s="814" t="s">
        <v>4200</v>
      </c>
      <c r="C600" s="815">
        <v>1.538E-4</v>
      </c>
      <c r="D600" s="815">
        <v>1.361E-4</v>
      </c>
      <c r="E600" s="816">
        <v>364866</v>
      </c>
      <c r="F600" s="816" t="s">
        <v>185</v>
      </c>
      <c r="G600" s="817">
        <v>56290</v>
      </c>
      <c r="H600" s="818">
        <v>50085</v>
      </c>
      <c r="I600" s="817">
        <v>96821</v>
      </c>
      <c r="J600" s="816">
        <v>11947</v>
      </c>
      <c r="K600" s="818">
        <f t="shared" si="21"/>
        <v>215143</v>
      </c>
      <c r="L600" s="816"/>
      <c r="M600" s="817">
        <v>1889</v>
      </c>
      <c r="N600" s="817">
        <v>0</v>
      </c>
      <c r="O600" s="816">
        <v>9861</v>
      </c>
      <c r="P600" s="818">
        <f t="shared" si="22"/>
        <v>11750</v>
      </c>
      <c r="Q600" s="816"/>
      <c r="R600" s="817">
        <v>101350</v>
      </c>
      <c r="S600" s="816">
        <v>-1446</v>
      </c>
      <c r="T600" s="819">
        <v>99904</v>
      </c>
    </row>
    <row r="601" spans="1:20" x14ac:dyDescent="0.25">
      <c r="A601" s="813">
        <v>96501</v>
      </c>
      <c r="B601" s="814" t="s">
        <v>3124</v>
      </c>
      <c r="C601" s="815">
        <v>1.453E-2</v>
      </c>
      <c r="D601" s="815">
        <v>1.44739E-2</v>
      </c>
      <c r="E601" s="816">
        <v>34470129</v>
      </c>
      <c r="F601" s="816" t="s">
        <v>185</v>
      </c>
      <c r="G601" s="817">
        <v>5317922</v>
      </c>
      <c r="H601" s="818">
        <v>4731723</v>
      </c>
      <c r="I601" s="817">
        <v>9147042</v>
      </c>
      <c r="J601" s="816">
        <v>113402</v>
      </c>
      <c r="K601" s="818">
        <f t="shared" si="21"/>
        <v>19310089</v>
      </c>
      <c r="L601" s="816"/>
      <c r="M601" s="817">
        <v>178443</v>
      </c>
      <c r="N601" s="817">
        <v>0</v>
      </c>
      <c r="O601" s="816">
        <v>280861</v>
      </c>
      <c r="P601" s="818">
        <f t="shared" si="22"/>
        <v>459304</v>
      </c>
      <c r="Q601" s="816"/>
      <c r="R601" s="817">
        <v>9574878</v>
      </c>
      <c r="S601" s="816">
        <v>126655</v>
      </c>
      <c r="T601" s="819">
        <v>9701533</v>
      </c>
    </row>
    <row r="602" spans="1:20" x14ac:dyDescent="0.25">
      <c r="A602" s="813">
        <v>96502</v>
      </c>
      <c r="B602" s="814" t="s">
        <v>4201</v>
      </c>
      <c r="C602" s="815">
        <v>4.059E-4</v>
      </c>
      <c r="D602" s="815">
        <v>4.2440000000000002E-4</v>
      </c>
      <c r="E602" s="816">
        <v>962934</v>
      </c>
      <c r="F602" s="816" t="s">
        <v>185</v>
      </c>
      <c r="G602" s="817">
        <v>148558</v>
      </c>
      <c r="H602" s="818">
        <v>132183</v>
      </c>
      <c r="I602" s="817">
        <v>255525</v>
      </c>
      <c r="J602" s="816">
        <v>16491</v>
      </c>
      <c r="K602" s="818">
        <f t="shared" si="21"/>
        <v>552757</v>
      </c>
      <c r="L602" s="816"/>
      <c r="M602" s="817">
        <v>4985</v>
      </c>
      <c r="N602" s="817">
        <v>0</v>
      </c>
      <c r="O602" s="816">
        <v>0</v>
      </c>
      <c r="P602" s="818">
        <f t="shared" si="22"/>
        <v>4985</v>
      </c>
      <c r="Q602" s="816"/>
      <c r="R602" s="817">
        <v>267477</v>
      </c>
      <c r="S602" s="816">
        <v>23122</v>
      </c>
      <c r="T602" s="819">
        <v>290599</v>
      </c>
    </row>
    <row r="603" spans="1:20" x14ac:dyDescent="0.25">
      <c r="A603" s="813">
        <v>96503</v>
      </c>
      <c r="B603" s="814" t="s">
        <v>3559</v>
      </c>
      <c r="C603" s="815">
        <v>2.856E-4</v>
      </c>
      <c r="D603" s="815">
        <v>3.0039999999999998E-4</v>
      </c>
      <c r="E603" s="816">
        <v>677541</v>
      </c>
      <c r="F603" s="816" t="s">
        <v>185</v>
      </c>
      <c r="G603" s="817">
        <v>104528</v>
      </c>
      <c r="H603" s="818">
        <v>93006</v>
      </c>
      <c r="I603" s="817">
        <v>179793</v>
      </c>
      <c r="J603" s="816">
        <v>287738</v>
      </c>
      <c r="K603" s="818">
        <f t="shared" si="21"/>
        <v>665065</v>
      </c>
      <c r="L603" s="816"/>
      <c r="M603" s="817">
        <v>3507</v>
      </c>
      <c r="N603" s="817">
        <v>0</v>
      </c>
      <c r="O603" s="816">
        <v>0</v>
      </c>
      <c r="P603" s="818">
        <f t="shared" si="22"/>
        <v>3507</v>
      </c>
      <c r="Q603" s="816"/>
      <c r="R603" s="817">
        <v>188203</v>
      </c>
      <c r="S603" s="816">
        <v>104796</v>
      </c>
      <c r="T603" s="819">
        <v>292999</v>
      </c>
    </row>
    <row r="604" spans="1:20" x14ac:dyDescent="0.25">
      <c r="A604" s="813">
        <v>96504</v>
      </c>
      <c r="B604" s="814" t="s">
        <v>3127</v>
      </c>
      <c r="C604" s="815">
        <v>4.0900000000000002E-4</v>
      </c>
      <c r="D604" s="815">
        <v>4.1760000000000001E-4</v>
      </c>
      <c r="E604" s="816">
        <v>970288</v>
      </c>
      <c r="F604" s="816" t="s">
        <v>185</v>
      </c>
      <c r="G604" s="817">
        <v>149692</v>
      </c>
      <c r="H604" s="818">
        <v>133192</v>
      </c>
      <c r="I604" s="817">
        <v>257477</v>
      </c>
      <c r="J604" s="816">
        <v>30948</v>
      </c>
      <c r="K604" s="818">
        <f t="shared" si="21"/>
        <v>571309</v>
      </c>
      <c r="L604" s="816"/>
      <c r="M604" s="817">
        <v>5023</v>
      </c>
      <c r="N604" s="817">
        <v>0</v>
      </c>
      <c r="O604" s="816">
        <v>3438</v>
      </c>
      <c r="P604" s="818">
        <f t="shared" si="22"/>
        <v>8461</v>
      </c>
      <c r="Q604" s="816"/>
      <c r="R604" s="817">
        <v>269520</v>
      </c>
      <c r="S604" s="816">
        <v>11348</v>
      </c>
      <c r="T604" s="819">
        <v>280868</v>
      </c>
    </row>
    <row r="605" spans="1:20" x14ac:dyDescent="0.25">
      <c r="A605" s="813">
        <v>96507</v>
      </c>
      <c r="B605" s="814" t="s">
        <v>3128</v>
      </c>
      <c r="C605" s="815">
        <v>2.2176000000000001E-3</v>
      </c>
      <c r="D605" s="815">
        <v>2.2147E-3</v>
      </c>
      <c r="E605" s="816">
        <v>5260906</v>
      </c>
      <c r="F605" s="816" t="s">
        <v>185</v>
      </c>
      <c r="G605" s="817">
        <v>811633</v>
      </c>
      <c r="H605" s="818">
        <v>722166</v>
      </c>
      <c r="I605" s="817">
        <v>1396041</v>
      </c>
      <c r="J605" s="816">
        <v>85460</v>
      </c>
      <c r="K605" s="818">
        <f t="shared" si="21"/>
        <v>3015300</v>
      </c>
      <c r="L605" s="816"/>
      <c r="M605" s="817">
        <v>27234</v>
      </c>
      <c r="N605" s="817">
        <v>0</v>
      </c>
      <c r="O605" s="816">
        <v>17095</v>
      </c>
      <c r="P605" s="818">
        <f t="shared" si="22"/>
        <v>44329</v>
      </c>
      <c r="Q605" s="816"/>
      <c r="R605" s="817">
        <v>1461339</v>
      </c>
      <c r="S605" s="816">
        <v>67118</v>
      </c>
      <c r="T605" s="819">
        <v>1528457</v>
      </c>
    </row>
    <row r="606" spans="1:20" x14ac:dyDescent="0.25">
      <c r="A606" s="813">
        <v>96508</v>
      </c>
      <c r="B606" s="814" t="s">
        <v>4202</v>
      </c>
      <c r="C606" s="815">
        <v>7.4000000000000003E-6</v>
      </c>
      <c r="D606" s="815">
        <v>8.6000000000000007E-6</v>
      </c>
      <c r="E606" s="816">
        <v>17555</v>
      </c>
      <c r="F606" s="816" t="s">
        <v>185</v>
      </c>
      <c r="G606" s="817">
        <v>2708</v>
      </c>
      <c r="H606" s="818">
        <v>2410</v>
      </c>
      <c r="I606" s="817">
        <v>4659</v>
      </c>
      <c r="J606" s="816">
        <v>12344</v>
      </c>
      <c r="K606" s="818">
        <f t="shared" si="21"/>
        <v>22121</v>
      </c>
      <c r="L606" s="816"/>
      <c r="M606" s="817">
        <v>91</v>
      </c>
      <c r="N606" s="817">
        <v>0</v>
      </c>
      <c r="O606" s="816">
        <v>0</v>
      </c>
      <c r="P606" s="818">
        <f t="shared" si="22"/>
        <v>91</v>
      </c>
      <c r="Q606" s="816"/>
      <c r="R606" s="817">
        <v>4876</v>
      </c>
      <c r="S606" s="816">
        <v>5799</v>
      </c>
      <c r="T606" s="819">
        <v>10675</v>
      </c>
    </row>
    <row r="607" spans="1:20" x14ac:dyDescent="0.25">
      <c r="A607" s="813">
        <v>96511</v>
      </c>
      <c r="B607" s="814" t="s">
        <v>4203</v>
      </c>
      <c r="C607" s="815">
        <v>6.1580000000000001E-4</v>
      </c>
      <c r="D607" s="815">
        <v>6.2069999999999996E-4</v>
      </c>
      <c r="E607" s="816">
        <v>1460888</v>
      </c>
      <c r="F607" s="816" t="s">
        <v>185</v>
      </c>
      <c r="G607" s="817">
        <v>225380</v>
      </c>
      <c r="H607" s="818">
        <v>200536</v>
      </c>
      <c r="I607" s="817">
        <v>387663</v>
      </c>
      <c r="J607" s="816">
        <v>0</v>
      </c>
      <c r="K607" s="818">
        <f t="shared" si="21"/>
        <v>813579</v>
      </c>
      <c r="L607" s="816"/>
      <c r="M607" s="817">
        <v>7563</v>
      </c>
      <c r="N607" s="817">
        <v>0</v>
      </c>
      <c r="O607" s="816">
        <v>55836</v>
      </c>
      <c r="P607" s="818">
        <f t="shared" si="22"/>
        <v>63399</v>
      </c>
      <c r="Q607" s="816"/>
      <c r="R607" s="817">
        <v>405796</v>
      </c>
      <c r="S607" s="816">
        <v>-51447</v>
      </c>
      <c r="T607" s="819">
        <v>354349</v>
      </c>
    </row>
    <row r="608" spans="1:20" x14ac:dyDescent="0.25">
      <c r="A608" s="813">
        <v>96512</v>
      </c>
      <c r="B608" s="814" t="s">
        <v>3131</v>
      </c>
      <c r="C608" s="815">
        <v>1.5899999999999999E-4</v>
      </c>
      <c r="D608" s="815">
        <v>1.5119999999999999E-4</v>
      </c>
      <c r="E608" s="816">
        <v>377202</v>
      </c>
      <c r="F608" s="816" t="s">
        <v>185</v>
      </c>
      <c r="G608" s="817">
        <v>58193</v>
      </c>
      <c r="H608" s="818">
        <v>51778</v>
      </c>
      <c r="I608" s="817">
        <v>100095</v>
      </c>
      <c r="J608" s="816">
        <v>10002</v>
      </c>
      <c r="K608" s="818">
        <f t="shared" si="21"/>
        <v>220068</v>
      </c>
      <c r="L608" s="816"/>
      <c r="M608" s="817">
        <v>1953</v>
      </c>
      <c r="N608" s="817">
        <v>0</v>
      </c>
      <c r="O608" s="816">
        <v>7472</v>
      </c>
      <c r="P608" s="818">
        <f t="shared" si="22"/>
        <v>9425</v>
      </c>
      <c r="Q608" s="816"/>
      <c r="R608" s="817">
        <v>104777</v>
      </c>
      <c r="S608" s="816">
        <v>1973</v>
      </c>
      <c r="T608" s="819">
        <v>106750</v>
      </c>
    </row>
    <row r="610" spans="1:20" x14ac:dyDescent="0.25">
      <c r="A610" s="813">
        <v>96521</v>
      </c>
      <c r="B610" s="814" t="s">
        <v>4204</v>
      </c>
      <c r="C610" s="815">
        <v>9.6719999999999998E-4</v>
      </c>
      <c r="D610" s="815">
        <v>9.881E-4</v>
      </c>
      <c r="E610" s="816">
        <v>2294529</v>
      </c>
      <c r="F610" s="816" t="s">
        <v>185</v>
      </c>
      <c r="G610" s="817">
        <v>353991</v>
      </c>
      <c r="H610" s="818">
        <v>314971</v>
      </c>
      <c r="I610" s="817">
        <v>608879</v>
      </c>
      <c r="J610" s="816">
        <v>13526</v>
      </c>
      <c r="K610" s="818">
        <f t="shared" si="21"/>
        <v>1291367</v>
      </c>
      <c r="L610" s="816"/>
      <c r="M610" s="817">
        <v>11878</v>
      </c>
      <c r="N610" s="817">
        <v>0</v>
      </c>
      <c r="O610" s="816">
        <v>66754</v>
      </c>
      <c r="P610" s="818">
        <f t="shared" si="22"/>
        <v>78632</v>
      </c>
      <c r="Q610" s="816"/>
      <c r="R610" s="817">
        <v>637359</v>
      </c>
      <c r="S610" s="816">
        <v>-6086</v>
      </c>
      <c r="T610" s="819">
        <v>631273</v>
      </c>
    </row>
    <row r="611" spans="1:20" x14ac:dyDescent="0.25">
      <c r="A611" s="813">
        <v>96531</v>
      </c>
      <c r="B611" s="814" t="s">
        <v>3134</v>
      </c>
      <c r="C611" s="815">
        <v>8.7183999999999994E-3</v>
      </c>
      <c r="D611" s="815">
        <v>8.5845000000000001E-3</v>
      </c>
      <c r="E611" s="816">
        <v>20683026</v>
      </c>
      <c r="F611" s="816" t="s">
        <v>185</v>
      </c>
      <c r="G611" s="817">
        <v>3190900</v>
      </c>
      <c r="H611" s="818">
        <v>2839165</v>
      </c>
      <c r="I611" s="817">
        <v>5488477</v>
      </c>
      <c r="J611" s="816">
        <v>21971</v>
      </c>
      <c r="K611" s="818">
        <f t="shared" si="21"/>
        <v>11540513</v>
      </c>
      <c r="L611" s="816"/>
      <c r="M611" s="817">
        <v>107071</v>
      </c>
      <c r="N611" s="817">
        <v>0</v>
      </c>
      <c r="O611" s="816">
        <v>363715</v>
      </c>
      <c r="P611" s="818">
        <f t="shared" si="22"/>
        <v>470786</v>
      </c>
      <c r="Q611" s="816"/>
      <c r="R611" s="817">
        <v>5745190</v>
      </c>
      <c r="S611" s="816">
        <v>-139676</v>
      </c>
      <c r="T611" s="819">
        <v>5605514</v>
      </c>
    </row>
    <row r="612" spans="1:20" x14ac:dyDescent="0.25">
      <c r="A612" s="813">
        <v>96541</v>
      </c>
      <c r="B612" s="814" t="s">
        <v>4205</v>
      </c>
      <c r="C612" s="815">
        <v>3.5780000000000002E-4</v>
      </c>
      <c r="D612" s="815">
        <v>3.5950000000000001E-4</v>
      </c>
      <c r="E612" s="816">
        <v>848824</v>
      </c>
      <c r="F612" s="816" t="s">
        <v>185</v>
      </c>
      <c r="G612" s="817">
        <v>130953</v>
      </c>
      <c r="H612" s="818">
        <v>116518</v>
      </c>
      <c r="I612" s="817">
        <v>225245</v>
      </c>
      <c r="J612" s="816">
        <v>11846</v>
      </c>
      <c r="K612" s="818">
        <f t="shared" si="21"/>
        <v>484562</v>
      </c>
      <c r="L612" s="816"/>
      <c r="M612" s="817">
        <v>4394</v>
      </c>
      <c r="N612" s="817">
        <v>0</v>
      </c>
      <c r="O612" s="816">
        <v>5150</v>
      </c>
      <c r="P612" s="818">
        <f t="shared" si="22"/>
        <v>9544</v>
      </c>
      <c r="Q612" s="816"/>
      <c r="R612" s="817">
        <v>235781</v>
      </c>
      <c r="S612" s="816">
        <v>11668</v>
      </c>
      <c r="T612" s="819">
        <v>247449</v>
      </c>
    </row>
    <row r="613" spans="1:20" x14ac:dyDescent="0.25">
      <c r="A613" s="813">
        <v>96601</v>
      </c>
      <c r="B613" s="814" t="s">
        <v>3136</v>
      </c>
      <c r="C613" s="815">
        <v>1.7382999999999999E-3</v>
      </c>
      <c r="D613" s="815">
        <v>1.8169E-3</v>
      </c>
      <c r="E613" s="816">
        <v>4123842</v>
      </c>
      <c r="F613" s="816" t="s">
        <v>185</v>
      </c>
      <c r="G613" s="817">
        <v>636211</v>
      </c>
      <c r="H613" s="818">
        <v>566081</v>
      </c>
      <c r="I613" s="817">
        <v>1094309</v>
      </c>
      <c r="J613" s="816">
        <v>18007</v>
      </c>
      <c r="K613" s="818">
        <f t="shared" si="21"/>
        <v>2314608</v>
      </c>
      <c r="L613" s="816"/>
      <c r="M613" s="817">
        <v>21348</v>
      </c>
      <c r="N613" s="817">
        <v>0</v>
      </c>
      <c r="O613" s="816">
        <v>78122</v>
      </c>
      <c r="P613" s="818">
        <f t="shared" si="22"/>
        <v>99470</v>
      </c>
      <c r="Q613" s="816"/>
      <c r="R613" s="817">
        <v>1145493</v>
      </c>
      <c r="S613" s="816">
        <v>10810</v>
      </c>
      <c r="T613" s="819">
        <v>1156303</v>
      </c>
    </row>
    <row r="614" spans="1:20" x14ac:dyDescent="0.25">
      <c r="A614" s="813">
        <v>96604</v>
      </c>
      <c r="B614" s="814" t="s">
        <v>3137</v>
      </c>
      <c r="C614" s="815">
        <v>5.5999999999999997E-6</v>
      </c>
      <c r="D614" s="815">
        <v>7.6000000000000001E-6</v>
      </c>
      <c r="E614" s="816">
        <v>13285</v>
      </c>
      <c r="F614" s="816" t="s">
        <v>185</v>
      </c>
      <c r="G614" s="817">
        <v>2050</v>
      </c>
      <c r="H614" s="818">
        <v>1823</v>
      </c>
      <c r="I614" s="817">
        <v>3525</v>
      </c>
      <c r="J614" s="816">
        <v>1487</v>
      </c>
      <c r="K614" s="818">
        <f t="shared" si="21"/>
        <v>8885</v>
      </c>
      <c r="L614" s="816"/>
      <c r="M614" s="817">
        <v>69</v>
      </c>
      <c r="N614" s="817">
        <v>0</v>
      </c>
      <c r="O614" s="816">
        <v>31</v>
      </c>
      <c r="P614" s="818">
        <f t="shared" si="22"/>
        <v>100</v>
      </c>
      <c r="Q614" s="816"/>
      <c r="R614" s="817">
        <v>3690</v>
      </c>
      <c r="S614" s="816">
        <v>870</v>
      </c>
      <c r="T614" s="819">
        <v>4560</v>
      </c>
    </row>
    <row r="615" spans="1:20" x14ac:dyDescent="0.25">
      <c r="A615" s="813">
        <v>96611</v>
      </c>
      <c r="B615" s="814" t="s">
        <v>4206</v>
      </c>
      <c r="C615" s="815">
        <v>2.41E-5</v>
      </c>
      <c r="D615" s="815">
        <v>2.83E-5</v>
      </c>
      <c r="E615" s="816">
        <v>57173</v>
      </c>
      <c r="F615" s="816" t="s">
        <v>185</v>
      </c>
      <c r="G615" s="817">
        <v>8821</v>
      </c>
      <c r="H615" s="818">
        <v>7848</v>
      </c>
      <c r="I615" s="817">
        <v>15172</v>
      </c>
      <c r="J615" s="816">
        <v>263</v>
      </c>
      <c r="K615" s="818">
        <f t="shared" si="21"/>
        <v>32104</v>
      </c>
      <c r="L615" s="816"/>
      <c r="M615" s="817">
        <v>296</v>
      </c>
      <c r="N615" s="817">
        <v>0</v>
      </c>
      <c r="O615" s="816">
        <v>5198</v>
      </c>
      <c r="P615" s="818">
        <f t="shared" si="22"/>
        <v>5494</v>
      </c>
      <c r="Q615" s="816"/>
      <c r="R615" s="817">
        <v>15881</v>
      </c>
      <c r="S615" s="816">
        <v>-426</v>
      </c>
      <c r="T615" s="819">
        <v>15455</v>
      </c>
    </row>
    <row r="616" spans="1:20" x14ac:dyDescent="0.25">
      <c r="A616" s="813">
        <v>96612</v>
      </c>
      <c r="B616" s="814" t="s">
        <v>4207</v>
      </c>
      <c r="C616" s="815">
        <v>5.4500000000000003E-5</v>
      </c>
      <c r="D616" s="815">
        <v>6.3299999999999994E-5</v>
      </c>
      <c r="E616" s="816">
        <v>129293</v>
      </c>
      <c r="F616" s="816" t="s">
        <v>185</v>
      </c>
      <c r="G616" s="817">
        <v>19947</v>
      </c>
      <c r="H616" s="818">
        <v>17748</v>
      </c>
      <c r="I616" s="817">
        <v>34309</v>
      </c>
      <c r="J616" s="816">
        <v>4765</v>
      </c>
      <c r="K616" s="818">
        <f t="shared" si="21"/>
        <v>76769</v>
      </c>
      <c r="L616" s="816"/>
      <c r="M616" s="817">
        <v>669</v>
      </c>
      <c r="N616" s="817">
        <v>0</v>
      </c>
      <c r="O616" s="816">
        <v>2264</v>
      </c>
      <c r="P616" s="818">
        <f t="shared" si="22"/>
        <v>2933</v>
      </c>
      <c r="Q616" s="816"/>
      <c r="R616" s="817">
        <v>35914</v>
      </c>
      <c r="S616" s="816">
        <v>1711</v>
      </c>
      <c r="T616" s="819">
        <v>37625</v>
      </c>
    </row>
    <row r="617" spans="1:20" x14ac:dyDescent="0.25">
      <c r="A617" s="813">
        <v>96621</v>
      </c>
      <c r="B617" s="814" t="s">
        <v>4208</v>
      </c>
      <c r="C617" s="815">
        <v>1.9199999999999999E-5</v>
      </c>
      <c r="D617" s="815">
        <v>2.5999999999999998E-5</v>
      </c>
      <c r="E617" s="816">
        <v>45549</v>
      </c>
      <c r="F617" s="816" t="s">
        <v>185</v>
      </c>
      <c r="G617" s="817">
        <v>7027</v>
      </c>
      <c r="H617" s="818">
        <v>6253</v>
      </c>
      <c r="I617" s="817">
        <v>12087</v>
      </c>
      <c r="J617" s="816">
        <v>856</v>
      </c>
      <c r="K617" s="818">
        <f t="shared" si="21"/>
        <v>26223</v>
      </c>
      <c r="L617" s="816"/>
      <c r="M617" s="817">
        <v>236</v>
      </c>
      <c r="N617" s="817">
        <v>0</v>
      </c>
      <c r="O617" s="816">
        <v>4283</v>
      </c>
      <c r="P617" s="818">
        <f t="shared" si="22"/>
        <v>4519</v>
      </c>
      <c r="Q617" s="816"/>
      <c r="R617" s="817">
        <v>12652</v>
      </c>
      <c r="S617" s="816">
        <v>-2837</v>
      </c>
      <c r="T617" s="819">
        <v>9815</v>
      </c>
    </row>
    <row r="618" spans="1:20" x14ac:dyDescent="0.25">
      <c r="A618" s="813">
        <v>96631</v>
      </c>
      <c r="B618" s="814" t="s">
        <v>4209</v>
      </c>
      <c r="C618" s="815">
        <v>2.3600000000000001E-5</v>
      </c>
      <c r="D618" s="815">
        <v>2.51E-5</v>
      </c>
      <c r="E618" s="816">
        <v>55987</v>
      </c>
      <c r="F618" s="816" t="s">
        <v>185</v>
      </c>
      <c r="G618" s="817">
        <v>8638</v>
      </c>
      <c r="H618" s="818">
        <v>7685</v>
      </c>
      <c r="I618" s="817">
        <v>14857</v>
      </c>
      <c r="J618" s="816">
        <v>1094</v>
      </c>
      <c r="K618" s="818">
        <f t="shared" si="21"/>
        <v>32274</v>
      </c>
      <c r="L618" s="816"/>
      <c r="M618" s="817">
        <v>290</v>
      </c>
      <c r="N618" s="817">
        <v>0</v>
      </c>
      <c r="O618" s="816">
        <v>531</v>
      </c>
      <c r="P618" s="818">
        <f t="shared" si="22"/>
        <v>821</v>
      </c>
      <c r="Q618" s="816"/>
      <c r="R618" s="817">
        <v>15552</v>
      </c>
      <c r="S618" s="816">
        <v>2111</v>
      </c>
      <c r="T618" s="819">
        <v>17663</v>
      </c>
    </row>
    <row r="619" spans="1:20" x14ac:dyDescent="0.25">
      <c r="A619" s="813">
        <v>96641</v>
      </c>
      <c r="B619" s="814" t="s">
        <v>4210</v>
      </c>
      <c r="C619" s="815">
        <v>3.2100000000000001E-5</v>
      </c>
      <c r="D619" s="815">
        <v>3.2199999999999997E-5</v>
      </c>
      <c r="E619" s="816">
        <v>76152</v>
      </c>
      <c r="F619" s="816" t="s">
        <v>185</v>
      </c>
      <c r="G619" s="817">
        <v>11748</v>
      </c>
      <c r="H619" s="818">
        <v>10453</v>
      </c>
      <c r="I619" s="817">
        <v>20208</v>
      </c>
      <c r="J619" s="816">
        <v>14432</v>
      </c>
      <c r="K619" s="818">
        <f t="shared" si="21"/>
        <v>56841</v>
      </c>
      <c r="L619" s="816"/>
      <c r="M619" s="817">
        <v>394</v>
      </c>
      <c r="N619" s="817">
        <v>0</v>
      </c>
      <c r="O619" s="816">
        <v>0</v>
      </c>
      <c r="P619" s="818">
        <f t="shared" si="22"/>
        <v>394</v>
      </c>
      <c r="Q619" s="816"/>
      <c r="R619" s="817">
        <v>21153</v>
      </c>
      <c r="S619" s="816">
        <v>7161</v>
      </c>
      <c r="T619" s="819">
        <v>28314</v>
      </c>
    </row>
    <row r="620" spans="1:20" x14ac:dyDescent="0.25">
      <c r="A620" s="813">
        <v>96651</v>
      </c>
      <c r="B620" s="814" t="s">
        <v>4211</v>
      </c>
      <c r="C620" s="815">
        <v>1.9400000000000001E-5</v>
      </c>
      <c r="D620" s="815">
        <v>1.7399999999999999E-5</v>
      </c>
      <c r="E620" s="816">
        <v>46023</v>
      </c>
      <c r="F620" s="816" t="s">
        <v>185</v>
      </c>
      <c r="G620" s="817">
        <v>7100</v>
      </c>
      <c r="H620" s="818">
        <v>6317</v>
      </c>
      <c r="I620" s="817">
        <v>12213</v>
      </c>
      <c r="J620" s="816">
        <v>2918</v>
      </c>
      <c r="K620" s="818">
        <f t="shared" si="21"/>
        <v>28548</v>
      </c>
      <c r="L620" s="816"/>
      <c r="M620" s="817">
        <v>238</v>
      </c>
      <c r="N620" s="817">
        <v>0</v>
      </c>
      <c r="O620" s="816">
        <v>392</v>
      </c>
      <c r="P620" s="818">
        <f t="shared" si="22"/>
        <v>630</v>
      </c>
      <c r="Q620" s="816"/>
      <c r="R620" s="817">
        <v>12784</v>
      </c>
      <c r="S620" s="816">
        <v>12</v>
      </c>
      <c r="T620" s="819">
        <v>12796</v>
      </c>
    </row>
    <row r="621" spans="1:20" x14ac:dyDescent="0.25">
      <c r="A621" s="813">
        <v>96661</v>
      </c>
      <c r="B621" s="814" t="s">
        <v>4212</v>
      </c>
      <c r="C621" s="815">
        <v>1.9000000000000001E-5</v>
      </c>
      <c r="D621" s="815">
        <v>1.9700000000000001E-5</v>
      </c>
      <c r="E621" s="816">
        <v>45074</v>
      </c>
      <c r="F621" s="816" t="s">
        <v>185</v>
      </c>
      <c r="G621" s="817">
        <v>6954</v>
      </c>
      <c r="H621" s="818">
        <v>6187</v>
      </c>
      <c r="I621" s="817">
        <v>11961</v>
      </c>
      <c r="J621" s="816">
        <v>3696</v>
      </c>
      <c r="K621" s="818">
        <f t="shared" si="21"/>
        <v>28798</v>
      </c>
      <c r="L621" s="816"/>
      <c r="M621" s="817">
        <v>233</v>
      </c>
      <c r="N621" s="817">
        <v>0</v>
      </c>
      <c r="O621" s="816">
        <v>0</v>
      </c>
      <c r="P621" s="818">
        <f t="shared" si="22"/>
        <v>233</v>
      </c>
      <c r="Q621" s="816"/>
      <c r="R621" s="817">
        <v>12520</v>
      </c>
      <c r="S621" s="816">
        <v>2708</v>
      </c>
      <c r="T621" s="819">
        <v>15228</v>
      </c>
    </row>
    <row r="622" spans="1:20" x14ac:dyDescent="0.25">
      <c r="A622" s="813">
        <v>96671</v>
      </c>
      <c r="B622" s="814" t="s">
        <v>4213</v>
      </c>
      <c r="C622" s="815">
        <v>1.3900000000000001E-5</v>
      </c>
      <c r="D622" s="815">
        <v>1.49E-5</v>
      </c>
      <c r="E622" s="816">
        <v>32976</v>
      </c>
      <c r="F622" s="816" t="s">
        <v>185</v>
      </c>
      <c r="G622" s="817">
        <v>5087</v>
      </c>
      <c r="H622" s="818">
        <v>4527</v>
      </c>
      <c r="I622" s="817">
        <v>8750</v>
      </c>
      <c r="J622" s="816">
        <v>5736</v>
      </c>
      <c r="K622" s="818">
        <f t="shared" si="21"/>
        <v>24100</v>
      </c>
      <c r="L622" s="816"/>
      <c r="M622" s="817">
        <v>171</v>
      </c>
      <c r="N622" s="817">
        <v>0</v>
      </c>
      <c r="O622" s="816">
        <v>0</v>
      </c>
      <c r="P622" s="818">
        <f t="shared" si="22"/>
        <v>171</v>
      </c>
      <c r="Q622" s="816"/>
      <c r="R622" s="817">
        <v>9160</v>
      </c>
      <c r="S622" s="816">
        <v>3860</v>
      </c>
      <c r="T622" s="819">
        <v>13020</v>
      </c>
    </row>
    <row r="623" spans="1:20" x14ac:dyDescent="0.25">
      <c r="A623" s="813">
        <v>96681</v>
      </c>
      <c r="B623" s="814" t="s">
        <v>4214</v>
      </c>
      <c r="C623" s="815">
        <v>2.0599999999999999E-5</v>
      </c>
      <c r="D623" s="815">
        <v>1.7499999999999998E-5</v>
      </c>
      <c r="E623" s="816">
        <v>48870</v>
      </c>
      <c r="F623" s="816" t="s">
        <v>185</v>
      </c>
      <c r="G623" s="817">
        <v>7540</v>
      </c>
      <c r="H623" s="818">
        <v>6709</v>
      </c>
      <c r="I623" s="817">
        <v>12968</v>
      </c>
      <c r="J623" s="816">
        <v>13276</v>
      </c>
      <c r="K623" s="818">
        <f t="shared" si="21"/>
        <v>40493</v>
      </c>
      <c r="L623" s="816"/>
      <c r="M623" s="817">
        <v>253</v>
      </c>
      <c r="N623" s="817">
        <v>0</v>
      </c>
      <c r="O623" s="816">
        <v>6212</v>
      </c>
      <c r="P623" s="818">
        <f t="shared" si="22"/>
        <v>6465</v>
      </c>
      <c r="Q623" s="816"/>
      <c r="R623" s="817">
        <v>13575</v>
      </c>
      <c r="S623" s="816">
        <v>4774</v>
      </c>
      <c r="T623" s="819">
        <v>18349</v>
      </c>
    </row>
    <row r="624" spans="1:20" x14ac:dyDescent="0.25">
      <c r="A624" s="813">
        <v>96701</v>
      </c>
      <c r="B624" s="814" t="s">
        <v>3147</v>
      </c>
      <c r="C624" s="815">
        <v>8.5999000000000006E-3</v>
      </c>
      <c r="D624" s="815">
        <v>8.4206000000000003E-3</v>
      </c>
      <c r="E624" s="816">
        <v>20401904</v>
      </c>
      <c r="F624" s="816" t="s">
        <v>185</v>
      </c>
      <c r="G624" s="817">
        <v>3147529</v>
      </c>
      <c r="H624" s="818">
        <v>2800575</v>
      </c>
      <c r="I624" s="817">
        <v>5413878</v>
      </c>
      <c r="J624" s="816">
        <v>278573</v>
      </c>
      <c r="K624" s="818">
        <f t="shared" si="21"/>
        <v>11640555</v>
      </c>
      <c r="L624" s="816"/>
      <c r="M624" s="817">
        <v>105615</v>
      </c>
      <c r="N624" s="817">
        <v>0</v>
      </c>
      <c r="O624" s="816">
        <v>118719</v>
      </c>
      <c r="P624" s="818">
        <f t="shared" si="22"/>
        <v>224334</v>
      </c>
      <c r="Q624" s="816"/>
      <c r="R624" s="817">
        <v>5667102</v>
      </c>
      <c r="S624" s="816">
        <v>115986</v>
      </c>
      <c r="T624" s="819">
        <v>5783088</v>
      </c>
    </row>
    <row r="625" spans="1:20" x14ac:dyDescent="0.25">
      <c r="A625" s="813">
        <v>96704</v>
      </c>
      <c r="B625" s="814" t="s">
        <v>3148</v>
      </c>
      <c r="C625" s="815">
        <v>1.7550000000000001E-4</v>
      </c>
      <c r="D625" s="815">
        <v>1.7259999999999999E-4</v>
      </c>
      <c r="E625" s="816">
        <v>416346</v>
      </c>
      <c r="F625" s="816" t="s">
        <v>185</v>
      </c>
      <c r="G625" s="817">
        <v>64232</v>
      </c>
      <c r="H625" s="818">
        <v>57152</v>
      </c>
      <c r="I625" s="817">
        <v>110482</v>
      </c>
      <c r="J625" s="816">
        <v>38151</v>
      </c>
      <c r="K625" s="818">
        <f t="shared" si="21"/>
        <v>270017</v>
      </c>
      <c r="L625" s="816"/>
      <c r="M625" s="817">
        <v>2155</v>
      </c>
      <c r="N625" s="817">
        <v>0</v>
      </c>
      <c r="O625" s="816">
        <v>0</v>
      </c>
      <c r="P625" s="818">
        <f t="shared" si="22"/>
        <v>2155</v>
      </c>
      <c r="Q625" s="816"/>
      <c r="R625" s="817">
        <v>115650</v>
      </c>
      <c r="S625" s="816">
        <v>14330</v>
      </c>
      <c r="T625" s="819">
        <v>129980</v>
      </c>
    </row>
    <row r="626" spans="1:20" x14ac:dyDescent="0.25">
      <c r="A626" s="813">
        <v>96708</v>
      </c>
      <c r="B626" s="814" t="s">
        <v>3149</v>
      </c>
      <c r="C626" s="815">
        <v>8.8579999999999996E-4</v>
      </c>
      <c r="D626" s="815">
        <v>9.031E-4</v>
      </c>
      <c r="E626" s="816">
        <v>2101421</v>
      </c>
      <c r="F626" s="816" t="s">
        <v>185</v>
      </c>
      <c r="G626" s="817">
        <v>324199</v>
      </c>
      <c r="H626" s="818">
        <v>288462</v>
      </c>
      <c r="I626" s="817">
        <v>557636</v>
      </c>
      <c r="J626" s="816">
        <v>83209</v>
      </c>
      <c r="K626" s="818">
        <f t="shared" si="21"/>
        <v>1253506</v>
      </c>
      <c r="L626" s="816"/>
      <c r="M626" s="817">
        <v>10879</v>
      </c>
      <c r="N626" s="817">
        <v>0</v>
      </c>
      <c r="O626" s="816">
        <v>12940</v>
      </c>
      <c r="P626" s="818">
        <f t="shared" si="22"/>
        <v>23819</v>
      </c>
      <c r="Q626" s="816"/>
      <c r="R626" s="817">
        <v>583718</v>
      </c>
      <c r="S626" s="816">
        <v>35387</v>
      </c>
      <c r="T626" s="819">
        <v>619105</v>
      </c>
    </row>
    <row r="627" spans="1:20" x14ac:dyDescent="0.25">
      <c r="A627" s="813">
        <v>96711</v>
      </c>
      <c r="B627" s="814" t="s">
        <v>3150</v>
      </c>
      <c r="C627" s="815">
        <v>3.9007999999999998E-3</v>
      </c>
      <c r="D627" s="815">
        <v>4.0464000000000003E-3</v>
      </c>
      <c r="E627" s="816">
        <v>9254032</v>
      </c>
      <c r="F627" s="816" t="s">
        <v>185</v>
      </c>
      <c r="G627" s="817">
        <v>1427677</v>
      </c>
      <c r="H627" s="818">
        <v>1270303</v>
      </c>
      <c r="I627" s="817">
        <v>2455663</v>
      </c>
      <c r="J627" s="816">
        <v>0</v>
      </c>
      <c r="K627" s="818">
        <f t="shared" si="21"/>
        <v>5153643</v>
      </c>
      <c r="L627" s="816"/>
      <c r="M627" s="817">
        <v>47906</v>
      </c>
      <c r="N627" s="817">
        <v>0</v>
      </c>
      <c r="O627" s="816">
        <v>409014</v>
      </c>
      <c r="P627" s="818">
        <f t="shared" si="22"/>
        <v>456920</v>
      </c>
      <c r="Q627" s="816"/>
      <c r="R627" s="817">
        <v>2570522</v>
      </c>
      <c r="S627" s="816">
        <v>-194188</v>
      </c>
      <c r="T627" s="819">
        <v>2376334</v>
      </c>
    </row>
    <row r="628" spans="1:20" x14ac:dyDescent="0.25">
      <c r="A628" s="813">
        <v>96721</v>
      </c>
      <c r="B628" s="814" t="s">
        <v>4215</v>
      </c>
      <c r="C628" s="815">
        <v>2.1790000000000001E-4</v>
      </c>
      <c r="D628" s="815">
        <v>2.1379999999999999E-4</v>
      </c>
      <c r="E628" s="816">
        <v>516933</v>
      </c>
      <c r="F628" s="816" t="s">
        <v>185</v>
      </c>
      <c r="G628" s="817">
        <v>79751</v>
      </c>
      <c r="H628" s="818">
        <v>70959</v>
      </c>
      <c r="I628" s="817">
        <v>137174</v>
      </c>
      <c r="J628" s="816">
        <v>8328</v>
      </c>
      <c r="K628" s="818">
        <f t="shared" si="21"/>
        <v>296212</v>
      </c>
      <c r="L628" s="816"/>
      <c r="M628" s="817">
        <v>2676</v>
      </c>
      <c r="N628" s="817">
        <v>0</v>
      </c>
      <c r="O628" s="816">
        <v>16609</v>
      </c>
      <c r="P628" s="818">
        <f t="shared" si="22"/>
        <v>19285</v>
      </c>
      <c r="Q628" s="816"/>
      <c r="R628" s="817">
        <v>143590</v>
      </c>
      <c r="S628" s="816">
        <v>-991</v>
      </c>
      <c r="T628" s="819">
        <v>142599</v>
      </c>
    </row>
    <row r="629" spans="1:20" x14ac:dyDescent="0.25">
      <c r="A629" s="813">
        <v>96731</v>
      </c>
      <c r="B629" s="814" t="s">
        <v>4216</v>
      </c>
      <c r="C629" s="815">
        <v>1.7019999999999999E-4</v>
      </c>
      <c r="D629" s="815">
        <v>1.697E-4</v>
      </c>
      <c r="E629" s="816">
        <v>403773</v>
      </c>
      <c r="F629" s="816" t="s">
        <v>185</v>
      </c>
      <c r="G629" s="817">
        <v>62293</v>
      </c>
      <c r="H629" s="818">
        <v>55426</v>
      </c>
      <c r="I629" s="817">
        <v>107146</v>
      </c>
      <c r="J629" s="816">
        <v>13647</v>
      </c>
      <c r="K629" s="818">
        <f t="shared" si="21"/>
        <v>238512</v>
      </c>
      <c r="L629" s="816"/>
      <c r="M629" s="817">
        <v>2090</v>
      </c>
      <c r="N629" s="817">
        <v>0</v>
      </c>
      <c r="O629" s="816">
        <v>1770</v>
      </c>
      <c r="P629" s="818">
        <f t="shared" si="22"/>
        <v>3860</v>
      </c>
      <c r="Q629" s="816"/>
      <c r="R629" s="817">
        <v>112157</v>
      </c>
      <c r="S629" s="816">
        <v>6857</v>
      </c>
      <c r="T629" s="819">
        <v>119014</v>
      </c>
    </row>
    <row r="630" spans="1:20" x14ac:dyDescent="0.25">
      <c r="A630" s="813">
        <v>96733</v>
      </c>
      <c r="B630" s="814" t="s">
        <v>3153</v>
      </c>
      <c r="C630" s="815">
        <v>1.1800000000000001E-5</v>
      </c>
      <c r="D630" s="815">
        <v>7.3000000000000004E-6</v>
      </c>
      <c r="E630" s="816">
        <v>27994</v>
      </c>
      <c r="F630" s="816" t="s">
        <v>185</v>
      </c>
      <c r="G630" s="817">
        <v>4319</v>
      </c>
      <c r="H630" s="818">
        <v>3843</v>
      </c>
      <c r="I630" s="817">
        <v>7428</v>
      </c>
      <c r="J630" s="816">
        <v>4117</v>
      </c>
      <c r="K630" s="818">
        <f t="shared" si="21"/>
        <v>19707</v>
      </c>
      <c r="L630" s="816"/>
      <c r="M630" s="817">
        <v>145</v>
      </c>
      <c r="N630" s="817">
        <v>0</v>
      </c>
      <c r="O630" s="816">
        <v>705</v>
      </c>
      <c r="P630" s="818">
        <f t="shared" si="22"/>
        <v>850</v>
      </c>
      <c r="Q630" s="816"/>
      <c r="R630" s="817">
        <v>7776</v>
      </c>
      <c r="S630" s="816">
        <v>2113</v>
      </c>
      <c r="T630" s="819">
        <v>9889</v>
      </c>
    </row>
    <row r="631" spans="1:20" x14ac:dyDescent="0.25">
      <c r="A631" s="813">
        <v>96741</v>
      </c>
      <c r="B631" s="814" t="s">
        <v>4217</v>
      </c>
      <c r="C631" s="815">
        <v>9.8900000000000005E-5</v>
      </c>
      <c r="D631" s="815">
        <v>9.0799999999999998E-5</v>
      </c>
      <c r="E631" s="816">
        <v>234625</v>
      </c>
      <c r="F631" s="816" t="s">
        <v>185</v>
      </c>
      <c r="G631" s="817">
        <v>36197</v>
      </c>
      <c r="H631" s="818">
        <v>32207</v>
      </c>
      <c r="I631" s="817">
        <v>62260</v>
      </c>
      <c r="J631" s="816">
        <v>4092</v>
      </c>
      <c r="K631" s="818">
        <f t="shared" si="21"/>
        <v>134756</v>
      </c>
      <c r="L631" s="816"/>
      <c r="M631" s="817">
        <v>1215</v>
      </c>
      <c r="N631" s="817">
        <v>0</v>
      </c>
      <c r="O631" s="816">
        <v>1693</v>
      </c>
      <c r="P631" s="818">
        <f t="shared" si="22"/>
        <v>2908</v>
      </c>
      <c r="Q631" s="816"/>
      <c r="R631" s="817">
        <v>65172</v>
      </c>
      <c r="S631" s="816">
        <v>2903</v>
      </c>
      <c r="T631" s="819">
        <v>68075</v>
      </c>
    </row>
    <row r="632" spans="1:20" x14ac:dyDescent="0.25">
      <c r="A632" s="813">
        <v>96751</v>
      </c>
      <c r="B632" s="814" t="s">
        <v>4218</v>
      </c>
      <c r="C632" s="815">
        <v>2.7920000000000001E-4</v>
      </c>
      <c r="D632" s="815">
        <v>2.5809999999999999E-4</v>
      </c>
      <c r="E632" s="816">
        <v>662358</v>
      </c>
      <c r="F632" s="816" t="s">
        <v>185</v>
      </c>
      <c r="G632" s="817">
        <v>102186</v>
      </c>
      <c r="H632" s="818">
        <v>90922</v>
      </c>
      <c r="I632" s="817">
        <v>175764</v>
      </c>
      <c r="J632" s="816">
        <v>1710</v>
      </c>
      <c r="K632" s="818">
        <f t="shared" si="21"/>
        <v>370582</v>
      </c>
      <c r="L632" s="816"/>
      <c r="M632" s="817">
        <v>3429</v>
      </c>
      <c r="N632" s="817">
        <v>0</v>
      </c>
      <c r="O632" s="816">
        <v>19725</v>
      </c>
      <c r="P632" s="818">
        <f t="shared" si="22"/>
        <v>23154</v>
      </c>
      <c r="Q632" s="816"/>
      <c r="R632" s="817">
        <v>183985</v>
      </c>
      <c r="S632" s="816">
        <v>-418</v>
      </c>
      <c r="T632" s="819">
        <v>183567</v>
      </c>
    </row>
    <row r="633" spans="1:20" x14ac:dyDescent="0.25">
      <c r="A633" s="813">
        <v>96801</v>
      </c>
      <c r="B633" s="814" t="s">
        <v>3156</v>
      </c>
      <c r="C633" s="815">
        <v>7.6252999999999998E-3</v>
      </c>
      <c r="D633" s="815">
        <v>7.5814000000000003E-3</v>
      </c>
      <c r="E633" s="816">
        <v>18089819</v>
      </c>
      <c r="F633" s="816" t="s">
        <v>185</v>
      </c>
      <c r="G633" s="817">
        <v>2790829</v>
      </c>
      <c r="H633" s="818">
        <v>2483194</v>
      </c>
      <c r="I633" s="817">
        <v>4800340</v>
      </c>
      <c r="J633" s="816">
        <v>244257</v>
      </c>
      <c r="K633" s="818">
        <f t="shared" si="21"/>
        <v>10318620</v>
      </c>
      <c r="L633" s="816"/>
      <c r="M633" s="817">
        <v>93646</v>
      </c>
      <c r="N633" s="817">
        <v>0</v>
      </c>
      <c r="O633" s="816">
        <v>54881</v>
      </c>
      <c r="P633" s="818">
        <f t="shared" si="22"/>
        <v>148527</v>
      </c>
      <c r="Q633" s="816"/>
      <c r="R633" s="817">
        <v>5024867</v>
      </c>
      <c r="S633" s="816">
        <v>234375</v>
      </c>
      <c r="T633" s="819">
        <v>5259242</v>
      </c>
    </row>
    <row r="634" spans="1:20" x14ac:dyDescent="0.25">
      <c r="A634" s="813">
        <v>96804</v>
      </c>
      <c r="B634" s="814" t="s">
        <v>3157</v>
      </c>
      <c r="C634" s="815">
        <v>2.5539999999999997E-4</v>
      </c>
      <c r="D634" s="815">
        <v>2.654E-4</v>
      </c>
      <c r="E634" s="816">
        <v>605896</v>
      </c>
      <c r="F634" s="816" t="s">
        <v>185</v>
      </c>
      <c r="G634" s="817">
        <v>93475</v>
      </c>
      <c r="H634" s="818">
        <v>83171</v>
      </c>
      <c r="I634" s="817">
        <v>160781</v>
      </c>
      <c r="J634" s="816">
        <v>4075</v>
      </c>
      <c r="K634" s="818">
        <f t="shared" si="21"/>
        <v>341502</v>
      </c>
      <c r="L634" s="816"/>
      <c r="M634" s="817">
        <v>3137</v>
      </c>
      <c r="N634" s="817">
        <v>0</v>
      </c>
      <c r="O634" s="816">
        <v>20354</v>
      </c>
      <c r="P634" s="818">
        <f t="shared" si="22"/>
        <v>23491</v>
      </c>
      <c r="Q634" s="816"/>
      <c r="R634" s="817">
        <v>168302</v>
      </c>
      <c r="S634" s="816">
        <v>-2456</v>
      </c>
      <c r="T634" s="819">
        <v>165846</v>
      </c>
    </row>
    <row r="635" spans="1:20" x14ac:dyDescent="0.25">
      <c r="A635" s="813">
        <v>96808</v>
      </c>
      <c r="B635" s="814" t="s">
        <v>3158</v>
      </c>
      <c r="C635" s="815">
        <v>1.2572E-3</v>
      </c>
      <c r="D635" s="815">
        <v>1.2711000000000001E-3</v>
      </c>
      <c r="E635" s="816">
        <v>2982508</v>
      </c>
      <c r="F635" s="816" t="s">
        <v>185</v>
      </c>
      <c r="G635" s="817">
        <v>460130</v>
      </c>
      <c r="H635" s="818">
        <v>409410</v>
      </c>
      <c r="I635" s="817">
        <v>791443</v>
      </c>
      <c r="J635" s="816">
        <v>18089</v>
      </c>
      <c r="K635" s="818">
        <f t="shared" si="21"/>
        <v>1679072</v>
      </c>
      <c r="L635" s="816"/>
      <c r="M635" s="817">
        <v>15440</v>
      </c>
      <c r="N635" s="817">
        <v>0</v>
      </c>
      <c r="O635" s="816">
        <v>15050</v>
      </c>
      <c r="P635" s="818">
        <f t="shared" si="22"/>
        <v>30490</v>
      </c>
      <c r="Q635" s="816"/>
      <c r="R635" s="817">
        <v>828461</v>
      </c>
      <c r="S635" s="816">
        <v>20446</v>
      </c>
      <c r="T635" s="819">
        <v>848907</v>
      </c>
    </row>
    <row r="636" spans="1:20" x14ac:dyDescent="0.25">
      <c r="A636" s="813">
        <v>96811</v>
      </c>
      <c r="B636" s="814" t="s">
        <v>4219</v>
      </c>
      <c r="C636" s="815">
        <v>6.1249E-3</v>
      </c>
      <c r="D636" s="815">
        <v>6.0096999999999998E-3</v>
      </c>
      <c r="E636" s="816">
        <v>14530358</v>
      </c>
      <c r="F636" s="816" t="s">
        <v>185</v>
      </c>
      <c r="G636" s="817">
        <v>2241689</v>
      </c>
      <c r="H636" s="818">
        <v>1994586</v>
      </c>
      <c r="I636" s="817">
        <v>3855796</v>
      </c>
      <c r="J636" s="816">
        <v>28059</v>
      </c>
      <c r="K636" s="818">
        <f t="shared" si="21"/>
        <v>8120130</v>
      </c>
      <c r="L636" s="816"/>
      <c r="M636" s="817">
        <v>75220</v>
      </c>
      <c r="N636" s="817">
        <v>0</v>
      </c>
      <c r="O636" s="816">
        <v>73994</v>
      </c>
      <c r="P636" s="818">
        <f t="shared" si="22"/>
        <v>149214</v>
      </c>
      <c r="Q636" s="816"/>
      <c r="R636" s="817">
        <v>4036144</v>
      </c>
      <c r="S636" s="816">
        <v>-36406</v>
      </c>
      <c r="T636" s="819">
        <v>3999738</v>
      </c>
    </row>
    <row r="637" spans="1:20" x14ac:dyDescent="0.25">
      <c r="A637" s="813">
        <v>96821</v>
      </c>
      <c r="B637" s="814" t="s">
        <v>4220</v>
      </c>
      <c r="C637" s="815">
        <v>1.1529999999999999E-3</v>
      </c>
      <c r="D637" s="815">
        <v>1.3247000000000001E-3</v>
      </c>
      <c r="E637" s="816">
        <v>2735310</v>
      </c>
      <c r="F637" s="816" t="s">
        <v>185</v>
      </c>
      <c r="G637" s="817">
        <v>421993</v>
      </c>
      <c r="H637" s="818">
        <v>375477</v>
      </c>
      <c r="I637" s="817">
        <v>725846</v>
      </c>
      <c r="J637" s="816">
        <v>0</v>
      </c>
      <c r="K637" s="818">
        <f t="shared" si="21"/>
        <v>1523316</v>
      </c>
      <c r="L637" s="816"/>
      <c r="M637" s="817">
        <v>14160</v>
      </c>
      <c r="N637" s="817">
        <v>0</v>
      </c>
      <c r="O637" s="816">
        <v>169149</v>
      </c>
      <c r="P637" s="818">
        <f t="shared" si="22"/>
        <v>183309</v>
      </c>
      <c r="Q637" s="816"/>
      <c r="R637" s="817">
        <v>759796</v>
      </c>
      <c r="S637" s="816">
        <v>-77119</v>
      </c>
      <c r="T637" s="819">
        <v>682677</v>
      </c>
    </row>
    <row r="638" spans="1:20" x14ac:dyDescent="0.25">
      <c r="A638" s="813">
        <v>96831</v>
      </c>
      <c r="B638" s="814" t="s">
        <v>4221</v>
      </c>
      <c r="C638" s="815">
        <v>9.3130000000000003E-4</v>
      </c>
      <c r="D638" s="815">
        <v>9.1929999999999996E-4</v>
      </c>
      <c r="E638" s="816">
        <v>2209362</v>
      </c>
      <c r="F638" s="816" t="s">
        <v>185</v>
      </c>
      <c r="G638" s="817">
        <v>340852</v>
      </c>
      <c r="H638" s="818">
        <v>303280</v>
      </c>
      <c r="I638" s="817">
        <v>586279</v>
      </c>
      <c r="J638" s="816">
        <v>18400</v>
      </c>
      <c r="K638" s="818">
        <f t="shared" si="21"/>
        <v>1248811</v>
      </c>
      <c r="L638" s="816"/>
      <c r="M638" s="817">
        <v>11437</v>
      </c>
      <c r="N638" s="817">
        <v>0</v>
      </c>
      <c r="O638" s="816">
        <v>5806</v>
      </c>
      <c r="P638" s="818">
        <f t="shared" si="22"/>
        <v>17243</v>
      </c>
      <c r="Q638" s="816"/>
      <c r="R638" s="817">
        <v>613702</v>
      </c>
      <c r="S638" s="816">
        <v>17873</v>
      </c>
      <c r="T638" s="819">
        <v>631575</v>
      </c>
    </row>
    <row r="639" spans="1:20" x14ac:dyDescent="0.25">
      <c r="A639" s="813">
        <v>96901</v>
      </c>
      <c r="B639" s="814" t="s">
        <v>3162</v>
      </c>
      <c r="C639" s="815">
        <v>9.1089999999999997E-4</v>
      </c>
      <c r="D639" s="815">
        <v>8.9820000000000004E-4</v>
      </c>
      <c r="E639" s="816">
        <v>2160966</v>
      </c>
      <c r="F639" s="816" t="s">
        <v>185</v>
      </c>
      <c r="G639" s="817">
        <v>333386</v>
      </c>
      <c r="H639" s="818">
        <v>296636</v>
      </c>
      <c r="I639" s="817">
        <v>573437</v>
      </c>
      <c r="J639" s="816">
        <v>68835</v>
      </c>
      <c r="K639" s="818">
        <f t="shared" si="21"/>
        <v>1272294</v>
      </c>
      <c r="L639" s="816"/>
      <c r="M639" s="817">
        <v>11187</v>
      </c>
      <c r="N639" s="817">
        <v>0</v>
      </c>
      <c r="O639" s="816">
        <v>0</v>
      </c>
      <c r="P639" s="818">
        <f t="shared" si="22"/>
        <v>11187</v>
      </c>
      <c r="Q639" s="816"/>
      <c r="R639" s="817">
        <v>600259</v>
      </c>
      <c r="S639" s="816">
        <v>31901</v>
      </c>
      <c r="T639" s="819">
        <v>632160</v>
      </c>
    </row>
    <row r="640" spans="1:20" x14ac:dyDescent="0.25">
      <c r="A640" s="813">
        <v>96911</v>
      </c>
      <c r="B640" s="814" t="s">
        <v>4222</v>
      </c>
      <c r="C640" s="815">
        <v>2.3E-6</v>
      </c>
      <c r="D640" s="815">
        <v>2.3999999999999999E-6</v>
      </c>
      <c r="E640" s="816">
        <v>5456</v>
      </c>
      <c r="F640" s="816" t="s">
        <v>185</v>
      </c>
      <c r="G640" s="817">
        <v>842</v>
      </c>
      <c r="H640" s="818">
        <v>749</v>
      </c>
      <c r="I640" s="817">
        <v>1448</v>
      </c>
      <c r="J640" s="816">
        <v>1923</v>
      </c>
      <c r="K640" s="818">
        <f t="shared" si="21"/>
        <v>4962</v>
      </c>
      <c r="L640" s="816"/>
      <c r="M640" s="817">
        <v>28</v>
      </c>
      <c r="N640" s="817">
        <v>0</v>
      </c>
      <c r="O640" s="816">
        <v>1941</v>
      </c>
      <c r="P640" s="818">
        <f t="shared" si="22"/>
        <v>1969</v>
      </c>
      <c r="Q640" s="816"/>
      <c r="R640" s="817">
        <v>1516</v>
      </c>
      <c r="S640" s="816">
        <v>764</v>
      </c>
      <c r="T640" s="819">
        <v>2280</v>
      </c>
    </row>
    <row r="641" spans="1:20" x14ac:dyDescent="0.25">
      <c r="A641" s="813">
        <v>96912</v>
      </c>
      <c r="B641" s="814" t="s">
        <v>4223</v>
      </c>
      <c r="C641" s="815">
        <v>6.8100000000000002E-5</v>
      </c>
      <c r="D641" s="815">
        <v>6.0099999999999997E-5</v>
      </c>
      <c r="E641" s="816">
        <v>161556</v>
      </c>
      <c r="F641" s="816" t="s">
        <v>185</v>
      </c>
      <c r="G641" s="817">
        <v>24924</v>
      </c>
      <c r="H641" s="818">
        <v>22177</v>
      </c>
      <c r="I641" s="817">
        <v>42871</v>
      </c>
      <c r="J641" s="816">
        <v>1472</v>
      </c>
      <c r="K641" s="818">
        <f t="shared" si="21"/>
        <v>91444</v>
      </c>
      <c r="L641" s="816"/>
      <c r="M641" s="817">
        <v>836</v>
      </c>
      <c r="N641" s="817">
        <v>0</v>
      </c>
      <c r="O641" s="816">
        <v>2729</v>
      </c>
      <c r="P641" s="818">
        <f t="shared" si="22"/>
        <v>3565</v>
      </c>
      <c r="Q641" s="816"/>
      <c r="R641" s="817">
        <v>44876</v>
      </c>
      <c r="S641" s="816">
        <v>2396</v>
      </c>
      <c r="T641" s="819">
        <v>47272</v>
      </c>
    </row>
    <row r="642" spans="1:20" x14ac:dyDescent="0.25">
      <c r="A642" s="813">
        <v>96918</v>
      </c>
      <c r="B642" s="814" t="s">
        <v>3165</v>
      </c>
      <c r="C642" s="815">
        <v>3.2299999999999999E-5</v>
      </c>
      <c r="D642" s="815">
        <v>3.8000000000000002E-5</v>
      </c>
      <c r="E642" s="816">
        <v>76627</v>
      </c>
      <c r="F642" s="816" t="s">
        <v>185</v>
      </c>
      <c r="G642" s="817">
        <v>11822</v>
      </c>
      <c r="H642" s="818">
        <v>10519</v>
      </c>
      <c r="I642" s="817">
        <v>20334</v>
      </c>
      <c r="J642" s="816">
        <v>1798</v>
      </c>
      <c r="K642" s="818">
        <f t="shared" si="21"/>
        <v>44473</v>
      </c>
      <c r="L642" s="816"/>
      <c r="M642" s="817">
        <v>397</v>
      </c>
      <c r="N642" s="817">
        <v>0</v>
      </c>
      <c r="O642" s="816">
        <v>3897</v>
      </c>
      <c r="P642" s="818">
        <f t="shared" si="22"/>
        <v>4294</v>
      </c>
      <c r="Q642" s="816"/>
      <c r="R642" s="817">
        <v>21285</v>
      </c>
      <c r="S642" s="816">
        <v>4776</v>
      </c>
      <c r="T642" s="819">
        <v>26061</v>
      </c>
    </row>
    <row r="643" spans="1:20" x14ac:dyDescent="0.25">
      <c r="A643" s="813">
        <v>97001</v>
      </c>
      <c r="B643" s="814" t="s">
        <v>3166</v>
      </c>
      <c r="C643" s="815">
        <v>1.3370999999999999E-3</v>
      </c>
      <c r="D643" s="815">
        <v>1.3778E-3</v>
      </c>
      <c r="E643" s="816">
        <v>3172058</v>
      </c>
      <c r="F643" s="816" t="s">
        <v>185</v>
      </c>
      <c r="G643" s="817">
        <v>489373</v>
      </c>
      <c r="H643" s="818">
        <v>435430</v>
      </c>
      <c r="I643" s="817">
        <v>841742</v>
      </c>
      <c r="J643" s="816">
        <v>142216</v>
      </c>
      <c r="K643" s="818">
        <f t="shared" si="21"/>
        <v>1908761</v>
      </c>
      <c r="L643" s="816"/>
      <c r="M643" s="817">
        <v>16421</v>
      </c>
      <c r="N643" s="817">
        <v>0</v>
      </c>
      <c r="O643" s="816">
        <v>0</v>
      </c>
      <c r="P643" s="818">
        <f t="shared" si="22"/>
        <v>16421</v>
      </c>
      <c r="Q643" s="816"/>
      <c r="R643" s="817">
        <v>881113</v>
      </c>
      <c r="S643" s="816">
        <v>46843</v>
      </c>
      <c r="T643" s="819">
        <v>927956</v>
      </c>
    </row>
    <row r="644" spans="1:20" x14ac:dyDescent="0.25">
      <c r="A644" s="813">
        <v>97002</v>
      </c>
      <c r="B644" s="814" t="s">
        <v>3167</v>
      </c>
      <c r="C644" s="815">
        <v>4.8569999999999999E-4</v>
      </c>
      <c r="D644" s="815">
        <v>5.2610000000000005E-4</v>
      </c>
      <c r="E644" s="816">
        <v>1152247</v>
      </c>
      <c r="F644" s="816" t="s">
        <v>185</v>
      </c>
      <c r="G644" s="817">
        <v>177764</v>
      </c>
      <c r="H644" s="818">
        <v>158169</v>
      </c>
      <c r="I644" s="817">
        <v>305762</v>
      </c>
      <c r="J644" s="816">
        <v>5136</v>
      </c>
      <c r="K644" s="818">
        <f t="shared" si="21"/>
        <v>646831</v>
      </c>
      <c r="L644" s="816"/>
      <c r="M644" s="817">
        <v>5965</v>
      </c>
      <c r="N644" s="817">
        <v>0</v>
      </c>
      <c r="O644" s="816">
        <v>75548</v>
      </c>
      <c r="P644" s="818">
        <f t="shared" si="22"/>
        <v>81513</v>
      </c>
      <c r="Q644" s="816"/>
      <c r="R644" s="817">
        <v>320063</v>
      </c>
      <c r="S644" s="816">
        <v>-7630</v>
      </c>
      <c r="T644" s="819">
        <v>312433</v>
      </c>
    </row>
    <row r="645" spans="1:20" x14ac:dyDescent="0.25">
      <c r="A645" s="813">
        <v>97004</v>
      </c>
      <c r="B645" s="814" t="s">
        <v>3168</v>
      </c>
      <c r="C645" s="815">
        <v>8.4999999999999999E-6</v>
      </c>
      <c r="D645" s="815">
        <v>9.7999999999999993E-6</v>
      </c>
      <c r="E645" s="816">
        <v>20165</v>
      </c>
      <c r="F645" s="816" t="s">
        <v>185</v>
      </c>
      <c r="G645" s="817">
        <v>3111</v>
      </c>
      <c r="H645" s="818">
        <v>2768</v>
      </c>
      <c r="I645" s="817">
        <v>5351</v>
      </c>
      <c r="J645" s="816">
        <v>5157</v>
      </c>
      <c r="K645" s="818">
        <f t="shared" si="21"/>
        <v>16387</v>
      </c>
      <c r="L645" s="816"/>
      <c r="M645" s="817">
        <v>104</v>
      </c>
      <c r="N645" s="817">
        <v>0</v>
      </c>
      <c r="O645" s="816">
        <v>0</v>
      </c>
      <c r="P645" s="818">
        <f t="shared" si="22"/>
        <v>104</v>
      </c>
      <c r="Q645" s="816"/>
      <c r="R645" s="817">
        <v>5601</v>
      </c>
      <c r="S645" s="816">
        <v>2552</v>
      </c>
      <c r="T645" s="819">
        <v>8153</v>
      </c>
    </row>
    <row r="646" spans="1:20" x14ac:dyDescent="0.25">
      <c r="A646" s="813">
        <v>97005</v>
      </c>
      <c r="B646" s="814" t="s">
        <v>3169</v>
      </c>
      <c r="C646" s="815">
        <v>2.7500000000000001E-5</v>
      </c>
      <c r="D646" s="815">
        <v>2.83E-5</v>
      </c>
      <c r="E646" s="816">
        <v>65239</v>
      </c>
      <c r="F646" s="816" t="s">
        <v>185</v>
      </c>
      <c r="G646" s="817">
        <v>10065</v>
      </c>
      <c r="H646" s="818">
        <v>8955</v>
      </c>
      <c r="I646" s="817">
        <v>17312</v>
      </c>
      <c r="J646" s="816">
        <v>9886</v>
      </c>
      <c r="K646" s="818">
        <f t="shared" si="21"/>
        <v>46218</v>
      </c>
      <c r="L646" s="816"/>
      <c r="M646" s="817">
        <v>338</v>
      </c>
      <c r="N646" s="817">
        <v>0</v>
      </c>
      <c r="O646" s="816">
        <v>702</v>
      </c>
      <c r="P646" s="818">
        <f t="shared" si="22"/>
        <v>1040</v>
      </c>
      <c r="Q646" s="816"/>
      <c r="R646" s="817">
        <v>18122</v>
      </c>
      <c r="S646" s="816">
        <v>3372</v>
      </c>
      <c r="T646" s="819">
        <v>21494</v>
      </c>
    </row>
    <row r="647" spans="1:20" x14ac:dyDescent="0.25">
      <c r="A647" s="813">
        <v>97008</v>
      </c>
      <c r="B647" s="814" t="s">
        <v>3170</v>
      </c>
      <c r="C647" s="815">
        <v>2.766E-4</v>
      </c>
      <c r="D647" s="815">
        <v>2.8659999999999997E-4</v>
      </c>
      <c r="E647" s="816">
        <v>656190</v>
      </c>
      <c r="F647" s="816" t="s">
        <v>185</v>
      </c>
      <c r="G647" s="817">
        <v>101234</v>
      </c>
      <c r="H647" s="818">
        <v>90075</v>
      </c>
      <c r="I647" s="817">
        <v>174127</v>
      </c>
      <c r="J647" s="816">
        <v>3810</v>
      </c>
      <c r="K647" s="818">
        <f t="shared" si="21"/>
        <v>369246</v>
      </c>
      <c r="L647" s="816"/>
      <c r="M647" s="817">
        <v>3397</v>
      </c>
      <c r="N647" s="817">
        <v>0</v>
      </c>
      <c r="O647" s="816">
        <v>5294</v>
      </c>
      <c r="P647" s="818">
        <f t="shared" si="22"/>
        <v>8691</v>
      </c>
      <c r="Q647" s="816"/>
      <c r="R647" s="817">
        <v>182272</v>
      </c>
      <c r="S647" s="816">
        <v>6191</v>
      </c>
      <c r="T647" s="819">
        <v>188463</v>
      </c>
    </row>
    <row r="648" spans="1:20" x14ac:dyDescent="0.25">
      <c r="A648" s="813">
        <v>97010</v>
      </c>
      <c r="B648" s="814" t="s">
        <v>3171</v>
      </c>
      <c r="C648" s="815">
        <v>0</v>
      </c>
      <c r="D648" s="815">
        <v>0</v>
      </c>
      <c r="E648" s="816">
        <v>0</v>
      </c>
      <c r="F648" s="816" t="s">
        <v>185</v>
      </c>
      <c r="G648" s="817">
        <v>0</v>
      </c>
      <c r="H648" s="818">
        <v>0</v>
      </c>
      <c r="I648" s="817">
        <v>0</v>
      </c>
      <c r="J648" s="816">
        <v>0</v>
      </c>
      <c r="K648" s="818">
        <f t="shared" si="21"/>
        <v>0</v>
      </c>
      <c r="L648" s="816"/>
      <c r="M648" s="817">
        <v>0</v>
      </c>
      <c r="N648" s="817">
        <v>0</v>
      </c>
      <c r="O648" s="816">
        <v>777787</v>
      </c>
      <c r="P648" s="818">
        <f t="shared" si="22"/>
        <v>777787</v>
      </c>
      <c r="Q648" s="816"/>
      <c r="R648" s="817">
        <v>0</v>
      </c>
      <c r="S648" s="816">
        <v>-1279115</v>
      </c>
      <c r="T648" s="819">
        <v>-1279115</v>
      </c>
    </row>
    <row r="649" spans="1:20" x14ac:dyDescent="0.25">
      <c r="A649" s="813">
        <v>97011</v>
      </c>
      <c r="B649" s="814" t="s">
        <v>3172</v>
      </c>
      <c r="C649" s="815">
        <v>1.9426999999999999E-3</v>
      </c>
      <c r="D649" s="815">
        <v>1.9166999999999999E-3</v>
      </c>
      <c r="E649" s="816">
        <v>4608749</v>
      </c>
      <c r="F649" s="816" t="s">
        <v>185</v>
      </c>
      <c r="G649" s="817">
        <v>711020</v>
      </c>
      <c r="H649" s="818">
        <v>632644</v>
      </c>
      <c r="I649" s="817">
        <v>1222984</v>
      </c>
      <c r="J649" s="816">
        <v>0</v>
      </c>
      <c r="K649" s="818">
        <f t="shared" si="21"/>
        <v>2566648</v>
      </c>
      <c r="L649" s="816"/>
      <c r="M649" s="817">
        <v>23858</v>
      </c>
      <c r="N649" s="817">
        <v>0</v>
      </c>
      <c r="O649" s="816">
        <v>61009</v>
      </c>
      <c r="P649" s="818">
        <f t="shared" si="22"/>
        <v>84867</v>
      </c>
      <c r="Q649" s="816"/>
      <c r="R649" s="817">
        <v>1280187</v>
      </c>
      <c r="S649" s="816">
        <v>-40429</v>
      </c>
      <c r="T649" s="819">
        <v>1239758</v>
      </c>
    </row>
    <row r="650" spans="1:20" x14ac:dyDescent="0.25">
      <c r="A650" s="813">
        <v>97012</v>
      </c>
      <c r="B650" s="814" t="s">
        <v>4224</v>
      </c>
      <c r="C650" s="815">
        <v>3.0700000000000001E-5</v>
      </c>
      <c r="D650" s="815">
        <v>2.9499999999999999E-5</v>
      </c>
      <c r="E650" s="816">
        <v>72831</v>
      </c>
      <c r="F650" s="816" t="s">
        <v>185</v>
      </c>
      <c r="G650" s="817">
        <v>11236</v>
      </c>
      <c r="H650" s="818">
        <v>9997</v>
      </c>
      <c r="I650" s="817">
        <v>19327</v>
      </c>
      <c r="J650" s="816">
        <v>6719</v>
      </c>
      <c r="K650" s="818">
        <f t="shared" si="21"/>
        <v>47279</v>
      </c>
      <c r="L650" s="816"/>
      <c r="M650" s="817">
        <v>377</v>
      </c>
      <c r="N650" s="817">
        <v>0</v>
      </c>
      <c r="O650" s="816">
        <v>415</v>
      </c>
      <c r="P650" s="818">
        <f t="shared" si="22"/>
        <v>792</v>
      </c>
      <c r="Q650" s="816"/>
      <c r="R650" s="817">
        <v>20230</v>
      </c>
      <c r="S650" s="816">
        <v>1569</v>
      </c>
      <c r="T650" s="819">
        <v>21799</v>
      </c>
    </row>
    <row r="651" spans="1:20" x14ac:dyDescent="0.25">
      <c r="A651" s="813">
        <v>97013</v>
      </c>
      <c r="B651" s="814" t="s">
        <v>3174</v>
      </c>
      <c r="C651" s="815">
        <v>2.19E-5</v>
      </c>
      <c r="D651" s="815">
        <v>1.8199999999999999E-5</v>
      </c>
      <c r="E651" s="816">
        <v>51954</v>
      </c>
      <c r="F651" s="816" t="s">
        <v>185</v>
      </c>
      <c r="G651" s="817">
        <v>8015</v>
      </c>
      <c r="H651" s="818">
        <v>7132</v>
      </c>
      <c r="I651" s="817">
        <v>13787</v>
      </c>
      <c r="J651" s="816">
        <v>7375</v>
      </c>
      <c r="K651" s="818">
        <f t="shared" si="21"/>
        <v>36309</v>
      </c>
      <c r="L651" s="816"/>
      <c r="M651" s="817">
        <v>269</v>
      </c>
      <c r="N651" s="817">
        <v>0</v>
      </c>
      <c r="O651" s="816">
        <v>0</v>
      </c>
      <c r="P651" s="818">
        <f t="shared" si="22"/>
        <v>269</v>
      </c>
      <c r="Q651" s="816"/>
      <c r="R651" s="817">
        <v>14432</v>
      </c>
      <c r="S651" s="816">
        <v>2956</v>
      </c>
      <c r="T651" s="819">
        <v>17388</v>
      </c>
    </row>
    <row r="652" spans="1:20" x14ac:dyDescent="0.25">
      <c r="A652" s="813">
        <v>97015</v>
      </c>
      <c r="B652" s="814" t="s">
        <v>3175</v>
      </c>
      <c r="C652" s="815">
        <v>5.1700000000000003E-5</v>
      </c>
      <c r="D652" s="815">
        <v>4.1499999999999999E-5</v>
      </c>
      <c r="E652" s="816">
        <v>122650</v>
      </c>
      <c r="F652" s="816" t="s">
        <v>185</v>
      </c>
      <c r="G652" s="817">
        <v>18922</v>
      </c>
      <c r="H652" s="818">
        <v>16836</v>
      </c>
      <c r="I652" s="817">
        <v>32547</v>
      </c>
      <c r="J652" s="816">
        <v>9840</v>
      </c>
      <c r="K652" s="818">
        <f t="shared" si="21"/>
        <v>78145</v>
      </c>
      <c r="L652" s="816"/>
      <c r="M652" s="817">
        <v>635</v>
      </c>
      <c r="N652" s="817">
        <v>0</v>
      </c>
      <c r="O652" s="816">
        <v>3745</v>
      </c>
      <c r="P652" s="818">
        <f t="shared" si="22"/>
        <v>4380</v>
      </c>
      <c r="Q652" s="816"/>
      <c r="R652" s="817">
        <v>34069</v>
      </c>
      <c r="S652" s="816">
        <v>1860</v>
      </c>
      <c r="T652" s="819">
        <v>35929</v>
      </c>
    </row>
    <row r="653" spans="1:20" x14ac:dyDescent="0.25">
      <c r="A653" s="813">
        <v>97018</v>
      </c>
      <c r="B653" s="814" t="s">
        <v>3176</v>
      </c>
      <c r="C653" s="815">
        <v>7.4000000000000003E-6</v>
      </c>
      <c r="D653" s="815">
        <v>8.6000000000000007E-6</v>
      </c>
      <c r="E653" s="816">
        <v>17555</v>
      </c>
      <c r="F653" s="816" t="s">
        <v>185</v>
      </c>
      <c r="G653" s="817">
        <v>2708</v>
      </c>
      <c r="H653" s="818">
        <v>2410</v>
      </c>
      <c r="I653" s="817">
        <v>4659</v>
      </c>
      <c r="J653" s="816">
        <v>7148</v>
      </c>
      <c r="K653" s="818">
        <f t="shared" si="21"/>
        <v>16925</v>
      </c>
      <c r="L653" s="816"/>
      <c r="M653" s="817">
        <v>91</v>
      </c>
      <c r="N653" s="817">
        <v>0</v>
      </c>
      <c r="O653" s="816">
        <v>0</v>
      </c>
      <c r="P653" s="818">
        <f t="shared" si="22"/>
        <v>91</v>
      </c>
      <c r="Q653" s="816"/>
      <c r="R653" s="817">
        <v>4876</v>
      </c>
      <c r="S653" s="816">
        <v>3577</v>
      </c>
      <c r="T653" s="819">
        <v>8453</v>
      </c>
    </row>
    <row r="654" spans="1:20" x14ac:dyDescent="0.25">
      <c r="A654" s="813">
        <v>97101</v>
      </c>
      <c r="B654" s="814" t="s">
        <v>3177</v>
      </c>
      <c r="C654" s="815">
        <v>2.4805000000000001E-3</v>
      </c>
      <c r="D654" s="815">
        <v>2.5790000000000001E-3</v>
      </c>
      <c r="E654" s="816">
        <v>5884594</v>
      </c>
      <c r="F654" s="816" t="s">
        <v>185</v>
      </c>
      <c r="G654" s="817">
        <v>907853</v>
      </c>
      <c r="H654" s="818">
        <v>807780</v>
      </c>
      <c r="I654" s="817">
        <v>1561544</v>
      </c>
      <c r="J654" s="816">
        <v>35145</v>
      </c>
      <c r="K654" s="818">
        <f t="shared" si="21"/>
        <v>3312322</v>
      </c>
      <c r="L654" s="816"/>
      <c r="M654" s="817">
        <v>30463</v>
      </c>
      <c r="N654" s="817">
        <v>0</v>
      </c>
      <c r="O654" s="816">
        <v>0</v>
      </c>
      <c r="P654" s="818">
        <f t="shared" si="22"/>
        <v>30463</v>
      </c>
      <c r="Q654" s="816"/>
      <c r="R654" s="817">
        <v>1634583</v>
      </c>
      <c r="S654" s="816">
        <v>9399</v>
      </c>
      <c r="T654" s="819">
        <v>1643982</v>
      </c>
    </row>
    <row r="655" spans="1:20" x14ac:dyDescent="0.25">
      <c r="A655" s="813">
        <v>97104</v>
      </c>
      <c r="B655" s="814" t="s">
        <v>3178</v>
      </c>
      <c r="C655" s="815">
        <v>5.6100000000000002E-5</v>
      </c>
      <c r="D655" s="815">
        <v>5.4299999999999998E-5</v>
      </c>
      <c r="E655" s="816">
        <v>133088</v>
      </c>
      <c r="F655" s="816" t="s">
        <v>185</v>
      </c>
      <c r="G655" s="817">
        <v>20532</v>
      </c>
      <c r="H655" s="818">
        <v>18269</v>
      </c>
      <c r="I655" s="817">
        <v>35317</v>
      </c>
      <c r="J655" s="816">
        <v>11210</v>
      </c>
      <c r="K655" s="818">
        <f t="shared" si="21"/>
        <v>85328</v>
      </c>
      <c r="L655" s="816"/>
      <c r="M655" s="817">
        <v>689</v>
      </c>
      <c r="N655" s="817">
        <v>0</v>
      </c>
      <c r="O655" s="816">
        <v>0</v>
      </c>
      <c r="P655" s="818">
        <f t="shared" si="22"/>
        <v>689</v>
      </c>
      <c r="Q655" s="816"/>
      <c r="R655" s="817">
        <v>36968</v>
      </c>
      <c r="S655" s="816">
        <v>7518</v>
      </c>
      <c r="T655" s="819">
        <v>44486</v>
      </c>
    </row>
    <row r="656" spans="1:20" x14ac:dyDescent="0.25">
      <c r="A656" s="813">
        <v>97111</v>
      </c>
      <c r="B656" s="814" t="s">
        <v>4225</v>
      </c>
      <c r="C656" s="815">
        <v>2.7779999999999998E-4</v>
      </c>
      <c r="D656" s="815">
        <v>2.8200000000000002E-4</v>
      </c>
      <c r="E656" s="816">
        <v>659037</v>
      </c>
      <c r="F656" s="816" t="s">
        <v>185</v>
      </c>
      <c r="G656" s="817">
        <v>101674</v>
      </c>
      <c r="H656" s="818">
        <v>90466</v>
      </c>
      <c r="I656" s="817">
        <v>174883</v>
      </c>
      <c r="J656" s="816">
        <v>656</v>
      </c>
      <c r="K656" s="818">
        <f t="shared" ref="K656:K721" si="23">G656+H656+I656+J656</f>
        <v>367679</v>
      </c>
      <c r="L656" s="816"/>
      <c r="M656" s="817">
        <v>3412</v>
      </c>
      <c r="N656" s="817">
        <v>0</v>
      </c>
      <c r="O656" s="816">
        <v>19675</v>
      </c>
      <c r="P656" s="818">
        <f t="shared" ref="P656:P721" si="24">M656+N656+O656</f>
        <v>23087</v>
      </c>
      <c r="Q656" s="816"/>
      <c r="R656" s="817">
        <v>183063</v>
      </c>
      <c r="S656" s="816">
        <v>-3431</v>
      </c>
      <c r="T656" s="819">
        <v>179632</v>
      </c>
    </row>
    <row r="657" spans="1:20" x14ac:dyDescent="0.25">
      <c r="A657" s="813">
        <v>97121</v>
      </c>
      <c r="B657" s="814" t="s">
        <v>4226</v>
      </c>
      <c r="C657" s="815">
        <v>1.2980000000000001E-4</v>
      </c>
      <c r="D657" s="815">
        <v>1.3640000000000001E-4</v>
      </c>
      <c r="E657" s="816">
        <v>307930</v>
      </c>
      <c r="F657" s="816" t="s">
        <v>185</v>
      </c>
      <c r="G657" s="817">
        <v>47506</v>
      </c>
      <c r="H657" s="818">
        <v>42270</v>
      </c>
      <c r="I657" s="817">
        <v>81713</v>
      </c>
      <c r="J657" s="816">
        <v>15643</v>
      </c>
      <c r="K657" s="818">
        <f t="shared" si="23"/>
        <v>187132</v>
      </c>
      <c r="L657" s="816"/>
      <c r="M657" s="817">
        <v>1594</v>
      </c>
      <c r="N657" s="817">
        <v>0</v>
      </c>
      <c r="O657" s="816">
        <v>5525</v>
      </c>
      <c r="P657" s="818">
        <f t="shared" si="24"/>
        <v>7119</v>
      </c>
      <c r="Q657" s="816"/>
      <c r="R657" s="817">
        <v>85535</v>
      </c>
      <c r="S657" s="816">
        <v>263</v>
      </c>
      <c r="T657" s="819">
        <v>85798</v>
      </c>
    </row>
    <row r="658" spans="1:20" x14ac:dyDescent="0.25">
      <c r="A658" s="813">
        <v>97131</v>
      </c>
      <c r="B658" s="814" t="s">
        <v>4227</v>
      </c>
      <c r="C658" s="815">
        <v>6.0749999999999997E-4</v>
      </c>
      <c r="D658" s="815">
        <v>7.358E-4</v>
      </c>
      <c r="E658" s="816">
        <v>1441198</v>
      </c>
      <c r="F658" s="816" t="s">
        <v>185</v>
      </c>
      <c r="G658" s="817">
        <v>222343</v>
      </c>
      <c r="H658" s="818">
        <v>197834</v>
      </c>
      <c r="I658" s="817">
        <v>382438</v>
      </c>
      <c r="J658" s="816">
        <v>20955</v>
      </c>
      <c r="K658" s="818">
        <f t="shared" si="23"/>
        <v>823570</v>
      </c>
      <c r="L658" s="816"/>
      <c r="M658" s="817">
        <v>7461</v>
      </c>
      <c r="N658" s="817">
        <v>0</v>
      </c>
      <c r="O658" s="816">
        <v>118742</v>
      </c>
      <c r="P658" s="818">
        <f t="shared" si="24"/>
        <v>126203</v>
      </c>
      <c r="Q658" s="816"/>
      <c r="R658" s="817">
        <v>400326</v>
      </c>
      <c r="S658" s="816">
        <v>-21454</v>
      </c>
      <c r="T658" s="819">
        <v>378872</v>
      </c>
    </row>
    <row r="659" spans="1:20" x14ac:dyDescent="0.25">
      <c r="A659" s="813">
        <v>97201</v>
      </c>
      <c r="B659" s="814" t="s">
        <v>3182</v>
      </c>
      <c r="C659" s="815">
        <v>5.1219999999999998E-4</v>
      </c>
      <c r="D659" s="815">
        <v>5.2689999999999996E-4</v>
      </c>
      <c r="E659" s="816">
        <v>1215114</v>
      </c>
      <c r="F659" s="816" t="s">
        <v>185</v>
      </c>
      <c r="G659" s="817">
        <v>187463</v>
      </c>
      <c r="H659" s="818">
        <v>166799</v>
      </c>
      <c r="I659" s="817">
        <v>322444</v>
      </c>
      <c r="J659" s="816">
        <v>30683</v>
      </c>
      <c r="K659" s="818">
        <f t="shared" si="23"/>
        <v>707389</v>
      </c>
      <c r="L659" s="816"/>
      <c r="M659" s="817">
        <v>6290</v>
      </c>
      <c r="N659" s="817">
        <v>0</v>
      </c>
      <c r="O659" s="816">
        <v>1246</v>
      </c>
      <c r="P659" s="818">
        <f t="shared" si="24"/>
        <v>7536</v>
      </c>
      <c r="Q659" s="816"/>
      <c r="R659" s="817">
        <v>337526</v>
      </c>
      <c r="S659" s="816">
        <v>10658</v>
      </c>
      <c r="T659" s="819">
        <v>348184</v>
      </c>
    </row>
    <row r="660" spans="1:20" x14ac:dyDescent="0.25">
      <c r="A660" s="813">
        <v>97211</v>
      </c>
      <c r="B660" s="814" t="s">
        <v>4228</v>
      </c>
      <c r="C660" s="815">
        <v>1.4569999999999999E-4</v>
      </c>
      <c r="D660" s="815">
        <v>1.5980000000000001E-4</v>
      </c>
      <c r="E660" s="816">
        <v>345650</v>
      </c>
      <c r="F660" s="816" t="s">
        <v>185</v>
      </c>
      <c r="G660" s="817">
        <v>53326</v>
      </c>
      <c r="H660" s="818">
        <v>47448</v>
      </c>
      <c r="I660" s="817">
        <v>91722</v>
      </c>
      <c r="J660" s="816">
        <v>11315</v>
      </c>
      <c r="K660" s="818">
        <f t="shared" si="23"/>
        <v>203811</v>
      </c>
      <c r="L660" s="816"/>
      <c r="M660" s="817">
        <v>1789</v>
      </c>
      <c r="N660" s="817">
        <v>0</v>
      </c>
      <c r="O660" s="816">
        <v>12606</v>
      </c>
      <c r="P660" s="818">
        <f t="shared" si="24"/>
        <v>14395</v>
      </c>
      <c r="Q660" s="816"/>
      <c r="R660" s="817">
        <v>96012</v>
      </c>
      <c r="S660" s="816">
        <v>-859</v>
      </c>
      <c r="T660" s="819">
        <v>95153</v>
      </c>
    </row>
    <row r="661" spans="1:20" x14ac:dyDescent="0.25">
      <c r="A661" s="813">
        <v>97213</v>
      </c>
      <c r="B661" s="814" t="s">
        <v>4229</v>
      </c>
      <c r="C661" s="815">
        <v>4.5599999999999997E-5</v>
      </c>
      <c r="D661" s="815">
        <v>3.9100000000000002E-5</v>
      </c>
      <c r="E661" s="816">
        <v>108179</v>
      </c>
      <c r="F661" s="816" t="s">
        <v>185</v>
      </c>
      <c r="G661" s="817">
        <v>16689</v>
      </c>
      <c r="H661" s="818">
        <v>14849</v>
      </c>
      <c r="I661" s="817">
        <v>28706</v>
      </c>
      <c r="J661" s="816">
        <v>8617</v>
      </c>
      <c r="K661" s="818">
        <f t="shared" si="23"/>
        <v>68861</v>
      </c>
      <c r="L661" s="816"/>
      <c r="M661" s="817">
        <v>560</v>
      </c>
      <c r="N661" s="817">
        <v>0</v>
      </c>
      <c r="O661" s="816">
        <v>322</v>
      </c>
      <c r="P661" s="818">
        <f t="shared" si="24"/>
        <v>882</v>
      </c>
      <c r="Q661" s="816"/>
      <c r="R661" s="817">
        <v>30049</v>
      </c>
      <c r="S661" s="816">
        <v>3081</v>
      </c>
      <c r="T661" s="819">
        <v>33130</v>
      </c>
    </row>
    <row r="662" spans="1:20" x14ac:dyDescent="0.25">
      <c r="A662" s="813">
        <v>97217</v>
      </c>
      <c r="B662" s="814" t="s">
        <v>4230</v>
      </c>
      <c r="C662" s="815">
        <v>4.8999999999999997E-6</v>
      </c>
      <c r="D662" s="815">
        <v>4.6E-6</v>
      </c>
      <c r="E662" s="816">
        <v>11624</v>
      </c>
      <c r="F662" s="816" t="s">
        <v>185</v>
      </c>
      <c r="G662" s="817">
        <v>1793</v>
      </c>
      <c r="H662" s="818">
        <v>1596</v>
      </c>
      <c r="I662" s="817">
        <v>3085</v>
      </c>
      <c r="J662" s="816">
        <v>8394</v>
      </c>
      <c r="K662" s="818">
        <f t="shared" si="23"/>
        <v>14868</v>
      </c>
      <c r="L662" s="816"/>
      <c r="M662" s="817">
        <v>60</v>
      </c>
      <c r="N662" s="817">
        <v>0</v>
      </c>
      <c r="O662" s="816">
        <v>0</v>
      </c>
      <c r="P662" s="818">
        <f t="shared" si="24"/>
        <v>60</v>
      </c>
      <c r="Q662" s="816"/>
      <c r="R662" s="817">
        <v>3229</v>
      </c>
      <c r="S662" s="816">
        <v>4143</v>
      </c>
      <c r="T662" s="819">
        <v>7372</v>
      </c>
    </row>
    <row r="663" spans="1:20" x14ac:dyDescent="0.25">
      <c r="A663" s="813">
        <v>97221</v>
      </c>
      <c r="B663" s="814" t="s">
        <v>4231</v>
      </c>
      <c r="C663" s="815">
        <v>3.9999999999999998E-6</v>
      </c>
      <c r="D663" s="815">
        <v>7.1999999999999997E-6</v>
      </c>
      <c r="E663" s="816">
        <v>9489</v>
      </c>
      <c r="F663" s="816" t="s">
        <v>185</v>
      </c>
      <c r="G663" s="817">
        <v>1464</v>
      </c>
      <c r="H663" s="818">
        <v>1303</v>
      </c>
      <c r="I663" s="817">
        <v>2518</v>
      </c>
      <c r="J663" s="816">
        <v>6077</v>
      </c>
      <c r="K663" s="818">
        <f t="shared" si="23"/>
        <v>11362</v>
      </c>
      <c r="L663" s="816"/>
      <c r="M663" s="817">
        <v>49</v>
      </c>
      <c r="N663" s="817">
        <v>0</v>
      </c>
      <c r="O663" s="816">
        <v>0</v>
      </c>
      <c r="P663" s="818">
        <f t="shared" si="24"/>
        <v>49</v>
      </c>
      <c r="Q663" s="816"/>
      <c r="R663" s="817">
        <v>2636</v>
      </c>
      <c r="S663" s="816">
        <v>3385</v>
      </c>
      <c r="T663" s="819">
        <v>6021</v>
      </c>
    </row>
    <row r="664" spans="1:20" x14ac:dyDescent="0.25">
      <c r="A664" s="813">
        <v>97301</v>
      </c>
      <c r="B664" s="814" t="s">
        <v>3187</v>
      </c>
      <c r="C664" s="815">
        <v>2.4616E-3</v>
      </c>
      <c r="D664" s="815">
        <v>2.5135999999999999E-3</v>
      </c>
      <c r="E664" s="816">
        <v>5839757</v>
      </c>
      <c r="F664" s="816" t="s">
        <v>185</v>
      </c>
      <c r="G664" s="817">
        <v>900936</v>
      </c>
      <c r="H664" s="818">
        <v>801625</v>
      </c>
      <c r="I664" s="817">
        <v>1549646</v>
      </c>
      <c r="J664" s="816">
        <v>10684</v>
      </c>
      <c r="K664" s="818">
        <f t="shared" si="23"/>
        <v>3262891</v>
      </c>
      <c r="L664" s="816"/>
      <c r="M664" s="817">
        <v>30231</v>
      </c>
      <c r="N664" s="817">
        <v>0</v>
      </c>
      <c r="O664" s="816">
        <v>48917</v>
      </c>
      <c r="P664" s="818">
        <f t="shared" si="24"/>
        <v>79148</v>
      </c>
      <c r="Q664" s="816"/>
      <c r="R664" s="817">
        <v>1622128</v>
      </c>
      <c r="S664" s="816">
        <v>-14603</v>
      </c>
      <c r="T664" s="819">
        <v>1607525</v>
      </c>
    </row>
    <row r="665" spans="1:20" x14ac:dyDescent="0.25">
      <c r="A665" s="813">
        <v>97304</v>
      </c>
      <c r="B665" s="814" t="s">
        <v>3188</v>
      </c>
      <c r="C665" s="815">
        <v>1.5299999999999999E-5</v>
      </c>
      <c r="D665" s="815">
        <v>1.6799999999999998E-5</v>
      </c>
      <c r="E665" s="816">
        <v>36297</v>
      </c>
      <c r="F665" s="816" t="s">
        <v>185</v>
      </c>
      <c r="G665" s="817">
        <v>5600</v>
      </c>
      <c r="H665" s="818">
        <v>4983</v>
      </c>
      <c r="I665" s="817">
        <v>9632</v>
      </c>
      <c r="J665" s="816">
        <v>9181</v>
      </c>
      <c r="K665" s="818">
        <f t="shared" si="23"/>
        <v>29396</v>
      </c>
      <c r="L665" s="816"/>
      <c r="M665" s="817">
        <v>188</v>
      </c>
      <c r="N665" s="817">
        <v>0</v>
      </c>
      <c r="O665" s="816">
        <v>0</v>
      </c>
      <c r="P665" s="818">
        <f t="shared" si="24"/>
        <v>188</v>
      </c>
      <c r="Q665" s="816"/>
      <c r="R665" s="817">
        <v>10082</v>
      </c>
      <c r="S665" s="816">
        <v>4481</v>
      </c>
      <c r="T665" s="819">
        <v>14563</v>
      </c>
    </row>
    <row r="666" spans="1:20" x14ac:dyDescent="0.25">
      <c r="A666" s="813">
        <v>97311</v>
      </c>
      <c r="B666" s="814" t="s">
        <v>3189</v>
      </c>
      <c r="C666" s="815">
        <v>8.8420000000000002E-4</v>
      </c>
      <c r="D666" s="815">
        <v>9.1799999999999998E-4</v>
      </c>
      <c r="E666" s="816">
        <v>2097625</v>
      </c>
      <c r="F666" s="816" t="s">
        <v>185</v>
      </c>
      <c r="G666" s="817">
        <v>323614</v>
      </c>
      <c r="H666" s="818">
        <v>287942</v>
      </c>
      <c r="I666" s="817">
        <v>556629</v>
      </c>
      <c r="J666" s="816">
        <v>0</v>
      </c>
      <c r="K666" s="818">
        <f t="shared" si="23"/>
        <v>1168185</v>
      </c>
      <c r="L666" s="816"/>
      <c r="M666" s="817">
        <v>10859</v>
      </c>
      <c r="N666" s="817">
        <v>0</v>
      </c>
      <c r="O666" s="816">
        <v>82924</v>
      </c>
      <c r="P666" s="818">
        <f t="shared" si="24"/>
        <v>93783</v>
      </c>
      <c r="Q666" s="816"/>
      <c r="R666" s="817">
        <v>582664</v>
      </c>
      <c r="S666" s="816">
        <v>-48862</v>
      </c>
      <c r="T666" s="819">
        <v>533802</v>
      </c>
    </row>
    <row r="667" spans="1:20" x14ac:dyDescent="0.25">
      <c r="A667" s="813">
        <v>97401</v>
      </c>
      <c r="B667" s="814" t="s">
        <v>3190</v>
      </c>
      <c r="C667" s="815">
        <v>7.1440000000000002E-3</v>
      </c>
      <c r="D667" s="815">
        <v>7.1303E-3</v>
      </c>
      <c r="E667" s="816">
        <v>16948011</v>
      </c>
      <c r="F667" s="816" t="s">
        <v>185</v>
      </c>
      <c r="G667" s="817">
        <v>2614675</v>
      </c>
      <c r="H667" s="818">
        <v>2326458</v>
      </c>
      <c r="I667" s="817">
        <v>4497348</v>
      </c>
      <c r="J667" s="816">
        <v>194684</v>
      </c>
      <c r="K667" s="818">
        <f t="shared" si="23"/>
        <v>9633165</v>
      </c>
      <c r="L667" s="816"/>
      <c r="M667" s="817">
        <v>87735</v>
      </c>
      <c r="N667" s="817">
        <v>0</v>
      </c>
      <c r="O667" s="816">
        <v>24107</v>
      </c>
      <c r="P667" s="818">
        <f t="shared" si="24"/>
        <v>111842</v>
      </c>
      <c r="Q667" s="816"/>
      <c r="R667" s="817">
        <v>4707703</v>
      </c>
      <c r="S667" s="816">
        <v>-954</v>
      </c>
      <c r="T667" s="819">
        <v>4706749</v>
      </c>
    </row>
    <row r="668" spans="1:20" x14ac:dyDescent="0.25">
      <c r="A668" s="813">
        <v>97402</v>
      </c>
      <c r="B668" s="814" t="s">
        <v>3191</v>
      </c>
      <c r="C668" s="815">
        <v>4.8399999999999997E-5</v>
      </c>
      <c r="D668" s="815">
        <v>4.8000000000000001E-5</v>
      </c>
      <c r="E668" s="816">
        <v>114821</v>
      </c>
      <c r="F668" s="816" t="s">
        <v>185</v>
      </c>
      <c r="G668" s="817">
        <v>17714</v>
      </c>
      <c r="H668" s="818">
        <v>15761</v>
      </c>
      <c r="I668" s="817">
        <v>30469</v>
      </c>
      <c r="J668" s="816">
        <v>12911</v>
      </c>
      <c r="K668" s="818">
        <f t="shared" si="23"/>
        <v>76855</v>
      </c>
      <c r="L668" s="816"/>
      <c r="M668" s="817">
        <v>594</v>
      </c>
      <c r="N668" s="817">
        <v>0</v>
      </c>
      <c r="O668" s="816">
        <v>0</v>
      </c>
      <c r="P668" s="818">
        <f t="shared" si="24"/>
        <v>594</v>
      </c>
      <c r="Q668" s="816"/>
      <c r="R668" s="817">
        <v>31894</v>
      </c>
      <c r="S668" s="816">
        <v>5903</v>
      </c>
      <c r="T668" s="819">
        <v>37797</v>
      </c>
    </row>
    <row r="669" spans="1:20" x14ac:dyDescent="0.25">
      <c r="A669" s="813">
        <v>97404</v>
      </c>
      <c r="B669" s="814" t="s">
        <v>3192</v>
      </c>
      <c r="C669" s="815">
        <v>2.0320000000000001E-4</v>
      </c>
      <c r="D669" s="815">
        <v>2.1010000000000001E-4</v>
      </c>
      <c r="E669" s="816">
        <v>482060</v>
      </c>
      <c r="F669" s="816" t="s">
        <v>185</v>
      </c>
      <c r="G669" s="817">
        <v>74370</v>
      </c>
      <c r="H669" s="818">
        <v>66173</v>
      </c>
      <c r="I669" s="817">
        <v>127920</v>
      </c>
      <c r="J669" s="816">
        <v>0</v>
      </c>
      <c r="K669" s="818">
        <f t="shared" si="23"/>
        <v>268463</v>
      </c>
      <c r="L669" s="816"/>
      <c r="M669" s="817">
        <v>2495</v>
      </c>
      <c r="N669" s="817">
        <v>0</v>
      </c>
      <c r="O669" s="816">
        <v>26048</v>
      </c>
      <c r="P669" s="818">
        <f t="shared" si="24"/>
        <v>28543</v>
      </c>
      <c r="Q669" s="816"/>
      <c r="R669" s="817">
        <v>133903</v>
      </c>
      <c r="S669" s="816">
        <v>-9082</v>
      </c>
      <c r="T669" s="819">
        <v>124821</v>
      </c>
    </row>
    <row r="670" spans="1:20" x14ac:dyDescent="0.25">
      <c r="A670" s="813">
        <v>97405</v>
      </c>
      <c r="B670" s="814" t="s">
        <v>3193</v>
      </c>
      <c r="C670" s="815">
        <v>1.156E-4</v>
      </c>
      <c r="D670" s="815">
        <v>1.091E-4</v>
      </c>
      <c r="E670" s="816">
        <v>274243</v>
      </c>
      <c r="F670" s="816" t="s">
        <v>185</v>
      </c>
      <c r="G670" s="817">
        <v>42309</v>
      </c>
      <c r="H670" s="818">
        <v>37646</v>
      </c>
      <c r="I670" s="817">
        <v>72773</v>
      </c>
      <c r="J670" s="816">
        <v>33588</v>
      </c>
      <c r="K670" s="818">
        <f t="shared" si="23"/>
        <v>186316</v>
      </c>
      <c r="L670" s="816"/>
      <c r="M670" s="817">
        <v>1420</v>
      </c>
      <c r="N670" s="817">
        <v>0</v>
      </c>
      <c r="O670" s="816">
        <v>0</v>
      </c>
      <c r="P670" s="818">
        <f t="shared" si="24"/>
        <v>1420</v>
      </c>
      <c r="Q670" s="816"/>
      <c r="R670" s="817">
        <v>76177</v>
      </c>
      <c r="S670" s="816">
        <v>8872</v>
      </c>
      <c r="T670" s="819">
        <v>85049</v>
      </c>
    </row>
    <row r="671" spans="1:20" x14ac:dyDescent="0.25">
      <c r="A671" s="813">
        <v>97408</v>
      </c>
      <c r="B671" s="814" t="s">
        <v>3194</v>
      </c>
      <c r="C671" s="815">
        <v>4.3000000000000002E-5</v>
      </c>
      <c r="D671" s="815">
        <v>4.4499999999999997E-5</v>
      </c>
      <c r="E671" s="816">
        <v>102011</v>
      </c>
      <c r="F671" s="816" t="s">
        <v>185</v>
      </c>
      <c r="G671" s="817">
        <v>15738</v>
      </c>
      <c r="H671" s="818">
        <v>14003</v>
      </c>
      <c r="I671" s="817">
        <v>27070</v>
      </c>
      <c r="J671" s="816">
        <v>6868</v>
      </c>
      <c r="K671" s="818">
        <f t="shared" si="23"/>
        <v>63679</v>
      </c>
      <c r="L671" s="816"/>
      <c r="M671" s="817">
        <v>528</v>
      </c>
      <c r="N671" s="817">
        <v>0</v>
      </c>
      <c r="O671" s="816">
        <v>0</v>
      </c>
      <c r="P671" s="818">
        <f t="shared" si="24"/>
        <v>528</v>
      </c>
      <c r="Q671" s="816"/>
      <c r="R671" s="817">
        <v>28336</v>
      </c>
      <c r="S671" s="816">
        <v>3527</v>
      </c>
      <c r="T671" s="819">
        <v>31863</v>
      </c>
    </row>
    <row r="672" spans="1:20" x14ac:dyDescent="0.25">
      <c r="A672" s="813">
        <v>97411</v>
      </c>
      <c r="B672" s="814" t="s">
        <v>3195</v>
      </c>
      <c r="C672" s="815">
        <v>6.2385000000000001E-3</v>
      </c>
      <c r="D672" s="815">
        <v>6.6379000000000004E-3</v>
      </c>
      <c r="E672" s="816">
        <v>14799856</v>
      </c>
      <c r="F672" s="816" t="s">
        <v>185</v>
      </c>
      <c r="G672" s="817">
        <v>2283266</v>
      </c>
      <c r="H672" s="818">
        <v>2031580</v>
      </c>
      <c r="I672" s="817">
        <v>3927310</v>
      </c>
      <c r="J672" s="816">
        <v>0</v>
      </c>
      <c r="K672" s="818">
        <f t="shared" si="23"/>
        <v>8242156</v>
      </c>
      <c r="L672" s="816"/>
      <c r="M672" s="817">
        <v>76615</v>
      </c>
      <c r="N672" s="817">
        <v>0</v>
      </c>
      <c r="O672" s="816">
        <v>667530</v>
      </c>
      <c r="P672" s="818">
        <f t="shared" si="24"/>
        <v>744145</v>
      </c>
      <c r="Q672" s="816"/>
      <c r="R672" s="817">
        <v>4111003</v>
      </c>
      <c r="S672" s="816">
        <v>-393360</v>
      </c>
      <c r="T672" s="819">
        <v>3717643</v>
      </c>
    </row>
    <row r="673" spans="1:20" x14ac:dyDescent="0.25">
      <c r="A673" s="813">
        <v>97412</v>
      </c>
      <c r="B673" s="814" t="s">
        <v>3196</v>
      </c>
      <c r="C673" s="815">
        <v>4.6245000000000001E-3</v>
      </c>
      <c r="D673" s="815">
        <v>4.5082000000000004E-3</v>
      </c>
      <c r="E673" s="816">
        <v>10970896</v>
      </c>
      <c r="F673" s="816" t="s">
        <v>185</v>
      </c>
      <c r="G673" s="817">
        <v>1692549</v>
      </c>
      <c r="H673" s="818">
        <v>1505978</v>
      </c>
      <c r="I673" s="817">
        <v>2911252</v>
      </c>
      <c r="J673" s="816">
        <v>233378</v>
      </c>
      <c r="K673" s="818">
        <f t="shared" si="23"/>
        <v>6343157</v>
      </c>
      <c r="L673" s="816"/>
      <c r="M673" s="817">
        <v>56793</v>
      </c>
      <c r="N673" s="817">
        <v>0</v>
      </c>
      <c r="O673" s="816">
        <v>0</v>
      </c>
      <c r="P673" s="818">
        <f t="shared" si="24"/>
        <v>56793</v>
      </c>
      <c r="Q673" s="816"/>
      <c r="R673" s="817">
        <v>3047421</v>
      </c>
      <c r="S673" s="816">
        <v>107578</v>
      </c>
      <c r="T673" s="819">
        <v>3154999</v>
      </c>
    </row>
    <row r="674" spans="1:20" x14ac:dyDescent="0.25">
      <c r="A674" s="813">
        <v>97413</v>
      </c>
      <c r="B674" s="814" t="s">
        <v>3197</v>
      </c>
      <c r="C674" s="815">
        <v>2.7E-4</v>
      </c>
      <c r="D674" s="815">
        <v>2.6570000000000001E-4</v>
      </c>
      <c r="E674" s="816">
        <v>640532</v>
      </c>
      <c r="F674" s="816" t="s">
        <v>185</v>
      </c>
      <c r="G674" s="817">
        <v>98819</v>
      </c>
      <c r="H674" s="818">
        <v>87926</v>
      </c>
      <c r="I674" s="817">
        <v>169973</v>
      </c>
      <c r="J674" s="816">
        <v>21390</v>
      </c>
      <c r="K674" s="818">
        <f t="shared" si="23"/>
        <v>378108</v>
      </c>
      <c r="L674" s="816"/>
      <c r="M674" s="817">
        <v>3316</v>
      </c>
      <c r="N674" s="817">
        <v>0</v>
      </c>
      <c r="O674" s="816">
        <v>439</v>
      </c>
      <c r="P674" s="818">
        <f t="shared" si="24"/>
        <v>3755</v>
      </c>
      <c r="Q674" s="816"/>
      <c r="R674" s="817">
        <v>177923</v>
      </c>
      <c r="S674" s="816">
        <v>1118</v>
      </c>
      <c r="T674" s="819">
        <v>179041</v>
      </c>
    </row>
    <row r="675" spans="1:20" x14ac:dyDescent="0.25">
      <c r="A675" s="813">
        <v>97421</v>
      </c>
      <c r="B675" s="814" t="s">
        <v>4232</v>
      </c>
      <c r="C675" s="815">
        <v>4.4739999999999998E-4</v>
      </c>
      <c r="D675" s="815">
        <v>4.2890000000000002E-4</v>
      </c>
      <c r="E675" s="816">
        <v>1061386</v>
      </c>
      <c r="F675" s="816" t="s">
        <v>185</v>
      </c>
      <c r="G675" s="817">
        <v>163747</v>
      </c>
      <c r="H675" s="818">
        <v>145696</v>
      </c>
      <c r="I675" s="817">
        <v>281651</v>
      </c>
      <c r="J675" s="816">
        <v>12678</v>
      </c>
      <c r="K675" s="818">
        <f t="shared" si="23"/>
        <v>603772</v>
      </c>
      <c r="L675" s="816"/>
      <c r="M675" s="817">
        <v>5495</v>
      </c>
      <c r="N675" s="817">
        <v>0</v>
      </c>
      <c r="O675" s="816">
        <v>8104</v>
      </c>
      <c r="P675" s="818">
        <f t="shared" si="24"/>
        <v>13599</v>
      </c>
      <c r="Q675" s="816"/>
      <c r="R675" s="817">
        <v>294825</v>
      </c>
      <c r="S675" s="816">
        <v>-12344</v>
      </c>
      <c r="T675" s="819">
        <v>282481</v>
      </c>
    </row>
    <row r="676" spans="1:20" x14ac:dyDescent="0.25">
      <c r="A676" s="813">
        <v>97423</v>
      </c>
      <c r="B676" s="814" t="s">
        <v>3199</v>
      </c>
      <c r="C676" s="815">
        <v>3.93E-5</v>
      </c>
      <c r="D676" s="815">
        <v>4.3600000000000003E-5</v>
      </c>
      <c r="E676" s="816">
        <v>93233</v>
      </c>
      <c r="F676" s="816" t="s">
        <v>185</v>
      </c>
      <c r="G676" s="817">
        <v>14384</v>
      </c>
      <c r="H676" s="818">
        <v>12798</v>
      </c>
      <c r="I676" s="817">
        <v>24740</v>
      </c>
      <c r="J676" s="816">
        <v>37150</v>
      </c>
      <c r="K676" s="818">
        <f t="shared" si="23"/>
        <v>89072</v>
      </c>
      <c r="L676" s="816"/>
      <c r="M676" s="817">
        <v>483</v>
      </c>
      <c r="N676" s="817">
        <v>0</v>
      </c>
      <c r="O676" s="816">
        <v>0</v>
      </c>
      <c r="P676" s="818">
        <f t="shared" si="24"/>
        <v>483</v>
      </c>
      <c r="Q676" s="816"/>
      <c r="R676" s="817">
        <v>25898</v>
      </c>
      <c r="S676" s="816">
        <v>15711</v>
      </c>
      <c r="T676" s="819">
        <v>41609</v>
      </c>
    </row>
    <row r="677" spans="1:20" x14ac:dyDescent="0.25">
      <c r="A677" s="813">
        <v>97431</v>
      </c>
      <c r="B677" s="814" t="s">
        <v>4233</v>
      </c>
      <c r="C677" s="815">
        <v>1.0349999999999999E-4</v>
      </c>
      <c r="D677" s="815">
        <v>8.5599999999999994E-5</v>
      </c>
      <c r="E677" s="816">
        <v>245537</v>
      </c>
      <c r="F677" s="816" t="s">
        <v>185</v>
      </c>
      <c r="G677" s="817">
        <v>37881</v>
      </c>
      <c r="H677" s="818">
        <v>33705</v>
      </c>
      <c r="I677" s="817">
        <v>65156</v>
      </c>
      <c r="J677" s="816">
        <v>17263</v>
      </c>
      <c r="K677" s="818">
        <f t="shared" si="23"/>
        <v>154005</v>
      </c>
      <c r="L677" s="816"/>
      <c r="M677" s="817">
        <v>1271</v>
      </c>
      <c r="N677" s="817">
        <v>0</v>
      </c>
      <c r="O677" s="816">
        <v>0</v>
      </c>
      <c r="P677" s="818">
        <f t="shared" si="24"/>
        <v>1271</v>
      </c>
      <c r="Q677" s="816"/>
      <c r="R677" s="817">
        <v>68204</v>
      </c>
      <c r="S677" s="816">
        <v>5239</v>
      </c>
      <c r="T677" s="819">
        <v>73443</v>
      </c>
    </row>
    <row r="678" spans="1:20" x14ac:dyDescent="0.25">
      <c r="A678" s="813">
        <v>97441</v>
      </c>
      <c r="B678" s="814" t="s">
        <v>4234</v>
      </c>
      <c r="C678" s="815">
        <v>5.2899999999999998E-5</v>
      </c>
      <c r="D678" s="815">
        <v>7.5799999999999999E-5</v>
      </c>
      <c r="E678" s="816">
        <v>125497</v>
      </c>
      <c r="F678" s="816" t="s">
        <v>185</v>
      </c>
      <c r="G678" s="817">
        <v>19361</v>
      </c>
      <c r="H678" s="818">
        <v>17227</v>
      </c>
      <c r="I678" s="817">
        <v>33302</v>
      </c>
      <c r="J678" s="816">
        <v>0</v>
      </c>
      <c r="K678" s="818">
        <f t="shared" si="23"/>
        <v>69890</v>
      </c>
      <c r="L678" s="816"/>
      <c r="M678" s="817">
        <v>650</v>
      </c>
      <c r="N678" s="817">
        <v>0</v>
      </c>
      <c r="O678" s="816">
        <v>25076</v>
      </c>
      <c r="P678" s="818">
        <f t="shared" si="24"/>
        <v>25726</v>
      </c>
      <c r="Q678" s="816"/>
      <c r="R678" s="817">
        <v>34860</v>
      </c>
      <c r="S678" s="816">
        <v>-7198</v>
      </c>
      <c r="T678" s="819">
        <v>27662</v>
      </c>
    </row>
    <row r="679" spans="1:20" x14ac:dyDescent="0.25">
      <c r="A679" s="813">
        <v>97451</v>
      </c>
      <c r="B679" s="814" t="s">
        <v>4235</v>
      </c>
      <c r="C679" s="815">
        <v>6.3380000000000001E-4</v>
      </c>
      <c r="D679" s="815">
        <v>5.5820000000000002E-4</v>
      </c>
      <c r="E679" s="816">
        <v>1503590</v>
      </c>
      <c r="F679" s="816" t="s">
        <v>185</v>
      </c>
      <c r="G679" s="817">
        <v>231968</v>
      </c>
      <c r="H679" s="818">
        <v>206398</v>
      </c>
      <c r="I679" s="817">
        <v>398995</v>
      </c>
      <c r="J679" s="816">
        <v>21165</v>
      </c>
      <c r="K679" s="818">
        <f t="shared" si="23"/>
        <v>858526</v>
      </c>
      <c r="L679" s="816"/>
      <c r="M679" s="817">
        <v>7784</v>
      </c>
      <c r="N679" s="817">
        <v>0</v>
      </c>
      <c r="O679" s="816">
        <v>34586</v>
      </c>
      <c r="P679" s="818">
        <f t="shared" si="24"/>
        <v>42370</v>
      </c>
      <c r="Q679" s="816"/>
      <c r="R679" s="817">
        <v>417657</v>
      </c>
      <c r="S679" s="816">
        <v>81</v>
      </c>
      <c r="T679" s="819">
        <v>417738</v>
      </c>
    </row>
    <row r="680" spans="1:20" x14ac:dyDescent="0.25">
      <c r="A680" s="813" t="s">
        <v>4236</v>
      </c>
      <c r="B680" s="814" t="s">
        <v>4237</v>
      </c>
      <c r="C680" s="815">
        <v>5.3019999999999999E-4</v>
      </c>
      <c r="D680" s="815">
        <v>5.5650000000000003E-4</v>
      </c>
      <c r="E680" s="816">
        <v>1257816</v>
      </c>
      <c r="F680" s="816" t="s">
        <v>185</v>
      </c>
      <c r="G680" s="817">
        <v>194051</v>
      </c>
      <c r="H680" s="818">
        <v>172661</v>
      </c>
      <c r="I680" s="817">
        <v>333776</v>
      </c>
      <c r="J680" s="816">
        <v>2730</v>
      </c>
      <c r="K680" s="818">
        <f t="shared" si="23"/>
        <v>703218</v>
      </c>
      <c r="L680" s="816"/>
      <c r="M680" s="817">
        <v>6511</v>
      </c>
      <c r="N680" s="817">
        <v>0</v>
      </c>
      <c r="O680" s="816">
        <v>55903</v>
      </c>
      <c r="P680" s="818">
        <f t="shared" si="24"/>
        <v>62414</v>
      </c>
      <c r="Q680" s="816"/>
      <c r="R680" s="817">
        <v>349387</v>
      </c>
      <c r="S680" s="816">
        <v>-21034</v>
      </c>
      <c r="T680" s="819">
        <v>328353</v>
      </c>
    </row>
    <row r="681" spans="1:20" x14ac:dyDescent="0.25">
      <c r="A681" s="813" t="s">
        <v>4238</v>
      </c>
      <c r="B681" s="814" t="s">
        <v>4239</v>
      </c>
      <c r="C681" s="815">
        <v>0</v>
      </c>
      <c r="D681" s="815">
        <v>4.1100000000000003E-5</v>
      </c>
      <c r="E681" s="816">
        <v>0</v>
      </c>
      <c r="F681" s="816" t="s">
        <v>185</v>
      </c>
      <c r="G681" s="817">
        <v>0</v>
      </c>
      <c r="H681" s="818">
        <v>0</v>
      </c>
      <c r="I681" s="817">
        <v>0</v>
      </c>
      <c r="J681" s="816">
        <v>310</v>
      </c>
      <c r="K681" s="818">
        <f t="shared" si="23"/>
        <v>310</v>
      </c>
      <c r="L681" s="816"/>
      <c r="M681" s="817">
        <v>0</v>
      </c>
      <c r="N681" s="817">
        <v>0</v>
      </c>
      <c r="O681" s="816">
        <v>31362</v>
      </c>
      <c r="P681" s="818">
        <f t="shared" si="24"/>
        <v>31362</v>
      </c>
      <c r="Q681" s="816"/>
      <c r="R681" s="817">
        <v>0</v>
      </c>
      <c r="S681" s="816">
        <v>-8061</v>
      </c>
      <c r="T681" s="819">
        <v>-8061</v>
      </c>
    </row>
    <row r="682" spans="1:20" x14ac:dyDescent="0.25">
      <c r="A682" s="813">
        <v>97461</v>
      </c>
      <c r="B682" s="814" t="s">
        <v>4237</v>
      </c>
      <c r="C682" s="815">
        <f>SUM(C680:C681)</f>
        <v>5.3019999999999999E-4</v>
      </c>
      <c r="D682" s="815">
        <f t="shared" ref="D682:T682" si="25">SUM(D680:D681)</f>
        <v>5.976E-4</v>
      </c>
      <c r="E682" s="816">
        <f t="shared" si="25"/>
        <v>1257816</v>
      </c>
      <c r="F682" s="816"/>
      <c r="G682" s="817">
        <f t="shared" si="25"/>
        <v>194051</v>
      </c>
      <c r="H682" s="818">
        <f t="shared" si="25"/>
        <v>172661</v>
      </c>
      <c r="I682" s="817">
        <f t="shared" si="25"/>
        <v>333776</v>
      </c>
      <c r="J682" s="816">
        <f t="shared" si="25"/>
        <v>3040</v>
      </c>
      <c r="K682" s="818">
        <f t="shared" si="25"/>
        <v>703528</v>
      </c>
      <c r="L682" s="816"/>
      <c r="M682" s="817">
        <f t="shared" si="25"/>
        <v>6511</v>
      </c>
      <c r="N682" s="817">
        <f t="shared" si="25"/>
        <v>0</v>
      </c>
      <c r="O682" s="816">
        <f t="shared" si="25"/>
        <v>87265</v>
      </c>
      <c r="P682" s="818">
        <f t="shared" si="25"/>
        <v>93776</v>
      </c>
      <c r="Q682" s="816"/>
      <c r="R682" s="817">
        <f t="shared" si="25"/>
        <v>349387</v>
      </c>
      <c r="S682" s="816">
        <f t="shared" si="25"/>
        <v>-29095</v>
      </c>
      <c r="T682" s="819">
        <f t="shared" si="25"/>
        <v>320292</v>
      </c>
    </row>
    <row r="683" spans="1:20" x14ac:dyDescent="0.25">
      <c r="A683" s="813">
        <v>97471</v>
      </c>
      <c r="B683" s="814" t="s">
        <v>4240</v>
      </c>
      <c r="C683" s="815">
        <v>1.66E-5</v>
      </c>
      <c r="D683" s="815">
        <v>1.22E-5</v>
      </c>
      <c r="E683" s="816">
        <v>39381</v>
      </c>
      <c r="F683" s="816" t="s">
        <v>185</v>
      </c>
      <c r="G683" s="817">
        <v>6076</v>
      </c>
      <c r="H683" s="818">
        <v>5406</v>
      </c>
      <c r="I683" s="817">
        <v>10450</v>
      </c>
      <c r="J683" s="816">
        <v>10650</v>
      </c>
      <c r="K683" s="818">
        <f t="shared" si="23"/>
        <v>32582</v>
      </c>
      <c r="L683" s="816"/>
      <c r="M683" s="817">
        <v>204</v>
      </c>
      <c r="N683" s="817">
        <v>0</v>
      </c>
      <c r="O683" s="816">
        <v>0</v>
      </c>
      <c r="P683" s="818">
        <f t="shared" si="24"/>
        <v>204</v>
      </c>
      <c r="Q683" s="816"/>
      <c r="R683" s="817">
        <v>10939</v>
      </c>
      <c r="S683" s="816">
        <v>4239</v>
      </c>
      <c r="T683" s="819">
        <v>15178</v>
      </c>
    </row>
    <row r="684" spans="1:20" x14ac:dyDescent="0.25">
      <c r="A684" s="813">
        <v>97481</v>
      </c>
      <c r="B684" s="814" t="s">
        <v>4241</v>
      </c>
      <c r="C684" s="815">
        <v>1.26E-5</v>
      </c>
      <c r="D684" s="815">
        <v>9.9000000000000001E-6</v>
      </c>
      <c r="E684" s="816">
        <v>29892</v>
      </c>
      <c r="F684" s="816" t="s">
        <v>185</v>
      </c>
      <c r="G684" s="817">
        <v>4612</v>
      </c>
      <c r="H684" s="818">
        <v>4103</v>
      </c>
      <c r="I684" s="817">
        <v>7932</v>
      </c>
      <c r="J684" s="816">
        <v>1760</v>
      </c>
      <c r="K684" s="818">
        <f t="shared" si="23"/>
        <v>18407</v>
      </c>
      <c r="L684" s="816"/>
      <c r="M684" s="817">
        <v>155</v>
      </c>
      <c r="N684" s="817">
        <v>0</v>
      </c>
      <c r="O684" s="816">
        <v>2336</v>
      </c>
      <c r="P684" s="818">
        <f t="shared" si="24"/>
        <v>2491</v>
      </c>
      <c r="Q684" s="816"/>
      <c r="R684" s="817">
        <v>8303</v>
      </c>
      <c r="S684" s="816">
        <v>1709</v>
      </c>
      <c r="T684" s="819">
        <v>10012</v>
      </c>
    </row>
    <row r="685" spans="1:20" x14ac:dyDescent="0.25">
      <c r="A685" s="813">
        <v>97491</v>
      </c>
      <c r="B685" s="814" t="s">
        <v>4242</v>
      </c>
      <c r="C685" s="815">
        <v>0</v>
      </c>
      <c r="D685" s="815">
        <v>0</v>
      </c>
      <c r="E685" s="816">
        <v>0</v>
      </c>
      <c r="F685" s="816" t="s">
        <v>185</v>
      </c>
      <c r="G685" s="817">
        <v>0</v>
      </c>
      <c r="H685" s="818">
        <v>0</v>
      </c>
      <c r="I685" s="817">
        <v>0</v>
      </c>
      <c r="J685" s="816">
        <v>0</v>
      </c>
      <c r="K685" s="818">
        <f t="shared" si="23"/>
        <v>0</v>
      </c>
      <c r="L685" s="816"/>
      <c r="M685" s="817">
        <v>0</v>
      </c>
      <c r="N685" s="817">
        <v>0</v>
      </c>
      <c r="O685" s="816">
        <v>2921</v>
      </c>
      <c r="P685" s="818">
        <f t="shared" si="24"/>
        <v>2921</v>
      </c>
      <c r="Q685" s="816"/>
      <c r="R685" s="817">
        <v>0</v>
      </c>
      <c r="S685" s="816">
        <v>-4927</v>
      </c>
      <c r="T685" s="819">
        <v>-4927</v>
      </c>
    </row>
    <row r="686" spans="1:20" x14ac:dyDescent="0.25">
      <c r="A686" s="813">
        <v>97501</v>
      </c>
      <c r="B686" s="814" t="s">
        <v>3208</v>
      </c>
      <c r="C686" s="815">
        <v>1.0767999999999999E-3</v>
      </c>
      <c r="D686" s="815">
        <v>1.1000999999999999E-3</v>
      </c>
      <c r="E686" s="816">
        <v>2554538</v>
      </c>
      <c r="F686" s="816" t="s">
        <v>185</v>
      </c>
      <c r="G686" s="817">
        <v>394104</v>
      </c>
      <c r="H686" s="818">
        <v>350662</v>
      </c>
      <c r="I686" s="817">
        <v>677876</v>
      </c>
      <c r="J686" s="816">
        <v>80569</v>
      </c>
      <c r="K686" s="818">
        <f t="shared" si="23"/>
        <v>1503211</v>
      </c>
      <c r="L686" s="816"/>
      <c r="M686" s="817">
        <v>13224</v>
      </c>
      <c r="N686" s="817">
        <v>0</v>
      </c>
      <c r="O686" s="816">
        <v>3282</v>
      </c>
      <c r="P686" s="818">
        <f t="shared" si="24"/>
        <v>16506</v>
      </c>
      <c r="Q686" s="816"/>
      <c r="R686" s="817">
        <v>709582</v>
      </c>
      <c r="S686" s="816">
        <v>43661</v>
      </c>
      <c r="T686" s="819">
        <v>753243</v>
      </c>
    </row>
    <row r="687" spans="1:20" x14ac:dyDescent="0.25">
      <c r="A687" s="813">
        <v>97511</v>
      </c>
      <c r="B687" s="814" t="s">
        <v>4243</v>
      </c>
      <c r="C687" s="815">
        <v>1.8090000000000001E-4</v>
      </c>
      <c r="D687" s="815">
        <v>2.3450000000000001E-4</v>
      </c>
      <c r="E687" s="816">
        <v>429157</v>
      </c>
      <c r="F687" s="816" t="s">
        <v>185</v>
      </c>
      <c r="G687" s="817">
        <v>66209</v>
      </c>
      <c r="H687" s="818">
        <v>58911</v>
      </c>
      <c r="I687" s="817">
        <v>113882</v>
      </c>
      <c r="J687" s="816">
        <v>8581</v>
      </c>
      <c r="K687" s="818">
        <f t="shared" si="23"/>
        <v>247583</v>
      </c>
      <c r="L687" s="816"/>
      <c r="M687" s="817">
        <v>2222</v>
      </c>
      <c r="N687" s="817">
        <v>0</v>
      </c>
      <c r="O687" s="816">
        <v>27881</v>
      </c>
      <c r="P687" s="818">
        <f t="shared" si="24"/>
        <v>30103</v>
      </c>
      <c r="Q687" s="816"/>
      <c r="R687" s="817">
        <v>119208</v>
      </c>
      <c r="S687" s="816">
        <v>-3085</v>
      </c>
      <c r="T687" s="819">
        <v>116123</v>
      </c>
    </row>
    <row r="688" spans="1:20" x14ac:dyDescent="0.25">
      <c r="A688" s="813">
        <v>97521</v>
      </c>
      <c r="B688" s="814" t="s">
        <v>4244</v>
      </c>
      <c r="C688" s="815">
        <v>1.2640000000000001E-4</v>
      </c>
      <c r="D688" s="815">
        <v>1.2870000000000001E-4</v>
      </c>
      <c r="E688" s="816">
        <v>299864</v>
      </c>
      <c r="F688" s="816" t="s">
        <v>185</v>
      </c>
      <c r="G688" s="817">
        <v>46262</v>
      </c>
      <c r="H688" s="818">
        <v>41162</v>
      </c>
      <c r="I688" s="817">
        <v>79572</v>
      </c>
      <c r="J688" s="816">
        <v>0</v>
      </c>
      <c r="K688" s="818">
        <f t="shared" si="23"/>
        <v>166996</v>
      </c>
      <c r="L688" s="816"/>
      <c r="M688" s="817">
        <v>1552</v>
      </c>
      <c r="N688" s="817">
        <v>0</v>
      </c>
      <c r="O688" s="816">
        <v>13218</v>
      </c>
      <c r="P688" s="818">
        <f t="shared" si="24"/>
        <v>14770</v>
      </c>
      <c r="Q688" s="816"/>
      <c r="R688" s="817">
        <v>83294</v>
      </c>
      <c r="S688" s="816">
        <v>-4767</v>
      </c>
      <c r="T688" s="819">
        <v>78527</v>
      </c>
    </row>
    <row r="689" spans="1:20" x14ac:dyDescent="0.25">
      <c r="A689" s="813">
        <v>97527</v>
      </c>
      <c r="B689" s="814" t="s">
        <v>3846</v>
      </c>
      <c r="C689" s="815">
        <v>1.3999999999999999E-6</v>
      </c>
      <c r="D689" s="815">
        <v>0</v>
      </c>
      <c r="E689" s="816">
        <v>3321</v>
      </c>
      <c r="F689" s="816" t="s">
        <v>185</v>
      </c>
      <c r="G689" s="817">
        <v>512</v>
      </c>
      <c r="H689" s="818">
        <v>456</v>
      </c>
      <c r="I689" s="817">
        <v>881</v>
      </c>
      <c r="J689" s="816">
        <v>3462</v>
      </c>
      <c r="K689" s="818">
        <f t="shared" si="23"/>
        <v>5311</v>
      </c>
      <c r="L689" s="816"/>
      <c r="M689" s="817">
        <v>17</v>
      </c>
      <c r="N689" s="817">
        <v>0</v>
      </c>
      <c r="O689" s="816">
        <v>0</v>
      </c>
      <c r="P689" s="818">
        <f t="shared" si="24"/>
        <v>17</v>
      </c>
      <c r="Q689" s="816"/>
      <c r="R689" s="817">
        <v>923</v>
      </c>
      <c r="S689" s="816">
        <v>866</v>
      </c>
      <c r="T689" s="819">
        <v>1789</v>
      </c>
    </row>
    <row r="690" spans="1:20" x14ac:dyDescent="0.25">
      <c r="A690" s="813">
        <v>97531</v>
      </c>
      <c r="B690" s="814" t="s">
        <v>3211</v>
      </c>
      <c r="C690" s="815">
        <v>5.2800000000000003E-5</v>
      </c>
      <c r="D690" s="815">
        <v>4.32E-5</v>
      </c>
      <c r="E690" s="816">
        <v>125260</v>
      </c>
      <c r="F690" s="816" t="s">
        <v>185</v>
      </c>
      <c r="G690" s="817">
        <v>19325</v>
      </c>
      <c r="H690" s="818">
        <v>17194</v>
      </c>
      <c r="I690" s="817">
        <v>33239</v>
      </c>
      <c r="J690" s="816">
        <v>18303</v>
      </c>
      <c r="K690" s="818">
        <f t="shared" si="23"/>
        <v>88061</v>
      </c>
      <c r="L690" s="816"/>
      <c r="M690" s="817">
        <v>648</v>
      </c>
      <c r="N690" s="817">
        <v>0</v>
      </c>
      <c r="O690" s="816">
        <v>3521</v>
      </c>
      <c r="P690" s="818">
        <f t="shared" si="24"/>
        <v>4169</v>
      </c>
      <c r="Q690" s="816"/>
      <c r="R690" s="817">
        <v>34794</v>
      </c>
      <c r="S690" s="816">
        <v>42</v>
      </c>
      <c r="T690" s="819">
        <v>34836</v>
      </c>
    </row>
    <row r="691" spans="1:20" x14ac:dyDescent="0.25">
      <c r="A691" s="813">
        <v>97601</v>
      </c>
      <c r="B691" s="814" t="s">
        <v>3212</v>
      </c>
      <c r="C691" s="815">
        <v>5.2467E-3</v>
      </c>
      <c r="D691" s="815">
        <v>5.1672000000000003E-3</v>
      </c>
      <c r="E691" s="816">
        <v>12446967</v>
      </c>
      <c r="F691" s="816" t="s">
        <v>185</v>
      </c>
      <c r="G691" s="817">
        <v>1920271</v>
      </c>
      <c r="H691" s="818">
        <v>1708599</v>
      </c>
      <c r="I691" s="817">
        <v>3302945</v>
      </c>
      <c r="J691" s="816">
        <v>143195</v>
      </c>
      <c r="K691" s="818">
        <f t="shared" si="23"/>
        <v>7075010</v>
      </c>
      <c r="L691" s="816"/>
      <c r="M691" s="817">
        <v>64435</v>
      </c>
      <c r="N691" s="817">
        <v>0</v>
      </c>
      <c r="O691" s="816">
        <v>56258</v>
      </c>
      <c r="P691" s="818">
        <f t="shared" si="24"/>
        <v>120693</v>
      </c>
      <c r="Q691" s="816"/>
      <c r="R691" s="817">
        <v>3457434</v>
      </c>
      <c r="S691" s="816">
        <v>-900</v>
      </c>
      <c r="T691" s="819">
        <v>3456534</v>
      </c>
    </row>
    <row r="692" spans="1:20" x14ac:dyDescent="0.25">
      <c r="A692" s="813">
        <v>97607</v>
      </c>
      <c r="B692" s="814" t="s">
        <v>3213</v>
      </c>
      <c r="C692" s="815">
        <v>2.23E-5</v>
      </c>
      <c r="D692" s="815">
        <v>2.3200000000000001E-5</v>
      </c>
      <c r="E692" s="816">
        <v>52903</v>
      </c>
      <c r="F692" s="816" t="s">
        <v>185</v>
      </c>
      <c r="G692" s="817">
        <v>8162</v>
      </c>
      <c r="H692" s="818">
        <v>7262</v>
      </c>
      <c r="I692" s="817">
        <v>14038</v>
      </c>
      <c r="J692" s="816">
        <v>13674</v>
      </c>
      <c r="K692" s="818">
        <f t="shared" si="23"/>
        <v>43136</v>
      </c>
      <c r="L692" s="816"/>
      <c r="M692" s="817">
        <v>274</v>
      </c>
      <c r="N692" s="817">
        <v>0</v>
      </c>
      <c r="O692" s="816">
        <v>0</v>
      </c>
      <c r="P692" s="818">
        <f t="shared" si="24"/>
        <v>274</v>
      </c>
      <c r="Q692" s="816"/>
      <c r="R692" s="817">
        <v>14695</v>
      </c>
      <c r="S692" s="816">
        <v>6841</v>
      </c>
      <c r="T692" s="819">
        <v>21536</v>
      </c>
    </row>
    <row r="693" spans="1:20" x14ac:dyDescent="0.25">
      <c r="A693" s="813">
        <v>97611</v>
      </c>
      <c r="B693" s="814" t="s">
        <v>3214</v>
      </c>
      <c r="C693" s="815">
        <v>2.3620999999999998E-3</v>
      </c>
      <c r="D693" s="815">
        <v>2.4767999999999999E-3</v>
      </c>
      <c r="E693" s="816">
        <v>5603709</v>
      </c>
      <c r="F693" s="816" t="s">
        <v>185</v>
      </c>
      <c r="G693" s="817">
        <v>864519</v>
      </c>
      <c r="H693" s="818">
        <v>769222</v>
      </c>
      <c r="I693" s="817">
        <v>1487008</v>
      </c>
      <c r="J693" s="816">
        <v>0</v>
      </c>
      <c r="K693" s="818">
        <f t="shared" si="23"/>
        <v>3120749</v>
      </c>
      <c r="L693" s="816"/>
      <c r="M693" s="817">
        <v>29009</v>
      </c>
      <c r="N693" s="817">
        <v>0</v>
      </c>
      <c r="O693" s="816">
        <v>262473</v>
      </c>
      <c r="P693" s="818">
        <f t="shared" si="24"/>
        <v>291482</v>
      </c>
      <c r="Q693" s="816"/>
      <c r="R693" s="817">
        <v>1556560</v>
      </c>
      <c r="S693" s="816">
        <v>-141266</v>
      </c>
      <c r="T693" s="819">
        <v>1415294</v>
      </c>
    </row>
    <row r="694" spans="1:20" x14ac:dyDescent="0.25">
      <c r="A694" s="813">
        <v>97613</v>
      </c>
      <c r="B694" s="814" t="s">
        <v>4245</v>
      </c>
      <c r="C694" s="815">
        <v>1.155E-4</v>
      </c>
      <c r="D694" s="815">
        <v>1.1629999999999999E-4</v>
      </c>
      <c r="E694" s="816">
        <v>274006</v>
      </c>
      <c r="F694" s="816" t="s">
        <v>185</v>
      </c>
      <c r="G694" s="817">
        <v>42273</v>
      </c>
      <c r="H694" s="818">
        <v>37613</v>
      </c>
      <c r="I694" s="817">
        <v>72710</v>
      </c>
      <c r="J694" s="816">
        <v>7279</v>
      </c>
      <c r="K694" s="818">
        <f t="shared" si="23"/>
        <v>159875</v>
      </c>
      <c r="L694" s="816"/>
      <c r="M694" s="817">
        <v>1418</v>
      </c>
      <c r="N694" s="817">
        <v>0</v>
      </c>
      <c r="O694" s="816">
        <v>1649</v>
      </c>
      <c r="P694" s="818">
        <f t="shared" si="24"/>
        <v>3067</v>
      </c>
      <c r="Q694" s="816"/>
      <c r="R694" s="817">
        <v>76111</v>
      </c>
      <c r="S694" s="816">
        <v>633</v>
      </c>
      <c r="T694" s="819">
        <v>76744</v>
      </c>
    </row>
    <row r="695" spans="1:20" x14ac:dyDescent="0.25">
      <c r="A695" s="813">
        <v>97621</v>
      </c>
      <c r="B695" s="814" t="s">
        <v>3216</v>
      </c>
      <c r="C695" s="815">
        <v>4.4650000000000001E-4</v>
      </c>
      <c r="D695" s="815">
        <v>4.5179999999999998E-4</v>
      </c>
      <c r="E695" s="816">
        <v>1059251</v>
      </c>
      <c r="F695" s="816" t="s">
        <v>185</v>
      </c>
      <c r="G695" s="817">
        <v>163417</v>
      </c>
      <c r="H695" s="818">
        <v>145404</v>
      </c>
      <c r="I695" s="817">
        <v>281084</v>
      </c>
      <c r="J695" s="816">
        <v>7112</v>
      </c>
      <c r="K695" s="818">
        <f t="shared" si="23"/>
        <v>597017</v>
      </c>
      <c r="L695" s="816"/>
      <c r="M695" s="817">
        <v>5483</v>
      </c>
      <c r="N695" s="817">
        <v>0</v>
      </c>
      <c r="O695" s="816">
        <v>77672</v>
      </c>
      <c r="P695" s="818">
        <f t="shared" si="24"/>
        <v>83155</v>
      </c>
      <c r="Q695" s="816"/>
      <c r="R695" s="817">
        <v>294231</v>
      </c>
      <c r="S695" s="816">
        <v>-19086</v>
      </c>
      <c r="T695" s="819">
        <v>275145</v>
      </c>
    </row>
    <row r="696" spans="1:20" x14ac:dyDescent="0.25">
      <c r="A696" s="813">
        <v>97623</v>
      </c>
      <c r="B696" s="814" t="s">
        <v>3217</v>
      </c>
      <c r="C696" s="815">
        <v>2.4000000000000001E-5</v>
      </c>
      <c r="D696" s="815">
        <v>2.9499999999999999E-5</v>
      </c>
      <c r="E696" s="816">
        <v>56936</v>
      </c>
      <c r="F696" s="816" t="s">
        <v>185</v>
      </c>
      <c r="G696" s="817">
        <v>8784</v>
      </c>
      <c r="H696" s="818">
        <v>7815</v>
      </c>
      <c r="I696" s="817">
        <v>15109</v>
      </c>
      <c r="J696" s="816">
        <v>2822</v>
      </c>
      <c r="K696" s="818">
        <f t="shared" si="23"/>
        <v>34530</v>
      </c>
      <c r="L696" s="816"/>
      <c r="M696" s="817">
        <v>295</v>
      </c>
      <c r="N696" s="817">
        <v>0</v>
      </c>
      <c r="O696" s="816">
        <v>5509</v>
      </c>
      <c r="P696" s="818">
        <f t="shared" si="24"/>
        <v>5804</v>
      </c>
      <c r="Q696" s="816"/>
      <c r="R696" s="817">
        <v>15815</v>
      </c>
      <c r="S696" s="816">
        <v>2196</v>
      </c>
      <c r="T696" s="819">
        <v>18011</v>
      </c>
    </row>
    <row r="697" spans="1:20" x14ac:dyDescent="0.25">
      <c r="A697" s="813">
        <v>97627</v>
      </c>
      <c r="B697" s="814" t="s">
        <v>3218</v>
      </c>
      <c r="C697" s="815">
        <v>9.5000000000000005E-6</v>
      </c>
      <c r="D697" s="815">
        <v>9.7000000000000003E-6</v>
      </c>
      <c r="E697" s="816">
        <v>22537</v>
      </c>
      <c r="F697" s="816" t="s">
        <v>185</v>
      </c>
      <c r="G697" s="817">
        <v>3477</v>
      </c>
      <c r="H697" s="818">
        <v>3094</v>
      </c>
      <c r="I697" s="817">
        <v>5981</v>
      </c>
      <c r="J697" s="816">
        <v>860</v>
      </c>
      <c r="K697" s="818">
        <f t="shared" si="23"/>
        <v>13412</v>
      </c>
      <c r="L697" s="816"/>
      <c r="M697" s="817">
        <v>117</v>
      </c>
      <c r="N697" s="817">
        <v>0</v>
      </c>
      <c r="O697" s="816">
        <v>455</v>
      </c>
      <c r="P697" s="818">
        <f t="shared" si="24"/>
        <v>572</v>
      </c>
      <c r="Q697" s="816"/>
      <c r="R697" s="817">
        <v>6260</v>
      </c>
      <c r="S697" s="816">
        <v>-64</v>
      </c>
      <c r="T697" s="819">
        <v>6196</v>
      </c>
    </row>
    <row r="698" spans="1:20" x14ac:dyDescent="0.25">
      <c r="A698" s="813">
        <v>97631</v>
      </c>
      <c r="B698" s="814" t="s">
        <v>4246</v>
      </c>
      <c r="C698" s="815">
        <v>2.0909999999999999E-4</v>
      </c>
      <c r="D698" s="815">
        <v>2.051E-4</v>
      </c>
      <c r="E698" s="816">
        <v>496057</v>
      </c>
      <c r="F698" s="816" t="s">
        <v>185</v>
      </c>
      <c r="G698" s="817">
        <v>76530</v>
      </c>
      <c r="H698" s="818">
        <v>68094</v>
      </c>
      <c r="I698" s="817">
        <v>131634</v>
      </c>
      <c r="J698" s="816">
        <v>3847</v>
      </c>
      <c r="K698" s="818">
        <f t="shared" si="23"/>
        <v>280105</v>
      </c>
      <c r="L698" s="816"/>
      <c r="M698" s="817">
        <v>2568</v>
      </c>
      <c r="N698" s="817">
        <v>0</v>
      </c>
      <c r="O698" s="816">
        <v>7878</v>
      </c>
      <c r="P698" s="818">
        <f t="shared" si="24"/>
        <v>10446</v>
      </c>
      <c r="Q698" s="816"/>
      <c r="R698" s="817">
        <v>137791</v>
      </c>
      <c r="S698" s="816">
        <v>3264</v>
      </c>
      <c r="T698" s="819">
        <v>141055</v>
      </c>
    </row>
    <row r="699" spans="1:20" x14ac:dyDescent="0.25">
      <c r="A699" s="813">
        <v>97637</v>
      </c>
      <c r="B699" s="814" t="s">
        <v>3220</v>
      </c>
      <c r="C699" s="815">
        <v>3.7000000000000002E-6</v>
      </c>
      <c r="D699" s="815">
        <v>4.3000000000000003E-6</v>
      </c>
      <c r="E699" s="816">
        <v>8778</v>
      </c>
      <c r="F699" s="816" t="s">
        <v>185</v>
      </c>
      <c r="G699" s="817">
        <v>1354</v>
      </c>
      <c r="H699" s="818">
        <v>1205</v>
      </c>
      <c r="I699" s="817">
        <v>2329</v>
      </c>
      <c r="J699" s="816">
        <v>1324</v>
      </c>
      <c r="K699" s="818">
        <f t="shared" si="23"/>
        <v>6212</v>
      </c>
      <c r="L699" s="816"/>
      <c r="M699" s="817">
        <v>45</v>
      </c>
      <c r="N699" s="817">
        <v>0</v>
      </c>
      <c r="O699" s="816">
        <v>20</v>
      </c>
      <c r="P699" s="818">
        <f t="shared" si="24"/>
        <v>65</v>
      </c>
      <c r="Q699" s="816"/>
      <c r="R699" s="817">
        <v>2438</v>
      </c>
      <c r="S699" s="816">
        <v>571</v>
      </c>
      <c r="T699" s="819">
        <v>3009</v>
      </c>
    </row>
    <row r="700" spans="1:20" x14ac:dyDescent="0.25">
      <c r="A700" s="813">
        <v>97641</v>
      </c>
      <c r="B700" s="814" t="s">
        <v>4247</v>
      </c>
      <c r="C700" s="815">
        <v>5.1400000000000003E-5</v>
      </c>
      <c r="D700" s="815">
        <v>6.8899999999999994E-5</v>
      </c>
      <c r="E700" s="816">
        <v>121938</v>
      </c>
      <c r="F700" s="816" t="s">
        <v>185</v>
      </c>
      <c r="G700" s="817">
        <v>18812</v>
      </c>
      <c r="H700" s="818">
        <v>16739</v>
      </c>
      <c r="I700" s="817">
        <v>32358</v>
      </c>
      <c r="J700" s="816">
        <v>8101</v>
      </c>
      <c r="K700" s="818">
        <f t="shared" si="23"/>
        <v>76010</v>
      </c>
      <c r="L700" s="816"/>
      <c r="M700" s="817">
        <v>631</v>
      </c>
      <c r="N700" s="817">
        <v>0</v>
      </c>
      <c r="O700" s="816">
        <v>8286</v>
      </c>
      <c r="P700" s="818">
        <f t="shared" si="24"/>
        <v>8917</v>
      </c>
      <c r="Q700" s="816"/>
      <c r="R700" s="817">
        <v>33871</v>
      </c>
      <c r="S700" s="816">
        <v>0</v>
      </c>
      <c r="T700" s="819">
        <v>33871</v>
      </c>
    </row>
    <row r="701" spans="1:20" x14ac:dyDescent="0.25">
      <c r="A701" s="813">
        <v>97651</v>
      </c>
      <c r="B701" s="814" t="s">
        <v>3222</v>
      </c>
      <c r="C701" s="815">
        <v>5.1929999999999999E-4</v>
      </c>
      <c r="D701" s="815">
        <v>5.1979999999999995E-4</v>
      </c>
      <c r="E701" s="816">
        <v>1231957</v>
      </c>
      <c r="F701" s="816" t="s">
        <v>185</v>
      </c>
      <c r="G701" s="817">
        <v>190062</v>
      </c>
      <c r="H701" s="818">
        <v>169112</v>
      </c>
      <c r="I701" s="817">
        <v>326914</v>
      </c>
      <c r="J701" s="816">
        <v>1180</v>
      </c>
      <c r="K701" s="818">
        <f t="shared" si="23"/>
        <v>687268</v>
      </c>
      <c r="L701" s="816"/>
      <c r="M701" s="817">
        <v>6378</v>
      </c>
      <c r="N701" s="817">
        <v>0</v>
      </c>
      <c r="O701" s="816">
        <v>40115</v>
      </c>
      <c r="P701" s="818">
        <f t="shared" si="24"/>
        <v>46493</v>
      </c>
      <c r="Q701" s="816"/>
      <c r="R701" s="817">
        <v>342205</v>
      </c>
      <c r="S701" s="816">
        <v>-23900</v>
      </c>
      <c r="T701" s="819">
        <v>318305</v>
      </c>
    </row>
    <row r="702" spans="1:20" x14ac:dyDescent="0.25">
      <c r="A702" s="813">
        <v>97661</v>
      </c>
      <c r="B702" s="814" t="s">
        <v>3223</v>
      </c>
      <c r="C702" s="815">
        <v>4.3999999999999999E-5</v>
      </c>
      <c r="D702" s="815">
        <v>5.1600000000000001E-5</v>
      </c>
      <c r="E702" s="816">
        <v>104383</v>
      </c>
      <c r="F702" s="816" t="s">
        <v>185</v>
      </c>
      <c r="G702" s="817">
        <v>16104</v>
      </c>
      <c r="H702" s="818">
        <v>14329</v>
      </c>
      <c r="I702" s="817">
        <v>27699</v>
      </c>
      <c r="J702" s="816">
        <v>7695</v>
      </c>
      <c r="K702" s="818">
        <f t="shared" si="23"/>
        <v>65827</v>
      </c>
      <c r="L702" s="816"/>
      <c r="M702" s="817">
        <v>540</v>
      </c>
      <c r="N702" s="817">
        <v>0</v>
      </c>
      <c r="O702" s="816">
        <v>2802</v>
      </c>
      <c r="P702" s="818">
        <f t="shared" si="24"/>
        <v>3342</v>
      </c>
      <c r="Q702" s="816"/>
      <c r="R702" s="817">
        <v>28995</v>
      </c>
      <c r="S702" s="816">
        <v>4350</v>
      </c>
      <c r="T702" s="819">
        <v>33345</v>
      </c>
    </row>
    <row r="703" spans="1:20" x14ac:dyDescent="0.25">
      <c r="A703" s="813">
        <v>97701</v>
      </c>
      <c r="B703" s="814" t="s">
        <v>3224</v>
      </c>
      <c r="C703" s="815">
        <v>2.5590000000000001E-3</v>
      </c>
      <c r="D703" s="815">
        <v>2.4975000000000002E-3</v>
      </c>
      <c r="E703" s="816">
        <v>6070823</v>
      </c>
      <c r="F703" s="816" t="s">
        <v>185</v>
      </c>
      <c r="G703" s="817">
        <v>936584</v>
      </c>
      <c r="H703" s="818">
        <v>833344</v>
      </c>
      <c r="I703" s="817">
        <v>1610962</v>
      </c>
      <c r="J703" s="816">
        <v>51260</v>
      </c>
      <c r="K703" s="818">
        <f t="shared" si="23"/>
        <v>3432150</v>
      </c>
      <c r="L703" s="816"/>
      <c r="M703" s="817">
        <v>31427</v>
      </c>
      <c r="N703" s="817">
        <v>0</v>
      </c>
      <c r="O703" s="816">
        <v>0</v>
      </c>
      <c r="P703" s="818">
        <f t="shared" si="24"/>
        <v>31427</v>
      </c>
      <c r="Q703" s="816"/>
      <c r="R703" s="817">
        <v>1686312</v>
      </c>
      <c r="S703" s="816">
        <v>10250</v>
      </c>
      <c r="T703" s="819">
        <v>1696562</v>
      </c>
    </row>
    <row r="704" spans="1:20" x14ac:dyDescent="0.25">
      <c r="A704" s="813">
        <v>97705</v>
      </c>
      <c r="B704" s="814" t="s">
        <v>3225</v>
      </c>
      <c r="C704" s="815">
        <v>4.5500000000000001E-5</v>
      </c>
      <c r="D704" s="815">
        <v>4.7700000000000001E-5</v>
      </c>
      <c r="E704" s="816">
        <v>107942</v>
      </c>
      <c r="F704" s="816" t="s">
        <v>185</v>
      </c>
      <c r="G704" s="817">
        <v>16653</v>
      </c>
      <c r="H704" s="818">
        <v>14818</v>
      </c>
      <c r="I704" s="817">
        <v>28644</v>
      </c>
      <c r="J704" s="816">
        <v>1548</v>
      </c>
      <c r="K704" s="818">
        <f t="shared" si="23"/>
        <v>61663</v>
      </c>
      <c r="L704" s="816"/>
      <c r="M704" s="817">
        <v>559</v>
      </c>
      <c r="N704" s="817">
        <v>0</v>
      </c>
      <c r="O704" s="816">
        <v>9592</v>
      </c>
      <c r="P704" s="818">
        <f t="shared" si="24"/>
        <v>10151</v>
      </c>
      <c r="Q704" s="816"/>
      <c r="R704" s="817">
        <v>29983</v>
      </c>
      <c r="S704" s="816">
        <v>-54</v>
      </c>
      <c r="T704" s="819">
        <v>29929</v>
      </c>
    </row>
    <row r="705" spans="1:20" x14ac:dyDescent="0.25">
      <c r="A705" s="813">
        <v>97711</v>
      </c>
      <c r="B705" s="814" t="s">
        <v>3226</v>
      </c>
      <c r="C705" s="815">
        <v>9.1239999999999995E-4</v>
      </c>
      <c r="D705" s="815">
        <v>9.0879999999999997E-4</v>
      </c>
      <c r="E705" s="816">
        <v>2164525</v>
      </c>
      <c r="F705" s="816" t="s">
        <v>185</v>
      </c>
      <c r="G705" s="817">
        <v>333935</v>
      </c>
      <c r="H705" s="818">
        <v>297125</v>
      </c>
      <c r="I705" s="817">
        <v>574381</v>
      </c>
      <c r="J705" s="816">
        <v>12495</v>
      </c>
      <c r="K705" s="818">
        <f t="shared" si="23"/>
        <v>1217936</v>
      </c>
      <c r="L705" s="816"/>
      <c r="M705" s="817">
        <v>11205</v>
      </c>
      <c r="N705" s="817">
        <v>0</v>
      </c>
      <c r="O705" s="816">
        <v>22125</v>
      </c>
      <c r="P705" s="818">
        <f t="shared" si="24"/>
        <v>33330</v>
      </c>
      <c r="Q705" s="816"/>
      <c r="R705" s="817">
        <v>601247</v>
      </c>
      <c r="S705" s="816">
        <v>1420</v>
      </c>
      <c r="T705" s="819">
        <v>602667</v>
      </c>
    </row>
    <row r="706" spans="1:20" x14ac:dyDescent="0.25">
      <c r="A706" s="813">
        <v>97713</v>
      </c>
      <c r="B706" s="814" t="s">
        <v>3227</v>
      </c>
      <c r="C706" s="815">
        <v>5.0500000000000001E-5</v>
      </c>
      <c r="D706" s="815">
        <v>4.1199999999999999E-5</v>
      </c>
      <c r="E706" s="816">
        <v>119803</v>
      </c>
      <c r="F706" s="816" t="s">
        <v>185</v>
      </c>
      <c r="G706" s="817">
        <v>18483</v>
      </c>
      <c r="H706" s="818">
        <v>16445</v>
      </c>
      <c r="I706" s="817">
        <v>31791</v>
      </c>
      <c r="J706" s="816">
        <v>4434</v>
      </c>
      <c r="K706" s="818">
        <f t="shared" si="23"/>
        <v>71153</v>
      </c>
      <c r="L706" s="816"/>
      <c r="M706" s="817">
        <v>620</v>
      </c>
      <c r="N706" s="817">
        <v>0</v>
      </c>
      <c r="O706" s="816">
        <v>11193</v>
      </c>
      <c r="P706" s="818">
        <f t="shared" si="24"/>
        <v>11813</v>
      </c>
      <c r="Q706" s="816"/>
      <c r="R706" s="817">
        <v>33278</v>
      </c>
      <c r="S706" s="816">
        <v>-3702</v>
      </c>
      <c r="T706" s="819">
        <v>29576</v>
      </c>
    </row>
    <row r="707" spans="1:20" x14ac:dyDescent="0.25">
      <c r="A707" s="813">
        <v>97717</v>
      </c>
      <c r="B707" s="814" t="s">
        <v>3228</v>
      </c>
      <c r="C707" s="815">
        <v>5.3000000000000001E-6</v>
      </c>
      <c r="D707" s="815">
        <v>4.6999999999999999E-6</v>
      </c>
      <c r="E707" s="816">
        <v>12573</v>
      </c>
      <c r="F707" s="816" t="s">
        <v>185</v>
      </c>
      <c r="G707" s="817">
        <v>1940</v>
      </c>
      <c r="H707" s="818">
        <v>1726</v>
      </c>
      <c r="I707" s="817">
        <v>3336</v>
      </c>
      <c r="J707" s="816">
        <v>1033</v>
      </c>
      <c r="K707" s="818">
        <f t="shared" si="23"/>
        <v>8035</v>
      </c>
      <c r="L707" s="816"/>
      <c r="M707" s="817">
        <v>65</v>
      </c>
      <c r="N707" s="817">
        <v>0</v>
      </c>
      <c r="O707" s="816">
        <v>1481</v>
      </c>
      <c r="P707" s="818">
        <f t="shared" si="24"/>
        <v>1546</v>
      </c>
      <c r="Q707" s="816"/>
      <c r="R707" s="817">
        <v>3493</v>
      </c>
      <c r="S707" s="816">
        <v>-1455</v>
      </c>
      <c r="T707" s="819">
        <v>2038</v>
      </c>
    </row>
    <row r="708" spans="1:20" x14ac:dyDescent="0.25">
      <c r="A708" s="813">
        <v>97721</v>
      </c>
      <c r="B708" s="814" t="s">
        <v>3229</v>
      </c>
      <c r="C708" s="815">
        <v>5.9069999999999999E-4</v>
      </c>
      <c r="D708" s="815">
        <v>5.6599999999999999E-4</v>
      </c>
      <c r="E708" s="816">
        <v>1401342</v>
      </c>
      <c r="F708" s="816" t="s">
        <v>185</v>
      </c>
      <c r="G708" s="817">
        <v>216194</v>
      </c>
      <c r="H708" s="818">
        <v>192363</v>
      </c>
      <c r="I708" s="817">
        <v>371862</v>
      </c>
      <c r="J708" s="816">
        <v>11194</v>
      </c>
      <c r="K708" s="818">
        <f t="shared" si="23"/>
        <v>791613</v>
      </c>
      <c r="L708" s="816"/>
      <c r="M708" s="817">
        <v>7254</v>
      </c>
      <c r="N708" s="817">
        <v>0</v>
      </c>
      <c r="O708" s="816">
        <v>16380</v>
      </c>
      <c r="P708" s="818">
        <f t="shared" si="24"/>
        <v>23634</v>
      </c>
      <c r="Q708" s="816"/>
      <c r="R708" s="817">
        <v>389255</v>
      </c>
      <c r="S708" s="816">
        <v>-8177</v>
      </c>
      <c r="T708" s="819">
        <v>381078</v>
      </c>
    </row>
    <row r="709" spans="1:20" x14ac:dyDescent="0.25">
      <c r="A709" s="813">
        <v>97727</v>
      </c>
      <c r="B709" s="814" t="s">
        <v>3230</v>
      </c>
      <c r="C709" s="815">
        <v>2.0599999999999999E-5</v>
      </c>
      <c r="D709" s="815">
        <v>2.27E-5</v>
      </c>
      <c r="E709" s="816">
        <v>48870</v>
      </c>
      <c r="F709" s="816" t="s">
        <v>185</v>
      </c>
      <c r="G709" s="817">
        <v>7540</v>
      </c>
      <c r="H709" s="818">
        <v>6709</v>
      </c>
      <c r="I709" s="817">
        <v>12968</v>
      </c>
      <c r="J709" s="816">
        <v>0</v>
      </c>
      <c r="K709" s="818">
        <f t="shared" si="23"/>
        <v>27217</v>
      </c>
      <c r="L709" s="816"/>
      <c r="M709" s="817">
        <v>253</v>
      </c>
      <c r="N709" s="817">
        <v>0</v>
      </c>
      <c r="O709" s="816">
        <v>1628</v>
      </c>
      <c r="P709" s="818">
        <f t="shared" si="24"/>
        <v>1881</v>
      </c>
      <c r="Q709" s="816"/>
      <c r="R709" s="817">
        <v>13575</v>
      </c>
      <c r="S709" s="816">
        <v>-1410</v>
      </c>
      <c r="T709" s="819">
        <v>12165</v>
      </c>
    </row>
    <row r="710" spans="1:20" x14ac:dyDescent="0.25">
      <c r="A710" s="813">
        <v>97731</v>
      </c>
      <c r="B710" s="814" t="s">
        <v>4248</v>
      </c>
      <c r="C710" s="815">
        <v>3.3200000000000001E-5</v>
      </c>
      <c r="D710" s="815">
        <v>3.5500000000000002E-5</v>
      </c>
      <c r="E710" s="816">
        <v>78762</v>
      </c>
      <c r="F710" s="816" t="s">
        <v>185</v>
      </c>
      <c r="G710" s="817">
        <v>12151</v>
      </c>
      <c r="H710" s="818">
        <v>10811</v>
      </c>
      <c r="I710" s="817">
        <v>20900</v>
      </c>
      <c r="J710" s="816">
        <v>4695</v>
      </c>
      <c r="K710" s="818">
        <f t="shared" si="23"/>
        <v>48557</v>
      </c>
      <c r="L710" s="816"/>
      <c r="M710" s="817">
        <v>408</v>
      </c>
      <c r="N710" s="817">
        <v>0</v>
      </c>
      <c r="O710" s="816">
        <v>0</v>
      </c>
      <c r="P710" s="818">
        <f t="shared" si="24"/>
        <v>408</v>
      </c>
      <c r="Q710" s="816"/>
      <c r="R710" s="817">
        <v>21878</v>
      </c>
      <c r="S710" s="816">
        <v>3280</v>
      </c>
      <c r="T710" s="819">
        <v>25158</v>
      </c>
    </row>
    <row r="711" spans="1:20" x14ac:dyDescent="0.25">
      <c r="A711" s="813">
        <v>97801</v>
      </c>
      <c r="B711" s="814" t="s">
        <v>3560</v>
      </c>
      <c r="C711" s="815">
        <v>6.5702E-3</v>
      </c>
      <c r="D711" s="815">
        <v>6.9303000000000003E-3</v>
      </c>
      <c r="E711" s="816">
        <v>15586761</v>
      </c>
      <c r="F711" s="816" t="s">
        <v>185</v>
      </c>
      <c r="G711" s="817">
        <v>2404667</v>
      </c>
      <c r="H711" s="818">
        <v>2139599</v>
      </c>
      <c r="I711" s="817">
        <v>4136125</v>
      </c>
      <c r="J711" s="816">
        <v>0</v>
      </c>
      <c r="K711" s="818">
        <f t="shared" si="23"/>
        <v>8680391</v>
      </c>
      <c r="L711" s="816"/>
      <c r="M711" s="817">
        <v>80689</v>
      </c>
      <c r="N711" s="817">
        <v>0</v>
      </c>
      <c r="O711" s="816">
        <v>508951</v>
      </c>
      <c r="P711" s="818">
        <f t="shared" si="24"/>
        <v>589640</v>
      </c>
      <c r="Q711" s="816"/>
      <c r="R711" s="817">
        <v>4329584</v>
      </c>
      <c r="S711" s="816">
        <v>-154797</v>
      </c>
      <c r="T711" s="819">
        <v>4174787</v>
      </c>
    </row>
    <row r="712" spans="1:20" x14ac:dyDescent="0.25">
      <c r="A712" s="813">
        <v>97802</v>
      </c>
      <c r="B712" s="814" t="s">
        <v>3233</v>
      </c>
      <c r="C712" s="815">
        <v>1.684E-4</v>
      </c>
      <c r="D712" s="815">
        <v>1.5300000000000001E-4</v>
      </c>
      <c r="E712" s="816">
        <v>399502</v>
      </c>
      <c r="F712" s="816" t="s">
        <v>185</v>
      </c>
      <c r="G712" s="817">
        <v>61634</v>
      </c>
      <c r="H712" s="818">
        <v>54840</v>
      </c>
      <c r="I712" s="817">
        <v>106013</v>
      </c>
      <c r="J712" s="816">
        <v>12750</v>
      </c>
      <c r="K712" s="818">
        <f t="shared" si="23"/>
        <v>235237</v>
      </c>
      <c r="L712" s="816"/>
      <c r="M712" s="817">
        <v>2068</v>
      </c>
      <c r="N712" s="817">
        <v>0</v>
      </c>
      <c r="O712" s="816">
        <v>17264</v>
      </c>
      <c r="P712" s="818">
        <f t="shared" si="24"/>
        <v>19332</v>
      </c>
      <c r="Q712" s="816"/>
      <c r="R712" s="817">
        <v>110971</v>
      </c>
      <c r="S712" s="816">
        <v>1914</v>
      </c>
      <c r="T712" s="819">
        <v>112885</v>
      </c>
    </row>
    <row r="713" spans="1:20" x14ac:dyDescent="0.25">
      <c r="A713" s="813">
        <v>97803</v>
      </c>
      <c r="B713" s="814" t="s">
        <v>3234</v>
      </c>
      <c r="C713" s="815">
        <v>8.1699999999999994E-5</v>
      </c>
      <c r="D713" s="815">
        <v>7.5300000000000001E-5</v>
      </c>
      <c r="E713" s="816">
        <v>193820</v>
      </c>
      <c r="F713" s="816" t="s">
        <v>185</v>
      </c>
      <c r="G713" s="817">
        <v>29902</v>
      </c>
      <c r="H713" s="818">
        <v>26605</v>
      </c>
      <c r="I713" s="817">
        <v>51432</v>
      </c>
      <c r="J713" s="816">
        <v>5367</v>
      </c>
      <c r="K713" s="818">
        <f t="shared" si="23"/>
        <v>113306</v>
      </c>
      <c r="L713" s="816"/>
      <c r="M713" s="817">
        <v>1003</v>
      </c>
      <c r="N713" s="817">
        <v>0</v>
      </c>
      <c r="O713" s="816">
        <v>685</v>
      </c>
      <c r="P713" s="818">
        <f t="shared" si="24"/>
        <v>1688</v>
      </c>
      <c r="Q713" s="816"/>
      <c r="R713" s="817">
        <v>53838</v>
      </c>
      <c r="S713" s="816">
        <v>4391</v>
      </c>
      <c r="T713" s="819">
        <v>58229</v>
      </c>
    </row>
    <row r="714" spans="1:20" x14ac:dyDescent="0.25">
      <c r="A714" s="813">
        <v>97805</v>
      </c>
      <c r="B714" s="814" t="s">
        <v>3235</v>
      </c>
      <c r="C714" s="815">
        <v>8.2700000000000004E-5</v>
      </c>
      <c r="D714" s="815">
        <v>7.9400000000000006E-5</v>
      </c>
      <c r="E714" s="816">
        <v>196193</v>
      </c>
      <c r="F714" s="816" t="s">
        <v>185</v>
      </c>
      <c r="G714" s="817">
        <v>30268</v>
      </c>
      <c r="H714" s="818">
        <v>26932</v>
      </c>
      <c r="I714" s="817">
        <v>52062</v>
      </c>
      <c r="J714" s="816">
        <v>9379</v>
      </c>
      <c r="K714" s="818">
        <f t="shared" si="23"/>
        <v>118641</v>
      </c>
      <c r="L714" s="816"/>
      <c r="M714" s="817">
        <v>1016</v>
      </c>
      <c r="N714" s="817">
        <v>0</v>
      </c>
      <c r="O714" s="816">
        <v>0</v>
      </c>
      <c r="P714" s="818">
        <f t="shared" si="24"/>
        <v>1016</v>
      </c>
      <c r="Q714" s="816"/>
      <c r="R714" s="817">
        <v>54497</v>
      </c>
      <c r="S714" s="816">
        <v>4756</v>
      </c>
      <c r="T714" s="819">
        <v>59253</v>
      </c>
    </row>
    <row r="715" spans="1:20" x14ac:dyDescent="0.25">
      <c r="A715" s="813">
        <v>97811</v>
      </c>
      <c r="B715" s="814" t="s">
        <v>3236</v>
      </c>
      <c r="C715" s="815">
        <v>2.4342999999999999E-3</v>
      </c>
      <c r="D715" s="815">
        <v>2.4172E-3</v>
      </c>
      <c r="E715" s="816">
        <v>5774992</v>
      </c>
      <c r="F715" s="816" t="s">
        <v>185</v>
      </c>
      <c r="G715" s="817">
        <v>890944</v>
      </c>
      <c r="H715" s="818">
        <v>792734</v>
      </c>
      <c r="I715" s="817">
        <v>1532460</v>
      </c>
      <c r="J715" s="816">
        <v>0</v>
      </c>
      <c r="K715" s="818">
        <f t="shared" si="23"/>
        <v>3216138</v>
      </c>
      <c r="L715" s="816"/>
      <c r="M715" s="817">
        <v>29896</v>
      </c>
      <c r="N715" s="817">
        <v>0</v>
      </c>
      <c r="O715" s="816">
        <v>95364</v>
      </c>
      <c r="P715" s="818">
        <f t="shared" si="24"/>
        <v>125260</v>
      </c>
      <c r="Q715" s="816"/>
      <c r="R715" s="817">
        <v>1604138</v>
      </c>
      <c r="S715" s="816">
        <v>-74364</v>
      </c>
      <c r="T715" s="819">
        <v>1529774</v>
      </c>
    </row>
    <row r="716" spans="1:20" x14ac:dyDescent="0.25">
      <c r="A716" s="813">
        <v>97817</v>
      </c>
      <c r="B716" s="814" t="s">
        <v>3237</v>
      </c>
      <c r="C716" s="815">
        <v>1.8199999999999999E-5</v>
      </c>
      <c r="D716" s="815">
        <v>2.2200000000000001E-5</v>
      </c>
      <c r="E716" s="816">
        <v>43177</v>
      </c>
      <c r="F716" s="816" t="s">
        <v>185</v>
      </c>
      <c r="G716" s="817">
        <v>6661</v>
      </c>
      <c r="H716" s="818">
        <v>5927</v>
      </c>
      <c r="I716" s="817">
        <v>11457</v>
      </c>
      <c r="J716" s="816">
        <v>13908</v>
      </c>
      <c r="K716" s="818">
        <f t="shared" si="23"/>
        <v>37953</v>
      </c>
      <c r="L716" s="816"/>
      <c r="M716" s="817">
        <v>224</v>
      </c>
      <c r="N716" s="817">
        <v>0</v>
      </c>
      <c r="O716" s="816">
        <v>1088</v>
      </c>
      <c r="P716" s="818">
        <f t="shared" si="24"/>
        <v>1312</v>
      </c>
      <c r="Q716" s="816"/>
      <c r="R716" s="817">
        <v>11993</v>
      </c>
      <c r="S716" s="816">
        <v>4171</v>
      </c>
      <c r="T716" s="819">
        <v>16164</v>
      </c>
    </row>
    <row r="717" spans="1:20" x14ac:dyDescent="0.25">
      <c r="A717" s="813">
        <v>97818</v>
      </c>
      <c r="B717" s="814" t="s">
        <v>3238</v>
      </c>
      <c r="C717" s="815">
        <v>2.0299999999999999E-5</v>
      </c>
      <c r="D717" s="815">
        <v>2.1999999999999999E-5</v>
      </c>
      <c r="E717" s="816">
        <v>48159</v>
      </c>
      <c r="F717" s="816" t="s">
        <v>185</v>
      </c>
      <c r="G717" s="817">
        <v>7430</v>
      </c>
      <c r="H717" s="818">
        <v>6611</v>
      </c>
      <c r="I717" s="817">
        <v>12779</v>
      </c>
      <c r="J717" s="816">
        <v>3906</v>
      </c>
      <c r="K717" s="818">
        <f t="shared" si="23"/>
        <v>30726</v>
      </c>
      <c r="L717" s="816"/>
      <c r="M717" s="817">
        <v>249</v>
      </c>
      <c r="N717" s="817">
        <v>0</v>
      </c>
      <c r="O717" s="816">
        <v>983</v>
      </c>
      <c r="P717" s="818">
        <f t="shared" si="24"/>
        <v>1232</v>
      </c>
      <c r="Q717" s="816"/>
      <c r="R717" s="817">
        <v>13377</v>
      </c>
      <c r="S717" s="816">
        <v>-89</v>
      </c>
      <c r="T717" s="819">
        <v>13288</v>
      </c>
    </row>
    <row r="718" spans="1:20" x14ac:dyDescent="0.25">
      <c r="A718" s="813">
        <v>97821</v>
      </c>
      <c r="B718" s="814" t="s">
        <v>4249</v>
      </c>
      <c r="C718" s="815">
        <v>1.071E-4</v>
      </c>
      <c r="D718" s="815">
        <v>1.126E-4</v>
      </c>
      <c r="E718" s="816">
        <v>254078</v>
      </c>
      <c r="F718" s="816" t="s">
        <v>185</v>
      </c>
      <c r="G718" s="817">
        <v>39198</v>
      </c>
      <c r="H718" s="818">
        <v>34878</v>
      </c>
      <c r="I718" s="817">
        <v>67422</v>
      </c>
      <c r="J718" s="816">
        <v>12602</v>
      </c>
      <c r="K718" s="818">
        <f t="shared" si="23"/>
        <v>154100</v>
      </c>
      <c r="L718" s="816"/>
      <c r="M718" s="817">
        <v>1315</v>
      </c>
      <c r="N718" s="817">
        <v>0</v>
      </c>
      <c r="O718" s="816">
        <v>5606</v>
      </c>
      <c r="P718" s="818">
        <f t="shared" si="24"/>
        <v>6921</v>
      </c>
      <c r="Q718" s="816"/>
      <c r="R718" s="817">
        <v>70576</v>
      </c>
      <c r="S718" s="816">
        <v>-7137</v>
      </c>
      <c r="T718" s="819">
        <v>63439</v>
      </c>
    </row>
    <row r="719" spans="1:20" x14ac:dyDescent="0.25">
      <c r="A719" s="813">
        <v>97823</v>
      </c>
      <c r="B719" s="814" t="s">
        <v>3240</v>
      </c>
      <c r="C719" s="815">
        <v>1.7200000000000001E-5</v>
      </c>
      <c r="D719" s="815">
        <v>2.3300000000000001E-5</v>
      </c>
      <c r="E719" s="816">
        <v>40804</v>
      </c>
      <c r="F719" s="816" t="s">
        <v>185</v>
      </c>
      <c r="G719" s="817">
        <v>6295</v>
      </c>
      <c r="H719" s="818">
        <v>5601</v>
      </c>
      <c r="I719" s="817">
        <v>10828</v>
      </c>
      <c r="J719" s="816">
        <v>1190</v>
      </c>
      <c r="K719" s="818">
        <f t="shared" si="23"/>
        <v>23914</v>
      </c>
      <c r="L719" s="816"/>
      <c r="M719" s="817">
        <v>211</v>
      </c>
      <c r="N719" s="817">
        <v>0</v>
      </c>
      <c r="O719" s="816">
        <v>2106</v>
      </c>
      <c r="P719" s="818">
        <f t="shared" si="24"/>
        <v>2317</v>
      </c>
      <c r="Q719" s="816"/>
      <c r="R719" s="817">
        <v>11334</v>
      </c>
      <c r="S719" s="816">
        <v>-598</v>
      </c>
      <c r="T719" s="819">
        <v>10736</v>
      </c>
    </row>
    <row r="720" spans="1:20" x14ac:dyDescent="0.25">
      <c r="A720" s="813">
        <v>97831</v>
      </c>
      <c r="B720" s="814" t="s">
        <v>4250</v>
      </c>
      <c r="C720" s="815">
        <v>1.5200000000000001E-4</v>
      </c>
      <c r="D720" s="815">
        <v>1.7009999999999999E-4</v>
      </c>
      <c r="E720" s="816">
        <v>360596</v>
      </c>
      <c r="F720" s="816" t="s">
        <v>185</v>
      </c>
      <c r="G720" s="817">
        <v>55631</v>
      </c>
      <c r="H720" s="818">
        <v>49499</v>
      </c>
      <c r="I720" s="817">
        <v>95688</v>
      </c>
      <c r="J720" s="816">
        <v>11447</v>
      </c>
      <c r="K720" s="818">
        <f t="shared" si="23"/>
        <v>212265</v>
      </c>
      <c r="L720" s="816"/>
      <c r="M720" s="817">
        <v>1867</v>
      </c>
      <c r="N720" s="817">
        <v>0</v>
      </c>
      <c r="O720" s="816">
        <v>5865</v>
      </c>
      <c r="P720" s="818">
        <f t="shared" si="24"/>
        <v>7732</v>
      </c>
      <c r="Q720" s="816"/>
      <c r="R720" s="817">
        <v>100164</v>
      </c>
      <c r="S720" s="816">
        <v>-2869</v>
      </c>
      <c r="T720" s="819">
        <v>97295</v>
      </c>
    </row>
    <row r="721" spans="1:20" x14ac:dyDescent="0.25">
      <c r="A721" s="813">
        <v>97837</v>
      </c>
      <c r="B721" s="814" t="s">
        <v>3242</v>
      </c>
      <c r="C721" s="815">
        <v>9.3000000000000007E-6</v>
      </c>
      <c r="D721" s="815">
        <v>1.0200000000000001E-5</v>
      </c>
      <c r="E721" s="816">
        <v>22063</v>
      </c>
      <c r="F721" s="816" t="s">
        <v>185</v>
      </c>
      <c r="G721" s="817">
        <v>3404</v>
      </c>
      <c r="H721" s="818">
        <v>3029</v>
      </c>
      <c r="I721" s="817">
        <v>5855</v>
      </c>
      <c r="J721" s="816">
        <v>3379</v>
      </c>
      <c r="K721" s="818">
        <f t="shared" si="23"/>
        <v>15667</v>
      </c>
      <c r="L721" s="816"/>
      <c r="M721" s="817">
        <v>114</v>
      </c>
      <c r="N721" s="817">
        <v>0</v>
      </c>
      <c r="O721" s="816">
        <v>139</v>
      </c>
      <c r="P721" s="818">
        <f t="shared" si="24"/>
        <v>253</v>
      </c>
      <c r="Q721" s="816"/>
      <c r="R721" s="817">
        <v>6128</v>
      </c>
      <c r="S721" s="816">
        <v>1610</v>
      </c>
      <c r="T721" s="819">
        <v>7738</v>
      </c>
    </row>
    <row r="722" spans="1:20" x14ac:dyDescent="0.25">
      <c r="A722" s="813">
        <v>97840</v>
      </c>
      <c r="B722" s="814" t="s">
        <v>4251</v>
      </c>
      <c r="C722" s="815">
        <v>1.36E-4</v>
      </c>
      <c r="D722" s="815">
        <v>1.3190000000000001E-4</v>
      </c>
      <c r="E722" s="816">
        <v>322639</v>
      </c>
      <c r="F722" s="816" t="s">
        <v>185</v>
      </c>
      <c r="G722" s="817">
        <v>49775</v>
      </c>
      <c r="H722" s="818">
        <v>44288</v>
      </c>
      <c r="I722" s="817">
        <v>85616</v>
      </c>
      <c r="J722" s="816">
        <v>90526</v>
      </c>
      <c r="K722" s="818">
        <f t="shared" ref="K722:K785" si="26">G722+H722+I722+J722</f>
        <v>270205</v>
      </c>
      <c r="L722" s="816"/>
      <c r="M722" s="817">
        <v>1670</v>
      </c>
      <c r="N722" s="817">
        <v>0</v>
      </c>
      <c r="O722" s="816">
        <v>0</v>
      </c>
      <c r="P722" s="818">
        <f t="shared" ref="P722:P785" si="27">M722+N722+O722</f>
        <v>1670</v>
      </c>
      <c r="Q722" s="816"/>
      <c r="R722" s="817">
        <v>89620</v>
      </c>
      <c r="S722" s="816">
        <v>37670</v>
      </c>
      <c r="T722" s="819">
        <v>127290</v>
      </c>
    </row>
    <row r="723" spans="1:20" x14ac:dyDescent="0.25">
      <c r="A723" s="813">
        <v>97841</v>
      </c>
      <c r="B723" s="814" t="s">
        <v>4252</v>
      </c>
      <c r="C723" s="815">
        <v>1.2E-5</v>
      </c>
      <c r="D723" s="815">
        <v>1.31E-5</v>
      </c>
      <c r="E723" s="816">
        <v>28468</v>
      </c>
      <c r="F723" s="816" t="s">
        <v>185</v>
      </c>
      <c r="G723" s="817">
        <v>4392</v>
      </c>
      <c r="H723" s="818">
        <v>3908</v>
      </c>
      <c r="I723" s="817">
        <v>7554</v>
      </c>
      <c r="J723" s="816">
        <v>186</v>
      </c>
      <c r="K723" s="818">
        <f t="shared" si="26"/>
        <v>16040</v>
      </c>
      <c r="L723" s="816"/>
      <c r="M723" s="817">
        <v>147</v>
      </c>
      <c r="N723" s="817">
        <v>0</v>
      </c>
      <c r="O723" s="816">
        <v>783</v>
      </c>
      <c r="P723" s="818">
        <f t="shared" si="27"/>
        <v>930</v>
      </c>
      <c r="Q723" s="816"/>
      <c r="R723" s="817">
        <v>7908</v>
      </c>
      <c r="S723" s="816">
        <v>-3836</v>
      </c>
      <c r="T723" s="819">
        <v>4072</v>
      </c>
    </row>
    <row r="724" spans="1:20" x14ac:dyDescent="0.25">
      <c r="A724" s="813">
        <v>97847</v>
      </c>
      <c r="B724" s="814" t="s">
        <v>3245</v>
      </c>
      <c r="C724" s="815">
        <v>1.9999999999999999E-6</v>
      </c>
      <c r="D724" s="815">
        <v>2.0999999999999998E-6</v>
      </c>
      <c r="E724" s="816">
        <v>4745</v>
      </c>
      <c r="F724" s="816" t="s">
        <v>185</v>
      </c>
      <c r="G724" s="817">
        <v>732</v>
      </c>
      <c r="H724" s="818">
        <v>651</v>
      </c>
      <c r="I724" s="817">
        <v>1259</v>
      </c>
      <c r="J724" s="816">
        <v>2019</v>
      </c>
      <c r="K724" s="818">
        <f t="shared" si="26"/>
        <v>4661</v>
      </c>
      <c r="L724" s="816"/>
      <c r="M724" s="817">
        <v>25</v>
      </c>
      <c r="N724" s="817">
        <v>0</v>
      </c>
      <c r="O724" s="816">
        <v>0</v>
      </c>
      <c r="P724" s="818">
        <f t="shared" si="27"/>
        <v>25</v>
      </c>
      <c r="Q724" s="816"/>
      <c r="R724" s="817">
        <v>1318</v>
      </c>
      <c r="S724" s="816">
        <v>610</v>
      </c>
      <c r="T724" s="819">
        <v>1928</v>
      </c>
    </row>
    <row r="725" spans="1:20" x14ac:dyDescent="0.25">
      <c r="A725" s="813">
        <v>97851</v>
      </c>
      <c r="B725" s="814" t="s">
        <v>4253</v>
      </c>
      <c r="C725" s="815">
        <v>2.7750000000000002E-4</v>
      </c>
      <c r="D725" s="815">
        <v>2.7799999999999998E-4</v>
      </c>
      <c r="E725" s="816">
        <v>658325</v>
      </c>
      <c r="F725" s="816" t="s">
        <v>185</v>
      </c>
      <c r="G725" s="817">
        <v>101564</v>
      </c>
      <c r="H725" s="818">
        <v>90369</v>
      </c>
      <c r="I725" s="817">
        <v>174694</v>
      </c>
      <c r="J725" s="816">
        <v>0</v>
      </c>
      <c r="K725" s="818">
        <f t="shared" si="26"/>
        <v>366627</v>
      </c>
      <c r="L725" s="816"/>
      <c r="M725" s="817">
        <v>3408</v>
      </c>
      <c r="N725" s="817">
        <v>0</v>
      </c>
      <c r="O725" s="816">
        <v>25332</v>
      </c>
      <c r="P725" s="818">
        <f t="shared" si="27"/>
        <v>28740</v>
      </c>
      <c r="Q725" s="816"/>
      <c r="R725" s="817">
        <v>182865</v>
      </c>
      <c r="S725" s="816">
        <v>-6676</v>
      </c>
      <c r="T725" s="819">
        <v>176189</v>
      </c>
    </row>
    <row r="726" spans="1:20" x14ac:dyDescent="0.25">
      <c r="A726" s="813">
        <v>97853</v>
      </c>
      <c r="B726" s="814" t="s">
        <v>3247</v>
      </c>
      <c r="C726" s="815">
        <v>9.09E-5</v>
      </c>
      <c r="D726" s="815">
        <v>1.0289999999999999E-4</v>
      </c>
      <c r="E726" s="816">
        <v>215646</v>
      </c>
      <c r="F726" s="816" t="s">
        <v>185</v>
      </c>
      <c r="G726" s="817">
        <v>33269</v>
      </c>
      <c r="H726" s="818">
        <v>29601</v>
      </c>
      <c r="I726" s="817">
        <v>57224</v>
      </c>
      <c r="J726" s="816">
        <v>4930</v>
      </c>
      <c r="K726" s="818">
        <f t="shared" si="26"/>
        <v>125024</v>
      </c>
      <c r="L726" s="816"/>
      <c r="M726" s="817">
        <v>1116</v>
      </c>
      <c r="N726" s="817">
        <v>0</v>
      </c>
      <c r="O726" s="816">
        <v>18002</v>
      </c>
      <c r="P726" s="818">
        <f t="shared" si="27"/>
        <v>19118</v>
      </c>
      <c r="Q726" s="816"/>
      <c r="R726" s="817">
        <v>59901</v>
      </c>
      <c r="S726" s="816">
        <v>-2497</v>
      </c>
      <c r="T726" s="819">
        <v>57404</v>
      </c>
    </row>
    <row r="727" spans="1:20" x14ac:dyDescent="0.25">
      <c r="A727" s="813">
        <v>97861</v>
      </c>
      <c r="B727" s="814" t="s">
        <v>4254</v>
      </c>
      <c r="C727" s="815">
        <v>4.3000000000000002E-5</v>
      </c>
      <c r="D727" s="815">
        <v>6.7000000000000002E-5</v>
      </c>
      <c r="E727" s="816">
        <v>102011</v>
      </c>
      <c r="F727" s="816" t="s">
        <v>185</v>
      </c>
      <c r="G727" s="817">
        <v>15738</v>
      </c>
      <c r="H727" s="818">
        <v>14003</v>
      </c>
      <c r="I727" s="817">
        <v>27070</v>
      </c>
      <c r="J727" s="816">
        <v>799</v>
      </c>
      <c r="K727" s="818">
        <f t="shared" si="26"/>
        <v>57610</v>
      </c>
      <c r="L727" s="816"/>
      <c r="M727" s="817">
        <v>528</v>
      </c>
      <c r="N727" s="817">
        <v>0</v>
      </c>
      <c r="O727" s="816">
        <v>15816</v>
      </c>
      <c r="P727" s="818">
        <f t="shared" si="27"/>
        <v>16344</v>
      </c>
      <c r="Q727" s="816"/>
      <c r="R727" s="817">
        <v>28336</v>
      </c>
      <c r="S727" s="816">
        <v>-6822</v>
      </c>
      <c r="T727" s="819">
        <v>21514</v>
      </c>
    </row>
    <row r="728" spans="1:20" x14ac:dyDescent="0.25">
      <c r="A728" s="813">
        <v>97871</v>
      </c>
      <c r="B728" s="814" t="s">
        <v>4255</v>
      </c>
      <c r="C728" s="815">
        <v>3.1080000000000002E-4</v>
      </c>
      <c r="D728" s="815">
        <v>2.9930000000000001E-4</v>
      </c>
      <c r="E728" s="816">
        <v>737324</v>
      </c>
      <c r="F728" s="816" t="s">
        <v>185</v>
      </c>
      <c r="G728" s="817">
        <v>113752</v>
      </c>
      <c r="H728" s="818">
        <v>101213</v>
      </c>
      <c r="I728" s="817">
        <v>195657</v>
      </c>
      <c r="J728" s="816">
        <v>260432</v>
      </c>
      <c r="K728" s="818">
        <f t="shared" si="26"/>
        <v>671054</v>
      </c>
      <c r="L728" s="816"/>
      <c r="M728" s="817">
        <v>3817</v>
      </c>
      <c r="N728" s="817">
        <v>0</v>
      </c>
      <c r="O728" s="816">
        <v>0</v>
      </c>
      <c r="P728" s="818">
        <f t="shared" si="27"/>
        <v>3817</v>
      </c>
      <c r="Q728" s="816"/>
      <c r="R728" s="817">
        <v>204809</v>
      </c>
      <c r="S728" s="816">
        <v>109999</v>
      </c>
      <c r="T728" s="819">
        <v>314808</v>
      </c>
    </row>
    <row r="729" spans="1:20" x14ac:dyDescent="0.25">
      <c r="A729" s="813">
        <v>97877</v>
      </c>
      <c r="B729" s="814" t="s">
        <v>3250</v>
      </c>
      <c r="C729" s="815">
        <v>1.7999999999999999E-6</v>
      </c>
      <c r="D729" s="815">
        <v>1.9E-6</v>
      </c>
      <c r="E729" s="816">
        <v>4270</v>
      </c>
      <c r="F729" s="816" t="s">
        <v>185</v>
      </c>
      <c r="G729" s="817">
        <v>659</v>
      </c>
      <c r="H729" s="818">
        <v>586</v>
      </c>
      <c r="I729" s="817">
        <v>1133</v>
      </c>
      <c r="J729" s="816">
        <v>2439</v>
      </c>
      <c r="K729" s="818">
        <f t="shared" si="26"/>
        <v>4817</v>
      </c>
      <c r="L729" s="816"/>
      <c r="M729" s="817">
        <v>22</v>
      </c>
      <c r="N729" s="817">
        <v>0</v>
      </c>
      <c r="O729" s="816">
        <v>0</v>
      </c>
      <c r="P729" s="818">
        <f t="shared" si="27"/>
        <v>22</v>
      </c>
      <c r="Q729" s="816"/>
      <c r="R729" s="817">
        <v>1186</v>
      </c>
      <c r="S729" s="816">
        <v>1008</v>
      </c>
      <c r="T729" s="819">
        <v>2194</v>
      </c>
    </row>
    <row r="730" spans="1:20" x14ac:dyDescent="0.25">
      <c r="A730" s="813">
        <v>97901</v>
      </c>
      <c r="B730" s="814" t="s">
        <v>3251</v>
      </c>
      <c r="C730" s="815">
        <v>4.2154000000000002E-3</v>
      </c>
      <c r="D730" s="815">
        <v>4.2658000000000001E-3</v>
      </c>
      <c r="E730" s="816">
        <v>10000370</v>
      </c>
      <c r="F730" s="816" t="s">
        <v>185</v>
      </c>
      <c r="G730" s="817">
        <v>1542820</v>
      </c>
      <c r="H730" s="818">
        <v>1372753</v>
      </c>
      <c r="I730" s="817">
        <v>2653712</v>
      </c>
      <c r="J730" s="816">
        <v>48144</v>
      </c>
      <c r="K730" s="818">
        <f t="shared" si="26"/>
        <v>5617429</v>
      </c>
      <c r="L730" s="816"/>
      <c r="M730" s="817">
        <v>51769</v>
      </c>
      <c r="N730" s="817">
        <v>0</v>
      </c>
      <c r="O730" s="816">
        <v>28304</v>
      </c>
      <c r="P730" s="818">
        <f t="shared" si="27"/>
        <v>80073</v>
      </c>
      <c r="Q730" s="816"/>
      <c r="R730" s="817">
        <v>2777835</v>
      </c>
      <c r="S730" s="816">
        <v>30359</v>
      </c>
      <c r="T730" s="819">
        <v>2808194</v>
      </c>
    </row>
    <row r="731" spans="1:20" x14ac:dyDescent="0.25">
      <c r="A731" s="813">
        <v>97911</v>
      </c>
      <c r="B731" s="814" t="s">
        <v>3252</v>
      </c>
      <c r="C731" s="815">
        <v>1.2834000000000001E-3</v>
      </c>
      <c r="D731" s="815">
        <v>1.3005E-3</v>
      </c>
      <c r="E731" s="816">
        <v>3044664</v>
      </c>
      <c r="F731" s="816" t="s">
        <v>185</v>
      </c>
      <c r="G731" s="817">
        <v>469719</v>
      </c>
      <c r="H731" s="818">
        <v>417942</v>
      </c>
      <c r="I731" s="817">
        <v>807936</v>
      </c>
      <c r="J731" s="816">
        <v>11320</v>
      </c>
      <c r="K731" s="818">
        <f t="shared" si="26"/>
        <v>1706917</v>
      </c>
      <c r="L731" s="816"/>
      <c r="M731" s="817">
        <v>15761</v>
      </c>
      <c r="N731" s="817">
        <v>0</v>
      </c>
      <c r="O731" s="816">
        <v>18493</v>
      </c>
      <c r="P731" s="818">
        <f t="shared" si="27"/>
        <v>34254</v>
      </c>
      <c r="Q731" s="816"/>
      <c r="R731" s="817">
        <v>845726</v>
      </c>
      <c r="S731" s="816">
        <v>10611</v>
      </c>
      <c r="T731" s="819">
        <v>856337</v>
      </c>
    </row>
    <row r="732" spans="1:20" x14ac:dyDescent="0.25">
      <c r="A732" s="813">
        <v>97913</v>
      </c>
      <c r="B732" s="814" t="s">
        <v>4256</v>
      </c>
      <c r="C732" s="815">
        <v>3.3899999999999997E-5</v>
      </c>
      <c r="D732" s="815">
        <v>3.5899999999999998E-5</v>
      </c>
      <c r="E732" s="816">
        <v>80422</v>
      </c>
      <c r="F732" s="816" t="s">
        <v>185</v>
      </c>
      <c r="G732" s="817">
        <v>12407</v>
      </c>
      <c r="H732" s="818">
        <v>11039</v>
      </c>
      <c r="I732" s="817">
        <v>21341</v>
      </c>
      <c r="J732" s="816">
        <v>17313</v>
      </c>
      <c r="K732" s="818">
        <f t="shared" si="26"/>
        <v>62100</v>
      </c>
      <c r="L732" s="816"/>
      <c r="M732" s="817">
        <v>416</v>
      </c>
      <c r="N732" s="817">
        <v>0</v>
      </c>
      <c r="O732" s="816">
        <v>0</v>
      </c>
      <c r="P732" s="818">
        <f t="shared" si="27"/>
        <v>416</v>
      </c>
      <c r="Q732" s="816"/>
      <c r="R732" s="817">
        <v>22339</v>
      </c>
      <c r="S732" s="816">
        <v>7130</v>
      </c>
      <c r="T732" s="819">
        <v>29469</v>
      </c>
    </row>
    <row r="733" spans="1:20" x14ac:dyDescent="0.25">
      <c r="A733" s="813">
        <v>97917</v>
      </c>
      <c r="B733" s="814" t="s">
        <v>3254</v>
      </c>
      <c r="C733" s="815">
        <v>1.9700000000000001E-5</v>
      </c>
      <c r="D733" s="815">
        <v>2.0999999999999999E-5</v>
      </c>
      <c r="E733" s="816">
        <v>46735</v>
      </c>
      <c r="F733" s="816" t="s">
        <v>185</v>
      </c>
      <c r="G733" s="817">
        <v>7210</v>
      </c>
      <c r="H733" s="818">
        <v>6415</v>
      </c>
      <c r="I733" s="817">
        <v>12402</v>
      </c>
      <c r="J733" s="816">
        <v>7021</v>
      </c>
      <c r="K733" s="818">
        <f t="shared" si="26"/>
        <v>33048</v>
      </c>
      <c r="L733" s="816"/>
      <c r="M733" s="817">
        <v>242</v>
      </c>
      <c r="N733" s="817">
        <v>0</v>
      </c>
      <c r="O733" s="816">
        <v>0</v>
      </c>
      <c r="P733" s="818">
        <f t="shared" si="27"/>
        <v>242</v>
      </c>
      <c r="Q733" s="816"/>
      <c r="R733" s="817">
        <v>12982</v>
      </c>
      <c r="S733" s="816">
        <v>3750</v>
      </c>
      <c r="T733" s="819">
        <v>16732</v>
      </c>
    </row>
    <row r="734" spans="1:20" x14ac:dyDescent="0.25">
      <c r="A734" s="813">
        <v>97921</v>
      </c>
      <c r="B734" s="814" t="s">
        <v>4257</v>
      </c>
      <c r="C734" s="815">
        <v>2.2699999999999999E-4</v>
      </c>
      <c r="D734" s="815">
        <v>2.1699999999999999E-4</v>
      </c>
      <c r="E734" s="816">
        <v>538522</v>
      </c>
      <c r="F734" s="816" t="s">
        <v>185</v>
      </c>
      <c r="G734" s="817">
        <v>83081</v>
      </c>
      <c r="H734" s="818">
        <v>73923</v>
      </c>
      <c r="I734" s="817">
        <v>142903</v>
      </c>
      <c r="J734" s="816">
        <v>12802</v>
      </c>
      <c r="K734" s="818">
        <f t="shared" si="26"/>
        <v>312709</v>
      </c>
      <c r="L734" s="816"/>
      <c r="M734" s="817">
        <v>2788</v>
      </c>
      <c r="N734" s="817">
        <v>0</v>
      </c>
      <c r="O734" s="816">
        <v>2898</v>
      </c>
      <c r="P734" s="818">
        <f t="shared" si="27"/>
        <v>5686</v>
      </c>
      <c r="Q734" s="816"/>
      <c r="R734" s="817">
        <v>149587</v>
      </c>
      <c r="S734" s="816">
        <v>5157</v>
      </c>
      <c r="T734" s="819">
        <v>154744</v>
      </c>
    </row>
    <row r="735" spans="1:20" x14ac:dyDescent="0.25">
      <c r="A735" s="813">
        <v>97931</v>
      </c>
      <c r="B735" s="814" t="s">
        <v>4258</v>
      </c>
      <c r="C735" s="815">
        <v>6.7600000000000003E-5</v>
      </c>
      <c r="D735" s="815">
        <v>7.0199999999999999E-5</v>
      </c>
      <c r="E735" s="816">
        <v>160370</v>
      </c>
      <c r="F735" s="816" t="s">
        <v>185</v>
      </c>
      <c r="G735" s="817">
        <v>24741</v>
      </c>
      <c r="H735" s="818">
        <v>22014</v>
      </c>
      <c r="I735" s="817">
        <v>42556</v>
      </c>
      <c r="J735" s="816">
        <v>9841</v>
      </c>
      <c r="K735" s="818">
        <f t="shared" si="26"/>
        <v>99152</v>
      </c>
      <c r="L735" s="816"/>
      <c r="M735" s="817">
        <v>830</v>
      </c>
      <c r="N735" s="817">
        <v>0</v>
      </c>
      <c r="O735" s="816">
        <v>3109</v>
      </c>
      <c r="P735" s="818">
        <f t="shared" si="27"/>
        <v>3939</v>
      </c>
      <c r="Q735" s="816"/>
      <c r="R735" s="817">
        <v>44547</v>
      </c>
      <c r="S735" s="816">
        <v>1729</v>
      </c>
      <c r="T735" s="819">
        <v>46276</v>
      </c>
    </row>
    <row r="736" spans="1:20" x14ac:dyDescent="0.25">
      <c r="A736" s="813">
        <v>97941</v>
      </c>
      <c r="B736" s="814" t="s">
        <v>4259</v>
      </c>
      <c r="C736" s="815">
        <v>2.0159999999999999E-4</v>
      </c>
      <c r="D736" s="815">
        <v>2.0479999999999999E-4</v>
      </c>
      <c r="E736" s="816">
        <v>478264</v>
      </c>
      <c r="F736" s="816" t="s">
        <v>185</v>
      </c>
      <c r="G736" s="817">
        <v>73785</v>
      </c>
      <c r="H736" s="818">
        <v>65651</v>
      </c>
      <c r="I736" s="817">
        <v>126913</v>
      </c>
      <c r="J736" s="816">
        <v>19522</v>
      </c>
      <c r="K736" s="818">
        <f t="shared" si="26"/>
        <v>285871</v>
      </c>
      <c r="L736" s="816"/>
      <c r="M736" s="817">
        <v>2476</v>
      </c>
      <c r="N736" s="817">
        <v>0</v>
      </c>
      <c r="O736" s="816">
        <v>6561</v>
      </c>
      <c r="P736" s="818">
        <f t="shared" si="27"/>
        <v>9037</v>
      </c>
      <c r="Q736" s="816"/>
      <c r="R736" s="817">
        <v>132849</v>
      </c>
      <c r="S736" s="816">
        <v>9717</v>
      </c>
      <c r="T736" s="819">
        <v>142566</v>
      </c>
    </row>
    <row r="737" spans="1:20" x14ac:dyDescent="0.25">
      <c r="A737" s="813">
        <v>97947</v>
      </c>
      <c r="B737" s="814" t="s">
        <v>3258</v>
      </c>
      <c r="C737" s="815">
        <v>1.47E-5</v>
      </c>
      <c r="D737" s="815">
        <v>1.3900000000000001E-5</v>
      </c>
      <c r="E737" s="816">
        <v>34873</v>
      </c>
      <c r="F737" s="816" t="s">
        <v>185</v>
      </c>
      <c r="G737" s="817">
        <v>5380</v>
      </c>
      <c r="H737" s="818">
        <v>4788</v>
      </c>
      <c r="I737" s="817">
        <v>9254</v>
      </c>
      <c r="J737" s="816">
        <v>11430</v>
      </c>
      <c r="K737" s="818">
        <f t="shared" si="26"/>
        <v>30852</v>
      </c>
      <c r="L737" s="816"/>
      <c r="M737" s="817">
        <v>181</v>
      </c>
      <c r="N737" s="817">
        <v>0</v>
      </c>
      <c r="O737" s="816">
        <v>0</v>
      </c>
      <c r="P737" s="818">
        <f t="shared" si="27"/>
        <v>181</v>
      </c>
      <c r="Q737" s="816"/>
      <c r="R737" s="817">
        <v>9687</v>
      </c>
      <c r="S737" s="816">
        <v>4453</v>
      </c>
      <c r="T737" s="819">
        <v>14140</v>
      </c>
    </row>
    <row r="738" spans="1:20" x14ac:dyDescent="0.25">
      <c r="A738" s="813">
        <v>97948</v>
      </c>
      <c r="B738" s="814" t="s">
        <v>3259</v>
      </c>
      <c r="C738" s="815">
        <v>2.1299999999999999E-5</v>
      </c>
      <c r="D738" s="815">
        <v>2.2099999999999998E-5</v>
      </c>
      <c r="E738" s="816">
        <v>50531</v>
      </c>
      <c r="F738" s="816" t="s">
        <v>185</v>
      </c>
      <c r="G738" s="817">
        <v>7796</v>
      </c>
      <c r="H738" s="818">
        <v>6936</v>
      </c>
      <c r="I738" s="817">
        <v>13409</v>
      </c>
      <c r="J738" s="816">
        <v>1178</v>
      </c>
      <c r="K738" s="818">
        <f t="shared" si="26"/>
        <v>29319</v>
      </c>
      <c r="L738" s="816"/>
      <c r="M738" s="817">
        <v>262</v>
      </c>
      <c r="N738" s="817">
        <v>0</v>
      </c>
      <c r="O738" s="816">
        <v>6237</v>
      </c>
      <c r="P738" s="818">
        <f t="shared" si="27"/>
        <v>6499</v>
      </c>
      <c r="Q738" s="816"/>
      <c r="R738" s="817">
        <v>14036</v>
      </c>
      <c r="S738" s="816">
        <v>-878</v>
      </c>
      <c r="T738" s="819">
        <v>13158</v>
      </c>
    </row>
    <row r="739" spans="1:20" x14ac:dyDescent="0.25">
      <c r="A739" s="813">
        <v>97951</v>
      </c>
      <c r="B739" s="814" t="s">
        <v>3260</v>
      </c>
      <c r="C739" s="815">
        <v>1.1826E-3</v>
      </c>
      <c r="D739" s="815">
        <v>1.2440999999999999E-3</v>
      </c>
      <c r="E739" s="816">
        <v>2805532</v>
      </c>
      <c r="F739" s="816" t="s">
        <v>185</v>
      </c>
      <c r="G739" s="817">
        <v>432827</v>
      </c>
      <c r="H739" s="818">
        <v>385116</v>
      </c>
      <c r="I739" s="817">
        <v>744480</v>
      </c>
      <c r="J739" s="816">
        <v>20429</v>
      </c>
      <c r="K739" s="818">
        <f t="shared" si="26"/>
        <v>1582852</v>
      </c>
      <c r="L739" s="816"/>
      <c r="M739" s="817">
        <v>14524</v>
      </c>
      <c r="N739" s="817">
        <v>0</v>
      </c>
      <c r="O739" s="816">
        <v>100</v>
      </c>
      <c r="P739" s="818">
        <f t="shared" si="27"/>
        <v>14624</v>
      </c>
      <c r="Q739" s="816"/>
      <c r="R739" s="817">
        <v>779301</v>
      </c>
      <c r="S739" s="816">
        <v>4342</v>
      </c>
      <c r="T739" s="819">
        <v>783643</v>
      </c>
    </row>
    <row r="740" spans="1:20" x14ac:dyDescent="0.25">
      <c r="A740" s="813">
        <v>97957</v>
      </c>
      <c r="B740" s="814" t="s">
        <v>3261</v>
      </c>
      <c r="C740" s="815">
        <v>1.7200000000000001E-5</v>
      </c>
      <c r="D740" s="815">
        <v>1.8700000000000001E-5</v>
      </c>
      <c r="E740" s="816">
        <v>40804</v>
      </c>
      <c r="F740" s="816" t="s">
        <v>185</v>
      </c>
      <c r="G740" s="817">
        <v>6295</v>
      </c>
      <c r="H740" s="818">
        <v>5601</v>
      </c>
      <c r="I740" s="817">
        <v>10828</v>
      </c>
      <c r="J740" s="816">
        <v>5813</v>
      </c>
      <c r="K740" s="818">
        <f t="shared" si="26"/>
        <v>28537</v>
      </c>
      <c r="L740" s="816"/>
      <c r="M740" s="817">
        <v>211</v>
      </c>
      <c r="N740" s="817">
        <v>0</v>
      </c>
      <c r="O740" s="816">
        <v>466</v>
      </c>
      <c r="P740" s="818">
        <f t="shared" si="27"/>
        <v>677</v>
      </c>
      <c r="Q740" s="816"/>
      <c r="R740" s="817">
        <v>11334</v>
      </c>
      <c r="S740" s="816">
        <v>1280</v>
      </c>
      <c r="T740" s="819">
        <v>12614</v>
      </c>
    </row>
    <row r="741" spans="1:20" x14ac:dyDescent="0.25">
      <c r="A741" s="813">
        <v>98001</v>
      </c>
      <c r="B741" s="814" t="s">
        <v>3262</v>
      </c>
      <c r="C741" s="815">
        <v>5.3728999999999999E-3</v>
      </c>
      <c r="D741" s="815">
        <v>5.1148000000000001E-3</v>
      </c>
      <c r="E741" s="816">
        <v>12746356</v>
      </c>
      <c r="F741" s="816" t="s">
        <v>185</v>
      </c>
      <c r="G741" s="817">
        <v>1966460</v>
      </c>
      <c r="H741" s="818">
        <v>1749696</v>
      </c>
      <c r="I741" s="817">
        <v>3382391</v>
      </c>
      <c r="J741" s="816">
        <v>275498</v>
      </c>
      <c r="K741" s="818">
        <f t="shared" si="26"/>
        <v>7374045</v>
      </c>
      <c r="L741" s="816"/>
      <c r="M741" s="817">
        <v>65985</v>
      </c>
      <c r="N741" s="817">
        <v>0</v>
      </c>
      <c r="O741" s="816">
        <v>0</v>
      </c>
      <c r="P741" s="818">
        <f t="shared" si="27"/>
        <v>65985</v>
      </c>
      <c r="Q741" s="816"/>
      <c r="R741" s="817">
        <v>3540596</v>
      </c>
      <c r="S741" s="816">
        <v>124587</v>
      </c>
      <c r="T741" s="819">
        <v>3665183</v>
      </c>
    </row>
    <row r="742" spans="1:20" x14ac:dyDescent="0.25">
      <c r="A742" s="813">
        <v>98002</v>
      </c>
      <c r="B742" s="814" t="s">
        <v>3263</v>
      </c>
      <c r="C742" s="815">
        <v>6.4999999999999996E-6</v>
      </c>
      <c r="D742" s="815">
        <v>6.7000000000000002E-6</v>
      </c>
      <c r="E742" s="816">
        <v>15420</v>
      </c>
      <c r="F742" s="816" t="s">
        <v>185</v>
      </c>
      <c r="G742" s="817">
        <v>2379</v>
      </c>
      <c r="H742" s="818">
        <v>2117</v>
      </c>
      <c r="I742" s="817">
        <v>4092</v>
      </c>
      <c r="J742" s="816">
        <v>1772</v>
      </c>
      <c r="K742" s="818">
        <f t="shared" si="26"/>
        <v>10360</v>
      </c>
      <c r="L742" s="816"/>
      <c r="M742" s="817">
        <v>80</v>
      </c>
      <c r="N742" s="817">
        <v>0</v>
      </c>
      <c r="O742" s="816">
        <v>0</v>
      </c>
      <c r="P742" s="818">
        <f t="shared" si="27"/>
        <v>80</v>
      </c>
      <c r="Q742" s="816"/>
      <c r="R742" s="817">
        <v>4283</v>
      </c>
      <c r="S742" s="816">
        <v>-5879</v>
      </c>
      <c r="T742" s="819">
        <v>-1596</v>
      </c>
    </row>
    <row r="743" spans="1:20" x14ac:dyDescent="0.25">
      <c r="A743" s="813">
        <v>98003</v>
      </c>
      <c r="B743" s="814" t="s">
        <v>3264</v>
      </c>
      <c r="C743" s="815">
        <v>7.7000000000000001E-5</v>
      </c>
      <c r="D743" s="815">
        <v>7.9599999999999997E-5</v>
      </c>
      <c r="E743" s="816">
        <v>182670</v>
      </c>
      <c r="F743" s="816" t="s">
        <v>185</v>
      </c>
      <c r="G743" s="817">
        <v>28182</v>
      </c>
      <c r="H743" s="818">
        <v>25075</v>
      </c>
      <c r="I743" s="817">
        <v>48474</v>
      </c>
      <c r="J743" s="816">
        <v>62655</v>
      </c>
      <c r="K743" s="818">
        <f t="shared" si="26"/>
        <v>164386</v>
      </c>
      <c r="L743" s="816"/>
      <c r="M743" s="817">
        <v>946</v>
      </c>
      <c r="N743" s="817">
        <v>0</v>
      </c>
      <c r="O743" s="816">
        <v>0</v>
      </c>
      <c r="P743" s="818">
        <f t="shared" si="27"/>
        <v>946</v>
      </c>
      <c r="Q743" s="816"/>
      <c r="R743" s="817">
        <v>50741</v>
      </c>
      <c r="S743" s="816">
        <v>25199</v>
      </c>
      <c r="T743" s="819">
        <v>75940</v>
      </c>
    </row>
    <row r="744" spans="1:20" x14ac:dyDescent="0.25">
      <c r="A744" s="813">
        <v>98004</v>
      </c>
      <c r="B744" s="814" t="s">
        <v>3265</v>
      </c>
      <c r="C744" s="815">
        <v>1.189E-4</v>
      </c>
      <c r="D744" s="815">
        <v>1.182E-4</v>
      </c>
      <c r="E744" s="816">
        <v>282071</v>
      </c>
      <c r="F744" s="816" t="s">
        <v>185</v>
      </c>
      <c r="G744" s="817">
        <v>43517</v>
      </c>
      <c r="H744" s="818">
        <v>38720</v>
      </c>
      <c r="I744" s="817">
        <v>74851</v>
      </c>
      <c r="J744" s="816">
        <v>41871</v>
      </c>
      <c r="K744" s="818">
        <f t="shared" si="26"/>
        <v>198959</v>
      </c>
      <c r="L744" s="816"/>
      <c r="M744" s="817">
        <v>1460</v>
      </c>
      <c r="N744" s="817">
        <v>0</v>
      </c>
      <c r="O744" s="816">
        <v>0</v>
      </c>
      <c r="P744" s="818">
        <f t="shared" si="27"/>
        <v>1460</v>
      </c>
      <c r="Q744" s="816"/>
      <c r="R744" s="817">
        <v>78352</v>
      </c>
      <c r="S744" s="816">
        <v>19024</v>
      </c>
      <c r="T744" s="819">
        <v>97376</v>
      </c>
    </row>
    <row r="745" spans="1:20" x14ac:dyDescent="0.25">
      <c r="A745" s="813">
        <v>98008</v>
      </c>
      <c r="B745" s="814" t="s">
        <v>3266</v>
      </c>
      <c r="C745" s="815">
        <v>7.7000000000000008E-6</v>
      </c>
      <c r="D745" s="815">
        <v>7.9999999999999996E-6</v>
      </c>
      <c r="E745" s="816">
        <v>18267</v>
      </c>
      <c r="F745" s="816" t="s">
        <v>185</v>
      </c>
      <c r="G745" s="817">
        <v>2818</v>
      </c>
      <c r="H745" s="818">
        <v>2507</v>
      </c>
      <c r="I745" s="817">
        <v>4847</v>
      </c>
      <c r="J745" s="816">
        <v>20</v>
      </c>
      <c r="K745" s="818">
        <f t="shared" si="26"/>
        <v>10192</v>
      </c>
      <c r="L745" s="816"/>
      <c r="M745" s="817">
        <v>95</v>
      </c>
      <c r="N745" s="817">
        <v>0</v>
      </c>
      <c r="O745" s="816">
        <v>556</v>
      </c>
      <c r="P745" s="818">
        <f t="shared" si="27"/>
        <v>651</v>
      </c>
      <c r="Q745" s="816"/>
      <c r="R745" s="817">
        <v>5074</v>
      </c>
      <c r="S745" s="816">
        <v>-548</v>
      </c>
      <c r="T745" s="819">
        <v>4526</v>
      </c>
    </row>
    <row r="746" spans="1:20" x14ac:dyDescent="0.25">
      <c r="A746" s="813">
        <v>98011</v>
      </c>
      <c r="B746" s="814" t="s">
        <v>3267</v>
      </c>
      <c r="C746" s="815">
        <v>3.2946999999999998E-3</v>
      </c>
      <c r="D746" s="815">
        <v>3.1578999999999999E-3</v>
      </c>
      <c r="E746" s="816">
        <v>7816155</v>
      </c>
      <c r="F746" s="816" t="s">
        <v>185</v>
      </c>
      <c r="G746" s="817">
        <v>1205847</v>
      </c>
      <c r="H746" s="818">
        <v>1072925</v>
      </c>
      <c r="I746" s="817">
        <v>2074106</v>
      </c>
      <c r="J746" s="816">
        <v>81290</v>
      </c>
      <c r="K746" s="818">
        <f t="shared" si="26"/>
        <v>4434168</v>
      </c>
      <c r="L746" s="816"/>
      <c r="M746" s="817">
        <v>40462</v>
      </c>
      <c r="N746" s="817">
        <v>0</v>
      </c>
      <c r="O746" s="816">
        <v>168657</v>
      </c>
      <c r="P746" s="818">
        <f t="shared" si="27"/>
        <v>209119</v>
      </c>
      <c r="Q746" s="816"/>
      <c r="R746" s="817">
        <v>2171118</v>
      </c>
      <c r="S746" s="816">
        <v>-126045</v>
      </c>
      <c r="T746" s="819">
        <v>2045073</v>
      </c>
    </row>
    <row r="747" spans="1:20" x14ac:dyDescent="0.25">
      <c r="A747" s="813">
        <v>98013</v>
      </c>
      <c r="B747" s="814" t="s">
        <v>4260</v>
      </c>
      <c r="C747" s="815">
        <v>1.3439999999999999E-4</v>
      </c>
      <c r="D747" s="815">
        <v>1.415E-4</v>
      </c>
      <c r="E747" s="816">
        <v>318843</v>
      </c>
      <c r="F747" s="816"/>
      <c r="G747" s="817">
        <v>49190</v>
      </c>
      <c r="H747" s="818">
        <v>43768</v>
      </c>
      <c r="I747" s="817">
        <v>84609</v>
      </c>
      <c r="J747" s="816">
        <v>137928</v>
      </c>
      <c r="K747" s="818">
        <f t="shared" si="26"/>
        <v>315495</v>
      </c>
      <c r="L747" s="816"/>
      <c r="M747" s="817">
        <v>1651</v>
      </c>
      <c r="N747" s="817">
        <v>0</v>
      </c>
      <c r="O747" s="816">
        <v>0</v>
      </c>
      <c r="P747" s="818">
        <f t="shared" si="27"/>
        <v>1651</v>
      </c>
      <c r="Q747" s="816"/>
      <c r="R747" s="817">
        <v>88566</v>
      </c>
      <c r="S747" s="816">
        <v>55732</v>
      </c>
      <c r="T747" s="819">
        <v>144298</v>
      </c>
    </row>
    <row r="748" spans="1:20" x14ac:dyDescent="0.25">
      <c r="A748" s="813">
        <v>98021</v>
      </c>
      <c r="B748" s="814" t="s">
        <v>4261</v>
      </c>
      <c r="C748" s="815">
        <v>3.6100000000000003E-5</v>
      </c>
      <c r="D748" s="815">
        <v>8.6199999999999995E-5</v>
      </c>
      <c r="E748" s="816">
        <v>85642</v>
      </c>
      <c r="F748" s="816"/>
      <c r="G748" s="817">
        <v>13212</v>
      </c>
      <c r="H748" s="818">
        <v>11756</v>
      </c>
      <c r="I748" s="817">
        <v>22726</v>
      </c>
      <c r="J748" s="816">
        <v>6068</v>
      </c>
      <c r="K748" s="818">
        <f t="shared" si="26"/>
        <v>53762</v>
      </c>
      <c r="L748" s="816"/>
      <c r="M748" s="817">
        <v>443</v>
      </c>
      <c r="N748" s="817">
        <v>0</v>
      </c>
      <c r="O748" s="816">
        <v>29951</v>
      </c>
      <c r="P748" s="818">
        <f t="shared" si="27"/>
        <v>30394</v>
      </c>
      <c r="Q748" s="816"/>
      <c r="R748" s="817">
        <v>23789</v>
      </c>
      <c r="S748" s="816">
        <v>-559</v>
      </c>
      <c r="T748" s="819">
        <v>23230</v>
      </c>
    </row>
    <row r="749" spans="1:20" x14ac:dyDescent="0.25">
      <c r="A749" s="813">
        <v>98023</v>
      </c>
      <c r="B749" s="814" t="s">
        <v>3270</v>
      </c>
      <c r="C749" s="815">
        <v>1.88E-5</v>
      </c>
      <c r="D749" s="815">
        <v>1.43E-5</v>
      </c>
      <c r="E749" s="816">
        <v>44600</v>
      </c>
      <c r="F749" s="816"/>
      <c r="G749" s="817">
        <v>6881</v>
      </c>
      <c r="H749" s="818">
        <v>6122</v>
      </c>
      <c r="I749" s="817">
        <v>11835</v>
      </c>
      <c r="J749" s="816">
        <v>1700</v>
      </c>
      <c r="K749" s="818">
        <f t="shared" si="26"/>
        <v>26538</v>
      </c>
      <c r="L749" s="816"/>
      <c r="M749" s="817">
        <v>231</v>
      </c>
      <c r="N749" s="817">
        <v>0</v>
      </c>
      <c r="O749" s="816">
        <v>2588</v>
      </c>
      <c r="P749" s="818">
        <f t="shared" si="27"/>
        <v>2819</v>
      </c>
      <c r="Q749" s="816"/>
      <c r="R749" s="817">
        <v>12389</v>
      </c>
      <c r="S749" s="816">
        <v>-2200</v>
      </c>
      <c r="T749" s="819">
        <v>10189</v>
      </c>
    </row>
    <row r="750" spans="1:20" x14ac:dyDescent="0.25">
      <c r="A750" s="813">
        <v>98031</v>
      </c>
      <c r="B750" s="814" t="s">
        <v>4262</v>
      </c>
      <c r="C750" s="815">
        <v>1.717E-4</v>
      </c>
      <c r="D750" s="815">
        <v>1.537E-4</v>
      </c>
      <c r="E750" s="816">
        <v>407331</v>
      </c>
      <c r="F750" s="816"/>
      <c r="G750" s="817">
        <v>62842</v>
      </c>
      <c r="H750" s="818">
        <v>55914</v>
      </c>
      <c r="I750" s="817">
        <v>108090</v>
      </c>
      <c r="J750" s="816">
        <v>7268</v>
      </c>
      <c r="K750" s="818">
        <f t="shared" si="26"/>
        <v>234114</v>
      </c>
      <c r="L750" s="816"/>
      <c r="M750" s="817">
        <v>2109</v>
      </c>
      <c r="N750" s="817">
        <v>0</v>
      </c>
      <c r="O750" s="816">
        <v>5245</v>
      </c>
      <c r="P750" s="818">
        <f t="shared" si="27"/>
        <v>7354</v>
      </c>
      <c r="Q750" s="816"/>
      <c r="R750" s="817">
        <v>113146</v>
      </c>
      <c r="S750" s="816">
        <v>-92</v>
      </c>
      <c r="T750" s="819">
        <v>113054</v>
      </c>
    </row>
    <row r="751" spans="1:20" x14ac:dyDescent="0.25">
      <c r="A751" s="813">
        <v>98041</v>
      </c>
      <c r="B751" s="814" t="s">
        <v>4263</v>
      </c>
      <c r="C751" s="815">
        <v>2.242E-4</v>
      </c>
      <c r="D751" s="815">
        <v>1.9230000000000001E-4</v>
      </c>
      <c r="E751" s="816">
        <v>531879</v>
      </c>
      <c r="F751" s="816"/>
      <c r="G751" s="817">
        <v>82056</v>
      </c>
      <c r="H751" s="818">
        <v>73011</v>
      </c>
      <c r="I751" s="817">
        <v>141140</v>
      </c>
      <c r="J751" s="816">
        <v>23837</v>
      </c>
      <c r="K751" s="818">
        <f t="shared" si="26"/>
        <v>320044</v>
      </c>
      <c r="L751" s="816"/>
      <c r="M751" s="817">
        <v>2753</v>
      </c>
      <c r="N751" s="817">
        <v>0</v>
      </c>
      <c r="O751" s="816">
        <v>1903</v>
      </c>
      <c r="P751" s="818">
        <f t="shared" si="27"/>
        <v>4656</v>
      </c>
      <c r="Q751" s="816"/>
      <c r="R751" s="817">
        <v>147742</v>
      </c>
      <c r="S751" s="816">
        <v>3840</v>
      </c>
      <c r="T751" s="819">
        <v>151582</v>
      </c>
    </row>
    <row r="752" spans="1:20" x14ac:dyDescent="0.25">
      <c r="A752" s="813">
        <v>98051</v>
      </c>
      <c r="B752" s="814" t="s">
        <v>4264</v>
      </c>
      <c r="C752" s="815">
        <v>2.699E-4</v>
      </c>
      <c r="D752" s="815">
        <v>2.8019999999999998E-4</v>
      </c>
      <c r="E752" s="816">
        <v>640295</v>
      </c>
      <c r="F752" s="816"/>
      <c r="G752" s="817">
        <v>98782</v>
      </c>
      <c r="H752" s="818">
        <v>87893</v>
      </c>
      <c r="I752" s="817">
        <v>169910</v>
      </c>
      <c r="J752" s="816">
        <v>12423</v>
      </c>
      <c r="K752" s="818">
        <f t="shared" si="26"/>
        <v>369008</v>
      </c>
      <c r="L752" s="816"/>
      <c r="M752" s="817">
        <v>3315</v>
      </c>
      <c r="N752" s="817">
        <v>0</v>
      </c>
      <c r="O752" s="816">
        <v>5552</v>
      </c>
      <c r="P752" s="818">
        <f t="shared" si="27"/>
        <v>8867</v>
      </c>
      <c r="Q752" s="816"/>
      <c r="R752" s="817">
        <v>177857</v>
      </c>
      <c r="S752" s="816">
        <v>7633</v>
      </c>
      <c r="T752" s="819">
        <v>185490</v>
      </c>
    </row>
    <row r="753" spans="1:20" x14ac:dyDescent="0.25">
      <c r="A753" s="813">
        <v>98061</v>
      </c>
      <c r="B753" s="814" t="s">
        <v>4265</v>
      </c>
      <c r="C753" s="815">
        <v>1.3420000000000001E-4</v>
      </c>
      <c r="D753" s="815">
        <v>1.0670000000000001E-4</v>
      </c>
      <c r="E753" s="816">
        <v>318368</v>
      </c>
      <c r="F753" s="816"/>
      <c r="G753" s="817">
        <v>49117</v>
      </c>
      <c r="H753" s="818">
        <v>43702</v>
      </c>
      <c r="I753" s="817">
        <v>84483</v>
      </c>
      <c r="J753" s="816">
        <v>14234</v>
      </c>
      <c r="K753" s="818">
        <f t="shared" si="26"/>
        <v>191536</v>
      </c>
      <c r="L753" s="816"/>
      <c r="M753" s="817">
        <v>1648</v>
      </c>
      <c r="N753" s="817">
        <v>0</v>
      </c>
      <c r="O753" s="816">
        <v>10224</v>
      </c>
      <c r="P753" s="818">
        <f t="shared" si="27"/>
        <v>11872</v>
      </c>
      <c r="Q753" s="816"/>
      <c r="R753" s="817">
        <v>88434</v>
      </c>
      <c r="S753" s="816">
        <v>-3412</v>
      </c>
      <c r="T753" s="819">
        <v>85022</v>
      </c>
    </row>
    <row r="754" spans="1:20" x14ac:dyDescent="0.25">
      <c r="A754" s="813">
        <v>98071</v>
      </c>
      <c r="B754" s="814" t="s">
        <v>4266</v>
      </c>
      <c r="C754" s="815">
        <v>3.5800000000000003E-5</v>
      </c>
      <c r="D754" s="815">
        <v>4.0099999999999999E-5</v>
      </c>
      <c r="E754" s="816">
        <v>84930</v>
      </c>
      <c r="F754" s="816"/>
      <c r="G754" s="817">
        <v>13103</v>
      </c>
      <c r="H754" s="818">
        <v>11658</v>
      </c>
      <c r="I754" s="817">
        <v>22537</v>
      </c>
      <c r="J754" s="816">
        <v>20473</v>
      </c>
      <c r="K754" s="818">
        <f t="shared" si="26"/>
        <v>67771</v>
      </c>
      <c r="L754" s="816"/>
      <c r="M754" s="817">
        <v>440</v>
      </c>
      <c r="N754" s="817">
        <v>0</v>
      </c>
      <c r="O754" s="816">
        <v>541</v>
      </c>
      <c r="P754" s="818">
        <f t="shared" si="27"/>
        <v>981</v>
      </c>
      <c r="Q754" s="816"/>
      <c r="R754" s="817">
        <v>23591</v>
      </c>
      <c r="S754" s="816">
        <v>6474</v>
      </c>
      <c r="T754" s="819">
        <v>30065</v>
      </c>
    </row>
    <row r="755" spans="1:20" x14ac:dyDescent="0.25">
      <c r="A755" s="813">
        <v>98081</v>
      </c>
      <c r="B755" s="814" t="s">
        <v>4267</v>
      </c>
      <c r="C755" s="815">
        <v>1.7200000000000001E-5</v>
      </c>
      <c r="D755" s="815">
        <v>1.8300000000000001E-5</v>
      </c>
      <c r="E755" s="816">
        <v>40804</v>
      </c>
      <c r="F755" s="816"/>
      <c r="G755" s="817">
        <v>6295</v>
      </c>
      <c r="H755" s="818">
        <v>5601</v>
      </c>
      <c r="I755" s="817">
        <v>10828</v>
      </c>
      <c r="J755" s="816">
        <v>0</v>
      </c>
      <c r="K755" s="818">
        <f t="shared" si="26"/>
        <v>22724</v>
      </c>
      <c r="L755" s="816"/>
      <c r="M755" s="817">
        <v>211</v>
      </c>
      <c r="N755" s="817">
        <v>0</v>
      </c>
      <c r="O755" s="816">
        <v>3428</v>
      </c>
      <c r="P755" s="818">
        <f t="shared" si="27"/>
        <v>3639</v>
      </c>
      <c r="Q755" s="816"/>
      <c r="R755" s="817">
        <v>11334</v>
      </c>
      <c r="S755" s="816">
        <v>-2166</v>
      </c>
      <c r="T755" s="819">
        <v>9168</v>
      </c>
    </row>
    <row r="756" spans="1:20" x14ac:dyDescent="0.25">
      <c r="A756" s="813">
        <v>98091</v>
      </c>
      <c r="B756" s="814" t="s">
        <v>4268</v>
      </c>
      <c r="C756" s="815">
        <v>5.1600000000000001E-5</v>
      </c>
      <c r="D756" s="815">
        <v>4.7500000000000003E-5</v>
      </c>
      <c r="E756" s="816">
        <v>122413</v>
      </c>
      <c r="F756" s="816"/>
      <c r="G756" s="817">
        <v>18885</v>
      </c>
      <c r="H756" s="818">
        <v>16803</v>
      </c>
      <c r="I756" s="817">
        <v>32484</v>
      </c>
      <c r="J756" s="816">
        <v>5795</v>
      </c>
      <c r="K756" s="818">
        <f t="shared" si="26"/>
        <v>73967</v>
      </c>
      <c r="L756" s="816"/>
      <c r="M756" s="817">
        <v>634</v>
      </c>
      <c r="N756" s="817">
        <v>0</v>
      </c>
      <c r="O756" s="816">
        <v>0</v>
      </c>
      <c r="P756" s="818">
        <f t="shared" si="27"/>
        <v>634</v>
      </c>
      <c r="Q756" s="816"/>
      <c r="R756" s="817">
        <v>34003</v>
      </c>
      <c r="S756" s="816">
        <v>976</v>
      </c>
      <c r="T756" s="819">
        <v>34979</v>
      </c>
    </row>
    <row r="757" spans="1:20" x14ac:dyDescent="0.25">
      <c r="A757" s="813">
        <v>98101</v>
      </c>
      <c r="B757" s="814" t="s">
        <v>3278</v>
      </c>
      <c r="C757" s="815">
        <v>2.6497999999999999E-3</v>
      </c>
      <c r="D757" s="815">
        <v>2.8706999999999999E-3</v>
      </c>
      <c r="E757" s="816">
        <v>6286232</v>
      </c>
      <c r="F757" s="816"/>
      <c r="G757" s="817">
        <v>969816</v>
      </c>
      <c r="H757" s="818">
        <v>862912</v>
      </c>
      <c r="I757" s="817">
        <v>1668123</v>
      </c>
      <c r="J757" s="816">
        <v>13234</v>
      </c>
      <c r="K757" s="818">
        <f t="shared" si="26"/>
        <v>3514085</v>
      </c>
      <c r="L757" s="816"/>
      <c r="M757" s="817">
        <v>32542</v>
      </c>
      <c r="N757" s="817">
        <v>0</v>
      </c>
      <c r="O757" s="816">
        <v>206313</v>
      </c>
      <c r="P757" s="818">
        <f t="shared" si="27"/>
        <v>238855</v>
      </c>
      <c r="Q757" s="816"/>
      <c r="R757" s="817">
        <v>1746147</v>
      </c>
      <c r="S757" s="816">
        <v>-31729</v>
      </c>
      <c r="T757" s="819">
        <v>1714418</v>
      </c>
    </row>
    <row r="758" spans="1:20" x14ac:dyDescent="0.25">
      <c r="A758" s="813">
        <v>98102</v>
      </c>
      <c r="B758" s="814" t="s">
        <v>3279</v>
      </c>
      <c r="C758" s="815">
        <v>1.496E-4</v>
      </c>
      <c r="D758" s="815">
        <v>1.5809999999999999E-4</v>
      </c>
      <c r="E758" s="816">
        <v>354902</v>
      </c>
      <c r="F758" s="816"/>
      <c r="G758" s="817">
        <v>54753</v>
      </c>
      <c r="H758" s="818">
        <v>48718</v>
      </c>
      <c r="I758" s="817">
        <v>94177</v>
      </c>
      <c r="J758" s="816">
        <v>0</v>
      </c>
      <c r="K758" s="818">
        <f t="shared" si="26"/>
        <v>197648</v>
      </c>
      <c r="L758" s="816"/>
      <c r="M758" s="817">
        <v>1837</v>
      </c>
      <c r="N758" s="817">
        <v>0</v>
      </c>
      <c r="O758" s="816">
        <v>13146</v>
      </c>
      <c r="P758" s="818">
        <f t="shared" si="27"/>
        <v>14983</v>
      </c>
      <c r="Q758" s="816"/>
      <c r="R758" s="817">
        <v>98582</v>
      </c>
      <c r="S758" s="816">
        <v>-6674</v>
      </c>
      <c r="T758" s="819">
        <v>91908</v>
      </c>
    </row>
    <row r="759" spans="1:20" x14ac:dyDescent="0.25">
      <c r="A759" s="813">
        <v>98103</v>
      </c>
      <c r="B759" s="814" t="s">
        <v>3280</v>
      </c>
      <c r="C759" s="815">
        <v>4.8450000000000001E-4</v>
      </c>
      <c r="D759" s="815">
        <v>5.4410000000000005E-4</v>
      </c>
      <c r="E759" s="816">
        <v>1149400</v>
      </c>
      <c r="F759" s="816"/>
      <c r="G759" s="817">
        <v>177325</v>
      </c>
      <c r="H759" s="818">
        <v>157779</v>
      </c>
      <c r="I759" s="817">
        <v>305006</v>
      </c>
      <c r="J759" s="816">
        <v>7298</v>
      </c>
      <c r="K759" s="818">
        <f t="shared" si="26"/>
        <v>647408</v>
      </c>
      <c r="L759" s="816"/>
      <c r="M759" s="817">
        <v>5950</v>
      </c>
      <c r="N759" s="817">
        <v>0</v>
      </c>
      <c r="O759" s="816">
        <v>39675</v>
      </c>
      <c r="P759" s="818">
        <f t="shared" si="27"/>
        <v>45625</v>
      </c>
      <c r="Q759" s="816"/>
      <c r="R759" s="817">
        <v>319272</v>
      </c>
      <c r="S759" s="816">
        <v>-24913</v>
      </c>
      <c r="T759" s="819">
        <v>294359</v>
      </c>
    </row>
    <row r="760" spans="1:20" x14ac:dyDescent="0.25">
      <c r="A760" s="813">
        <v>98107</v>
      </c>
      <c r="B760" s="814" t="s">
        <v>3281</v>
      </c>
      <c r="C760" s="815">
        <v>1.01E-5</v>
      </c>
      <c r="D760" s="815">
        <v>1.08E-5</v>
      </c>
      <c r="E760" s="816">
        <v>23961</v>
      </c>
      <c r="F760" s="816"/>
      <c r="G760" s="817">
        <v>3697</v>
      </c>
      <c r="H760" s="818">
        <v>3289</v>
      </c>
      <c r="I760" s="817">
        <v>6358</v>
      </c>
      <c r="J760" s="816">
        <v>7863</v>
      </c>
      <c r="K760" s="818">
        <f t="shared" si="26"/>
        <v>21207</v>
      </c>
      <c r="L760" s="816"/>
      <c r="M760" s="817">
        <v>124</v>
      </c>
      <c r="N760" s="817">
        <v>0</v>
      </c>
      <c r="O760" s="816">
        <v>0</v>
      </c>
      <c r="P760" s="818">
        <f t="shared" si="27"/>
        <v>124</v>
      </c>
      <c r="Q760" s="816"/>
      <c r="R760" s="817">
        <v>6656</v>
      </c>
      <c r="S760" s="816">
        <v>4229</v>
      </c>
      <c r="T760" s="819">
        <v>10885</v>
      </c>
    </row>
    <row r="761" spans="1:20" x14ac:dyDescent="0.25">
      <c r="A761" s="813">
        <v>98109</v>
      </c>
      <c r="B761" s="814" t="s">
        <v>3282</v>
      </c>
      <c r="C761" s="815">
        <v>1.4310000000000001E-4</v>
      </c>
      <c r="D761" s="815">
        <v>1.573E-4</v>
      </c>
      <c r="E761" s="816">
        <v>339482</v>
      </c>
      <c r="F761" s="816"/>
      <c r="G761" s="817">
        <v>52374</v>
      </c>
      <c r="H761" s="818">
        <v>46601</v>
      </c>
      <c r="I761" s="817">
        <v>90085</v>
      </c>
      <c r="J761" s="816">
        <v>8985</v>
      </c>
      <c r="K761" s="818">
        <f t="shared" si="26"/>
        <v>198045</v>
      </c>
      <c r="L761" s="816"/>
      <c r="M761" s="817">
        <v>1757</v>
      </c>
      <c r="N761" s="817">
        <v>0</v>
      </c>
      <c r="O761" s="816">
        <v>13377</v>
      </c>
      <c r="P761" s="818">
        <f t="shared" si="27"/>
        <v>15134</v>
      </c>
      <c r="Q761" s="816"/>
      <c r="R761" s="817">
        <v>94299</v>
      </c>
      <c r="S761" s="816">
        <v>-7438</v>
      </c>
      <c r="T761" s="819">
        <v>86861</v>
      </c>
    </row>
    <row r="762" spans="1:20" x14ac:dyDescent="0.25">
      <c r="A762" s="813">
        <v>98111</v>
      </c>
      <c r="B762" s="814" t="s">
        <v>4269</v>
      </c>
      <c r="C762" s="815">
        <v>1.0207E-3</v>
      </c>
      <c r="D762" s="815">
        <v>1.0143000000000001E-3</v>
      </c>
      <c r="E762" s="816">
        <v>2421449</v>
      </c>
      <c r="F762" s="816"/>
      <c r="G762" s="817">
        <v>373572</v>
      </c>
      <c r="H762" s="818">
        <v>332393</v>
      </c>
      <c r="I762" s="817">
        <v>642559</v>
      </c>
      <c r="J762" s="816">
        <v>0</v>
      </c>
      <c r="K762" s="818">
        <f t="shared" si="26"/>
        <v>1348524</v>
      </c>
      <c r="L762" s="816"/>
      <c r="M762" s="817">
        <v>12535</v>
      </c>
      <c r="N762" s="817">
        <v>0</v>
      </c>
      <c r="O762" s="816">
        <v>76213</v>
      </c>
      <c r="P762" s="818">
        <f t="shared" si="27"/>
        <v>88748</v>
      </c>
      <c r="Q762" s="816"/>
      <c r="R762" s="817">
        <v>672614</v>
      </c>
      <c r="S762" s="816">
        <v>-29272</v>
      </c>
      <c r="T762" s="819">
        <v>643342</v>
      </c>
    </row>
    <row r="763" spans="1:20" x14ac:dyDescent="0.25">
      <c r="A763" s="813">
        <v>98113</v>
      </c>
      <c r="B763" s="814" t="s">
        <v>3284</v>
      </c>
      <c r="C763" s="815">
        <v>3.8999999999999999E-5</v>
      </c>
      <c r="D763" s="815">
        <v>4.6199999999999998E-5</v>
      </c>
      <c r="E763" s="816">
        <v>92521</v>
      </c>
      <c r="F763" s="816"/>
      <c r="G763" s="817">
        <v>14274</v>
      </c>
      <c r="H763" s="818">
        <v>12700</v>
      </c>
      <c r="I763" s="817">
        <v>24552</v>
      </c>
      <c r="J763" s="816">
        <v>7102</v>
      </c>
      <c r="K763" s="818">
        <f t="shared" si="26"/>
        <v>58628</v>
      </c>
      <c r="L763" s="816"/>
      <c r="M763" s="817">
        <v>479</v>
      </c>
      <c r="N763" s="817">
        <v>0</v>
      </c>
      <c r="O763" s="816">
        <v>416</v>
      </c>
      <c r="P763" s="818">
        <f t="shared" si="27"/>
        <v>895</v>
      </c>
      <c r="Q763" s="816"/>
      <c r="R763" s="817">
        <v>25700</v>
      </c>
      <c r="S763" s="816">
        <v>4533</v>
      </c>
      <c r="T763" s="819">
        <v>30233</v>
      </c>
    </row>
    <row r="764" spans="1:20" x14ac:dyDescent="0.25">
      <c r="A764" s="813">
        <v>98121</v>
      </c>
      <c r="B764" s="814" t="s">
        <v>4270</v>
      </c>
      <c r="C764" s="815">
        <v>2.241E-4</v>
      </c>
      <c r="D764" s="815">
        <v>2.0100000000000001E-4</v>
      </c>
      <c r="E764" s="816">
        <v>531642</v>
      </c>
      <c r="F764" s="816"/>
      <c r="G764" s="817">
        <v>82020</v>
      </c>
      <c r="H764" s="818">
        <v>72979</v>
      </c>
      <c r="I764" s="817">
        <v>141077</v>
      </c>
      <c r="J764" s="816">
        <v>5555</v>
      </c>
      <c r="K764" s="818">
        <f t="shared" si="26"/>
        <v>301631</v>
      </c>
      <c r="L764" s="816"/>
      <c r="M764" s="817">
        <v>2752</v>
      </c>
      <c r="N764" s="817">
        <v>0</v>
      </c>
      <c r="O764" s="816">
        <v>17709</v>
      </c>
      <c r="P764" s="818">
        <f t="shared" si="27"/>
        <v>20461</v>
      </c>
      <c r="Q764" s="816"/>
      <c r="R764" s="817">
        <v>147676</v>
      </c>
      <c r="S764" s="816">
        <v>-4423</v>
      </c>
      <c r="T764" s="819">
        <v>143253</v>
      </c>
    </row>
    <row r="765" spans="1:20" x14ac:dyDescent="0.25">
      <c r="A765" s="813">
        <v>98131</v>
      </c>
      <c r="B765" s="814" t="s">
        <v>4271</v>
      </c>
      <c r="C765" s="815">
        <v>2.297E-4</v>
      </c>
      <c r="D765" s="815">
        <v>2.5230000000000001E-4</v>
      </c>
      <c r="E765" s="816">
        <v>544927</v>
      </c>
      <c r="F765" s="816"/>
      <c r="G765" s="817">
        <v>84069</v>
      </c>
      <c r="H765" s="818">
        <v>74802</v>
      </c>
      <c r="I765" s="817">
        <v>144603</v>
      </c>
      <c r="J765" s="816">
        <v>0</v>
      </c>
      <c r="K765" s="818">
        <f t="shared" si="26"/>
        <v>303474</v>
      </c>
      <c r="L765" s="816"/>
      <c r="M765" s="817">
        <v>2821</v>
      </c>
      <c r="N765" s="817">
        <v>0</v>
      </c>
      <c r="O765" s="816">
        <v>41009</v>
      </c>
      <c r="P765" s="818">
        <f t="shared" si="27"/>
        <v>43830</v>
      </c>
      <c r="Q765" s="816"/>
      <c r="R765" s="817">
        <v>151366</v>
      </c>
      <c r="S765" s="816">
        <v>-26275</v>
      </c>
      <c r="T765" s="819">
        <v>125091</v>
      </c>
    </row>
    <row r="766" spans="1:20" x14ac:dyDescent="0.25">
      <c r="A766" s="813">
        <v>98141</v>
      </c>
      <c r="B766" s="814" t="s">
        <v>4272</v>
      </c>
      <c r="C766" s="815">
        <v>3.0160000000000001E-4</v>
      </c>
      <c r="D766" s="815">
        <v>3.0360000000000001E-4</v>
      </c>
      <c r="E766" s="816">
        <v>715498</v>
      </c>
      <c r="F766" s="816"/>
      <c r="G766" s="817">
        <v>110384</v>
      </c>
      <c r="H766" s="818">
        <v>98217</v>
      </c>
      <c r="I766" s="817">
        <v>189866</v>
      </c>
      <c r="J766" s="816">
        <v>3632</v>
      </c>
      <c r="K766" s="818">
        <f t="shared" si="26"/>
        <v>402099</v>
      </c>
      <c r="L766" s="816"/>
      <c r="M766" s="817">
        <v>3704</v>
      </c>
      <c r="N766" s="817">
        <v>0</v>
      </c>
      <c r="O766" s="816">
        <v>20500</v>
      </c>
      <c r="P766" s="818">
        <f t="shared" si="27"/>
        <v>24204</v>
      </c>
      <c r="Q766" s="816"/>
      <c r="R766" s="817">
        <v>198746</v>
      </c>
      <c r="S766" s="816">
        <v>-14365</v>
      </c>
      <c r="T766" s="819">
        <v>184381</v>
      </c>
    </row>
    <row r="767" spans="1:20" x14ac:dyDescent="0.25">
      <c r="A767" s="813">
        <v>98147</v>
      </c>
      <c r="B767" s="814" t="s">
        <v>4273</v>
      </c>
      <c r="C767" s="815">
        <v>1.15E-5</v>
      </c>
      <c r="D767" s="815">
        <v>1.29E-5</v>
      </c>
      <c r="E767" s="816">
        <v>27282</v>
      </c>
      <c r="F767" s="816"/>
      <c r="G767" s="817">
        <v>4209</v>
      </c>
      <c r="H767" s="818">
        <v>3745</v>
      </c>
      <c r="I767" s="817">
        <v>7240</v>
      </c>
      <c r="J767" s="816">
        <v>7998</v>
      </c>
      <c r="K767" s="818">
        <f t="shared" si="26"/>
        <v>23192</v>
      </c>
      <c r="L767" s="816"/>
      <c r="M767" s="817">
        <v>141</v>
      </c>
      <c r="N767" s="817">
        <v>0</v>
      </c>
      <c r="O767" s="816">
        <v>0</v>
      </c>
      <c r="P767" s="818">
        <f t="shared" si="27"/>
        <v>141</v>
      </c>
      <c r="Q767" s="816"/>
      <c r="R767" s="817">
        <v>7578</v>
      </c>
      <c r="S767" s="816">
        <v>4051</v>
      </c>
      <c r="T767" s="819">
        <v>11629</v>
      </c>
    </row>
    <row r="768" spans="1:20" x14ac:dyDescent="0.25">
      <c r="A768" s="813">
        <v>98161</v>
      </c>
      <c r="B768" s="814" t="s">
        <v>4274</v>
      </c>
      <c r="C768" s="815">
        <v>6.7000000000000002E-6</v>
      </c>
      <c r="D768" s="815">
        <v>7.3000000000000004E-6</v>
      </c>
      <c r="E768" s="816">
        <v>15895</v>
      </c>
      <c r="F768" s="816"/>
      <c r="G768" s="817">
        <v>2452</v>
      </c>
      <c r="H768" s="818">
        <v>2182</v>
      </c>
      <c r="I768" s="817">
        <v>4218</v>
      </c>
      <c r="J768" s="816">
        <v>2865</v>
      </c>
      <c r="K768" s="818">
        <f t="shared" si="26"/>
        <v>11717</v>
      </c>
      <c r="L768" s="816"/>
      <c r="M768" s="817">
        <v>82</v>
      </c>
      <c r="N768" s="817">
        <v>0</v>
      </c>
      <c r="O768" s="816">
        <v>0</v>
      </c>
      <c r="P768" s="818">
        <f t="shared" si="27"/>
        <v>82</v>
      </c>
      <c r="Q768" s="816"/>
      <c r="R768" s="817">
        <v>4415</v>
      </c>
      <c r="S768" s="816">
        <v>1383</v>
      </c>
      <c r="T768" s="819">
        <v>5798</v>
      </c>
    </row>
    <row r="769" spans="1:20" x14ac:dyDescent="0.25">
      <c r="A769" s="813">
        <v>98201</v>
      </c>
      <c r="B769" s="814" t="s">
        <v>3290</v>
      </c>
      <c r="C769" s="815">
        <v>3.1725E-3</v>
      </c>
      <c r="D769" s="815">
        <v>3.1664000000000002E-3</v>
      </c>
      <c r="E769" s="816">
        <v>7526255</v>
      </c>
      <c r="F769" s="816"/>
      <c r="G769" s="817">
        <v>1161122</v>
      </c>
      <c r="H769" s="818">
        <v>1033131</v>
      </c>
      <c r="I769" s="817">
        <v>1997178</v>
      </c>
      <c r="J769" s="816">
        <v>47695</v>
      </c>
      <c r="K769" s="818">
        <f t="shared" si="26"/>
        <v>4239126</v>
      </c>
      <c r="L769" s="816"/>
      <c r="M769" s="817">
        <v>38961</v>
      </c>
      <c r="N769" s="817">
        <v>0</v>
      </c>
      <c r="O769" s="816">
        <v>50438</v>
      </c>
      <c r="P769" s="818">
        <f t="shared" si="27"/>
        <v>89399</v>
      </c>
      <c r="Q769" s="816"/>
      <c r="R769" s="817">
        <v>2090592</v>
      </c>
      <c r="S769" s="816">
        <v>-13335</v>
      </c>
      <c r="T769" s="819">
        <v>2077257</v>
      </c>
    </row>
    <row r="770" spans="1:20" x14ac:dyDescent="0.25">
      <c r="A770" s="813">
        <v>98205</v>
      </c>
      <c r="B770" s="814" t="s">
        <v>3291</v>
      </c>
      <c r="C770" s="815">
        <v>3.6100000000000003E-5</v>
      </c>
      <c r="D770" s="815">
        <v>4.6799999999999999E-5</v>
      </c>
      <c r="E770" s="816">
        <v>85642</v>
      </c>
      <c r="F770" s="816"/>
      <c r="G770" s="817">
        <v>13212</v>
      </c>
      <c r="H770" s="818">
        <v>11756</v>
      </c>
      <c r="I770" s="817">
        <v>22726</v>
      </c>
      <c r="J770" s="816">
        <v>1169</v>
      </c>
      <c r="K770" s="818">
        <f t="shared" si="26"/>
        <v>48863</v>
      </c>
      <c r="L770" s="816"/>
      <c r="M770" s="817">
        <v>443</v>
      </c>
      <c r="N770" s="817">
        <v>0</v>
      </c>
      <c r="O770" s="816">
        <v>6010</v>
      </c>
      <c r="P770" s="818">
        <f t="shared" si="27"/>
        <v>6453</v>
      </c>
      <c r="Q770" s="816"/>
      <c r="R770" s="817">
        <v>23789</v>
      </c>
      <c r="S770" s="816">
        <v>-1258</v>
      </c>
      <c r="T770" s="819">
        <v>22531</v>
      </c>
    </row>
    <row r="771" spans="1:20" x14ac:dyDescent="0.25">
      <c r="A771" s="813">
        <v>98211</v>
      </c>
      <c r="B771" s="814" t="s">
        <v>3292</v>
      </c>
      <c r="C771" s="815">
        <v>8.5470000000000001E-4</v>
      </c>
      <c r="D771" s="815">
        <v>8.6689999999999998E-4</v>
      </c>
      <c r="E771" s="816">
        <v>2027641</v>
      </c>
      <c r="F771" s="816"/>
      <c r="G771" s="817">
        <v>312817</v>
      </c>
      <c r="H771" s="818">
        <v>278335</v>
      </c>
      <c r="I771" s="817">
        <v>538058</v>
      </c>
      <c r="J771" s="816">
        <v>0</v>
      </c>
      <c r="K771" s="818">
        <f t="shared" si="26"/>
        <v>1129210</v>
      </c>
      <c r="L771" s="816"/>
      <c r="M771" s="817">
        <v>10497</v>
      </c>
      <c r="N771" s="817">
        <v>0</v>
      </c>
      <c r="O771" s="816">
        <v>112320</v>
      </c>
      <c r="P771" s="818">
        <f t="shared" si="27"/>
        <v>122817</v>
      </c>
      <c r="Q771" s="816"/>
      <c r="R771" s="817">
        <v>563224</v>
      </c>
      <c r="S771" s="816">
        <v>-56480</v>
      </c>
      <c r="T771" s="819">
        <v>506744</v>
      </c>
    </row>
    <row r="772" spans="1:20" x14ac:dyDescent="0.25">
      <c r="A772" s="813">
        <v>98218</v>
      </c>
      <c r="B772" s="814" t="s">
        <v>3293</v>
      </c>
      <c r="C772" s="815">
        <v>1.5500000000000001E-5</v>
      </c>
      <c r="D772" s="815">
        <v>1.3200000000000001E-5</v>
      </c>
      <c r="E772" s="816">
        <v>36771</v>
      </c>
      <c r="F772" s="816"/>
      <c r="G772" s="817">
        <v>5673</v>
      </c>
      <c r="H772" s="818">
        <v>5047</v>
      </c>
      <c r="I772" s="817">
        <v>9758</v>
      </c>
      <c r="J772" s="816">
        <v>3767</v>
      </c>
      <c r="K772" s="818">
        <f t="shared" si="26"/>
        <v>24245</v>
      </c>
      <c r="L772" s="816"/>
      <c r="M772" s="817">
        <v>190</v>
      </c>
      <c r="N772" s="817">
        <v>0</v>
      </c>
      <c r="O772" s="816">
        <v>285</v>
      </c>
      <c r="P772" s="818">
        <f t="shared" si="27"/>
        <v>475</v>
      </c>
      <c r="Q772" s="816"/>
      <c r="R772" s="817">
        <v>10214</v>
      </c>
      <c r="S772" s="816">
        <v>269</v>
      </c>
      <c r="T772" s="819">
        <v>10483</v>
      </c>
    </row>
    <row r="773" spans="1:20" x14ac:dyDescent="0.25">
      <c r="A773" s="813">
        <v>98221</v>
      </c>
      <c r="B773" s="814" t="s">
        <v>4275</v>
      </c>
      <c r="C773" s="815">
        <v>1.8499999999999999E-5</v>
      </c>
      <c r="D773" s="815">
        <v>1.8899999999999999E-5</v>
      </c>
      <c r="E773" s="816">
        <v>43888</v>
      </c>
      <c r="F773" s="816"/>
      <c r="G773" s="817">
        <v>6771</v>
      </c>
      <c r="H773" s="818">
        <v>6025</v>
      </c>
      <c r="I773" s="817">
        <v>11646</v>
      </c>
      <c r="J773" s="816">
        <v>4486</v>
      </c>
      <c r="K773" s="818">
        <f t="shared" si="26"/>
        <v>28928</v>
      </c>
      <c r="L773" s="816"/>
      <c r="M773" s="817">
        <v>227</v>
      </c>
      <c r="N773" s="817">
        <v>0</v>
      </c>
      <c r="O773" s="816">
        <v>0</v>
      </c>
      <c r="P773" s="818">
        <f t="shared" si="27"/>
        <v>227</v>
      </c>
      <c r="Q773" s="816"/>
      <c r="R773" s="817">
        <v>12191</v>
      </c>
      <c r="S773" s="816">
        <v>1809</v>
      </c>
      <c r="T773" s="819">
        <v>14000</v>
      </c>
    </row>
    <row r="774" spans="1:20" x14ac:dyDescent="0.25">
      <c r="A774" s="813">
        <v>98231</v>
      </c>
      <c r="B774" s="814" t="s">
        <v>4276</v>
      </c>
      <c r="C774" s="815">
        <v>3.1000000000000001E-5</v>
      </c>
      <c r="D774" s="815">
        <v>2.2799999999999999E-5</v>
      </c>
      <c r="E774" s="816">
        <v>73543</v>
      </c>
      <c r="F774" s="816"/>
      <c r="G774" s="817">
        <v>11346</v>
      </c>
      <c r="H774" s="818">
        <v>10096</v>
      </c>
      <c r="I774" s="817">
        <v>19515</v>
      </c>
      <c r="J774" s="816">
        <v>7747</v>
      </c>
      <c r="K774" s="818">
        <f t="shared" si="26"/>
        <v>48704</v>
      </c>
      <c r="L774" s="816"/>
      <c r="M774" s="817">
        <v>381</v>
      </c>
      <c r="N774" s="817">
        <v>0</v>
      </c>
      <c r="O774" s="816">
        <v>5129</v>
      </c>
      <c r="P774" s="818">
        <f t="shared" si="27"/>
        <v>5510</v>
      </c>
      <c r="Q774" s="816"/>
      <c r="R774" s="817">
        <v>20428</v>
      </c>
      <c r="S774" s="816">
        <v>-1821</v>
      </c>
      <c r="T774" s="819">
        <v>18607</v>
      </c>
    </row>
    <row r="775" spans="1:20" x14ac:dyDescent="0.25">
      <c r="A775" s="813">
        <v>98237</v>
      </c>
      <c r="B775" s="814" t="s">
        <v>3296</v>
      </c>
      <c r="C775" s="815">
        <v>5.5999999999999997E-6</v>
      </c>
      <c r="D775" s="815">
        <v>5.9000000000000003E-6</v>
      </c>
      <c r="E775" s="816">
        <v>13285</v>
      </c>
      <c r="F775" s="816"/>
      <c r="G775" s="817">
        <v>2050</v>
      </c>
      <c r="H775" s="818">
        <v>1823</v>
      </c>
      <c r="I775" s="817">
        <v>3525</v>
      </c>
      <c r="J775" s="816">
        <v>4018</v>
      </c>
      <c r="K775" s="818">
        <f t="shared" si="26"/>
        <v>11416</v>
      </c>
      <c r="L775" s="816"/>
      <c r="M775" s="817">
        <v>69</v>
      </c>
      <c r="N775" s="817">
        <v>0</v>
      </c>
      <c r="O775" s="816">
        <v>0</v>
      </c>
      <c r="P775" s="818">
        <f t="shared" si="27"/>
        <v>69</v>
      </c>
      <c r="Q775" s="816"/>
      <c r="R775" s="817">
        <v>3690</v>
      </c>
      <c r="S775" s="816">
        <v>1826</v>
      </c>
      <c r="T775" s="819">
        <v>5516</v>
      </c>
    </row>
    <row r="776" spans="1:20" x14ac:dyDescent="0.25">
      <c r="A776" s="813">
        <v>98241</v>
      </c>
      <c r="B776" s="814" t="s">
        <v>4277</v>
      </c>
      <c r="C776" s="815">
        <v>1.22E-5</v>
      </c>
      <c r="D776" s="815">
        <v>1.5099999999999999E-5</v>
      </c>
      <c r="E776" s="816">
        <v>28943</v>
      </c>
      <c r="F776" s="816"/>
      <c r="G776" s="817">
        <v>4465</v>
      </c>
      <c r="H776" s="818">
        <v>3973</v>
      </c>
      <c r="I776" s="817">
        <v>7680</v>
      </c>
      <c r="J776" s="816">
        <v>2352</v>
      </c>
      <c r="K776" s="818">
        <f t="shared" si="26"/>
        <v>18470</v>
      </c>
      <c r="L776" s="816"/>
      <c r="M776" s="817">
        <v>150</v>
      </c>
      <c r="N776" s="817">
        <v>0</v>
      </c>
      <c r="O776" s="816">
        <v>2460</v>
      </c>
      <c r="P776" s="818">
        <f t="shared" si="27"/>
        <v>2610</v>
      </c>
      <c r="Q776" s="816"/>
      <c r="R776" s="817">
        <v>8039</v>
      </c>
      <c r="S776" s="816">
        <v>2327</v>
      </c>
      <c r="T776" s="819">
        <v>10366</v>
      </c>
    </row>
    <row r="777" spans="1:20" x14ac:dyDescent="0.25">
      <c r="A777" s="813">
        <v>98251</v>
      </c>
      <c r="B777" s="814" t="s">
        <v>4278</v>
      </c>
      <c r="C777" s="815">
        <v>2.7E-6</v>
      </c>
      <c r="D777" s="815">
        <v>3.0000000000000001E-6</v>
      </c>
      <c r="E777" s="816">
        <v>6405</v>
      </c>
      <c r="F777" s="816"/>
      <c r="G777" s="817">
        <v>988</v>
      </c>
      <c r="H777" s="818">
        <v>879</v>
      </c>
      <c r="I777" s="817">
        <v>1700</v>
      </c>
      <c r="J777" s="816">
        <v>1458</v>
      </c>
      <c r="K777" s="818">
        <f t="shared" si="26"/>
        <v>5025</v>
      </c>
      <c r="L777" s="816"/>
      <c r="M777" s="817">
        <v>33</v>
      </c>
      <c r="N777" s="817">
        <v>0</v>
      </c>
      <c r="O777" s="816">
        <v>0</v>
      </c>
      <c r="P777" s="818">
        <f t="shared" si="27"/>
        <v>33</v>
      </c>
      <c r="Q777" s="816"/>
      <c r="R777" s="817">
        <v>1779</v>
      </c>
      <c r="S777" s="816">
        <v>722</v>
      </c>
      <c r="T777" s="819">
        <v>2501</v>
      </c>
    </row>
    <row r="778" spans="1:20" x14ac:dyDescent="0.25">
      <c r="A778" s="813">
        <v>98261</v>
      </c>
      <c r="B778" s="814" t="s">
        <v>4279</v>
      </c>
      <c r="C778" s="815">
        <v>3.3099999999999998E-5</v>
      </c>
      <c r="D778" s="815">
        <v>3.3200000000000001E-5</v>
      </c>
      <c r="E778" s="816">
        <v>78525</v>
      </c>
      <c r="F778" s="816"/>
      <c r="G778" s="817">
        <v>12114</v>
      </c>
      <c r="H778" s="818">
        <v>10779</v>
      </c>
      <c r="I778" s="817">
        <v>20837</v>
      </c>
      <c r="J778" s="816">
        <v>6529</v>
      </c>
      <c r="K778" s="818">
        <f t="shared" si="26"/>
        <v>50259</v>
      </c>
      <c r="L778" s="816"/>
      <c r="M778" s="817">
        <v>407</v>
      </c>
      <c r="N778" s="817">
        <v>0</v>
      </c>
      <c r="O778" s="816">
        <v>3201</v>
      </c>
      <c r="P778" s="818">
        <f t="shared" si="27"/>
        <v>3608</v>
      </c>
      <c r="Q778" s="816"/>
      <c r="R778" s="817">
        <v>21812</v>
      </c>
      <c r="S778" s="816">
        <v>1417</v>
      </c>
      <c r="T778" s="819">
        <v>23229</v>
      </c>
    </row>
    <row r="779" spans="1:20" x14ac:dyDescent="0.25">
      <c r="A779" s="813">
        <v>98271</v>
      </c>
      <c r="B779" s="814" t="s">
        <v>4280</v>
      </c>
      <c r="C779" s="815">
        <v>5.3000000000000001E-6</v>
      </c>
      <c r="D779" s="815">
        <v>5.1000000000000003E-6</v>
      </c>
      <c r="E779" s="816">
        <v>12573</v>
      </c>
      <c r="F779" s="816"/>
      <c r="G779" s="817">
        <v>1940</v>
      </c>
      <c r="H779" s="818">
        <v>1726</v>
      </c>
      <c r="I779" s="817">
        <v>3336</v>
      </c>
      <c r="J779" s="816">
        <v>2879</v>
      </c>
      <c r="K779" s="818">
        <f t="shared" si="26"/>
        <v>9881</v>
      </c>
      <c r="L779" s="816"/>
      <c r="M779" s="817">
        <v>65</v>
      </c>
      <c r="N779" s="817">
        <v>0</v>
      </c>
      <c r="O779" s="816">
        <v>0</v>
      </c>
      <c r="P779" s="818">
        <f t="shared" si="27"/>
        <v>65</v>
      </c>
      <c r="Q779" s="816"/>
      <c r="R779" s="817">
        <v>3493</v>
      </c>
      <c r="S779" s="816">
        <v>1857</v>
      </c>
      <c r="T779" s="819">
        <v>5350</v>
      </c>
    </row>
    <row r="780" spans="1:20" x14ac:dyDescent="0.25">
      <c r="A780" s="813">
        <v>98301</v>
      </c>
      <c r="B780" s="814" t="s">
        <v>3301</v>
      </c>
      <c r="C780" s="815">
        <v>1.7489999999999999E-3</v>
      </c>
      <c r="D780" s="815">
        <v>1.7542E-3</v>
      </c>
      <c r="E780" s="816">
        <v>4149226</v>
      </c>
      <c r="F780" s="816"/>
      <c r="G780" s="817">
        <v>640127</v>
      </c>
      <c r="H780" s="818">
        <v>569565</v>
      </c>
      <c r="I780" s="817">
        <v>1101044</v>
      </c>
      <c r="J780" s="816">
        <v>56900</v>
      </c>
      <c r="K780" s="818">
        <f t="shared" si="26"/>
        <v>2367636</v>
      </c>
      <c r="L780" s="816"/>
      <c r="M780" s="817">
        <v>21479</v>
      </c>
      <c r="N780" s="817">
        <v>0</v>
      </c>
      <c r="O780" s="816">
        <v>0</v>
      </c>
      <c r="P780" s="818">
        <f t="shared" si="27"/>
        <v>21479</v>
      </c>
      <c r="Q780" s="816"/>
      <c r="R780" s="817">
        <v>1152544</v>
      </c>
      <c r="S780" s="816">
        <v>25032</v>
      </c>
      <c r="T780" s="819">
        <v>1177576</v>
      </c>
    </row>
    <row r="781" spans="1:20" x14ac:dyDescent="0.25">
      <c r="A781" s="813">
        <v>98304</v>
      </c>
      <c r="B781" s="814" t="s">
        <v>3302</v>
      </c>
      <c r="C781" s="815">
        <v>1.9300000000000002E-5</v>
      </c>
      <c r="D781" s="815">
        <v>2.0999999999999999E-5</v>
      </c>
      <c r="E781" s="816">
        <v>45786</v>
      </c>
      <c r="F781" s="816"/>
      <c r="G781" s="817">
        <v>7064</v>
      </c>
      <c r="H781" s="818">
        <v>6286</v>
      </c>
      <c r="I781" s="817">
        <v>12150</v>
      </c>
      <c r="J781" s="816">
        <v>3861</v>
      </c>
      <c r="K781" s="818">
        <f t="shared" si="26"/>
        <v>29361</v>
      </c>
      <c r="L781" s="816"/>
      <c r="M781" s="817">
        <v>237</v>
      </c>
      <c r="N781" s="817">
        <v>0</v>
      </c>
      <c r="O781" s="816">
        <v>0</v>
      </c>
      <c r="P781" s="818">
        <f t="shared" si="27"/>
        <v>237</v>
      </c>
      <c r="Q781" s="816"/>
      <c r="R781" s="817">
        <v>12718</v>
      </c>
      <c r="S781" s="816">
        <v>1416</v>
      </c>
      <c r="T781" s="819">
        <v>14134</v>
      </c>
    </row>
    <row r="782" spans="1:20" x14ac:dyDescent="0.25">
      <c r="A782" s="813">
        <v>98308</v>
      </c>
      <c r="B782" s="814" t="s">
        <v>3303</v>
      </c>
      <c r="C782" s="815">
        <v>2.2399999999999999E-5</v>
      </c>
      <c r="D782" s="815">
        <v>2.37E-5</v>
      </c>
      <c r="E782" s="816">
        <v>53140</v>
      </c>
      <c r="F782" s="816" t="s">
        <v>185</v>
      </c>
      <c r="G782" s="817">
        <v>8198</v>
      </c>
      <c r="H782" s="818">
        <v>7295</v>
      </c>
      <c r="I782" s="817">
        <v>14101</v>
      </c>
      <c r="J782" s="816">
        <v>7416</v>
      </c>
      <c r="K782" s="818">
        <f t="shared" si="26"/>
        <v>37010</v>
      </c>
      <c r="L782" s="816"/>
      <c r="M782" s="817">
        <v>275</v>
      </c>
      <c r="N782" s="817">
        <v>0</v>
      </c>
      <c r="O782" s="816">
        <v>0</v>
      </c>
      <c r="P782" s="818">
        <f t="shared" si="27"/>
        <v>275</v>
      </c>
      <c r="Q782" s="816"/>
      <c r="R782" s="817">
        <v>14761</v>
      </c>
      <c r="S782" s="816">
        <v>4258</v>
      </c>
      <c r="T782" s="819">
        <v>19019</v>
      </c>
    </row>
    <row r="783" spans="1:20" x14ac:dyDescent="0.25">
      <c r="A783" s="813">
        <v>98311</v>
      </c>
      <c r="B783" s="814" t="s">
        <v>3304</v>
      </c>
      <c r="C783" s="815">
        <v>1.0931999999999999E-3</v>
      </c>
      <c r="D783" s="815">
        <v>1.1536000000000001E-3</v>
      </c>
      <c r="E783" s="816">
        <v>2593444</v>
      </c>
      <c r="F783" s="816" t="s">
        <v>185</v>
      </c>
      <c r="G783" s="817">
        <v>400107</v>
      </c>
      <c r="H783" s="818">
        <v>356003</v>
      </c>
      <c r="I783" s="817">
        <v>688200</v>
      </c>
      <c r="J783" s="816">
        <v>0</v>
      </c>
      <c r="K783" s="818">
        <f t="shared" si="26"/>
        <v>1444310</v>
      </c>
      <c r="L783" s="816"/>
      <c r="M783" s="817">
        <v>13426</v>
      </c>
      <c r="N783" s="817">
        <v>0</v>
      </c>
      <c r="O783" s="816">
        <v>152880</v>
      </c>
      <c r="P783" s="818">
        <f t="shared" si="27"/>
        <v>166306</v>
      </c>
      <c r="Q783" s="816"/>
      <c r="R783" s="817">
        <v>720389</v>
      </c>
      <c r="S783" s="816">
        <v>-39908</v>
      </c>
      <c r="T783" s="819">
        <v>680481</v>
      </c>
    </row>
    <row r="784" spans="1:20" x14ac:dyDescent="0.25">
      <c r="A784" s="813">
        <v>98313</v>
      </c>
      <c r="B784" s="814" t="s">
        <v>3305</v>
      </c>
      <c r="C784" s="815">
        <v>2.4240000000000001E-4</v>
      </c>
      <c r="D784" s="815">
        <v>2.3560000000000001E-4</v>
      </c>
      <c r="E784" s="816">
        <v>575056</v>
      </c>
      <c r="F784" s="816" t="s">
        <v>185</v>
      </c>
      <c r="G784" s="817">
        <v>88717</v>
      </c>
      <c r="H784" s="818">
        <v>78938</v>
      </c>
      <c r="I784" s="817">
        <v>152598</v>
      </c>
      <c r="J784" s="816">
        <v>283623</v>
      </c>
      <c r="K784" s="818">
        <f t="shared" si="26"/>
        <v>603876</v>
      </c>
      <c r="L784" s="816"/>
      <c r="M784" s="817">
        <v>2977</v>
      </c>
      <c r="N784" s="817">
        <v>0</v>
      </c>
      <c r="O784" s="816">
        <v>0</v>
      </c>
      <c r="P784" s="818">
        <f t="shared" si="27"/>
        <v>2977</v>
      </c>
      <c r="Q784" s="816"/>
      <c r="R784" s="817">
        <v>159735</v>
      </c>
      <c r="S784" s="816">
        <v>109986</v>
      </c>
      <c r="T784" s="819">
        <v>269721</v>
      </c>
    </row>
    <row r="785" spans="1:20" x14ac:dyDescent="0.25">
      <c r="A785" s="813">
        <v>98321</v>
      </c>
      <c r="B785" s="814" t="s">
        <v>4281</v>
      </c>
      <c r="C785" s="815">
        <v>1.9199999999999999E-5</v>
      </c>
      <c r="D785" s="815">
        <v>2.05E-5</v>
      </c>
      <c r="E785" s="816">
        <v>45549</v>
      </c>
      <c r="F785" s="816" t="s">
        <v>185</v>
      </c>
      <c r="G785" s="817">
        <v>7027</v>
      </c>
      <c r="H785" s="818">
        <v>6253</v>
      </c>
      <c r="I785" s="817">
        <v>12087</v>
      </c>
      <c r="J785" s="816">
        <v>63</v>
      </c>
      <c r="K785" s="818">
        <f t="shared" si="26"/>
        <v>25430</v>
      </c>
      <c r="L785" s="816"/>
      <c r="M785" s="817">
        <v>236</v>
      </c>
      <c r="N785" s="817">
        <v>0</v>
      </c>
      <c r="O785" s="816">
        <v>1957</v>
      </c>
      <c r="P785" s="818">
        <f t="shared" si="27"/>
        <v>2193</v>
      </c>
      <c r="Q785" s="816"/>
      <c r="R785" s="817">
        <v>12652</v>
      </c>
      <c r="S785" s="816">
        <v>453</v>
      </c>
      <c r="T785" s="819">
        <v>13105</v>
      </c>
    </row>
    <row r="786" spans="1:20" x14ac:dyDescent="0.25">
      <c r="A786" s="813">
        <v>98331</v>
      </c>
      <c r="B786" s="814" t="s">
        <v>4282</v>
      </c>
      <c r="C786" s="815">
        <v>9.3000000000000007E-6</v>
      </c>
      <c r="D786" s="815">
        <v>9.7999999999999993E-6</v>
      </c>
      <c r="E786" s="816">
        <v>22063</v>
      </c>
      <c r="F786" s="816" t="s">
        <v>185</v>
      </c>
      <c r="G786" s="817">
        <v>3404</v>
      </c>
      <c r="H786" s="818">
        <v>3029</v>
      </c>
      <c r="I786" s="817">
        <v>5855</v>
      </c>
      <c r="J786" s="816">
        <v>3274</v>
      </c>
      <c r="K786" s="818">
        <f t="shared" ref="K786:K854" si="28">G786+H786+I786+J786</f>
        <v>15562</v>
      </c>
      <c r="L786" s="816"/>
      <c r="M786" s="817">
        <v>114</v>
      </c>
      <c r="N786" s="817">
        <v>0</v>
      </c>
      <c r="O786" s="816">
        <v>0</v>
      </c>
      <c r="P786" s="818">
        <f t="shared" ref="P786:P854" si="29">M786+N786+O786</f>
        <v>114</v>
      </c>
      <c r="Q786" s="816"/>
      <c r="R786" s="817">
        <v>6128</v>
      </c>
      <c r="S786" s="816">
        <v>1309</v>
      </c>
      <c r="T786" s="819">
        <v>7437</v>
      </c>
    </row>
    <row r="787" spans="1:20" x14ac:dyDescent="0.25">
      <c r="A787" s="813">
        <v>98401</v>
      </c>
      <c r="B787" s="814" t="s">
        <v>3308</v>
      </c>
      <c r="C787" s="815">
        <v>2.7358E-3</v>
      </c>
      <c r="D787" s="815">
        <v>2.7655000000000002E-3</v>
      </c>
      <c r="E787" s="816">
        <v>6490253</v>
      </c>
      <c r="F787" s="816" t="s">
        <v>185</v>
      </c>
      <c r="G787" s="817">
        <v>1001292</v>
      </c>
      <c r="H787" s="818">
        <v>890919</v>
      </c>
      <c r="I787" s="817">
        <v>1722263</v>
      </c>
      <c r="J787" s="816">
        <v>198418</v>
      </c>
      <c r="K787" s="818">
        <f t="shared" si="28"/>
        <v>3812892</v>
      </c>
      <c r="L787" s="816"/>
      <c r="M787" s="817">
        <v>33598</v>
      </c>
      <c r="N787" s="817">
        <v>0</v>
      </c>
      <c r="O787" s="816">
        <v>4093</v>
      </c>
      <c r="P787" s="818">
        <f t="shared" si="29"/>
        <v>37691</v>
      </c>
      <c r="Q787" s="816"/>
      <c r="R787" s="817">
        <v>1802818</v>
      </c>
      <c r="S787" s="816">
        <v>81533</v>
      </c>
      <c r="T787" s="819">
        <v>1884351</v>
      </c>
    </row>
    <row r="788" spans="1:20" x14ac:dyDescent="0.25">
      <c r="A788" s="813">
        <v>98404</v>
      </c>
      <c r="B788" s="814" t="s">
        <v>3561</v>
      </c>
      <c r="C788" s="815">
        <v>1.5099999999999999E-5</v>
      </c>
      <c r="D788" s="815">
        <v>1.52E-5</v>
      </c>
      <c r="E788" s="816">
        <v>35822</v>
      </c>
      <c r="F788" s="816" t="s">
        <v>185</v>
      </c>
      <c r="G788" s="817">
        <v>5527</v>
      </c>
      <c r="H788" s="818">
        <v>4917</v>
      </c>
      <c r="I788" s="817">
        <v>9506</v>
      </c>
      <c r="J788" s="816">
        <v>7686</v>
      </c>
      <c r="K788" s="818">
        <f t="shared" si="28"/>
        <v>27636</v>
      </c>
      <c r="L788" s="816"/>
      <c r="M788" s="817">
        <v>185</v>
      </c>
      <c r="N788" s="817">
        <v>0</v>
      </c>
      <c r="O788" s="816">
        <v>0</v>
      </c>
      <c r="P788" s="818">
        <f t="shared" si="29"/>
        <v>185</v>
      </c>
      <c r="Q788" s="816"/>
      <c r="R788" s="817">
        <v>9950</v>
      </c>
      <c r="S788" s="816">
        <v>2503</v>
      </c>
      <c r="T788" s="819">
        <v>12453</v>
      </c>
    </row>
    <row r="789" spans="1:20" x14ac:dyDescent="0.25">
      <c r="A789" s="813">
        <v>98411</v>
      </c>
      <c r="B789" s="814" t="s">
        <v>3309</v>
      </c>
      <c r="C789" s="815">
        <v>1.9327000000000001E-3</v>
      </c>
      <c r="D789" s="815">
        <v>1.9816E-3</v>
      </c>
      <c r="E789" s="816">
        <v>4585025</v>
      </c>
      <c r="F789" s="816" t="s">
        <v>185</v>
      </c>
      <c r="G789" s="817">
        <v>707360</v>
      </c>
      <c r="H789" s="818">
        <v>629388</v>
      </c>
      <c r="I789" s="817">
        <v>1216689</v>
      </c>
      <c r="J789" s="816">
        <v>0</v>
      </c>
      <c r="K789" s="818">
        <f t="shared" si="28"/>
        <v>2553437</v>
      </c>
      <c r="L789" s="816"/>
      <c r="M789" s="817">
        <v>23735</v>
      </c>
      <c r="N789" s="817">
        <v>0</v>
      </c>
      <c r="O789" s="816">
        <v>116454</v>
      </c>
      <c r="P789" s="818">
        <f t="shared" si="29"/>
        <v>140189</v>
      </c>
      <c r="Q789" s="816"/>
      <c r="R789" s="817">
        <v>1273597</v>
      </c>
      <c r="S789" s="816">
        <v>-35630</v>
      </c>
      <c r="T789" s="819">
        <v>1237967</v>
      </c>
    </row>
    <row r="790" spans="1:20" x14ac:dyDescent="0.25">
      <c r="A790" s="813" t="s">
        <v>4283</v>
      </c>
      <c r="B790" s="814" t="s">
        <v>4284</v>
      </c>
      <c r="C790" s="815">
        <v>4.1600000000000002E-5</v>
      </c>
      <c r="D790" s="815">
        <v>2.83E-5</v>
      </c>
      <c r="E790" s="816">
        <v>98689</v>
      </c>
      <c r="F790" s="816" t="s">
        <v>185</v>
      </c>
      <c r="G790" s="817">
        <v>15225</v>
      </c>
      <c r="H790" s="818">
        <v>13548</v>
      </c>
      <c r="I790" s="817">
        <v>26188</v>
      </c>
      <c r="J790" s="816">
        <v>18529</v>
      </c>
      <c r="K790" s="818">
        <f t="shared" si="28"/>
        <v>73490</v>
      </c>
      <c r="L790" s="816"/>
      <c r="M790" s="817">
        <v>511</v>
      </c>
      <c r="N790" s="817">
        <v>0</v>
      </c>
      <c r="O790" s="816">
        <v>0</v>
      </c>
      <c r="P790" s="818">
        <f t="shared" si="29"/>
        <v>511</v>
      </c>
      <c r="Q790" s="816"/>
      <c r="R790" s="817">
        <v>27413</v>
      </c>
      <c r="S790" s="816">
        <v>5537</v>
      </c>
      <c r="T790" s="819">
        <v>32950</v>
      </c>
    </row>
    <row r="791" spans="1:20" x14ac:dyDescent="0.25">
      <c r="A791" s="813" t="s">
        <v>4285</v>
      </c>
      <c r="B791" s="814" t="s">
        <v>4284</v>
      </c>
      <c r="C791" s="815">
        <v>0</v>
      </c>
      <c r="D791" s="815">
        <v>1.0200000000000001E-5</v>
      </c>
      <c r="E791" s="816">
        <v>0</v>
      </c>
      <c r="F791" s="816" t="s">
        <v>185</v>
      </c>
      <c r="G791" s="817">
        <v>0</v>
      </c>
      <c r="H791" s="818">
        <v>0</v>
      </c>
      <c r="I791" s="817">
        <v>0</v>
      </c>
      <c r="J791" s="816">
        <v>0</v>
      </c>
      <c r="K791" s="818">
        <v>0</v>
      </c>
      <c r="L791" s="816"/>
      <c r="M791" s="817">
        <v>0</v>
      </c>
      <c r="N791" s="817">
        <v>0</v>
      </c>
      <c r="O791" s="816">
        <v>24349</v>
      </c>
      <c r="P791" s="828">
        <v>24349</v>
      </c>
      <c r="R791" s="817">
        <v>0</v>
      </c>
      <c r="S791" s="816">
        <v>-9271</v>
      </c>
      <c r="T791" s="819">
        <v>-9271</v>
      </c>
    </row>
    <row r="792" spans="1:20" x14ac:dyDescent="0.25">
      <c r="A792" s="813">
        <v>98414</v>
      </c>
      <c r="B792" s="814" t="s">
        <v>4284</v>
      </c>
      <c r="C792" s="815">
        <f>SUM(C790:C791)</f>
        <v>4.1600000000000002E-5</v>
      </c>
      <c r="D792" s="815">
        <f t="shared" ref="D792:T792" si="30">SUM(D790:D791)</f>
        <v>3.8500000000000001E-5</v>
      </c>
      <c r="E792" s="816">
        <f t="shared" si="30"/>
        <v>98689</v>
      </c>
      <c r="F792" s="816"/>
      <c r="G792" s="817">
        <f t="shared" si="30"/>
        <v>15225</v>
      </c>
      <c r="H792" s="818">
        <f t="shared" si="30"/>
        <v>13548</v>
      </c>
      <c r="I792" s="817">
        <f t="shared" si="30"/>
        <v>26188</v>
      </c>
      <c r="J792" s="816">
        <f t="shared" si="30"/>
        <v>18529</v>
      </c>
      <c r="K792" s="818">
        <f t="shared" si="30"/>
        <v>73490</v>
      </c>
      <c r="L792" s="816"/>
      <c r="M792" s="817">
        <f t="shared" si="30"/>
        <v>511</v>
      </c>
      <c r="N792" s="817">
        <f t="shared" si="30"/>
        <v>0</v>
      </c>
      <c r="O792" s="816">
        <f t="shared" si="30"/>
        <v>24349</v>
      </c>
      <c r="P792" s="828">
        <f t="shared" si="30"/>
        <v>24860</v>
      </c>
      <c r="R792" s="817">
        <f t="shared" si="30"/>
        <v>27413</v>
      </c>
      <c r="S792" s="816">
        <f t="shared" si="30"/>
        <v>-3734</v>
      </c>
      <c r="T792" s="819">
        <f t="shared" si="30"/>
        <v>23679</v>
      </c>
    </row>
    <row r="793" spans="1:20" x14ac:dyDescent="0.25">
      <c r="A793" s="813">
        <v>98417</v>
      </c>
      <c r="B793" s="814" t="s">
        <v>3310</v>
      </c>
      <c r="C793" s="815">
        <v>2.1500000000000001E-5</v>
      </c>
      <c r="D793" s="815">
        <v>2.2900000000000001E-5</v>
      </c>
      <c r="E793" s="816">
        <v>51005</v>
      </c>
      <c r="F793" s="816" t="s">
        <v>185</v>
      </c>
      <c r="G793" s="817">
        <v>7869</v>
      </c>
      <c r="H793" s="818">
        <v>7001</v>
      </c>
      <c r="I793" s="817">
        <v>13535</v>
      </c>
      <c r="J793" s="816">
        <v>4701</v>
      </c>
      <c r="K793" s="818">
        <f t="shared" si="28"/>
        <v>33106</v>
      </c>
      <c r="L793" s="816"/>
      <c r="M793" s="817">
        <v>264</v>
      </c>
      <c r="N793" s="817">
        <v>0</v>
      </c>
      <c r="O793" s="816">
        <v>0</v>
      </c>
      <c r="P793" s="818">
        <f t="shared" si="29"/>
        <v>264</v>
      </c>
      <c r="Q793" s="816"/>
      <c r="R793" s="817">
        <v>14168</v>
      </c>
      <c r="S793" s="816">
        <v>1052</v>
      </c>
      <c r="T793" s="819">
        <v>15220</v>
      </c>
    </row>
    <row r="794" spans="1:20" x14ac:dyDescent="0.25">
      <c r="A794" s="813">
        <v>98421</v>
      </c>
      <c r="B794" s="814" t="s">
        <v>4286</v>
      </c>
      <c r="C794" s="815">
        <v>1.06E-4</v>
      </c>
      <c r="D794" s="815">
        <v>8.2700000000000004E-5</v>
      </c>
      <c r="E794" s="816">
        <v>251468</v>
      </c>
      <c r="F794" s="816" t="s">
        <v>185</v>
      </c>
      <c r="G794" s="817">
        <v>38796</v>
      </c>
      <c r="H794" s="818">
        <v>34519</v>
      </c>
      <c r="I794" s="817">
        <v>66730</v>
      </c>
      <c r="J794" s="816">
        <v>17902</v>
      </c>
      <c r="K794" s="818">
        <f t="shared" si="28"/>
        <v>157947</v>
      </c>
      <c r="L794" s="816"/>
      <c r="M794" s="817">
        <v>1302</v>
      </c>
      <c r="N794" s="817">
        <v>0</v>
      </c>
      <c r="O794" s="816">
        <v>9065</v>
      </c>
      <c r="P794" s="818">
        <f t="shared" si="29"/>
        <v>10367</v>
      </c>
      <c r="Q794" s="816"/>
      <c r="R794" s="817">
        <v>69851</v>
      </c>
      <c r="S794" s="816">
        <v>2976</v>
      </c>
      <c r="T794" s="819">
        <v>72827</v>
      </c>
    </row>
    <row r="795" spans="1:20" x14ac:dyDescent="0.25">
      <c r="A795" s="813">
        <v>98427</v>
      </c>
      <c r="B795" s="814" t="s">
        <v>3312</v>
      </c>
      <c r="C795" s="815">
        <v>3.4000000000000001E-6</v>
      </c>
      <c r="D795" s="815">
        <v>3.9999999999999998E-6</v>
      </c>
      <c r="E795" s="816">
        <v>8066</v>
      </c>
      <c r="F795" s="816" t="s">
        <v>185</v>
      </c>
      <c r="G795" s="817">
        <v>1244</v>
      </c>
      <c r="H795" s="818">
        <v>1107</v>
      </c>
      <c r="I795" s="817">
        <v>2140</v>
      </c>
      <c r="J795" s="816">
        <v>1747</v>
      </c>
      <c r="K795" s="818">
        <f t="shared" si="28"/>
        <v>6238</v>
      </c>
      <c r="L795" s="816"/>
      <c r="M795" s="817">
        <v>42</v>
      </c>
      <c r="N795" s="817">
        <v>0</v>
      </c>
      <c r="O795" s="816">
        <v>0</v>
      </c>
      <c r="P795" s="818">
        <f t="shared" si="29"/>
        <v>42</v>
      </c>
      <c r="Q795" s="816"/>
      <c r="R795" s="817">
        <v>2241</v>
      </c>
      <c r="S795" s="816">
        <v>707</v>
      </c>
      <c r="T795" s="819">
        <v>2948</v>
      </c>
    </row>
    <row r="796" spans="1:20" x14ac:dyDescent="0.25">
      <c r="A796" s="813">
        <v>98431</v>
      </c>
      <c r="B796" s="814" t="s">
        <v>3313</v>
      </c>
      <c r="C796" s="815">
        <v>1.961E-4</v>
      </c>
      <c r="D796" s="815">
        <v>2.0589999999999999E-4</v>
      </c>
      <c r="E796" s="816">
        <v>465216</v>
      </c>
      <c r="F796" s="816" t="s">
        <v>185</v>
      </c>
      <c r="G796" s="817">
        <v>71772</v>
      </c>
      <c r="H796" s="818">
        <v>63861</v>
      </c>
      <c r="I796" s="817">
        <v>123450</v>
      </c>
      <c r="J796" s="816">
        <v>0</v>
      </c>
      <c r="K796" s="818">
        <f t="shared" si="28"/>
        <v>259083</v>
      </c>
      <c r="L796" s="816"/>
      <c r="M796" s="817">
        <v>2408</v>
      </c>
      <c r="N796" s="817">
        <v>0</v>
      </c>
      <c r="O796" s="816">
        <v>33499</v>
      </c>
      <c r="P796" s="818">
        <f t="shared" si="29"/>
        <v>35907</v>
      </c>
      <c r="Q796" s="816"/>
      <c r="R796" s="817">
        <v>129225</v>
      </c>
      <c r="S796" s="816">
        <v>-12036</v>
      </c>
      <c r="T796" s="819">
        <v>117189</v>
      </c>
    </row>
    <row r="797" spans="1:20" x14ac:dyDescent="0.25">
      <c r="A797" s="813">
        <v>98441</v>
      </c>
      <c r="B797" s="814" t="s">
        <v>4287</v>
      </c>
      <c r="C797" s="815">
        <v>1.0900000000000001E-4</v>
      </c>
      <c r="D797" s="815">
        <v>8.2700000000000004E-5</v>
      </c>
      <c r="E797" s="816">
        <v>258585</v>
      </c>
      <c r="F797" s="816" t="s">
        <v>185</v>
      </c>
      <c r="G797" s="817">
        <v>39894</v>
      </c>
      <c r="H797" s="818">
        <v>35496</v>
      </c>
      <c r="I797" s="817">
        <v>68619</v>
      </c>
      <c r="J797" s="816">
        <v>12072</v>
      </c>
      <c r="K797" s="818">
        <f t="shared" si="28"/>
        <v>156081</v>
      </c>
      <c r="L797" s="816"/>
      <c r="M797" s="817">
        <v>1339</v>
      </c>
      <c r="N797" s="817">
        <v>0</v>
      </c>
      <c r="O797" s="816">
        <v>13805</v>
      </c>
      <c r="P797" s="818">
        <f t="shared" si="29"/>
        <v>15144</v>
      </c>
      <c r="Q797" s="816"/>
      <c r="R797" s="817">
        <v>71828</v>
      </c>
      <c r="S797" s="816">
        <v>-5014</v>
      </c>
      <c r="T797" s="819">
        <v>66814</v>
      </c>
    </row>
    <row r="798" spans="1:20" x14ac:dyDescent="0.25">
      <c r="A798" s="813">
        <v>98451</v>
      </c>
      <c r="B798" s="814" t="s">
        <v>4288</v>
      </c>
      <c r="C798" s="815">
        <v>4.88E-5</v>
      </c>
      <c r="D798" s="815">
        <v>5.7000000000000003E-5</v>
      </c>
      <c r="E798" s="816">
        <v>115770</v>
      </c>
      <c r="F798" s="816" t="s">
        <v>185</v>
      </c>
      <c r="G798" s="817">
        <v>17861</v>
      </c>
      <c r="H798" s="818">
        <v>15892</v>
      </c>
      <c r="I798" s="817">
        <v>30721</v>
      </c>
      <c r="J798" s="816">
        <v>380</v>
      </c>
      <c r="K798" s="818">
        <f t="shared" si="28"/>
        <v>64854</v>
      </c>
      <c r="L798" s="816"/>
      <c r="M798" s="817">
        <v>599</v>
      </c>
      <c r="N798" s="817">
        <v>0</v>
      </c>
      <c r="O798" s="816">
        <v>4433</v>
      </c>
      <c r="P798" s="818">
        <f t="shared" si="29"/>
        <v>5032</v>
      </c>
      <c r="Q798" s="816"/>
      <c r="R798" s="817">
        <v>32158</v>
      </c>
      <c r="S798" s="816">
        <v>-1432</v>
      </c>
      <c r="T798" s="819">
        <v>30726</v>
      </c>
    </row>
    <row r="799" spans="1:20" x14ac:dyDescent="0.25">
      <c r="A799" s="813">
        <v>98471</v>
      </c>
      <c r="B799" s="829" t="s">
        <v>4289</v>
      </c>
      <c r="C799" s="815">
        <v>6.1E-6</v>
      </c>
      <c r="D799" s="815">
        <v>0</v>
      </c>
      <c r="E799" s="816">
        <v>14471</v>
      </c>
      <c r="F799" s="816" t="s">
        <v>185</v>
      </c>
      <c r="G799" s="817">
        <v>2233</v>
      </c>
      <c r="H799" s="818">
        <v>1987</v>
      </c>
      <c r="I799" s="817">
        <v>3840</v>
      </c>
      <c r="J799" s="816">
        <v>5121</v>
      </c>
      <c r="K799" s="818">
        <f t="shared" si="28"/>
        <v>13181</v>
      </c>
      <c r="L799" s="816"/>
      <c r="M799" s="817">
        <v>75</v>
      </c>
      <c r="N799" s="817">
        <v>0</v>
      </c>
      <c r="O799" s="816">
        <v>0</v>
      </c>
      <c r="P799" s="818">
        <f t="shared" si="29"/>
        <v>75</v>
      </c>
      <c r="Q799" s="816"/>
      <c r="R799" s="817">
        <v>4020</v>
      </c>
      <c r="S799" s="816">
        <v>1280</v>
      </c>
      <c r="T799" s="819">
        <v>5300</v>
      </c>
    </row>
    <row r="800" spans="1:20" x14ac:dyDescent="0.25">
      <c r="A800" s="813">
        <v>98481</v>
      </c>
      <c r="B800" s="814" t="s">
        <v>4290</v>
      </c>
      <c r="C800" s="815">
        <v>7.2000000000000002E-5</v>
      </c>
      <c r="D800" s="815">
        <v>6.3899999999999995E-5</v>
      </c>
      <c r="E800" s="816">
        <v>170809</v>
      </c>
      <c r="F800" s="816" t="s">
        <v>185</v>
      </c>
      <c r="G800" s="817">
        <v>26352</v>
      </c>
      <c r="H800" s="818">
        <v>23447</v>
      </c>
      <c r="I800" s="817">
        <v>45326</v>
      </c>
      <c r="J800" s="816">
        <v>2185</v>
      </c>
      <c r="K800" s="818">
        <f t="shared" si="28"/>
        <v>97310</v>
      </c>
      <c r="L800" s="816"/>
      <c r="M800" s="817">
        <v>884</v>
      </c>
      <c r="N800" s="817">
        <v>0</v>
      </c>
      <c r="O800" s="816">
        <v>4175</v>
      </c>
      <c r="P800" s="818">
        <f t="shared" si="29"/>
        <v>5059</v>
      </c>
      <c r="Q800" s="816"/>
      <c r="R800" s="817">
        <v>47446</v>
      </c>
      <c r="S800" s="816">
        <v>495</v>
      </c>
      <c r="T800" s="819">
        <v>47941</v>
      </c>
    </row>
    <row r="801" spans="1:20" x14ac:dyDescent="0.25">
      <c r="A801" s="813">
        <v>98501</v>
      </c>
      <c r="B801" s="814" t="s">
        <v>3317</v>
      </c>
      <c r="C801" s="815">
        <v>1.6239E-3</v>
      </c>
      <c r="D801" s="815">
        <v>1.6022E-3</v>
      </c>
      <c r="E801" s="816">
        <v>3852446</v>
      </c>
      <c r="F801" s="816" t="s">
        <v>185</v>
      </c>
      <c r="G801" s="817">
        <v>594341</v>
      </c>
      <c r="H801" s="818">
        <v>528826</v>
      </c>
      <c r="I801" s="817">
        <v>1022291</v>
      </c>
      <c r="J801" s="816">
        <v>103062</v>
      </c>
      <c r="K801" s="818">
        <f t="shared" si="28"/>
        <v>2248520</v>
      </c>
      <c r="L801" s="816"/>
      <c r="M801" s="817">
        <v>19943</v>
      </c>
      <c r="N801" s="817">
        <v>0</v>
      </c>
      <c r="O801" s="816">
        <v>0</v>
      </c>
      <c r="P801" s="818">
        <f t="shared" si="29"/>
        <v>19943</v>
      </c>
      <c r="Q801" s="816"/>
      <c r="R801" s="817">
        <v>1070106</v>
      </c>
      <c r="S801" s="816">
        <v>31738</v>
      </c>
      <c r="T801" s="819">
        <v>1101844</v>
      </c>
    </row>
    <row r="802" spans="1:20" x14ac:dyDescent="0.25">
      <c r="A802" s="813">
        <v>98511</v>
      </c>
      <c r="B802" s="814" t="s">
        <v>4291</v>
      </c>
      <c r="C802" s="815">
        <v>4.0000000000000003E-5</v>
      </c>
      <c r="D802" s="815">
        <v>4.8000000000000001E-5</v>
      </c>
      <c r="E802" s="816">
        <v>94894</v>
      </c>
      <c r="F802" s="816" t="s">
        <v>185</v>
      </c>
      <c r="G802" s="817">
        <v>14640</v>
      </c>
      <c r="H802" s="818">
        <v>13026</v>
      </c>
      <c r="I802" s="817">
        <v>25181</v>
      </c>
      <c r="J802" s="816">
        <v>4106</v>
      </c>
      <c r="K802" s="818">
        <f t="shared" si="28"/>
        <v>56953</v>
      </c>
      <c r="L802" s="816"/>
      <c r="M802" s="817">
        <v>491</v>
      </c>
      <c r="N802" s="817">
        <v>0</v>
      </c>
      <c r="O802" s="816">
        <v>3548</v>
      </c>
      <c r="P802" s="818">
        <f t="shared" si="29"/>
        <v>4039</v>
      </c>
      <c r="Q802" s="816"/>
      <c r="R802" s="817">
        <v>26359</v>
      </c>
      <c r="S802" s="816">
        <v>-9955</v>
      </c>
      <c r="T802" s="819">
        <v>16404</v>
      </c>
    </row>
    <row r="803" spans="1:20" x14ac:dyDescent="0.25">
      <c r="A803" s="813">
        <v>98517</v>
      </c>
      <c r="B803" s="814" t="s">
        <v>3319</v>
      </c>
      <c r="C803" s="815">
        <v>2.3E-6</v>
      </c>
      <c r="D803" s="815">
        <v>2.3E-6</v>
      </c>
      <c r="E803" s="816">
        <v>5456</v>
      </c>
      <c r="F803" s="816" t="s">
        <v>185</v>
      </c>
      <c r="G803" s="817">
        <v>842</v>
      </c>
      <c r="H803" s="818">
        <v>749</v>
      </c>
      <c r="I803" s="817">
        <v>1448</v>
      </c>
      <c r="J803" s="816">
        <v>2754</v>
      </c>
      <c r="K803" s="818">
        <f t="shared" si="28"/>
        <v>5793</v>
      </c>
      <c r="L803" s="816"/>
      <c r="M803" s="817">
        <v>28</v>
      </c>
      <c r="N803" s="817">
        <v>0</v>
      </c>
      <c r="O803" s="816">
        <v>0</v>
      </c>
      <c r="P803" s="818">
        <f t="shared" si="29"/>
        <v>28</v>
      </c>
      <c r="Q803" s="816"/>
      <c r="R803" s="817">
        <v>1516</v>
      </c>
      <c r="S803" s="816">
        <v>1018</v>
      </c>
      <c r="T803" s="819">
        <v>2534</v>
      </c>
    </row>
    <row r="804" spans="1:20" x14ac:dyDescent="0.25">
      <c r="A804" s="813">
        <v>98521</v>
      </c>
      <c r="B804" s="814" t="s">
        <v>3320</v>
      </c>
      <c r="C804" s="815">
        <v>6.4780000000000003E-4</v>
      </c>
      <c r="D804" s="815">
        <v>6.6180000000000004E-4</v>
      </c>
      <c r="E804" s="816">
        <v>1536803</v>
      </c>
      <c r="F804" s="816" t="s">
        <v>185</v>
      </c>
      <c r="G804" s="817">
        <v>237092</v>
      </c>
      <c r="H804" s="818">
        <v>210957</v>
      </c>
      <c r="I804" s="817">
        <v>407808</v>
      </c>
      <c r="J804" s="816">
        <v>26095</v>
      </c>
      <c r="K804" s="818">
        <f t="shared" si="28"/>
        <v>881952</v>
      </c>
      <c r="L804" s="816"/>
      <c r="M804" s="817">
        <v>7956</v>
      </c>
      <c r="N804" s="817">
        <v>0</v>
      </c>
      <c r="O804" s="816">
        <v>52330</v>
      </c>
      <c r="P804" s="818">
        <f t="shared" si="29"/>
        <v>60286</v>
      </c>
      <c r="Q804" s="816"/>
      <c r="R804" s="817">
        <v>426883</v>
      </c>
      <c r="S804" s="816">
        <v>-16971</v>
      </c>
      <c r="T804" s="819">
        <v>409912</v>
      </c>
    </row>
    <row r="805" spans="1:20" x14ac:dyDescent="0.25">
      <c r="A805" s="813">
        <v>98601</v>
      </c>
      <c r="B805" s="814" t="s">
        <v>3321</v>
      </c>
      <c r="C805" s="815">
        <v>3.4765999999999998E-3</v>
      </c>
      <c r="D805" s="815">
        <v>3.4148E-3</v>
      </c>
      <c r="E805" s="816">
        <v>8247684</v>
      </c>
      <c r="F805" s="816" t="s">
        <v>185</v>
      </c>
      <c r="G805" s="817">
        <v>1272422</v>
      </c>
      <c r="H805" s="818">
        <v>1132162</v>
      </c>
      <c r="I805" s="817">
        <v>2188617</v>
      </c>
      <c r="J805" s="816">
        <v>0</v>
      </c>
      <c r="K805" s="818">
        <f t="shared" si="28"/>
        <v>4593201</v>
      </c>
      <c r="L805" s="816"/>
      <c r="M805" s="817">
        <v>42696</v>
      </c>
      <c r="N805" s="817">
        <v>0</v>
      </c>
      <c r="O805" s="816">
        <v>132455</v>
      </c>
      <c r="P805" s="818">
        <f t="shared" si="29"/>
        <v>175151</v>
      </c>
      <c r="Q805" s="816"/>
      <c r="R805" s="817">
        <v>2290986</v>
      </c>
      <c r="S805" s="816">
        <v>-95496</v>
      </c>
      <c r="T805" s="819">
        <v>2195490</v>
      </c>
    </row>
    <row r="806" spans="1:20" x14ac:dyDescent="0.25">
      <c r="A806" s="813" t="s">
        <v>4292</v>
      </c>
      <c r="B806" s="814" t="s">
        <v>3322</v>
      </c>
      <c r="C806" s="815">
        <v>1.29E-5</v>
      </c>
      <c r="D806" s="815">
        <v>1.34E-5</v>
      </c>
      <c r="E806" s="816">
        <v>30603</v>
      </c>
      <c r="F806" s="816" t="s">
        <v>185</v>
      </c>
      <c r="G806" s="817">
        <v>4721</v>
      </c>
      <c r="H806" s="818">
        <v>4201</v>
      </c>
      <c r="I806" s="817">
        <v>8121</v>
      </c>
      <c r="J806" s="816">
        <v>4763</v>
      </c>
      <c r="K806" s="818">
        <f t="shared" si="28"/>
        <v>21806</v>
      </c>
      <c r="L806" s="816"/>
      <c r="M806" s="817">
        <v>158</v>
      </c>
      <c r="N806" s="817">
        <v>0</v>
      </c>
      <c r="O806" s="816">
        <v>395</v>
      </c>
      <c r="P806" s="818">
        <f t="shared" si="29"/>
        <v>553</v>
      </c>
      <c r="Q806" s="816"/>
      <c r="R806" s="817">
        <v>8501</v>
      </c>
      <c r="S806" s="816">
        <v>2178</v>
      </c>
      <c r="T806" s="819">
        <v>10679</v>
      </c>
    </row>
    <row r="807" spans="1:20" x14ac:dyDescent="0.25">
      <c r="A807" s="813" t="s">
        <v>4293</v>
      </c>
      <c r="B807" s="814" t="s">
        <v>4294</v>
      </c>
      <c r="C807" s="815">
        <v>0</v>
      </c>
      <c r="D807" s="815">
        <v>0</v>
      </c>
      <c r="E807" s="816">
        <v>0</v>
      </c>
      <c r="F807" s="816" t="s">
        <v>185</v>
      </c>
      <c r="G807" s="817">
        <v>0</v>
      </c>
      <c r="H807" s="818">
        <v>0</v>
      </c>
      <c r="I807" s="817">
        <v>0</v>
      </c>
      <c r="J807" s="816">
        <v>1056</v>
      </c>
      <c r="K807" s="818">
        <f>G807+H807+I807+J807</f>
        <v>1056</v>
      </c>
      <c r="L807" s="816"/>
      <c r="M807" s="817">
        <v>0</v>
      </c>
      <c r="N807" s="817">
        <v>0</v>
      </c>
      <c r="O807" s="816">
        <v>3238</v>
      </c>
      <c r="P807" s="818">
        <f>M807+N807+O807</f>
        <v>3238</v>
      </c>
      <c r="Q807" s="816"/>
      <c r="R807" s="817">
        <v>0</v>
      </c>
      <c r="S807" s="816">
        <v>171</v>
      </c>
      <c r="T807" s="819">
        <v>171</v>
      </c>
    </row>
    <row r="808" spans="1:20" x14ac:dyDescent="0.25">
      <c r="A808" s="813">
        <v>98604</v>
      </c>
      <c r="B808" s="814" t="s">
        <v>3322</v>
      </c>
      <c r="C808" s="815">
        <f>SUM(C806:C807)</f>
        <v>1.29E-5</v>
      </c>
      <c r="D808" s="815">
        <f t="shared" ref="D808:T808" si="31">SUM(D806:D807)</f>
        <v>1.34E-5</v>
      </c>
      <c r="E808" s="816">
        <f t="shared" si="31"/>
        <v>30603</v>
      </c>
      <c r="F808" s="816"/>
      <c r="G808" s="817">
        <f t="shared" si="31"/>
        <v>4721</v>
      </c>
      <c r="H808" s="818">
        <f t="shared" si="31"/>
        <v>4201</v>
      </c>
      <c r="I808" s="817">
        <f t="shared" si="31"/>
        <v>8121</v>
      </c>
      <c r="J808" s="816">
        <f t="shared" si="31"/>
        <v>5819</v>
      </c>
      <c r="K808" s="818">
        <f t="shared" si="31"/>
        <v>22862</v>
      </c>
      <c r="L808" s="816"/>
      <c r="M808" s="817">
        <f t="shared" si="31"/>
        <v>158</v>
      </c>
      <c r="N808" s="817">
        <f t="shared" si="31"/>
        <v>0</v>
      </c>
      <c r="O808" s="816">
        <f t="shared" si="31"/>
        <v>3633</v>
      </c>
      <c r="P808" s="818">
        <f t="shared" si="31"/>
        <v>3791</v>
      </c>
      <c r="Q808" s="816"/>
      <c r="R808" s="817">
        <f t="shared" si="31"/>
        <v>8501</v>
      </c>
      <c r="S808" s="816">
        <f t="shared" si="31"/>
        <v>2349</v>
      </c>
      <c r="T808" s="819">
        <f t="shared" si="31"/>
        <v>10850</v>
      </c>
    </row>
    <row r="809" spans="1:20" x14ac:dyDescent="0.25">
      <c r="A809" s="813">
        <v>98607</v>
      </c>
      <c r="B809" s="814" t="s">
        <v>3323</v>
      </c>
      <c r="C809" s="815">
        <v>6.9E-6</v>
      </c>
      <c r="D809" s="815">
        <v>5.9000000000000003E-6</v>
      </c>
      <c r="E809" s="816">
        <v>16369</v>
      </c>
      <c r="F809" s="816" t="s">
        <v>185</v>
      </c>
      <c r="G809" s="817">
        <v>2525</v>
      </c>
      <c r="H809" s="818">
        <v>2247</v>
      </c>
      <c r="I809" s="817">
        <v>4344</v>
      </c>
      <c r="J809" s="816">
        <v>1428</v>
      </c>
      <c r="K809" s="818">
        <f t="shared" si="28"/>
        <v>10544</v>
      </c>
      <c r="L809" s="816"/>
      <c r="M809" s="817">
        <v>85</v>
      </c>
      <c r="N809" s="817">
        <v>0</v>
      </c>
      <c r="O809" s="816">
        <v>602</v>
      </c>
      <c r="P809" s="818">
        <f t="shared" si="29"/>
        <v>687</v>
      </c>
      <c r="Q809" s="816"/>
      <c r="R809" s="817">
        <v>4547</v>
      </c>
      <c r="S809" s="816">
        <v>-512</v>
      </c>
      <c r="T809" s="819">
        <v>4035</v>
      </c>
    </row>
    <row r="810" spans="1:20" x14ac:dyDescent="0.25">
      <c r="A810" s="813">
        <v>98608</v>
      </c>
      <c r="B810" s="814" t="s">
        <v>3324</v>
      </c>
      <c r="C810" s="815">
        <v>4.3099999999999997E-5</v>
      </c>
      <c r="D810" s="815">
        <v>4.9200000000000003E-5</v>
      </c>
      <c r="E810" s="816">
        <v>102248</v>
      </c>
      <c r="F810" s="816" t="s">
        <v>185</v>
      </c>
      <c r="G810" s="817">
        <v>15774</v>
      </c>
      <c r="H810" s="818">
        <v>14035</v>
      </c>
      <c r="I810" s="817">
        <v>27133</v>
      </c>
      <c r="J810" s="816">
        <v>3440</v>
      </c>
      <c r="K810" s="818">
        <f t="shared" si="28"/>
        <v>60382</v>
      </c>
      <c r="L810" s="816"/>
      <c r="M810" s="817">
        <v>529</v>
      </c>
      <c r="N810" s="817">
        <v>0</v>
      </c>
      <c r="O810" s="816">
        <v>4498</v>
      </c>
      <c r="P810" s="818">
        <f t="shared" si="29"/>
        <v>5027</v>
      </c>
      <c r="Q810" s="816"/>
      <c r="R810" s="817">
        <v>28402</v>
      </c>
      <c r="S810" s="816">
        <v>961</v>
      </c>
      <c r="T810" s="819">
        <v>29363</v>
      </c>
    </row>
    <row r="811" spans="1:20" x14ac:dyDescent="0.25">
      <c r="A811" s="813">
        <v>98611</v>
      </c>
      <c r="B811" s="814" t="s">
        <v>4295</v>
      </c>
      <c r="C811" s="815">
        <v>1.143E-4</v>
      </c>
      <c r="D811" s="815">
        <v>8.6899999999999998E-5</v>
      </c>
      <c r="E811" s="816">
        <v>271159</v>
      </c>
      <c r="F811" s="816" t="s">
        <v>185</v>
      </c>
      <c r="G811" s="817">
        <v>41833</v>
      </c>
      <c r="H811" s="818">
        <v>37222</v>
      </c>
      <c r="I811" s="817">
        <v>71955</v>
      </c>
      <c r="J811" s="816">
        <v>27552</v>
      </c>
      <c r="K811" s="818">
        <f t="shared" si="28"/>
        <v>178562</v>
      </c>
      <c r="L811" s="816"/>
      <c r="M811" s="817">
        <v>1404</v>
      </c>
      <c r="N811" s="817">
        <v>0</v>
      </c>
      <c r="O811" s="816">
        <v>6191</v>
      </c>
      <c r="P811" s="818">
        <f t="shared" si="29"/>
        <v>7595</v>
      </c>
      <c r="Q811" s="816"/>
      <c r="R811" s="817">
        <v>75321</v>
      </c>
      <c r="S811" s="816">
        <v>6163</v>
      </c>
      <c r="T811" s="819">
        <v>81484</v>
      </c>
    </row>
    <row r="812" spans="1:20" x14ac:dyDescent="0.25">
      <c r="A812" s="813">
        <v>98621</v>
      </c>
      <c r="B812" s="814" t="s">
        <v>4296</v>
      </c>
      <c r="C812" s="815">
        <v>1.371E-4</v>
      </c>
      <c r="D812" s="815">
        <v>1.314E-4</v>
      </c>
      <c r="E812" s="816">
        <v>325248</v>
      </c>
      <c r="F812" s="816" t="s">
        <v>185</v>
      </c>
      <c r="G812" s="817">
        <v>50178</v>
      </c>
      <c r="H812" s="818">
        <v>44647</v>
      </c>
      <c r="I812" s="817">
        <v>86308</v>
      </c>
      <c r="J812" s="816">
        <v>229</v>
      </c>
      <c r="K812" s="818">
        <f t="shared" si="28"/>
        <v>181362</v>
      </c>
      <c r="L812" s="816"/>
      <c r="M812" s="817">
        <v>1684</v>
      </c>
      <c r="N812" s="817">
        <v>0</v>
      </c>
      <c r="O812" s="816">
        <v>6715</v>
      </c>
      <c r="P812" s="818">
        <f t="shared" si="29"/>
        <v>8399</v>
      </c>
      <c r="Q812" s="816"/>
      <c r="R812" s="817">
        <v>90345</v>
      </c>
      <c r="S812" s="816">
        <v>-3483</v>
      </c>
      <c r="T812" s="819">
        <v>86862</v>
      </c>
    </row>
    <row r="813" spans="1:20" x14ac:dyDescent="0.25">
      <c r="A813" s="813">
        <v>98627</v>
      </c>
      <c r="B813" s="814" t="s">
        <v>3327</v>
      </c>
      <c r="C813" s="815">
        <v>8.3000000000000002E-6</v>
      </c>
      <c r="D813" s="815">
        <v>8.6999999999999997E-6</v>
      </c>
      <c r="E813" s="816">
        <v>19690</v>
      </c>
      <c r="F813" s="816" t="s">
        <v>185</v>
      </c>
      <c r="G813" s="817">
        <v>3038</v>
      </c>
      <c r="H813" s="818">
        <v>2703</v>
      </c>
      <c r="I813" s="817">
        <v>5225</v>
      </c>
      <c r="J813" s="816">
        <v>206</v>
      </c>
      <c r="K813" s="818">
        <f t="shared" si="28"/>
        <v>11172</v>
      </c>
      <c r="L813" s="816"/>
      <c r="M813" s="817">
        <v>102</v>
      </c>
      <c r="N813" s="817">
        <v>0</v>
      </c>
      <c r="O813" s="816">
        <v>1443</v>
      </c>
      <c r="P813" s="818">
        <f t="shared" si="29"/>
        <v>1545</v>
      </c>
      <c r="Q813" s="816"/>
      <c r="R813" s="817">
        <v>5469</v>
      </c>
      <c r="S813" s="816">
        <v>-389</v>
      </c>
      <c r="T813" s="819">
        <v>5080</v>
      </c>
    </row>
    <row r="814" spans="1:20" x14ac:dyDescent="0.25">
      <c r="A814" s="813">
        <v>98631</v>
      </c>
      <c r="B814" s="814" t="s">
        <v>3328</v>
      </c>
      <c r="C814" s="815">
        <v>1.0238000000000001E-3</v>
      </c>
      <c r="D814" s="815">
        <v>1.0051999999999999E-3</v>
      </c>
      <c r="E814" s="816">
        <v>2428804</v>
      </c>
      <c r="F814" s="816" t="s">
        <v>185</v>
      </c>
      <c r="G814" s="817">
        <v>374707</v>
      </c>
      <c r="H814" s="818">
        <v>333403</v>
      </c>
      <c r="I814" s="817">
        <v>644511</v>
      </c>
      <c r="J814" s="816">
        <v>18991</v>
      </c>
      <c r="K814" s="818">
        <f t="shared" si="28"/>
        <v>1371612</v>
      </c>
      <c r="L814" s="816"/>
      <c r="M814" s="817">
        <v>12573</v>
      </c>
      <c r="N814" s="817">
        <v>0</v>
      </c>
      <c r="O814" s="816">
        <v>60399</v>
      </c>
      <c r="P814" s="818">
        <f t="shared" si="29"/>
        <v>72972</v>
      </c>
      <c r="Q814" s="816"/>
      <c r="R814" s="817">
        <v>674657</v>
      </c>
      <c r="S814" s="816">
        <v>-36968</v>
      </c>
      <c r="T814" s="819">
        <v>637689</v>
      </c>
    </row>
    <row r="815" spans="1:20" x14ac:dyDescent="0.25">
      <c r="A815" s="813">
        <v>98637</v>
      </c>
      <c r="B815" s="814" t="s">
        <v>3329</v>
      </c>
      <c r="C815" s="815">
        <v>1.9000000000000001E-5</v>
      </c>
      <c r="D815" s="815">
        <v>2.0800000000000001E-5</v>
      </c>
      <c r="E815" s="816">
        <v>45074</v>
      </c>
      <c r="F815" s="816" t="s">
        <v>185</v>
      </c>
      <c r="G815" s="817">
        <v>6954</v>
      </c>
      <c r="H815" s="818">
        <v>6187</v>
      </c>
      <c r="I815" s="817">
        <v>11961</v>
      </c>
      <c r="J815" s="816">
        <v>9802</v>
      </c>
      <c r="K815" s="818">
        <f t="shared" si="28"/>
        <v>34904</v>
      </c>
      <c r="L815" s="816"/>
      <c r="M815" s="817">
        <v>233</v>
      </c>
      <c r="N815" s="817">
        <v>0</v>
      </c>
      <c r="O815" s="816">
        <v>0</v>
      </c>
      <c r="P815" s="818">
        <f t="shared" si="29"/>
        <v>233</v>
      </c>
      <c r="Q815" s="816"/>
      <c r="R815" s="817">
        <v>12520</v>
      </c>
      <c r="S815" s="816">
        <v>4352</v>
      </c>
      <c r="T815" s="819">
        <v>16872</v>
      </c>
    </row>
    <row r="816" spans="1:20" x14ac:dyDescent="0.25">
      <c r="A816" s="813">
        <v>98641</v>
      </c>
      <c r="B816" s="814" t="s">
        <v>4297</v>
      </c>
      <c r="C816" s="815">
        <v>2.9080000000000002E-4</v>
      </c>
      <c r="D816" s="815">
        <v>2.965E-4</v>
      </c>
      <c r="E816" s="816">
        <v>689877</v>
      </c>
      <c r="F816" s="816" t="s">
        <v>185</v>
      </c>
      <c r="G816" s="817">
        <v>106432</v>
      </c>
      <c r="H816" s="818">
        <v>94699</v>
      </c>
      <c r="I816" s="817">
        <v>183067</v>
      </c>
      <c r="J816" s="816">
        <v>1967</v>
      </c>
      <c r="K816" s="818">
        <f t="shared" si="28"/>
        <v>386165</v>
      </c>
      <c r="L816" s="816"/>
      <c r="M816" s="817">
        <v>3571</v>
      </c>
      <c r="N816" s="817">
        <v>0</v>
      </c>
      <c r="O816" s="816">
        <v>5099</v>
      </c>
      <c r="P816" s="818">
        <f t="shared" si="29"/>
        <v>8670</v>
      </c>
      <c r="Q816" s="816"/>
      <c r="R816" s="817">
        <v>191629</v>
      </c>
      <c r="S816" s="816">
        <v>68</v>
      </c>
      <c r="T816" s="819">
        <v>191697</v>
      </c>
    </row>
    <row r="817" spans="1:20" x14ac:dyDescent="0.25">
      <c r="A817" s="813">
        <v>98701</v>
      </c>
      <c r="B817" s="814" t="s">
        <v>3332</v>
      </c>
      <c r="C817" s="815">
        <v>1.0870000000000001E-3</v>
      </c>
      <c r="D817" s="815">
        <v>1.1333999999999999E-3</v>
      </c>
      <c r="E817" s="816">
        <v>2578736</v>
      </c>
      <c r="F817" s="816" t="s">
        <v>185</v>
      </c>
      <c r="G817" s="817">
        <v>397838</v>
      </c>
      <c r="H817" s="818">
        <v>353983</v>
      </c>
      <c r="I817" s="817">
        <v>684297</v>
      </c>
      <c r="J817" s="816">
        <v>2231</v>
      </c>
      <c r="K817" s="818">
        <f t="shared" si="28"/>
        <v>1438349</v>
      </c>
      <c r="L817" s="816"/>
      <c r="M817" s="817">
        <v>13349</v>
      </c>
      <c r="N817" s="817">
        <v>0</v>
      </c>
      <c r="O817" s="816">
        <v>78824</v>
      </c>
      <c r="P817" s="818">
        <f t="shared" si="29"/>
        <v>92173</v>
      </c>
      <c r="Q817" s="816"/>
      <c r="R817" s="817">
        <v>716304</v>
      </c>
      <c r="S817" s="816">
        <v>-35842</v>
      </c>
      <c r="T817" s="819">
        <v>680462</v>
      </c>
    </row>
    <row r="818" spans="1:20" x14ac:dyDescent="0.25">
      <c r="A818" s="813">
        <v>98711</v>
      </c>
      <c r="B818" s="814" t="s">
        <v>4298</v>
      </c>
      <c r="C818" s="815">
        <v>1.6679999999999999E-4</v>
      </c>
      <c r="D818" s="815">
        <v>1.8369999999999999E-4</v>
      </c>
      <c r="E818" s="816">
        <v>395707</v>
      </c>
      <c r="F818" s="816" t="s">
        <v>185</v>
      </c>
      <c r="G818" s="817">
        <v>61048</v>
      </c>
      <c r="H818" s="818">
        <v>54318</v>
      </c>
      <c r="I818" s="817">
        <v>105005</v>
      </c>
      <c r="J818" s="816">
        <v>0</v>
      </c>
      <c r="K818" s="818">
        <f t="shared" si="28"/>
        <v>220371</v>
      </c>
      <c r="L818" s="816"/>
      <c r="M818" s="817">
        <v>2048</v>
      </c>
      <c r="N818" s="817">
        <v>0</v>
      </c>
      <c r="O818" s="816">
        <v>31195</v>
      </c>
      <c r="P818" s="818">
        <f t="shared" si="29"/>
        <v>33243</v>
      </c>
      <c r="Q818" s="816"/>
      <c r="R818" s="817">
        <v>109917</v>
      </c>
      <c r="S818" s="816">
        <v>-9096</v>
      </c>
      <c r="T818" s="819">
        <v>100821</v>
      </c>
    </row>
    <row r="819" spans="1:20" x14ac:dyDescent="0.25">
      <c r="A819" s="813">
        <v>98717</v>
      </c>
      <c r="B819" s="814" t="s">
        <v>3334</v>
      </c>
      <c r="C819" s="815">
        <v>1.9599999999999999E-5</v>
      </c>
      <c r="D819" s="815">
        <v>2.1100000000000001E-5</v>
      </c>
      <c r="E819" s="816">
        <v>46498</v>
      </c>
      <c r="F819" s="816" t="s">
        <v>185</v>
      </c>
      <c r="G819" s="817">
        <v>7174</v>
      </c>
      <c r="H819" s="818">
        <v>6383</v>
      </c>
      <c r="I819" s="817">
        <v>12339</v>
      </c>
      <c r="J819" s="816">
        <v>928</v>
      </c>
      <c r="K819" s="818">
        <f t="shared" si="28"/>
        <v>26824</v>
      </c>
      <c r="L819" s="816"/>
      <c r="M819" s="817">
        <v>241</v>
      </c>
      <c r="N819" s="817">
        <v>0</v>
      </c>
      <c r="O819" s="816">
        <v>2000</v>
      </c>
      <c r="P819" s="818">
        <f t="shared" si="29"/>
        <v>2241</v>
      </c>
      <c r="Q819" s="816"/>
      <c r="R819" s="817">
        <v>12916</v>
      </c>
      <c r="S819" s="816">
        <v>-184</v>
      </c>
      <c r="T819" s="819">
        <v>12732</v>
      </c>
    </row>
    <row r="820" spans="1:20" x14ac:dyDescent="0.25">
      <c r="A820" s="813">
        <v>98801</v>
      </c>
      <c r="B820" s="814" t="s">
        <v>3335</v>
      </c>
      <c r="C820" s="815">
        <v>2.1394999999999999E-3</v>
      </c>
      <c r="D820" s="815">
        <v>2.2859E-3</v>
      </c>
      <c r="E820" s="816">
        <v>5075626</v>
      </c>
      <c r="F820" s="816" t="s">
        <v>185</v>
      </c>
      <c r="G820" s="817">
        <v>783048</v>
      </c>
      <c r="H820" s="818">
        <v>696732</v>
      </c>
      <c r="I820" s="817">
        <v>1346875</v>
      </c>
      <c r="J820" s="816">
        <v>90601</v>
      </c>
      <c r="K820" s="818">
        <f t="shared" si="28"/>
        <v>2917256</v>
      </c>
      <c r="L820" s="816"/>
      <c r="M820" s="817">
        <v>26275</v>
      </c>
      <c r="N820" s="817">
        <v>0</v>
      </c>
      <c r="O820" s="816">
        <v>76084</v>
      </c>
      <c r="P820" s="818">
        <f t="shared" si="29"/>
        <v>102359</v>
      </c>
      <c r="Q820" s="816"/>
      <c r="R820" s="817">
        <v>1409873</v>
      </c>
      <c r="S820" s="816">
        <v>36447</v>
      </c>
      <c r="T820" s="819">
        <v>1446320</v>
      </c>
    </row>
    <row r="821" spans="1:20" x14ac:dyDescent="0.25">
      <c r="A821" s="813">
        <v>98811</v>
      </c>
      <c r="B821" s="814" t="s">
        <v>3336</v>
      </c>
      <c r="C821" s="815">
        <v>6.332E-4</v>
      </c>
      <c r="D821" s="815">
        <v>6.5160000000000001E-4</v>
      </c>
      <c r="E821" s="816">
        <v>1502167</v>
      </c>
      <c r="F821" s="816" t="s">
        <v>185</v>
      </c>
      <c r="G821" s="817">
        <v>231749</v>
      </c>
      <c r="H821" s="818">
        <v>206203</v>
      </c>
      <c r="I821" s="817">
        <v>398617</v>
      </c>
      <c r="J821" s="816">
        <v>10392</v>
      </c>
      <c r="K821" s="818">
        <f t="shared" si="28"/>
        <v>846961</v>
      </c>
      <c r="L821" s="816"/>
      <c r="M821" s="817">
        <v>7776</v>
      </c>
      <c r="N821" s="817">
        <v>0</v>
      </c>
      <c r="O821" s="816">
        <v>32558</v>
      </c>
      <c r="P821" s="818">
        <f t="shared" si="29"/>
        <v>40334</v>
      </c>
      <c r="Q821" s="816"/>
      <c r="R821" s="817">
        <v>417262</v>
      </c>
      <c r="S821" s="816">
        <v>1421</v>
      </c>
      <c r="T821" s="819">
        <v>418683</v>
      </c>
    </row>
    <row r="822" spans="1:20" x14ac:dyDescent="0.25">
      <c r="A822" s="813">
        <v>98817</v>
      </c>
      <c r="B822" s="814" t="s">
        <v>3337</v>
      </c>
      <c r="C822" s="815">
        <v>2.4000000000000001E-5</v>
      </c>
      <c r="D822" s="815">
        <v>2.5199999999999999E-5</v>
      </c>
      <c r="E822" s="816">
        <v>56936</v>
      </c>
      <c r="F822" s="816" t="s">
        <v>185</v>
      </c>
      <c r="G822" s="817">
        <v>8784</v>
      </c>
      <c r="H822" s="818">
        <v>7815</v>
      </c>
      <c r="I822" s="817">
        <v>15109</v>
      </c>
      <c r="J822" s="816">
        <v>3830</v>
      </c>
      <c r="K822" s="818">
        <f t="shared" si="28"/>
        <v>35538</v>
      </c>
      <c r="L822" s="816"/>
      <c r="M822" s="817">
        <v>295</v>
      </c>
      <c r="N822" s="817">
        <v>0</v>
      </c>
      <c r="O822" s="816">
        <v>0</v>
      </c>
      <c r="P822" s="818">
        <f t="shared" si="29"/>
        <v>295</v>
      </c>
      <c r="Q822" s="816"/>
      <c r="R822" s="817">
        <v>15815</v>
      </c>
      <c r="S822" s="816">
        <v>-955</v>
      </c>
      <c r="T822" s="819">
        <v>14860</v>
      </c>
    </row>
    <row r="823" spans="1:20" x14ac:dyDescent="0.25">
      <c r="A823" s="813">
        <v>98901</v>
      </c>
      <c r="B823" s="814" t="s">
        <v>3338</v>
      </c>
      <c r="C823" s="815">
        <v>3.0289999999999999E-4</v>
      </c>
      <c r="D823" s="815">
        <v>3.5050000000000001E-4</v>
      </c>
      <c r="E823" s="816">
        <v>718582</v>
      </c>
      <c r="F823" s="816" t="s">
        <v>185</v>
      </c>
      <c r="G823" s="817">
        <v>110860</v>
      </c>
      <c r="H823" s="818">
        <v>98640</v>
      </c>
      <c r="I823" s="817">
        <v>190684</v>
      </c>
      <c r="J823" s="816">
        <v>5223</v>
      </c>
      <c r="K823" s="818">
        <f t="shared" si="28"/>
        <v>405407</v>
      </c>
      <c r="L823" s="816"/>
      <c r="M823" s="817">
        <v>3720</v>
      </c>
      <c r="N823" s="817">
        <v>0</v>
      </c>
      <c r="O823" s="816">
        <v>23281</v>
      </c>
      <c r="P823" s="818">
        <f t="shared" si="29"/>
        <v>27001</v>
      </c>
      <c r="Q823" s="816"/>
      <c r="R823" s="817">
        <v>199603</v>
      </c>
      <c r="S823" s="816">
        <v>-4531</v>
      </c>
      <c r="T823" s="819">
        <v>195072</v>
      </c>
    </row>
    <row r="824" spans="1:20" x14ac:dyDescent="0.25">
      <c r="A824" s="813">
        <v>98904</v>
      </c>
      <c r="B824" s="814" t="s">
        <v>3339</v>
      </c>
      <c r="C824" s="815">
        <v>3.9999999999999998E-6</v>
      </c>
      <c r="D824" s="815">
        <v>2.7999999999999999E-6</v>
      </c>
      <c r="E824" s="816">
        <v>9489</v>
      </c>
      <c r="F824" s="816" t="s">
        <v>185</v>
      </c>
      <c r="G824" s="817">
        <v>1464</v>
      </c>
      <c r="H824" s="818">
        <v>1303</v>
      </c>
      <c r="I824" s="817">
        <v>2518</v>
      </c>
      <c r="J824" s="816">
        <v>762</v>
      </c>
      <c r="K824" s="818">
        <f t="shared" si="28"/>
        <v>6047</v>
      </c>
      <c r="L824" s="816"/>
      <c r="M824" s="817">
        <v>49</v>
      </c>
      <c r="N824" s="817">
        <v>0</v>
      </c>
      <c r="O824" s="816">
        <v>1361</v>
      </c>
      <c r="P824" s="818">
        <f t="shared" si="29"/>
        <v>1410</v>
      </c>
      <c r="Q824" s="816"/>
      <c r="R824" s="817">
        <v>2636</v>
      </c>
      <c r="S824" s="816">
        <v>-163</v>
      </c>
      <c r="T824" s="819">
        <v>2473</v>
      </c>
    </row>
    <row r="825" spans="1:20" x14ac:dyDescent="0.25">
      <c r="A825" s="813">
        <v>98911</v>
      </c>
      <c r="B825" s="814" t="s">
        <v>4299</v>
      </c>
      <c r="C825" s="815">
        <v>2.8900000000000001E-5</v>
      </c>
      <c r="D825" s="815">
        <v>2.7900000000000001E-5</v>
      </c>
      <c r="E825" s="816">
        <v>68561</v>
      </c>
      <c r="F825" s="816" t="s">
        <v>185</v>
      </c>
      <c r="G825" s="817">
        <v>10577</v>
      </c>
      <c r="H825" s="818">
        <v>9411</v>
      </c>
      <c r="I825" s="817">
        <v>18193</v>
      </c>
      <c r="J825" s="816">
        <v>12643</v>
      </c>
      <c r="K825" s="818">
        <f t="shared" si="28"/>
        <v>50824</v>
      </c>
      <c r="L825" s="816"/>
      <c r="M825" s="817">
        <v>355</v>
      </c>
      <c r="N825" s="817">
        <v>0</v>
      </c>
      <c r="O825" s="816">
        <v>0</v>
      </c>
      <c r="P825" s="818">
        <f t="shared" si="29"/>
        <v>355</v>
      </c>
      <c r="Q825" s="816"/>
      <c r="R825" s="817">
        <v>19044</v>
      </c>
      <c r="S825" s="816">
        <v>6908</v>
      </c>
      <c r="T825" s="819">
        <v>25952</v>
      </c>
    </row>
    <row r="826" spans="1:20" x14ac:dyDescent="0.25">
      <c r="A826" s="813">
        <v>99001</v>
      </c>
      <c r="B826" s="814" t="s">
        <v>3341</v>
      </c>
      <c r="C826" s="815">
        <v>8.2226E-3</v>
      </c>
      <c r="D826" s="815">
        <v>8.0949000000000004E-3</v>
      </c>
      <c r="E826" s="816">
        <v>19506819</v>
      </c>
      <c r="F826" s="816" t="s">
        <v>185</v>
      </c>
      <c r="G826" s="817">
        <v>3009439</v>
      </c>
      <c r="H826" s="818">
        <v>2677706</v>
      </c>
      <c r="I826" s="817">
        <v>5176357</v>
      </c>
      <c r="J826" s="816">
        <v>209363</v>
      </c>
      <c r="K826" s="818">
        <f t="shared" si="28"/>
        <v>11072865</v>
      </c>
      <c r="L826" s="816"/>
      <c r="M826" s="817">
        <v>100982</v>
      </c>
      <c r="N826" s="817">
        <v>0</v>
      </c>
      <c r="O826" s="816">
        <v>0</v>
      </c>
      <c r="P826" s="818">
        <f t="shared" si="29"/>
        <v>100982</v>
      </c>
      <c r="Q826" s="816"/>
      <c r="R826" s="817">
        <v>5418471</v>
      </c>
      <c r="S826" s="816">
        <v>195187</v>
      </c>
      <c r="T826" s="819">
        <v>5613658</v>
      </c>
    </row>
    <row r="827" spans="1:20" x14ac:dyDescent="0.25">
      <c r="A827" s="813">
        <v>99011</v>
      </c>
      <c r="B827" s="814" t="s">
        <v>3342</v>
      </c>
      <c r="C827" s="815">
        <v>3.8665000000000001E-3</v>
      </c>
      <c r="D827" s="815">
        <v>3.8736999999999999E-3</v>
      </c>
      <c r="E827" s="816">
        <v>9172660</v>
      </c>
      <c r="F827" s="816" t="s">
        <v>185</v>
      </c>
      <c r="G827" s="817">
        <v>1415124</v>
      </c>
      <c r="H827" s="818">
        <v>1259134</v>
      </c>
      <c r="I827" s="817">
        <v>2434070</v>
      </c>
      <c r="J827" s="816">
        <v>838</v>
      </c>
      <c r="K827" s="818">
        <f t="shared" si="28"/>
        <v>5109166</v>
      </c>
      <c r="L827" s="816"/>
      <c r="M827" s="817">
        <v>47484</v>
      </c>
      <c r="N827" s="817">
        <v>0</v>
      </c>
      <c r="O827" s="816">
        <v>184222</v>
      </c>
      <c r="P827" s="818">
        <f t="shared" si="29"/>
        <v>231706</v>
      </c>
      <c r="Q827" s="816"/>
      <c r="R827" s="817">
        <v>2547919</v>
      </c>
      <c r="S827" s="816">
        <v>-211857</v>
      </c>
      <c r="T827" s="819">
        <v>2336062</v>
      </c>
    </row>
    <row r="828" spans="1:20" x14ac:dyDescent="0.25">
      <c r="A828" s="813">
        <v>99013</v>
      </c>
      <c r="B828" s="814" t="s">
        <v>3343</v>
      </c>
      <c r="C828" s="815">
        <v>4.8900000000000003E-5</v>
      </c>
      <c r="D828" s="815">
        <v>5.5999999999999999E-5</v>
      </c>
      <c r="E828" s="816">
        <v>116008</v>
      </c>
      <c r="F828" s="816" t="s">
        <v>185</v>
      </c>
      <c r="G828" s="817">
        <v>17897</v>
      </c>
      <c r="H828" s="818">
        <v>15924</v>
      </c>
      <c r="I828" s="817">
        <v>30784</v>
      </c>
      <c r="J828" s="816">
        <v>0</v>
      </c>
      <c r="K828" s="818">
        <f t="shared" si="28"/>
        <v>64605</v>
      </c>
      <c r="L828" s="816"/>
      <c r="M828" s="817">
        <v>601</v>
      </c>
      <c r="N828" s="817">
        <v>0</v>
      </c>
      <c r="O828" s="816">
        <v>6685</v>
      </c>
      <c r="P828" s="818">
        <f t="shared" si="29"/>
        <v>7286</v>
      </c>
      <c r="Q828" s="816"/>
      <c r="R828" s="817">
        <v>32224</v>
      </c>
      <c r="S828" s="816">
        <v>-3150</v>
      </c>
      <c r="T828" s="819">
        <v>29074</v>
      </c>
    </row>
    <row r="829" spans="1:20" x14ac:dyDescent="0.25">
      <c r="A829" s="813">
        <v>99014</v>
      </c>
      <c r="B829" s="814" t="s">
        <v>3344</v>
      </c>
      <c r="C829" s="815">
        <v>1.45E-5</v>
      </c>
      <c r="D829" s="815">
        <v>2.0100000000000001E-5</v>
      </c>
      <c r="E829" s="816">
        <v>34399</v>
      </c>
      <c r="F829" s="816" t="s">
        <v>185</v>
      </c>
      <c r="G829" s="817">
        <v>5307</v>
      </c>
      <c r="H829" s="818">
        <v>4722</v>
      </c>
      <c r="I829" s="817">
        <v>9128</v>
      </c>
      <c r="J829" s="816">
        <v>8368</v>
      </c>
      <c r="K829" s="818">
        <f t="shared" si="28"/>
        <v>27525</v>
      </c>
      <c r="L829" s="816"/>
      <c r="M829" s="817">
        <v>178</v>
      </c>
      <c r="N829" s="817">
        <v>0</v>
      </c>
      <c r="O829" s="816">
        <v>225</v>
      </c>
      <c r="P829" s="818">
        <f t="shared" si="29"/>
        <v>403</v>
      </c>
      <c r="Q829" s="816"/>
      <c r="R829" s="817">
        <v>9555</v>
      </c>
      <c r="S829" s="816">
        <v>4279</v>
      </c>
      <c r="T829" s="819">
        <v>13834</v>
      </c>
    </row>
    <row r="830" spans="1:20" x14ac:dyDescent="0.25">
      <c r="A830" s="813">
        <v>99017</v>
      </c>
      <c r="B830" s="814" t="s">
        <v>3345</v>
      </c>
      <c r="C830" s="815">
        <v>4.5599999999999997E-5</v>
      </c>
      <c r="D830" s="815">
        <v>5.13E-5</v>
      </c>
      <c r="E830" s="816">
        <v>108179</v>
      </c>
      <c r="F830" s="816" t="s">
        <v>185</v>
      </c>
      <c r="G830" s="817">
        <v>16689</v>
      </c>
      <c r="H830" s="818">
        <v>14849</v>
      </c>
      <c r="I830" s="817">
        <v>28706</v>
      </c>
      <c r="J830" s="816">
        <v>5362</v>
      </c>
      <c r="K830" s="818">
        <f t="shared" si="28"/>
        <v>65606</v>
      </c>
      <c r="L830" s="816"/>
      <c r="M830" s="817">
        <v>560</v>
      </c>
      <c r="N830" s="817">
        <v>0</v>
      </c>
      <c r="O830" s="816">
        <v>3293</v>
      </c>
      <c r="P830" s="818">
        <f t="shared" si="29"/>
        <v>3853</v>
      </c>
      <c r="Q830" s="816"/>
      <c r="R830" s="817">
        <v>30049</v>
      </c>
      <c r="S830" s="816">
        <v>-1419</v>
      </c>
      <c r="T830" s="819">
        <v>28630</v>
      </c>
    </row>
    <row r="831" spans="1:20" x14ac:dyDescent="0.25">
      <c r="A831" s="813">
        <v>99021</v>
      </c>
      <c r="B831" s="814" t="s">
        <v>4300</v>
      </c>
      <c r="C831" s="815">
        <v>1.3200000000000001E-4</v>
      </c>
      <c r="D831" s="815">
        <v>1.5249999999999999E-4</v>
      </c>
      <c r="E831" s="816">
        <v>313149</v>
      </c>
      <c r="F831" s="816" t="s">
        <v>185</v>
      </c>
      <c r="G831" s="817">
        <v>48311</v>
      </c>
      <c r="H831" s="818">
        <v>42986</v>
      </c>
      <c r="I831" s="817">
        <v>83098</v>
      </c>
      <c r="J831" s="816">
        <v>7338</v>
      </c>
      <c r="K831" s="818">
        <f t="shared" si="28"/>
        <v>181733</v>
      </c>
      <c r="L831" s="816"/>
      <c r="M831" s="817">
        <v>1621</v>
      </c>
      <c r="N831" s="817">
        <v>0</v>
      </c>
      <c r="O831" s="816">
        <v>13687</v>
      </c>
      <c r="P831" s="818">
        <f t="shared" si="29"/>
        <v>15308</v>
      </c>
      <c r="Q831" s="816"/>
      <c r="R831" s="817">
        <v>86984</v>
      </c>
      <c r="S831" s="816">
        <v>669</v>
      </c>
      <c r="T831" s="819">
        <v>87653</v>
      </c>
    </row>
    <row r="832" spans="1:20" x14ac:dyDescent="0.25">
      <c r="A832" s="813">
        <v>99022</v>
      </c>
      <c r="B832" s="814" t="s">
        <v>4301</v>
      </c>
      <c r="C832" s="815">
        <v>9.9000000000000001E-6</v>
      </c>
      <c r="D832" s="815">
        <v>1.08E-5</v>
      </c>
      <c r="E832" s="816">
        <v>23486</v>
      </c>
      <c r="F832" s="816" t="s">
        <v>185</v>
      </c>
      <c r="G832" s="817">
        <v>3623</v>
      </c>
      <c r="H832" s="818">
        <v>3224</v>
      </c>
      <c r="I832" s="817">
        <v>6232</v>
      </c>
      <c r="J832" s="816">
        <v>10975</v>
      </c>
      <c r="K832" s="818">
        <f t="shared" si="28"/>
        <v>24054</v>
      </c>
      <c r="L832" s="816"/>
      <c r="M832" s="817">
        <v>122</v>
      </c>
      <c r="N832" s="817">
        <v>0</v>
      </c>
      <c r="O832" s="816">
        <v>0</v>
      </c>
      <c r="P832" s="818">
        <f t="shared" si="29"/>
        <v>122</v>
      </c>
      <c r="Q832" s="816"/>
      <c r="R832" s="817">
        <v>6524</v>
      </c>
      <c r="S832" s="816">
        <v>4162</v>
      </c>
      <c r="T832" s="819">
        <v>10686</v>
      </c>
    </row>
    <row r="833" spans="1:20" x14ac:dyDescent="0.25">
      <c r="A833" s="813">
        <v>99031</v>
      </c>
      <c r="B833" s="814" t="s">
        <v>4302</v>
      </c>
      <c r="C833" s="815">
        <v>1.3669999999999999E-4</v>
      </c>
      <c r="D833" s="815">
        <v>1.518E-4</v>
      </c>
      <c r="E833" s="816">
        <v>324299</v>
      </c>
      <c r="F833" s="816" t="s">
        <v>185</v>
      </c>
      <c r="G833" s="817">
        <v>50032</v>
      </c>
      <c r="H833" s="818">
        <v>44516</v>
      </c>
      <c r="I833" s="817">
        <v>86056</v>
      </c>
      <c r="J833" s="816">
        <v>1850</v>
      </c>
      <c r="K833" s="818">
        <f t="shared" si="28"/>
        <v>182454</v>
      </c>
      <c r="L833" s="816"/>
      <c r="M833" s="817">
        <v>1679</v>
      </c>
      <c r="N833" s="817">
        <v>0</v>
      </c>
      <c r="O833" s="816">
        <v>27900</v>
      </c>
      <c r="P833" s="818">
        <f t="shared" si="29"/>
        <v>29579</v>
      </c>
      <c r="Q833" s="816"/>
      <c r="R833" s="817">
        <v>90082</v>
      </c>
      <c r="S833" s="816">
        <v>-15810</v>
      </c>
      <c r="T833" s="819">
        <v>74272</v>
      </c>
    </row>
    <row r="834" spans="1:20" x14ac:dyDescent="0.25">
      <c r="A834" s="813">
        <v>99041</v>
      </c>
      <c r="B834" s="814" t="s">
        <v>4303</v>
      </c>
      <c r="C834" s="815">
        <v>6.6399999999999999E-4</v>
      </c>
      <c r="D834" s="815">
        <v>6.3500000000000004E-4</v>
      </c>
      <c r="E834" s="816">
        <v>1575235</v>
      </c>
      <c r="F834" s="816" t="s">
        <v>185</v>
      </c>
      <c r="G834" s="817">
        <v>243021</v>
      </c>
      <c r="H834" s="818">
        <v>216233</v>
      </c>
      <c r="I834" s="817">
        <v>418007</v>
      </c>
      <c r="J834" s="816">
        <v>24066</v>
      </c>
      <c r="K834" s="818">
        <f t="shared" si="28"/>
        <v>901327</v>
      </c>
      <c r="L834" s="816"/>
      <c r="M834" s="817">
        <v>8155</v>
      </c>
      <c r="N834" s="817">
        <v>0</v>
      </c>
      <c r="O834" s="816">
        <v>13122</v>
      </c>
      <c r="P834" s="818">
        <f t="shared" si="29"/>
        <v>21277</v>
      </c>
      <c r="Q834" s="816"/>
      <c r="R834" s="817">
        <v>437558</v>
      </c>
      <c r="S834" s="816">
        <v>25573</v>
      </c>
      <c r="T834" s="819">
        <v>463131</v>
      </c>
    </row>
    <row r="835" spans="1:20" x14ac:dyDescent="0.25">
      <c r="A835" s="813">
        <v>99047</v>
      </c>
      <c r="B835" s="814" t="s">
        <v>3349</v>
      </c>
      <c r="C835" s="815">
        <v>1.56E-5</v>
      </c>
      <c r="D835" s="815">
        <v>1.42E-5</v>
      </c>
      <c r="E835" s="816">
        <v>37009</v>
      </c>
      <c r="F835" s="816" t="s">
        <v>185</v>
      </c>
      <c r="G835" s="817">
        <v>5710</v>
      </c>
      <c r="H835" s="818">
        <v>5080</v>
      </c>
      <c r="I835" s="817">
        <v>9821</v>
      </c>
      <c r="J835" s="816">
        <v>6776</v>
      </c>
      <c r="K835" s="818">
        <f t="shared" si="28"/>
        <v>27387</v>
      </c>
      <c r="L835" s="816"/>
      <c r="M835" s="817">
        <v>192</v>
      </c>
      <c r="N835" s="817">
        <v>0</v>
      </c>
      <c r="O835" s="816">
        <v>0</v>
      </c>
      <c r="P835" s="818">
        <f t="shared" si="29"/>
        <v>192</v>
      </c>
      <c r="Q835" s="816"/>
      <c r="R835" s="817">
        <v>10280</v>
      </c>
      <c r="S835" s="816">
        <v>3015</v>
      </c>
      <c r="T835" s="819">
        <v>13295</v>
      </c>
    </row>
    <row r="836" spans="1:20" x14ac:dyDescent="0.25">
      <c r="A836" s="813">
        <v>99051</v>
      </c>
      <c r="B836" s="814" t="s">
        <v>4304</v>
      </c>
      <c r="C836" s="815">
        <v>3.5330000000000002E-4</v>
      </c>
      <c r="D836" s="815">
        <v>3.5359999999999998E-4</v>
      </c>
      <c r="E836" s="816">
        <v>838148</v>
      </c>
      <c r="F836" s="816" t="s">
        <v>185</v>
      </c>
      <c r="G836" s="817">
        <v>129306</v>
      </c>
      <c r="H836" s="818">
        <v>115053</v>
      </c>
      <c r="I836" s="817">
        <v>222412</v>
      </c>
      <c r="J836" s="816">
        <v>6035</v>
      </c>
      <c r="K836" s="818">
        <f t="shared" si="28"/>
        <v>472806</v>
      </c>
      <c r="L836" s="816"/>
      <c r="M836" s="817">
        <v>4339</v>
      </c>
      <c r="N836" s="817">
        <v>0</v>
      </c>
      <c r="O836" s="816">
        <v>13404</v>
      </c>
      <c r="P836" s="818">
        <f t="shared" si="29"/>
        <v>17743</v>
      </c>
      <c r="Q836" s="816"/>
      <c r="R836" s="817">
        <v>232815</v>
      </c>
      <c r="S836" s="816">
        <v>1887</v>
      </c>
      <c r="T836" s="819">
        <v>234702</v>
      </c>
    </row>
    <row r="837" spans="1:20" x14ac:dyDescent="0.25">
      <c r="A837" s="813">
        <v>99061</v>
      </c>
      <c r="B837" s="814" t="s">
        <v>4305</v>
      </c>
      <c r="C837" s="815">
        <v>7.5000000000000002E-6</v>
      </c>
      <c r="D837" s="815">
        <v>8.1000000000000004E-6</v>
      </c>
      <c r="E837" s="816">
        <v>17793</v>
      </c>
      <c r="F837" s="816" t="s">
        <v>185</v>
      </c>
      <c r="G837" s="817">
        <v>2745</v>
      </c>
      <c r="H837" s="818">
        <v>2443</v>
      </c>
      <c r="I837" s="817">
        <v>4721</v>
      </c>
      <c r="J837" s="816">
        <v>7969</v>
      </c>
      <c r="K837" s="818">
        <f t="shared" si="28"/>
        <v>17878</v>
      </c>
      <c r="L837" s="816"/>
      <c r="M837" s="817">
        <v>92</v>
      </c>
      <c r="N837" s="817">
        <v>0</v>
      </c>
      <c r="O837" s="816">
        <v>0</v>
      </c>
      <c r="P837" s="818">
        <f t="shared" si="29"/>
        <v>92</v>
      </c>
      <c r="Q837" s="816"/>
      <c r="R837" s="817">
        <v>4942</v>
      </c>
      <c r="S837" s="816">
        <v>3513</v>
      </c>
      <c r="T837" s="819">
        <v>8455</v>
      </c>
    </row>
    <row r="838" spans="1:20" x14ac:dyDescent="0.25">
      <c r="A838" s="813">
        <v>99071</v>
      </c>
      <c r="B838" s="814" t="s">
        <v>4306</v>
      </c>
      <c r="C838" s="815">
        <v>2.2799999999999999E-5</v>
      </c>
      <c r="D838" s="815">
        <v>3.04E-5</v>
      </c>
      <c r="E838" s="816">
        <v>54089</v>
      </c>
      <c r="F838" s="816" t="s">
        <v>185</v>
      </c>
      <c r="G838" s="817">
        <v>8345</v>
      </c>
      <c r="H838" s="818">
        <v>7425</v>
      </c>
      <c r="I838" s="817">
        <v>14353</v>
      </c>
      <c r="J838" s="816">
        <v>614</v>
      </c>
      <c r="K838" s="818">
        <f t="shared" si="28"/>
        <v>30737</v>
      </c>
      <c r="L838" s="816"/>
      <c r="M838" s="817">
        <v>280</v>
      </c>
      <c r="N838" s="817">
        <v>0</v>
      </c>
      <c r="O838" s="816">
        <v>4179</v>
      </c>
      <c r="P838" s="818">
        <f t="shared" si="29"/>
        <v>4459</v>
      </c>
      <c r="Q838" s="816"/>
      <c r="R838" s="817">
        <v>15025</v>
      </c>
      <c r="S838" s="816">
        <v>-1950</v>
      </c>
      <c r="T838" s="819">
        <v>13075</v>
      </c>
    </row>
    <row r="839" spans="1:20" x14ac:dyDescent="0.25">
      <c r="A839" s="813">
        <v>99081</v>
      </c>
      <c r="B839" s="814" t="s">
        <v>4307</v>
      </c>
      <c r="C839" s="815">
        <v>1.4600000000000001E-5</v>
      </c>
      <c r="D839" s="815">
        <v>1.1E-5</v>
      </c>
      <c r="E839" s="816">
        <v>34636</v>
      </c>
      <c r="F839" s="816" t="s">
        <v>185</v>
      </c>
      <c r="G839" s="817">
        <v>5344</v>
      </c>
      <c r="H839" s="818">
        <v>4755</v>
      </c>
      <c r="I839" s="817">
        <v>9191</v>
      </c>
      <c r="J839" s="816">
        <v>5866</v>
      </c>
      <c r="K839" s="818">
        <f t="shared" si="28"/>
        <v>25156</v>
      </c>
      <c r="L839" s="816"/>
      <c r="M839" s="817">
        <v>179</v>
      </c>
      <c r="N839" s="817">
        <v>0</v>
      </c>
      <c r="O839" s="816">
        <v>8362</v>
      </c>
      <c r="P839" s="818">
        <f t="shared" si="29"/>
        <v>8541</v>
      </c>
      <c r="Q839" s="816"/>
      <c r="R839" s="817">
        <v>9621</v>
      </c>
      <c r="S839" s="816">
        <v>-1818</v>
      </c>
      <c r="T839" s="819">
        <v>7803</v>
      </c>
    </row>
    <row r="840" spans="1:20" x14ac:dyDescent="0.25">
      <c r="A840" s="813">
        <v>99091</v>
      </c>
      <c r="B840" s="814" t="s">
        <v>4308</v>
      </c>
      <c r="C840" s="815">
        <v>3.4999999999999999E-6</v>
      </c>
      <c r="D840" s="815">
        <v>3.9999999999999998E-6</v>
      </c>
      <c r="E840" s="816">
        <v>8303</v>
      </c>
      <c r="F840" s="816" t="s">
        <v>185</v>
      </c>
      <c r="G840" s="817">
        <v>1281</v>
      </c>
      <c r="H840" s="818">
        <v>1140</v>
      </c>
      <c r="I840" s="817">
        <v>2203</v>
      </c>
      <c r="J840" s="816">
        <v>5036</v>
      </c>
      <c r="K840" s="818">
        <f t="shared" si="28"/>
        <v>9660</v>
      </c>
      <c r="L840" s="816"/>
      <c r="M840" s="817">
        <v>43</v>
      </c>
      <c r="N840" s="817">
        <v>0</v>
      </c>
      <c r="O840" s="816">
        <v>0</v>
      </c>
      <c r="P840" s="818">
        <f t="shared" si="29"/>
        <v>43</v>
      </c>
      <c r="Q840" s="816"/>
      <c r="R840" s="817">
        <v>2306</v>
      </c>
      <c r="S840" s="816">
        <v>-1327</v>
      </c>
      <c r="T840" s="819">
        <v>979</v>
      </c>
    </row>
    <row r="841" spans="1:20" x14ac:dyDescent="0.25">
      <c r="A841" s="813">
        <v>99101</v>
      </c>
      <c r="B841" s="814" t="s">
        <v>3355</v>
      </c>
      <c r="C841" s="815">
        <v>2.1986000000000002E-3</v>
      </c>
      <c r="D841" s="815">
        <v>2.1724000000000001E-3</v>
      </c>
      <c r="E841" s="816">
        <v>5215831</v>
      </c>
      <c r="F841" s="816" t="s">
        <v>185</v>
      </c>
      <c r="G841" s="817">
        <v>804679</v>
      </c>
      <c r="H841" s="818">
        <v>715979</v>
      </c>
      <c r="I841" s="817">
        <v>1384080</v>
      </c>
      <c r="J841" s="816">
        <v>34730</v>
      </c>
      <c r="K841" s="818">
        <f t="shared" si="28"/>
        <v>2939468</v>
      </c>
      <c r="L841" s="816"/>
      <c r="M841" s="817">
        <v>27001</v>
      </c>
      <c r="N841" s="817">
        <v>0</v>
      </c>
      <c r="O841" s="816">
        <v>54085</v>
      </c>
      <c r="P841" s="818">
        <f t="shared" si="29"/>
        <v>81086</v>
      </c>
      <c r="Q841" s="816"/>
      <c r="R841" s="817">
        <v>1448818</v>
      </c>
      <c r="S841" s="816">
        <v>-23157</v>
      </c>
      <c r="T841" s="819">
        <v>1425661</v>
      </c>
    </row>
    <row r="842" spans="1:20" x14ac:dyDescent="0.25">
      <c r="A842" s="813">
        <v>99104</v>
      </c>
      <c r="B842" s="814" t="s">
        <v>3356</v>
      </c>
      <c r="C842" s="815">
        <v>3.4E-5</v>
      </c>
      <c r="D842" s="815">
        <v>3.3500000000000001E-5</v>
      </c>
      <c r="E842" s="816">
        <v>80660</v>
      </c>
      <c r="F842" s="816" t="s">
        <v>185</v>
      </c>
      <c r="G842" s="817">
        <v>12444</v>
      </c>
      <c r="H842" s="818">
        <v>11072</v>
      </c>
      <c r="I842" s="817">
        <v>21404</v>
      </c>
      <c r="J842" s="816">
        <v>16545</v>
      </c>
      <c r="K842" s="818">
        <f t="shared" si="28"/>
        <v>61465</v>
      </c>
      <c r="L842" s="816"/>
      <c r="M842" s="817">
        <v>418</v>
      </c>
      <c r="N842" s="817">
        <v>0</v>
      </c>
      <c r="O842" s="816">
        <v>0</v>
      </c>
      <c r="P842" s="818">
        <f t="shared" si="29"/>
        <v>418</v>
      </c>
      <c r="Q842" s="816"/>
      <c r="R842" s="817">
        <v>22405</v>
      </c>
      <c r="S842" s="816">
        <v>8025</v>
      </c>
      <c r="T842" s="819">
        <v>30430</v>
      </c>
    </row>
    <row r="843" spans="1:20" x14ac:dyDescent="0.25">
      <c r="A843" s="813">
        <v>99109</v>
      </c>
      <c r="B843" s="814" t="s">
        <v>3357</v>
      </c>
      <c r="C843" s="815">
        <v>1.194E-4</v>
      </c>
      <c r="D843" s="815">
        <v>1.2339999999999999E-4</v>
      </c>
      <c r="E843" s="816">
        <v>283258</v>
      </c>
      <c r="F843" s="816" t="s">
        <v>185</v>
      </c>
      <c r="G843" s="817">
        <v>43700</v>
      </c>
      <c r="H843" s="818">
        <v>38883</v>
      </c>
      <c r="I843" s="817">
        <v>75166</v>
      </c>
      <c r="J843" s="816">
        <v>3815</v>
      </c>
      <c r="K843" s="818">
        <f t="shared" si="28"/>
        <v>161564</v>
      </c>
      <c r="L843" s="816"/>
      <c r="M843" s="817">
        <v>1466</v>
      </c>
      <c r="N843" s="817">
        <v>0</v>
      </c>
      <c r="O843" s="816">
        <v>8952</v>
      </c>
      <c r="P843" s="818">
        <f t="shared" si="29"/>
        <v>10418</v>
      </c>
      <c r="Q843" s="816"/>
      <c r="R843" s="817">
        <v>78681</v>
      </c>
      <c r="S843" s="816">
        <v>-6025</v>
      </c>
      <c r="T843" s="819">
        <v>72656</v>
      </c>
    </row>
    <row r="844" spans="1:20" x14ac:dyDescent="0.25">
      <c r="A844" s="813">
        <v>99110</v>
      </c>
      <c r="B844" s="814" t="s">
        <v>3358</v>
      </c>
      <c r="C844" s="815">
        <v>1.75E-4</v>
      </c>
      <c r="D844" s="815">
        <v>1.7670000000000001E-4</v>
      </c>
      <c r="E844" s="816">
        <v>415160</v>
      </c>
      <c r="F844" s="816" t="s">
        <v>185</v>
      </c>
      <c r="G844" s="817">
        <v>64049</v>
      </c>
      <c r="H844" s="818">
        <v>56989</v>
      </c>
      <c r="I844" s="817">
        <v>110167</v>
      </c>
      <c r="J844" s="816">
        <v>70943</v>
      </c>
      <c r="K844" s="818">
        <f t="shared" si="28"/>
        <v>302148</v>
      </c>
      <c r="L844" s="816"/>
      <c r="M844" s="817">
        <v>2149</v>
      </c>
      <c r="N844" s="817">
        <v>0</v>
      </c>
      <c r="O844" s="816">
        <v>0</v>
      </c>
      <c r="P844" s="818">
        <f t="shared" si="29"/>
        <v>2149</v>
      </c>
      <c r="Q844" s="816"/>
      <c r="R844" s="817">
        <v>115320</v>
      </c>
      <c r="S844" s="816">
        <v>34935</v>
      </c>
      <c r="T844" s="819">
        <v>150255</v>
      </c>
    </row>
    <row r="845" spans="1:20" x14ac:dyDescent="0.25">
      <c r="A845" s="813">
        <v>99111</v>
      </c>
      <c r="B845" s="814" t="s">
        <v>3359</v>
      </c>
      <c r="C845" s="815">
        <v>1.3067E-3</v>
      </c>
      <c r="D845" s="815">
        <v>1.2618E-3</v>
      </c>
      <c r="E845" s="816">
        <v>3099939</v>
      </c>
      <c r="F845" s="816" t="s">
        <v>185</v>
      </c>
      <c r="G845" s="817">
        <v>478247</v>
      </c>
      <c r="H845" s="818">
        <v>425529</v>
      </c>
      <c r="I845" s="817">
        <v>822604</v>
      </c>
      <c r="J845" s="816">
        <v>0</v>
      </c>
      <c r="K845" s="818">
        <f t="shared" si="28"/>
        <v>1726380</v>
      </c>
      <c r="L845" s="816"/>
      <c r="M845" s="817">
        <v>16048</v>
      </c>
      <c r="N845" s="817">
        <v>0</v>
      </c>
      <c r="O845" s="816">
        <v>85364</v>
      </c>
      <c r="P845" s="818">
        <f t="shared" si="29"/>
        <v>101412</v>
      </c>
      <c r="Q845" s="816"/>
      <c r="R845" s="817">
        <v>861080</v>
      </c>
      <c r="S845" s="816">
        <v>-70799</v>
      </c>
      <c r="T845" s="819">
        <v>790281</v>
      </c>
    </row>
    <row r="846" spans="1:20" x14ac:dyDescent="0.25">
      <c r="A846" s="813">
        <v>99201</v>
      </c>
      <c r="B846" s="814" t="s">
        <v>3360</v>
      </c>
      <c r="C846" s="815">
        <v>3.4217999999999998E-2</v>
      </c>
      <c r="D846" s="815">
        <v>3.3297199999999999E-2</v>
      </c>
      <c r="E846" s="816">
        <v>81176799</v>
      </c>
      <c r="F846" s="816" t="s">
        <v>185</v>
      </c>
      <c r="G846" s="817">
        <v>12523651</v>
      </c>
      <c r="H846" s="818">
        <v>11143160</v>
      </c>
      <c r="I846" s="817">
        <v>21541189</v>
      </c>
      <c r="J846" s="816">
        <v>1400637</v>
      </c>
      <c r="K846" s="818">
        <f t="shared" si="28"/>
        <v>46608637</v>
      </c>
      <c r="L846" s="816"/>
      <c r="M846" s="817">
        <v>420231</v>
      </c>
      <c r="N846" s="817">
        <v>0</v>
      </c>
      <c r="O846" s="816">
        <v>0</v>
      </c>
      <c r="P846" s="818">
        <f t="shared" si="29"/>
        <v>420231</v>
      </c>
      <c r="Q846" s="816"/>
      <c r="R846" s="817">
        <v>22548738</v>
      </c>
      <c r="S846" s="816">
        <v>386921</v>
      </c>
      <c r="T846" s="819">
        <v>22935659</v>
      </c>
    </row>
    <row r="847" spans="1:20" x14ac:dyDescent="0.25">
      <c r="A847" s="813">
        <v>99202</v>
      </c>
      <c r="B847" s="814" t="s">
        <v>4309</v>
      </c>
      <c r="C847" s="815">
        <v>2.7011000000000001E-3</v>
      </c>
      <c r="D847" s="815">
        <v>2.5855000000000001E-3</v>
      </c>
      <c r="E847" s="816">
        <v>6407933</v>
      </c>
      <c r="F847" s="816" t="s">
        <v>185</v>
      </c>
      <c r="G847" s="817">
        <v>988592</v>
      </c>
      <c r="H847" s="818">
        <v>879618</v>
      </c>
      <c r="I847" s="817">
        <v>1700418</v>
      </c>
      <c r="J847" s="816">
        <v>0</v>
      </c>
      <c r="K847" s="818">
        <f t="shared" si="28"/>
        <v>3568628</v>
      </c>
      <c r="L847" s="816"/>
      <c r="M847" s="817">
        <v>33172</v>
      </c>
      <c r="N847" s="817">
        <v>0</v>
      </c>
      <c r="O847" s="816">
        <v>120022</v>
      </c>
      <c r="P847" s="818">
        <f t="shared" si="29"/>
        <v>153194</v>
      </c>
      <c r="Q847" s="816"/>
      <c r="R847" s="817">
        <v>1779952</v>
      </c>
      <c r="S847" s="816">
        <v>-75166</v>
      </c>
      <c r="T847" s="819">
        <v>1704786</v>
      </c>
    </row>
    <row r="848" spans="1:20" x14ac:dyDescent="0.25">
      <c r="A848" s="813">
        <v>99203</v>
      </c>
      <c r="B848" s="814" t="s">
        <v>4310</v>
      </c>
      <c r="C848" s="815">
        <v>2.9760000000000002E-4</v>
      </c>
      <c r="D848" s="815">
        <v>3.0410000000000002E-4</v>
      </c>
      <c r="E848" s="816">
        <v>706009</v>
      </c>
      <c r="F848" s="816" t="s">
        <v>185</v>
      </c>
      <c r="G848" s="817">
        <v>108920</v>
      </c>
      <c r="H848" s="818">
        <v>96914</v>
      </c>
      <c r="I848" s="817">
        <v>187348</v>
      </c>
      <c r="J848" s="816">
        <v>8157</v>
      </c>
      <c r="K848" s="818">
        <f t="shared" si="28"/>
        <v>401339</v>
      </c>
      <c r="L848" s="816"/>
      <c r="M848" s="817">
        <v>3655</v>
      </c>
      <c r="N848" s="817">
        <v>0</v>
      </c>
      <c r="O848" s="816">
        <v>26201</v>
      </c>
      <c r="P848" s="818">
        <f t="shared" si="29"/>
        <v>29856</v>
      </c>
      <c r="Q848" s="816"/>
      <c r="R848" s="817">
        <v>196110</v>
      </c>
      <c r="S848" s="816">
        <v>8430</v>
      </c>
      <c r="T848" s="819">
        <v>204540</v>
      </c>
    </row>
    <row r="849" spans="1:20" x14ac:dyDescent="0.25">
      <c r="A849" s="813">
        <v>99204</v>
      </c>
      <c r="B849" s="814" t="s">
        <v>3363</v>
      </c>
      <c r="C849" s="815">
        <v>9.2520000000000005E-4</v>
      </c>
      <c r="D849" s="815">
        <v>8.3549999999999998E-4</v>
      </c>
      <c r="E849" s="816">
        <v>2194891</v>
      </c>
      <c r="F849" s="816" t="s">
        <v>185</v>
      </c>
      <c r="G849" s="817">
        <v>338619</v>
      </c>
      <c r="H849" s="818">
        <v>301293</v>
      </c>
      <c r="I849" s="817">
        <v>582439</v>
      </c>
      <c r="J849" s="816">
        <v>126160</v>
      </c>
      <c r="K849" s="818">
        <f t="shared" si="28"/>
        <v>1348511</v>
      </c>
      <c r="L849" s="816"/>
      <c r="M849" s="817">
        <v>11362</v>
      </c>
      <c r="N849" s="817">
        <v>0</v>
      </c>
      <c r="O849" s="816">
        <v>0</v>
      </c>
      <c r="P849" s="818">
        <f t="shared" si="29"/>
        <v>11362</v>
      </c>
      <c r="Q849" s="816"/>
      <c r="R849" s="817">
        <v>609682</v>
      </c>
      <c r="S849" s="816">
        <v>51409</v>
      </c>
      <c r="T849" s="819">
        <v>661091</v>
      </c>
    </row>
    <row r="850" spans="1:20" x14ac:dyDescent="0.25">
      <c r="A850" s="813">
        <v>99206</v>
      </c>
      <c r="B850" s="814" t="s">
        <v>4311</v>
      </c>
      <c r="C850" s="815">
        <v>1.7377E-3</v>
      </c>
      <c r="D850" s="815">
        <v>1.6957999999999999E-3</v>
      </c>
      <c r="E850" s="816">
        <v>4122419</v>
      </c>
      <c r="F850" s="816" t="s">
        <v>185</v>
      </c>
      <c r="G850" s="817">
        <v>635991</v>
      </c>
      <c r="H850" s="818">
        <v>565885</v>
      </c>
      <c r="I850" s="817">
        <v>1093931</v>
      </c>
      <c r="J850" s="816">
        <v>840347</v>
      </c>
      <c r="K850" s="818">
        <f t="shared" si="28"/>
        <v>3136154</v>
      </c>
      <c r="L850" s="816"/>
      <c r="M850" s="817">
        <v>21341</v>
      </c>
      <c r="N850" s="817">
        <v>0</v>
      </c>
      <c r="O850" s="816">
        <v>0</v>
      </c>
      <c r="P850" s="818">
        <f t="shared" si="29"/>
        <v>21341</v>
      </c>
      <c r="Q850" s="816"/>
      <c r="R850" s="817">
        <v>1145097</v>
      </c>
      <c r="S850" s="816">
        <v>312871</v>
      </c>
      <c r="T850" s="819">
        <v>1457968</v>
      </c>
    </row>
    <row r="851" spans="1:20" x14ac:dyDescent="0.25">
      <c r="A851" s="813">
        <v>99207</v>
      </c>
      <c r="B851" s="814" t="s">
        <v>3562</v>
      </c>
      <c r="C851" s="815">
        <v>1.3990000000000001E-4</v>
      </c>
      <c r="D851" s="815">
        <v>1.3329999999999999E-4</v>
      </c>
      <c r="E851" s="816">
        <v>331891</v>
      </c>
      <c r="F851" s="816" t="s">
        <v>185</v>
      </c>
      <c r="G851" s="817">
        <v>51203</v>
      </c>
      <c r="H851" s="818">
        <v>45559</v>
      </c>
      <c r="I851" s="817">
        <v>88071</v>
      </c>
      <c r="J851" s="816">
        <v>190835</v>
      </c>
      <c r="K851" s="818">
        <f t="shared" si="28"/>
        <v>375668</v>
      </c>
      <c r="L851" s="816"/>
      <c r="M851" s="817">
        <v>1718</v>
      </c>
      <c r="N851" s="817">
        <v>0</v>
      </c>
      <c r="O851" s="816">
        <v>0</v>
      </c>
      <c r="P851" s="818">
        <f t="shared" si="29"/>
        <v>1718</v>
      </c>
      <c r="Q851" s="816"/>
      <c r="R851" s="817">
        <v>92190</v>
      </c>
      <c r="S851" s="816">
        <v>69872</v>
      </c>
      <c r="T851" s="819">
        <v>162062</v>
      </c>
    </row>
    <row r="852" spans="1:20" x14ac:dyDescent="0.25">
      <c r="A852" s="813">
        <v>99208</v>
      </c>
      <c r="B852" s="814" t="s">
        <v>3366</v>
      </c>
      <c r="C852" s="815">
        <v>2.3560000000000001E-4</v>
      </c>
      <c r="D852" s="815">
        <v>1.4569999999999999E-4</v>
      </c>
      <c r="E852" s="816">
        <v>558924</v>
      </c>
      <c r="F852" s="816" t="s">
        <v>185</v>
      </c>
      <c r="G852" s="817">
        <v>86229</v>
      </c>
      <c r="H852" s="818">
        <v>76723</v>
      </c>
      <c r="I852" s="817">
        <v>148317</v>
      </c>
      <c r="J852" s="816">
        <v>50056</v>
      </c>
      <c r="K852" s="818">
        <f t="shared" si="28"/>
        <v>361325</v>
      </c>
      <c r="L852" s="816"/>
      <c r="M852" s="817">
        <v>2893</v>
      </c>
      <c r="N852" s="817">
        <v>0</v>
      </c>
      <c r="O852" s="816">
        <v>18070</v>
      </c>
      <c r="P852" s="818">
        <f t="shared" si="29"/>
        <v>20963</v>
      </c>
      <c r="Q852" s="816"/>
      <c r="R852" s="817">
        <v>155254</v>
      </c>
      <c r="S852" s="816">
        <v>-7938</v>
      </c>
      <c r="T852" s="819">
        <v>147316</v>
      </c>
    </row>
    <row r="853" spans="1:20" x14ac:dyDescent="0.25">
      <c r="A853" s="813">
        <v>99210</v>
      </c>
      <c r="B853" s="814" t="s">
        <v>3367</v>
      </c>
      <c r="C853" s="815">
        <v>1.6613000000000001E-3</v>
      </c>
      <c r="D853" s="815">
        <v>1.5943999999999999E-3</v>
      </c>
      <c r="E853" s="816">
        <v>3941172</v>
      </c>
      <c r="F853" s="816" t="s">
        <v>185</v>
      </c>
      <c r="G853" s="817">
        <v>608029</v>
      </c>
      <c r="H853" s="818">
        <v>541006</v>
      </c>
      <c r="I853" s="817">
        <v>1045835</v>
      </c>
      <c r="J853" s="816">
        <v>151956</v>
      </c>
      <c r="K853" s="818">
        <f t="shared" si="28"/>
        <v>2346826</v>
      </c>
      <c r="L853" s="816"/>
      <c r="M853" s="817">
        <v>20402</v>
      </c>
      <c r="N853" s="817">
        <v>0</v>
      </c>
      <c r="O853" s="816">
        <v>0</v>
      </c>
      <c r="P853" s="818">
        <f t="shared" si="29"/>
        <v>20402</v>
      </c>
      <c r="Q853" s="816"/>
      <c r="R853" s="817">
        <v>1094752</v>
      </c>
      <c r="S853" s="816">
        <v>62014</v>
      </c>
      <c r="T853" s="819">
        <v>1156766</v>
      </c>
    </row>
    <row r="854" spans="1:20" x14ac:dyDescent="0.25">
      <c r="A854" s="813">
        <v>99211</v>
      </c>
      <c r="B854" s="814" t="s">
        <v>3368</v>
      </c>
      <c r="C854" s="815">
        <v>3.8652899999999997E-2</v>
      </c>
      <c r="D854" s="815">
        <v>3.7100599999999997E-2</v>
      </c>
      <c r="E854" s="816">
        <v>91697898</v>
      </c>
      <c r="F854" s="816" t="s">
        <v>185</v>
      </c>
      <c r="G854" s="817">
        <v>14146807</v>
      </c>
      <c r="H854" s="818">
        <v>12587395</v>
      </c>
      <c r="I854" s="817">
        <v>24333083</v>
      </c>
      <c r="J854" s="816">
        <v>650029</v>
      </c>
      <c r="K854" s="818">
        <f t="shared" si="28"/>
        <v>51717314</v>
      </c>
      <c r="L854" s="816"/>
      <c r="M854" s="817">
        <v>474696</v>
      </c>
      <c r="N854" s="817">
        <v>0</v>
      </c>
      <c r="O854" s="816">
        <v>1116278</v>
      </c>
      <c r="P854" s="818">
        <f t="shared" si="29"/>
        <v>1590974</v>
      </c>
      <c r="Q854" s="816"/>
      <c r="R854" s="817">
        <v>25471217</v>
      </c>
      <c r="S854" s="816">
        <v>-560159</v>
      </c>
      <c r="T854" s="819">
        <v>24911058</v>
      </c>
    </row>
    <row r="855" spans="1:20" x14ac:dyDescent="0.25">
      <c r="A855" s="813">
        <v>99212</v>
      </c>
      <c r="B855" s="814" t="s">
        <v>3369</v>
      </c>
      <c r="C855" s="815">
        <v>7.2200000000000007E-5</v>
      </c>
      <c r="D855" s="815">
        <v>8.14E-5</v>
      </c>
      <c r="E855" s="816">
        <v>171283</v>
      </c>
      <c r="F855" s="816" t="s">
        <v>185</v>
      </c>
      <c r="G855" s="817">
        <v>26425</v>
      </c>
      <c r="H855" s="818">
        <v>23512</v>
      </c>
      <c r="I855" s="817">
        <v>45452</v>
      </c>
      <c r="J855" s="816">
        <v>181</v>
      </c>
      <c r="K855" s="818">
        <f t="shared" ref="K855:K918" si="32">G855+H855+I855+J855</f>
        <v>95570</v>
      </c>
      <c r="L855" s="816"/>
      <c r="M855" s="817">
        <v>887</v>
      </c>
      <c r="N855" s="817">
        <v>0</v>
      </c>
      <c r="O855" s="816">
        <v>27961</v>
      </c>
      <c r="P855" s="818">
        <f t="shared" ref="P855:P918" si="33">M855+N855+O855</f>
        <v>28848</v>
      </c>
      <c r="Q855" s="816"/>
      <c r="R855" s="817">
        <v>47578</v>
      </c>
      <c r="S855" s="816">
        <v>-17534</v>
      </c>
      <c r="T855" s="819">
        <v>30044</v>
      </c>
    </row>
    <row r="856" spans="1:20" x14ac:dyDescent="0.25">
      <c r="A856" s="813">
        <v>99213</v>
      </c>
      <c r="B856" s="814" t="s">
        <v>3370</v>
      </c>
      <c r="C856" s="815">
        <v>7.6519999999999995E-4</v>
      </c>
      <c r="D856" s="815">
        <v>7.5159999999999995E-4</v>
      </c>
      <c r="E856" s="816">
        <v>1815316</v>
      </c>
      <c r="F856" s="816" t="s">
        <v>185</v>
      </c>
      <c r="G856" s="817">
        <v>280060</v>
      </c>
      <c r="H856" s="818">
        <v>249189</v>
      </c>
      <c r="I856" s="817">
        <v>481715</v>
      </c>
      <c r="J856" s="816">
        <v>17354</v>
      </c>
      <c r="K856" s="818">
        <f t="shared" si="32"/>
        <v>1028318</v>
      </c>
      <c r="L856" s="816"/>
      <c r="M856" s="817">
        <v>9397</v>
      </c>
      <c r="N856" s="817">
        <v>0</v>
      </c>
      <c r="O856" s="816">
        <v>31841</v>
      </c>
      <c r="P856" s="818">
        <f t="shared" si="33"/>
        <v>41238</v>
      </c>
      <c r="Q856" s="816"/>
      <c r="R856" s="817">
        <v>504246</v>
      </c>
      <c r="S856" s="816">
        <v>-6642</v>
      </c>
      <c r="T856" s="819">
        <v>497604</v>
      </c>
    </row>
    <row r="857" spans="1:20" x14ac:dyDescent="0.25">
      <c r="A857" s="813">
        <v>99218</v>
      </c>
      <c r="B857" s="814" t="s">
        <v>3371</v>
      </c>
      <c r="C857" s="815">
        <v>3.3276999999999998E-3</v>
      </c>
      <c r="D857" s="815">
        <v>3.1162E-3</v>
      </c>
      <c r="E857" s="816">
        <v>7894442</v>
      </c>
      <c r="F857" s="816" t="s">
        <v>185</v>
      </c>
      <c r="G857" s="817">
        <v>1217925</v>
      </c>
      <c r="H857" s="818">
        <v>1083672</v>
      </c>
      <c r="I857" s="817">
        <v>2094880</v>
      </c>
      <c r="J857" s="816">
        <v>301160</v>
      </c>
      <c r="K857" s="818">
        <f t="shared" si="32"/>
        <v>4697637</v>
      </c>
      <c r="L857" s="816"/>
      <c r="M857" s="817">
        <v>40867</v>
      </c>
      <c r="N857" s="817">
        <v>0</v>
      </c>
      <c r="O857" s="816">
        <v>0</v>
      </c>
      <c r="P857" s="818">
        <f t="shared" si="33"/>
        <v>40867</v>
      </c>
      <c r="Q857" s="816"/>
      <c r="R857" s="817">
        <v>2192864</v>
      </c>
      <c r="S857" s="816">
        <v>113866</v>
      </c>
      <c r="T857" s="819">
        <v>2306730</v>
      </c>
    </row>
    <row r="858" spans="1:20" x14ac:dyDescent="0.25">
      <c r="A858" s="813">
        <v>99221</v>
      </c>
      <c r="B858" s="814" t="s">
        <v>4312</v>
      </c>
      <c r="C858" s="815">
        <v>1.26885E-2</v>
      </c>
      <c r="D858" s="815">
        <v>1.27709E-2</v>
      </c>
      <c r="E858" s="816">
        <v>30101461</v>
      </c>
      <c r="F858" s="816" t="s">
        <v>185</v>
      </c>
      <c r="G858" s="817">
        <v>4643940</v>
      </c>
      <c r="H858" s="818">
        <v>4132035</v>
      </c>
      <c r="I858" s="817">
        <v>7987766</v>
      </c>
      <c r="J858" s="816">
        <v>0</v>
      </c>
      <c r="K858" s="818">
        <f t="shared" si="32"/>
        <v>16763741</v>
      </c>
      <c r="L858" s="816"/>
      <c r="M858" s="817">
        <v>155827</v>
      </c>
      <c r="N858" s="817">
        <v>0</v>
      </c>
      <c r="O858" s="816">
        <v>578576</v>
      </c>
      <c r="P858" s="818">
        <f t="shared" si="33"/>
        <v>734403</v>
      </c>
      <c r="Q858" s="816"/>
      <c r="R858" s="817">
        <v>8361379</v>
      </c>
      <c r="S858" s="816">
        <v>-311894</v>
      </c>
      <c r="T858" s="819">
        <v>8049485</v>
      </c>
    </row>
    <row r="859" spans="1:20" x14ac:dyDescent="0.25">
      <c r="A859" s="813">
        <v>99222</v>
      </c>
      <c r="B859" s="814" t="s">
        <v>3373</v>
      </c>
      <c r="C859" s="815">
        <v>3.7200000000000003E-5</v>
      </c>
      <c r="D859" s="815">
        <v>3.9100000000000002E-5</v>
      </c>
      <c r="E859" s="816">
        <v>88251</v>
      </c>
      <c r="F859" s="816" t="s">
        <v>185</v>
      </c>
      <c r="G859" s="817">
        <v>13615</v>
      </c>
      <c r="H859" s="818">
        <v>12114</v>
      </c>
      <c r="I859" s="817">
        <v>23418</v>
      </c>
      <c r="J859" s="816">
        <v>1038</v>
      </c>
      <c r="K859" s="818">
        <f t="shared" si="32"/>
        <v>50185</v>
      </c>
      <c r="L859" s="816"/>
      <c r="M859" s="817">
        <v>457</v>
      </c>
      <c r="N859" s="817">
        <v>0</v>
      </c>
      <c r="O859" s="816">
        <v>5264</v>
      </c>
      <c r="P859" s="818">
        <f t="shared" si="33"/>
        <v>5721</v>
      </c>
      <c r="Q859" s="816"/>
      <c r="R859" s="817">
        <v>24514</v>
      </c>
      <c r="S859" s="816">
        <v>-385</v>
      </c>
      <c r="T859" s="819">
        <v>24129</v>
      </c>
    </row>
    <row r="860" spans="1:20" x14ac:dyDescent="0.25">
      <c r="A860" s="813">
        <v>99231</v>
      </c>
      <c r="B860" s="814" t="s">
        <v>4313</v>
      </c>
      <c r="C860" s="815">
        <v>3.6329999999999999E-4</v>
      </c>
      <c r="D860" s="815">
        <v>3.7179999999999998E-4</v>
      </c>
      <c r="E860" s="816">
        <v>861872</v>
      </c>
      <c r="F860" s="816" t="s">
        <v>185</v>
      </c>
      <c r="G860" s="817">
        <v>132966</v>
      </c>
      <c r="H860" s="818">
        <v>118310</v>
      </c>
      <c r="I860" s="817">
        <v>228708</v>
      </c>
      <c r="J860" s="816">
        <v>0</v>
      </c>
      <c r="K860" s="818">
        <f t="shared" si="32"/>
        <v>479984</v>
      </c>
      <c r="L860" s="816"/>
      <c r="M860" s="817">
        <v>4462</v>
      </c>
      <c r="N860" s="817">
        <v>0</v>
      </c>
      <c r="O860" s="816">
        <v>28617</v>
      </c>
      <c r="P860" s="818">
        <f t="shared" si="33"/>
        <v>33079</v>
      </c>
      <c r="Q860" s="816"/>
      <c r="R860" s="817">
        <v>239405</v>
      </c>
      <c r="S860" s="816">
        <v>-17866</v>
      </c>
      <c r="T860" s="819">
        <v>221539</v>
      </c>
    </row>
    <row r="861" spans="1:20" x14ac:dyDescent="0.25">
      <c r="A861" s="813">
        <v>99241</v>
      </c>
      <c r="B861" s="814" t="s">
        <v>4314</v>
      </c>
      <c r="C861" s="815">
        <v>5.488E-4</v>
      </c>
      <c r="D861" s="815">
        <v>5.5329999999999995E-4</v>
      </c>
      <c r="E861" s="816">
        <v>1301941</v>
      </c>
      <c r="F861" s="816" t="s">
        <v>185</v>
      </c>
      <c r="G861" s="817">
        <v>200859</v>
      </c>
      <c r="H861" s="818">
        <v>178718</v>
      </c>
      <c r="I861" s="817">
        <v>345485</v>
      </c>
      <c r="J861" s="816">
        <v>0</v>
      </c>
      <c r="K861" s="818">
        <f t="shared" si="32"/>
        <v>725062</v>
      </c>
      <c r="L861" s="816"/>
      <c r="M861" s="817">
        <v>6740</v>
      </c>
      <c r="N861" s="817">
        <v>0</v>
      </c>
      <c r="O861" s="816">
        <v>64351</v>
      </c>
      <c r="P861" s="818">
        <f t="shared" si="33"/>
        <v>71091</v>
      </c>
      <c r="Q861" s="816"/>
      <c r="R861" s="817">
        <v>361644</v>
      </c>
      <c r="S861" s="816">
        <v>-55208</v>
      </c>
      <c r="T861" s="819">
        <v>306436</v>
      </c>
    </row>
    <row r="862" spans="1:20" x14ac:dyDescent="0.25">
      <c r="A862" s="813">
        <v>99251</v>
      </c>
      <c r="B862" s="814" t="s">
        <v>4315</v>
      </c>
      <c r="C862" s="815">
        <v>1.5935000000000001E-3</v>
      </c>
      <c r="D862" s="815">
        <v>1.6069000000000001E-3</v>
      </c>
      <c r="E862" s="816">
        <v>3780327</v>
      </c>
      <c r="F862" s="816" t="s">
        <v>185</v>
      </c>
      <c r="G862" s="817">
        <v>583215</v>
      </c>
      <c r="H862" s="818">
        <v>518926</v>
      </c>
      <c r="I862" s="817">
        <v>1003153</v>
      </c>
      <c r="J862" s="816">
        <v>1524</v>
      </c>
      <c r="K862" s="818">
        <f t="shared" si="32"/>
        <v>2106818</v>
      </c>
      <c r="L862" s="816"/>
      <c r="M862" s="817">
        <v>19570</v>
      </c>
      <c r="N862" s="817">
        <v>0</v>
      </c>
      <c r="O862" s="816">
        <v>33789</v>
      </c>
      <c r="P862" s="818">
        <f t="shared" si="33"/>
        <v>53359</v>
      </c>
      <c r="Q862" s="816"/>
      <c r="R862" s="817">
        <v>1050073</v>
      </c>
      <c r="S862" s="816">
        <v>-15782</v>
      </c>
      <c r="T862" s="819">
        <v>1034291</v>
      </c>
    </row>
    <row r="863" spans="1:20" x14ac:dyDescent="0.25">
      <c r="A863" s="813">
        <v>99252</v>
      </c>
      <c r="B863" s="814" t="s">
        <v>3377</v>
      </c>
      <c r="C863" s="815">
        <v>6.7239999999999997E-4</v>
      </c>
      <c r="D863" s="815">
        <v>6.1269999999999999E-4</v>
      </c>
      <c r="E863" s="816">
        <v>1595163</v>
      </c>
      <c r="F863" s="816" t="s">
        <v>185</v>
      </c>
      <c r="G863" s="817">
        <v>246096</v>
      </c>
      <c r="H863" s="818">
        <v>218968</v>
      </c>
      <c r="I863" s="817">
        <v>423295</v>
      </c>
      <c r="J863" s="816">
        <v>0</v>
      </c>
      <c r="K863" s="818">
        <f t="shared" si="32"/>
        <v>888359</v>
      </c>
      <c r="L863" s="816"/>
      <c r="M863" s="817">
        <v>8258</v>
      </c>
      <c r="N863" s="817">
        <v>0</v>
      </c>
      <c r="O863" s="816">
        <v>146683</v>
      </c>
      <c r="P863" s="818">
        <f t="shared" si="33"/>
        <v>154941</v>
      </c>
      <c r="Q863" s="816"/>
      <c r="R863" s="817">
        <v>443093</v>
      </c>
      <c r="S863" s="816">
        <v>-93460</v>
      </c>
      <c r="T863" s="819">
        <v>349633</v>
      </c>
    </row>
    <row r="864" spans="1:20" x14ac:dyDescent="0.25">
      <c r="A864" s="813">
        <v>99261</v>
      </c>
      <c r="B864" s="814" t="s">
        <v>4316</v>
      </c>
      <c r="C864" s="815">
        <v>2.0975999999999998E-3</v>
      </c>
      <c r="D864" s="815">
        <v>1.9938E-3</v>
      </c>
      <c r="E864" s="816">
        <v>4976225</v>
      </c>
      <c r="F864" s="816" t="s">
        <v>185</v>
      </c>
      <c r="G864" s="817">
        <v>767713</v>
      </c>
      <c r="H864" s="818">
        <v>683088</v>
      </c>
      <c r="I864" s="817">
        <v>1320498</v>
      </c>
      <c r="J864" s="816">
        <v>0</v>
      </c>
      <c r="K864" s="818">
        <f t="shared" si="32"/>
        <v>2771299</v>
      </c>
      <c r="L864" s="816"/>
      <c r="M864" s="817">
        <v>25761</v>
      </c>
      <c r="N864" s="817">
        <v>0</v>
      </c>
      <c r="O864" s="816">
        <v>102016</v>
      </c>
      <c r="P864" s="818">
        <f t="shared" si="33"/>
        <v>127777</v>
      </c>
      <c r="Q864" s="816"/>
      <c r="R864" s="817">
        <v>1382262</v>
      </c>
      <c r="S864" s="816">
        <v>-74815</v>
      </c>
      <c r="T864" s="819">
        <v>1307447</v>
      </c>
    </row>
    <row r="865" spans="1:20" x14ac:dyDescent="0.25">
      <c r="A865" s="813">
        <v>99271</v>
      </c>
      <c r="B865" s="814" t="s">
        <v>4317</v>
      </c>
      <c r="C865" s="815">
        <v>4.2411999999999997E-3</v>
      </c>
      <c r="D865" s="815">
        <v>4.0137000000000003E-3</v>
      </c>
      <c r="E865" s="816">
        <v>10061577</v>
      </c>
      <c r="F865" s="816" t="s">
        <v>185</v>
      </c>
      <c r="G865" s="817">
        <v>1552262</v>
      </c>
      <c r="H865" s="818">
        <v>1381155</v>
      </c>
      <c r="I865" s="817">
        <v>2669954</v>
      </c>
      <c r="J865" s="816">
        <v>74425</v>
      </c>
      <c r="K865" s="818">
        <f t="shared" si="32"/>
        <v>5677796</v>
      </c>
      <c r="L865" s="816"/>
      <c r="M865" s="817">
        <v>52086</v>
      </c>
      <c r="N865" s="817">
        <v>0</v>
      </c>
      <c r="O865" s="816">
        <v>77503</v>
      </c>
      <c r="P865" s="818">
        <f t="shared" si="33"/>
        <v>129589</v>
      </c>
      <c r="Q865" s="816"/>
      <c r="R865" s="817">
        <v>2794836</v>
      </c>
      <c r="S865" s="816">
        <v>-26683</v>
      </c>
      <c r="T865" s="819">
        <v>2768153</v>
      </c>
    </row>
    <row r="866" spans="1:20" x14ac:dyDescent="0.25">
      <c r="A866" s="813">
        <v>99281</v>
      </c>
      <c r="B866" s="814" t="s">
        <v>4318</v>
      </c>
      <c r="C866" s="815">
        <v>2.3770000000000002E-3</v>
      </c>
      <c r="D866" s="815">
        <v>2.2918999999999999E-3</v>
      </c>
      <c r="E866" s="816">
        <v>5639057</v>
      </c>
      <c r="F866" s="816" t="s">
        <v>185</v>
      </c>
      <c r="G866" s="817">
        <v>869972</v>
      </c>
      <c r="H866" s="818">
        <v>774075</v>
      </c>
      <c r="I866" s="817">
        <v>1496388</v>
      </c>
      <c r="J866" s="816">
        <v>19048</v>
      </c>
      <c r="K866" s="818">
        <f t="shared" si="32"/>
        <v>3159483</v>
      </c>
      <c r="L866" s="816"/>
      <c r="M866" s="817">
        <v>29192</v>
      </c>
      <c r="N866" s="817">
        <v>0</v>
      </c>
      <c r="O866" s="816">
        <v>84495</v>
      </c>
      <c r="P866" s="818">
        <f t="shared" si="33"/>
        <v>113687</v>
      </c>
      <c r="Q866" s="816"/>
      <c r="R866" s="817">
        <v>1566379</v>
      </c>
      <c r="S866" s="816">
        <v>-32585</v>
      </c>
      <c r="T866" s="819">
        <v>1533794</v>
      </c>
    </row>
    <row r="867" spans="1:20" x14ac:dyDescent="0.25">
      <c r="A867" s="813">
        <v>99291</v>
      </c>
      <c r="B867" s="814" t="s">
        <v>4319</v>
      </c>
      <c r="C867" s="815">
        <v>8.2370000000000002E-4</v>
      </c>
      <c r="D867" s="815">
        <v>7.3499999999999998E-4</v>
      </c>
      <c r="E867" s="816">
        <v>1954098</v>
      </c>
      <c r="F867" s="816" t="s">
        <v>185</v>
      </c>
      <c r="G867" s="817">
        <v>301471</v>
      </c>
      <c r="H867" s="818">
        <v>268240</v>
      </c>
      <c r="I867" s="817">
        <v>518542</v>
      </c>
      <c r="J867" s="816">
        <v>12562</v>
      </c>
      <c r="K867" s="818">
        <f t="shared" si="32"/>
        <v>1100815</v>
      </c>
      <c r="L867" s="816"/>
      <c r="M867" s="817">
        <v>10116</v>
      </c>
      <c r="N867" s="817">
        <v>0</v>
      </c>
      <c r="O867" s="816">
        <v>82354</v>
      </c>
      <c r="P867" s="818">
        <f t="shared" si="33"/>
        <v>92470</v>
      </c>
      <c r="Q867" s="816"/>
      <c r="R867" s="817">
        <v>542796</v>
      </c>
      <c r="S867" s="816">
        <v>-52321</v>
      </c>
      <c r="T867" s="819">
        <v>490475</v>
      </c>
    </row>
    <row r="868" spans="1:20" x14ac:dyDescent="0.25">
      <c r="A868" s="813">
        <v>99301</v>
      </c>
      <c r="B868" s="814" t="s">
        <v>3382</v>
      </c>
      <c r="C868" s="815">
        <v>1.7239E-3</v>
      </c>
      <c r="D868" s="815">
        <v>1.7879E-3</v>
      </c>
      <c r="E868" s="816">
        <v>4089680</v>
      </c>
      <c r="F868" s="816" t="s">
        <v>185</v>
      </c>
      <c r="G868" s="817">
        <v>630941</v>
      </c>
      <c r="H868" s="818">
        <v>561391</v>
      </c>
      <c r="I868" s="817">
        <v>1085243</v>
      </c>
      <c r="J868" s="816">
        <v>12780</v>
      </c>
      <c r="K868" s="818">
        <f t="shared" si="32"/>
        <v>2290355</v>
      </c>
      <c r="L868" s="816"/>
      <c r="M868" s="817">
        <v>21171</v>
      </c>
      <c r="N868" s="817">
        <v>0</v>
      </c>
      <c r="O868" s="816">
        <v>110271</v>
      </c>
      <c r="P868" s="818">
        <f t="shared" si="33"/>
        <v>131442</v>
      </c>
      <c r="Q868" s="816"/>
      <c r="R868" s="817">
        <v>1136004</v>
      </c>
      <c r="S868" s="816">
        <v>22906</v>
      </c>
      <c r="T868" s="819">
        <v>1158910</v>
      </c>
    </row>
    <row r="869" spans="1:20" x14ac:dyDescent="0.25">
      <c r="A869" s="813">
        <v>99304</v>
      </c>
      <c r="B869" s="814" t="s">
        <v>3383</v>
      </c>
      <c r="C869" s="815">
        <v>8.4999999999999999E-6</v>
      </c>
      <c r="D869" s="815">
        <v>9.2E-6</v>
      </c>
      <c r="E869" s="816">
        <v>20165</v>
      </c>
      <c r="F869" s="816" t="s">
        <v>185</v>
      </c>
      <c r="G869" s="817">
        <v>3111</v>
      </c>
      <c r="H869" s="818">
        <v>2768</v>
      </c>
      <c r="I869" s="817">
        <v>5351</v>
      </c>
      <c r="J869" s="816">
        <v>5796</v>
      </c>
      <c r="K869" s="818">
        <f t="shared" si="32"/>
        <v>17026</v>
      </c>
      <c r="L869" s="816"/>
      <c r="M869" s="817">
        <v>104</v>
      </c>
      <c r="N869" s="817">
        <v>0</v>
      </c>
      <c r="O869" s="816">
        <v>0</v>
      </c>
      <c r="P869" s="818">
        <f t="shared" si="33"/>
        <v>104</v>
      </c>
      <c r="Q869" s="816"/>
      <c r="R869" s="817">
        <v>5601</v>
      </c>
      <c r="S869" s="816">
        <v>2064</v>
      </c>
      <c r="T869" s="819">
        <v>7665</v>
      </c>
    </row>
    <row r="870" spans="1:20" x14ac:dyDescent="0.25">
      <c r="A870" s="813">
        <v>99311</v>
      </c>
      <c r="B870" s="814" t="s">
        <v>4320</v>
      </c>
      <c r="C870" s="815">
        <v>6.0699999999999998E-5</v>
      </c>
      <c r="D870" s="815">
        <v>5.4299999999999998E-5</v>
      </c>
      <c r="E870" s="816">
        <v>144001</v>
      </c>
      <c r="F870" s="816" t="s">
        <v>185</v>
      </c>
      <c r="G870" s="817">
        <v>22216</v>
      </c>
      <c r="H870" s="818">
        <v>19767</v>
      </c>
      <c r="I870" s="817">
        <v>38212</v>
      </c>
      <c r="J870" s="816">
        <v>4078</v>
      </c>
      <c r="K870" s="818">
        <f t="shared" si="32"/>
        <v>84273</v>
      </c>
      <c r="L870" s="816"/>
      <c r="M870" s="817">
        <v>745</v>
      </c>
      <c r="N870" s="817">
        <v>0</v>
      </c>
      <c r="O870" s="816">
        <v>3557</v>
      </c>
      <c r="P870" s="818">
        <f t="shared" si="33"/>
        <v>4302</v>
      </c>
      <c r="Q870" s="816"/>
      <c r="R870" s="817">
        <v>40000</v>
      </c>
      <c r="S870" s="816">
        <v>-2182</v>
      </c>
      <c r="T870" s="819">
        <v>37818</v>
      </c>
    </row>
    <row r="871" spans="1:20" x14ac:dyDescent="0.25">
      <c r="A871" s="813">
        <v>99321</v>
      </c>
      <c r="B871" s="814" t="s">
        <v>4321</v>
      </c>
      <c r="C871" s="815">
        <v>8.7000000000000001E-5</v>
      </c>
      <c r="D871" s="815">
        <v>1.1E-4</v>
      </c>
      <c r="E871" s="816">
        <v>206394</v>
      </c>
      <c r="F871" s="816" t="s">
        <v>185</v>
      </c>
      <c r="G871" s="817">
        <v>31842</v>
      </c>
      <c r="H871" s="818">
        <v>28331</v>
      </c>
      <c r="I871" s="817">
        <v>54769</v>
      </c>
      <c r="J871" s="816">
        <v>80354</v>
      </c>
      <c r="K871" s="818">
        <f t="shared" si="32"/>
        <v>195296</v>
      </c>
      <c r="L871" s="816"/>
      <c r="M871" s="817">
        <v>1068</v>
      </c>
      <c r="N871" s="817">
        <v>0</v>
      </c>
      <c r="O871" s="816">
        <v>0</v>
      </c>
      <c r="P871" s="818">
        <f t="shared" si="33"/>
        <v>1068</v>
      </c>
      <c r="Q871" s="816"/>
      <c r="R871" s="817">
        <v>57331</v>
      </c>
      <c r="S871" s="816">
        <v>48383</v>
      </c>
      <c r="T871" s="819">
        <v>105714</v>
      </c>
    </row>
    <row r="872" spans="1:20" x14ac:dyDescent="0.25">
      <c r="A872" s="813">
        <v>99401</v>
      </c>
      <c r="B872" s="814" t="s">
        <v>3386</v>
      </c>
      <c r="C872" s="815">
        <v>8.3949999999999997E-4</v>
      </c>
      <c r="D872" s="815">
        <v>9.2389999999999996E-4</v>
      </c>
      <c r="E872" s="816">
        <v>1991581</v>
      </c>
      <c r="F872" s="816" t="s">
        <v>185</v>
      </c>
      <c r="G872" s="817">
        <v>307254</v>
      </c>
      <c r="H872" s="818">
        <v>273385</v>
      </c>
      <c r="I872" s="817">
        <v>528489</v>
      </c>
      <c r="J872" s="816">
        <v>7764</v>
      </c>
      <c r="K872" s="818">
        <f t="shared" si="32"/>
        <v>1116892</v>
      </c>
      <c r="L872" s="816"/>
      <c r="M872" s="817">
        <v>10310</v>
      </c>
      <c r="N872" s="817">
        <v>0</v>
      </c>
      <c r="O872" s="816">
        <v>71466</v>
      </c>
      <c r="P872" s="818">
        <f t="shared" si="33"/>
        <v>81776</v>
      </c>
      <c r="Q872" s="816"/>
      <c r="R872" s="817">
        <v>553208</v>
      </c>
      <c r="S872" s="816">
        <v>7509</v>
      </c>
      <c r="T872" s="819">
        <v>560717</v>
      </c>
    </row>
    <row r="873" spans="1:20" x14ac:dyDescent="0.25">
      <c r="A873" s="813">
        <v>99404</v>
      </c>
      <c r="B873" s="814" t="s">
        <v>3387</v>
      </c>
      <c r="C873" s="815">
        <v>9.0999999999999993E-6</v>
      </c>
      <c r="D873" s="815">
        <v>9.3999999999999998E-6</v>
      </c>
      <c r="E873" s="816">
        <v>21588</v>
      </c>
      <c r="F873" s="816" t="s">
        <v>185</v>
      </c>
      <c r="G873" s="817">
        <v>3331</v>
      </c>
      <c r="H873" s="818">
        <v>2963</v>
      </c>
      <c r="I873" s="817">
        <v>5729</v>
      </c>
      <c r="J873" s="816">
        <v>1629</v>
      </c>
      <c r="K873" s="818">
        <f t="shared" si="32"/>
        <v>13652</v>
      </c>
      <c r="L873" s="816"/>
      <c r="M873" s="817">
        <v>112</v>
      </c>
      <c r="N873" s="817">
        <v>0</v>
      </c>
      <c r="O873" s="816">
        <v>0</v>
      </c>
      <c r="P873" s="818">
        <f t="shared" si="33"/>
        <v>112</v>
      </c>
      <c r="Q873" s="816"/>
      <c r="R873" s="817">
        <v>5997</v>
      </c>
      <c r="S873" s="816">
        <v>655</v>
      </c>
      <c r="T873" s="819">
        <v>6652</v>
      </c>
    </row>
    <row r="874" spans="1:20" x14ac:dyDescent="0.25">
      <c r="A874" s="813">
        <v>99405</v>
      </c>
      <c r="B874" s="814" t="s">
        <v>3388</v>
      </c>
      <c r="C874" s="815">
        <v>5.2200000000000002E-5</v>
      </c>
      <c r="D874" s="815">
        <v>6.2700000000000006E-5</v>
      </c>
      <c r="E874" s="816">
        <v>123836</v>
      </c>
      <c r="F874" s="816" t="s">
        <v>185</v>
      </c>
      <c r="G874" s="817">
        <v>19105</v>
      </c>
      <c r="H874" s="818">
        <v>16999</v>
      </c>
      <c r="I874" s="817">
        <v>32861</v>
      </c>
      <c r="J874" s="816">
        <v>14217</v>
      </c>
      <c r="K874" s="818">
        <f t="shared" si="32"/>
        <v>83182</v>
      </c>
      <c r="L874" s="816"/>
      <c r="M874" s="817">
        <v>641</v>
      </c>
      <c r="N874" s="817">
        <v>0</v>
      </c>
      <c r="O874" s="816">
        <v>0</v>
      </c>
      <c r="P874" s="818">
        <f t="shared" si="33"/>
        <v>641</v>
      </c>
      <c r="Q874" s="816"/>
      <c r="R874" s="817">
        <v>34398</v>
      </c>
      <c r="S874" s="816">
        <v>6652</v>
      </c>
      <c r="T874" s="819">
        <v>41050</v>
      </c>
    </row>
    <row r="875" spans="1:20" x14ac:dyDescent="0.25">
      <c r="A875" s="813">
        <v>99411</v>
      </c>
      <c r="B875" s="814" t="s">
        <v>4322</v>
      </c>
      <c r="C875" s="815">
        <v>1.7239999999999999E-4</v>
      </c>
      <c r="D875" s="815">
        <v>1.583E-4</v>
      </c>
      <c r="E875" s="816">
        <v>408992</v>
      </c>
      <c r="F875" s="816" t="s">
        <v>185</v>
      </c>
      <c r="G875" s="817">
        <v>63098</v>
      </c>
      <c r="H875" s="818">
        <v>56142</v>
      </c>
      <c r="I875" s="817">
        <v>108531</v>
      </c>
      <c r="J875" s="816">
        <v>41315</v>
      </c>
      <c r="K875" s="818">
        <f t="shared" si="32"/>
        <v>269086</v>
      </c>
      <c r="L875" s="816"/>
      <c r="M875" s="817">
        <v>2117</v>
      </c>
      <c r="N875" s="817">
        <v>0</v>
      </c>
      <c r="O875" s="816">
        <v>0</v>
      </c>
      <c r="P875" s="818">
        <f t="shared" si="33"/>
        <v>2117</v>
      </c>
      <c r="Q875" s="816"/>
      <c r="R875" s="817">
        <v>113607</v>
      </c>
      <c r="S875" s="816">
        <v>11785</v>
      </c>
      <c r="T875" s="819">
        <v>125392</v>
      </c>
    </row>
    <row r="876" spans="1:20" x14ac:dyDescent="0.25">
      <c r="A876" s="813">
        <v>99413</v>
      </c>
      <c r="B876" s="814" t="s">
        <v>3390</v>
      </c>
      <c r="C876" s="815">
        <v>1.98E-5</v>
      </c>
      <c r="D876" s="815">
        <v>3.1099999999999997E-5</v>
      </c>
      <c r="E876" s="816">
        <v>46972</v>
      </c>
      <c r="F876" s="816" t="s">
        <v>185</v>
      </c>
      <c r="G876" s="817">
        <v>7247</v>
      </c>
      <c r="H876" s="818">
        <v>6448</v>
      </c>
      <c r="I876" s="817">
        <v>12465</v>
      </c>
      <c r="J876" s="816">
        <v>4311</v>
      </c>
      <c r="K876" s="818">
        <f t="shared" si="32"/>
        <v>30471</v>
      </c>
      <c r="L876" s="816"/>
      <c r="M876" s="817">
        <v>243</v>
      </c>
      <c r="N876" s="817">
        <v>0</v>
      </c>
      <c r="O876" s="816">
        <v>5202</v>
      </c>
      <c r="P876" s="818">
        <f t="shared" si="33"/>
        <v>5445</v>
      </c>
      <c r="Q876" s="816"/>
      <c r="R876" s="817">
        <v>13048</v>
      </c>
      <c r="S876" s="816">
        <v>-653</v>
      </c>
      <c r="T876" s="819">
        <v>12395</v>
      </c>
    </row>
    <row r="877" spans="1:20" x14ac:dyDescent="0.25">
      <c r="A877" s="813">
        <v>99421</v>
      </c>
      <c r="B877" s="814" t="s">
        <v>4323</v>
      </c>
      <c r="C877" s="815">
        <v>1.24E-5</v>
      </c>
      <c r="D877" s="815">
        <v>1.04E-5</v>
      </c>
      <c r="E877" s="816">
        <v>29417</v>
      </c>
      <c r="F877" s="816" t="s">
        <v>185</v>
      </c>
      <c r="G877" s="817">
        <v>4538</v>
      </c>
      <c r="H877" s="818">
        <v>4038</v>
      </c>
      <c r="I877" s="817">
        <v>7806</v>
      </c>
      <c r="J877" s="816">
        <v>917</v>
      </c>
      <c r="K877" s="818">
        <f t="shared" si="32"/>
        <v>17299</v>
      </c>
      <c r="L877" s="816"/>
      <c r="M877" s="817">
        <v>152</v>
      </c>
      <c r="N877" s="817">
        <v>0</v>
      </c>
      <c r="O877" s="816">
        <v>3553</v>
      </c>
      <c r="P877" s="818">
        <f t="shared" si="33"/>
        <v>3705</v>
      </c>
      <c r="Q877" s="816"/>
      <c r="R877" s="817">
        <v>8171</v>
      </c>
      <c r="S877" s="816">
        <v>-895</v>
      </c>
      <c r="T877" s="819">
        <v>7276</v>
      </c>
    </row>
    <row r="878" spans="1:20" x14ac:dyDescent="0.25">
      <c r="A878" s="813">
        <v>99431</v>
      </c>
      <c r="B878" s="814" t="s">
        <v>4324</v>
      </c>
      <c r="C878" s="815">
        <v>2.1999999999999999E-5</v>
      </c>
      <c r="D878" s="815">
        <v>2.2200000000000001E-5</v>
      </c>
      <c r="E878" s="816">
        <v>52192</v>
      </c>
      <c r="F878" s="816" t="s">
        <v>185</v>
      </c>
      <c r="G878" s="817">
        <v>8052</v>
      </c>
      <c r="H878" s="818">
        <v>7164</v>
      </c>
      <c r="I878" s="817">
        <v>13850</v>
      </c>
      <c r="J878" s="816">
        <v>0</v>
      </c>
      <c r="K878" s="818">
        <f t="shared" si="32"/>
        <v>29066</v>
      </c>
      <c r="L878" s="816"/>
      <c r="M878" s="817">
        <v>270</v>
      </c>
      <c r="N878" s="817">
        <v>0</v>
      </c>
      <c r="O878" s="816">
        <v>4208</v>
      </c>
      <c r="P878" s="818">
        <f t="shared" si="33"/>
        <v>4478</v>
      </c>
      <c r="Q878" s="816"/>
      <c r="R878" s="817">
        <v>14497</v>
      </c>
      <c r="S878" s="816">
        <v>-434</v>
      </c>
      <c r="T878" s="819">
        <v>14063</v>
      </c>
    </row>
    <row r="879" spans="1:20" x14ac:dyDescent="0.25">
      <c r="A879" s="813">
        <v>99501</v>
      </c>
      <c r="B879" s="814" t="s">
        <v>3393</v>
      </c>
      <c r="C879" s="815">
        <v>1.6559000000000001E-3</v>
      </c>
      <c r="D879" s="815">
        <v>1.6785000000000001E-3</v>
      </c>
      <c r="E879" s="816">
        <v>3928361</v>
      </c>
      <c r="F879" s="816" t="s">
        <v>185</v>
      </c>
      <c r="G879" s="817">
        <v>606053</v>
      </c>
      <c r="H879" s="818">
        <v>539247</v>
      </c>
      <c r="I879" s="817">
        <v>1042435</v>
      </c>
      <c r="J879" s="816">
        <v>26120</v>
      </c>
      <c r="K879" s="818">
        <f t="shared" si="32"/>
        <v>2213855</v>
      </c>
      <c r="L879" s="816"/>
      <c r="M879" s="817">
        <v>20336</v>
      </c>
      <c r="N879" s="817">
        <v>0</v>
      </c>
      <c r="O879" s="816">
        <v>16129</v>
      </c>
      <c r="P879" s="818">
        <f t="shared" si="33"/>
        <v>36465</v>
      </c>
      <c r="Q879" s="816"/>
      <c r="R879" s="817">
        <v>1091193</v>
      </c>
      <c r="S879" s="816">
        <v>2662</v>
      </c>
      <c r="T879" s="819">
        <v>1093855</v>
      </c>
    </row>
    <row r="880" spans="1:20" x14ac:dyDescent="0.25">
      <c r="A880" s="813">
        <v>99502</v>
      </c>
      <c r="B880" s="814" t="s">
        <v>3394</v>
      </c>
      <c r="C880" s="815">
        <v>1.5699999999999999E-4</v>
      </c>
      <c r="D880" s="815">
        <v>1.373E-4</v>
      </c>
      <c r="E880" s="816">
        <v>372458</v>
      </c>
      <c r="F880" s="816" t="s">
        <v>185</v>
      </c>
      <c r="G880" s="817">
        <v>57461</v>
      </c>
      <c r="H880" s="818">
        <v>51127</v>
      </c>
      <c r="I880" s="817">
        <v>98836</v>
      </c>
      <c r="J880" s="816">
        <v>20987</v>
      </c>
      <c r="K880" s="818">
        <f t="shared" si="32"/>
        <v>228411</v>
      </c>
      <c r="L880" s="816"/>
      <c r="M880" s="817">
        <v>1928</v>
      </c>
      <c r="N880" s="817">
        <v>0</v>
      </c>
      <c r="O880" s="816">
        <v>0</v>
      </c>
      <c r="P880" s="818">
        <f t="shared" si="33"/>
        <v>1928</v>
      </c>
      <c r="Q880" s="816"/>
      <c r="R880" s="817">
        <v>103459</v>
      </c>
      <c r="S880" s="816">
        <v>11737</v>
      </c>
      <c r="T880" s="819">
        <v>115196</v>
      </c>
    </row>
    <row r="881" spans="1:20" x14ac:dyDescent="0.25">
      <c r="A881" s="813">
        <v>99508</v>
      </c>
      <c r="B881" s="814" t="s">
        <v>3395</v>
      </c>
      <c r="C881" s="815">
        <v>2.1699999999999999E-5</v>
      </c>
      <c r="D881" s="815">
        <v>2.2099999999999998E-5</v>
      </c>
      <c r="E881" s="816">
        <v>51480</v>
      </c>
      <c r="F881" s="816" t="s">
        <v>185</v>
      </c>
      <c r="G881" s="817">
        <v>7942</v>
      </c>
      <c r="H881" s="818">
        <v>7067</v>
      </c>
      <c r="I881" s="817">
        <v>13661</v>
      </c>
      <c r="J881" s="816">
        <v>28</v>
      </c>
      <c r="K881" s="818">
        <f t="shared" si="32"/>
        <v>28698</v>
      </c>
      <c r="L881" s="816"/>
      <c r="M881" s="817">
        <v>266</v>
      </c>
      <c r="N881" s="817">
        <v>0</v>
      </c>
      <c r="O881" s="816">
        <v>834</v>
      </c>
      <c r="P881" s="818">
        <f t="shared" si="33"/>
        <v>1100</v>
      </c>
      <c r="Q881" s="816"/>
      <c r="R881" s="817">
        <v>14300</v>
      </c>
      <c r="S881" s="816">
        <v>-1042</v>
      </c>
      <c r="T881" s="819">
        <v>13258</v>
      </c>
    </row>
    <row r="882" spans="1:20" x14ac:dyDescent="0.25">
      <c r="A882" s="813">
        <v>99509</v>
      </c>
      <c r="B882" s="814" t="s">
        <v>3396</v>
      </c>
      <c r="C882" s="815">
        <v>2.62E-5</v>
      </c>
      <c r="D882" s="815">
        <v>2.76E-5</v>
      </c>
      <c r="E882" s="816">
        <v>62155</v>
      </c>
      <c r="F882" s="816" t="s">
        <v>185</v>
      </c>
      <c r="G882" s="817">
        <v>9589</v>
      </c>
      <c r="H882" s="818">
        <v>8532</v>
      </c>
      <c r="I882" s="817">
        <v>16494</v>
      </c>
      <c r="J882" s="816">
        <v>0</v>
      </c>
      <c r="K882" s="818">
        <f t="shared" si="32"/>
        <v>34615</v>
      </c>
      <c r="L882" s="816"/>
      <c r="M882" s="817">
        <v>322</v>
      </c>
      <c r="N882" s="817">
        <v>0</v>
      </c>
      <c r="O882" s="816">
        <v>3733</v>
      </c>
      <c r="P882" s="818">
        <f t="shared" si="33"/>
        <v>4055</v>
      </c>
      <c r="Q882" s="816"/>
      <c r="R882" s="817">
        <v>17265</v>
      </c>
      <c r="S882" s="816">
        <v>-4641</v>
      </c>
      <c r="T882" s="819">
        <v>12624</v>
      </c>
    </row>
    <row r="883" spans="1:20" x14ac:dyDescent="0.25">
      <c r="A883" s="813">
        <v>99511</v>
      </c>
      <c r="B883" s="814" t="s">
        <v>4325</v>
      </c>
      <c r="C883" s="815">
        <v>1.3468E-3</v>
      </c>
      <c r="D883" s="815">
        <v>1.4048999999999999E-3</v>
      </c>
      <c r="E883" s="816">
        <v>3195070</v>
      </c>
      <c r="F883" s="816" t="s">
        <v>185</v>
      </c>
      <c r="G883" s="817">
        <v>492923</v>
      </c>
      <c r="H883" s="818">
        <v>438588</v>
      </c>
      <c r="I883" s="817">
        <v>847848</v>
      </c>
      <c r="J883" s="816">
        <v>2027</v>
      </c>
      <c r="K883" s="818">
        <f t="shared" si="32"/>
        <v>1781386</v>
      </c>
      <c r="L883" s="816"/>
      <c r="M883" s="817">
        <v>16540</v>
      </c>
      <c r="N883" s="817">
        <v>0</v>
      </c>
      <c r="O883" s="816">
        <v>134401</v>
      </c>
      <c r="P883" s="818">
        <f t="shared" si="33"/>
        <v>150941</v>
      </c>
      <c r="Q883" s="816"/>
      <c r="R883" s="817">
        <v>887505</v>
      </c>
      <c r="S883" s="816">
        <v>-51080</v>
      </c>
      <c r="T883" s="819">
        <v>836425</v>
      </c>
    </row>
    <row r="884" spans="1:20" x14ac:dyDescent="0.25">
      <c r="A884" s="813">
        <v>99521</v>
      </c>
      <c r="B884" s="814" t="s">
        <v>4326</v>
      </c>
      <c r="C884" s="815">
        <v>4.9669999999999998E-4</v>
      </c>
      <c r="D884" s="815">
        <v>4.2700000000000002E-4</v>
      </c>
      <c r="E884" s="816">
        <v>1178342</v>
      </c>
      <c r="F884" s="816" t="s">
        <v>185</v>
      </c>
      <c r="G884" s="817">
        <v>181790</v>
      </c>
      <c r="H884" s="818">
        <v>161751</v>
      </c>
      <c r="I884" s="817">
        <v>312687</v>
      </c>
      <c r="J884" s="816">
        <v>22179</v>
      </c>
      <c r="K884" s="818">
        <f t="shared" si="32"/>
        <v>678407</v>
      </c>
      <c r="L884" s="816"/>
      <c r="M884" s="817">
        <v>6100</v>
      </c>
      <c r="N884" s="817">
        <v>0</v>
      </c>
      <c r="O884" s="816">
        <v>9436</v>
      </c>
      <c r="P884" s="818">
        <f t="shared" si="33"/>
        <v>15536</v>
      </c>
      <c r="Q884" s="816"/>
      <c r="R884" s="817">
        <v>327312</v>
      </c>
      <c r="S884" s="816">
        <v>211</v>
      </c>
      <c r="T884" s="819">
        <v>327523</v>
      </c>
    </row>
    <row r="885" spans="1:20" x14ac:dyDescent="0.25">
      <c r="A885" s="813">
        <v>99527</v>
      </c>
      <c r="B885" s="814" t="s">
        <v>3399</v>
      </c>
      <c r="C885" s="815">
        <v>1.15E-5</v>
      </c>
      <c r="D885" s="815">
        <v>1.19E-5</v>
      </c>
      <c r="E885" s="816">
        <v>27282</v>
      </c>
      <c r="F885" s="816" t="s">
        <v>185</v>
      </c>
      <c r="G885" s="817">
        <v>4209</v>
      </c>
      <c r="H885" s="818">
        <v>3745</v>
      </c>
      <c r="I885" s="817">
        <v>7240</v>
      </c>
      <c r="J885" s="816">
        <v>1078</v>
      </c>
      <c r="K885" s="818">
        <f t="shared" si="32"/>
        <v>16272</v>
      </c>
      <c r="L885" s="816"/>
      <c r="M885" s="817">
        <v>141</v>
      </c>
      <c r="N885" s="817">
        <v>0</v>
      </c>
      <c r="O885" s="816">
        <v>0</v>
      </c>
      <c r="P885" s="818">
        <f t="shared" si="33"/>
        <v>141</v>
      </c>
      <c r="Q885" s="816"/>
      <c r="R885" s="817">
        <v>7578</v>
      </c>
      <c r="S885" s="816">
        <v>724</v>
      </c>
      <c r="T885" s="819">
        <v>8302</v>
      </c>
    </row>
    <row r="886" spans="1:20" x14ac:dyDescent="0.25">
      <c r="A886" s="813">
        <v>99531</v>
      </c>
      <c r="B886" s="814" t="s">
        <v>4327</v>
      </c>
      <c r="C886" s="815">
        <v>8.8800000000000004E-5</v>
      </c>
      <c r="D886" s="815">
        <v>9.3499999999999996E-5</v>
      </c>
      <c r="E886" s="816">
        <v>210664</v>
      </c>
      <c r="F886" s="816" t="s">
        <v>185</v>
      </c>
      <c r="G886" s="817">
        <v>32500</v>
      </c>
      <c r="H886" s="818">
        <v>28917</v>
      </c>
      <c r="I886" s="817">
        <v>55902</v>
      </c>
      <c r="J886" s="816">
        <v>59872</v>
      </c>
      <c r="K886" s="818">
        <f t="shared" si="32"/>
        <v>177191</v>
      </c>
      <c r="L886" s="816"/>
      <c r="M886" s="817">
        <v>1091</v>
      </c>
      <c r="N886" s="817">
        <v>0</v>
      </c>
      <c r="O886" s="816">
        <v>0</v>
      </c>
      <c r="P886" s="818">
        <f t="shared" si="33"/>
        <v>1091</v>
      </c>
      <c r="Q886" s="816"/>
      <c r="R886" s="817">
        <v>58517</v>
      </c>
      <c r="S886" s="816">
        <v>24500</v>
      </c>
      <c r="T886" s="819">
        <v>83017</v>
      </c>
    </row>
    <row r="887" spans="1:20" x14ac:dyDescent="0.25">
      <c r="A887" s="813">
        <v>99601</v>
      </c>
      <c r="B887" s="814" t="s">
        <v>3401</v>
      </c>
      <c r="C887" s="815">
        <v>5.9616000000000001E-3</v>
      </c>
      <c r="D887" s="815">
        <v>5.7812000000000002E-3</v>
      </c>
      <c r="E887" s="816">
        <v>14142954</v>
      </c>
      <c r="F887" s="816" t="s">
        <v>185</v>
      </c>
      <c r="G887" s="817">
        <v>2181922</v>
      </c>
      <c r="H887" s="818">
        <v>1941407</v>
      </c>
      <c r="I887" s="817">
        <v>3752994</v>
      </c>
      <c r="J887" s="816">
        <v>210675</v>
      </c>
      <c r="K887" s="818">
        <f t="shared" si="32"/>
        <v>8086998</v>
      </c>
      <c r="L887" s="816"/>
      <c r="M887" s="817">
        <v>73214</v>
      </c>
      <c r="N887" s="817">
        <v>0</v>
      </c>
      <c r="O887" s="816">
        <v>44248</v>
      </c>
      <c r="P887" s="818">
        <f t="shared" si="33"/>
        <v>117462</v>
      </c>
      <c r="Q887" s="816"/>
      <c r="R887" s="817">
        <v>3928533</v>
      </c>
      <c r="S887" s="816">
        <v>56562</v>
      </c>
      <c r="T887" s="819">
        <v>3985095</v>
      </c>
    </row>
    <row r="888" spans="1:20" x14ac:dyDescent="0.25">
      <c r="A888" s="813">
        <v>99602</v>
      </c>
      <c r="B888" s="814" t="s">
        <v>3402</v>
      </c>
      <c r="C888" s="815">
        <v>6.0800000000000001E-5</v>
      </c>
      <c r="D888" s="815">
        <v>6.19E-5</v>
      </c>
      <c r="E888" s="816">
        <v>144238</v>
      </c>
      <c r="F888" s="816" t="s">
        <v>185</v>
      </c>
      <c r="G888" s="817">
        <v>22253</v>
      </c>
      <c r="H888" s="818">
        <v>19799</v>
      </c>
      <c r="I888" s="817">
        <v>38275</v>
      </c>
      <c r="J888" s="816">
        <v>6923</v>
      </c>
      <c r="K888" s="818">
        <f t="shared" si="32"/>
        <v>87250</v>
      </c>
      <c r="L888" s="816"/>
      <c r="M888" s="817">
        <v>747</v>
      </c>
      <c r="N888" s="817">
        <v>0</v>
      </c>
      <c r="O888" s="816">
        <v>422</v>
      </c>
      <c r="P888" s="818">
        <f t="shared" si="33"/>
        <v>1169</v>
      </c>
      <c r="Q888" s="816"/>
      <c r="R888" s="817">
        <v>40066</v>
      </c>
      <c r="S888" s="816">
        <v>1213</v>
      </c>
      <c r="T888" s="819">
        <v>41279</v>
      </c>
    </row>
    <row r="889" spans="1:20" x14ac:dyDescent="0.25">
      <c r="A889" s="813">
        <v>99603</v>
      </c>
      <c r="B889" s="814" t="s">
        <v>4328</v>
      </c>
      <c r="C889" s="815">
        <v>1.7550000000000001E-4</v>
      </c>
      <c r="D889" s="815">
        <v>1.615E-4</v>
      </c>
      <c r="E889" s="816">
        <v>416346</v>
      </c>
      <c r="F889" s="816" t="s">
        <v>185</v>
      </c>
      <c r="G889" s="817">
        <v>64232</v>
      </c>
      <c r="H889" s="818">
        <v>57152</v>
      </c>
      <c r="I889" s="817">
        <v>110482</v>
      </c>
      <c r="J889" s="816">
        <v>75872</v>
      </c>
      <c r="K889" s="818">
        <f t="shared" si="32"/>
        <v>307738</v>
      </c>
      <c r="L889" s="816"/>
      <c r="M889" s="817">
        <v>2155</v>
      </c>
      <c r="N889" s="817">
        <v>0</v>
      </c>
      <c r="O889" s="816">
        <v>0</v>
      </c>
      <c r="P889" s="818">
        <f t="shared" si="33"/>
        <v>2155</v>
      </c>
      <c r="Q889" s="816"/>
      <c r="R889" s="817">
        <v>115650</v>
      </c>
      <c r="S889" s="816">
        <v>41812</v>
      </c>
      <c r="T889" s="819">
        <v>157462</v>
      </c>
    </row>
    <row r="890" spans="1:20" x14ac:dyDescent="0.25">
      <c r="A890" s="813">
        <v>99604</v>
      </c>
      <c r="B890" s="814" t="s">
        <v>3404</v>
      </c>
      <c r="C890" s="815">
        <v>1.02E-4</v>
      </c>
      <c r="D890" s="815">
        <v>1.009E-4</v>
      </c>
      <c r="E890" s="816">
        <v>241979</v>
      </c>
      <c r="F890" s="816"/>
      <c r="G890" s="817">
        <v>37332</v>
      </c>
      <c r="H890" s="818">
        <v>33216</v>
      </c>
      <c r="I890" s="817">
        <v>64212</v>
      </c>
      <c r="J890" s="816">
        <v>20727</v>
      </c>
      <c r="K890" s="818">
        <f t="shared" si="32"/>
        <v>155487</v>
      </c>
      <c r="L890" s="816"/>
      <c r="M890" s="817">
        <v>1253</v>
      </c>
      <c r="N890" s="817">
        <v>0</v>
      </c>
      <c r="O890" s="816">
        <v>0</v>
      </c>
      <c r="P890" s="818">
        <f t="shared" si="33"/>
        <v>1253</v>
      </c>
      <c r="Q890" s="816"/>
      <c r="R890" s="817">
        <v>67215</v>
      </c>
      <c r="S890" s="816">
        <v>11859</v>
      </c>
      <c r="T890" s="819">
        <v>79074</v>
      </c>
    </row>
    <row r="891" spans="1:20" x14ac:dyDescent="0.25">
      <c r="A891" s="813">
        <v>99609</v>
      </c>
      <c r="B891" s="814" t="s">
        <v>3405</v>
      </c>
      <c r="C891" s="815">
        <v>2.0100000000000001E-5</v>
      </c>
      <c r="D891" s="815">
        <v>1.52E-5</v>
      </c>
      <c r="E891" s="816">
        <v>47684</v>
      </c>
      <c r="F891" s="816"/>
      <c r="G891" s="817">
        <v>7357</v>
      </c>
      <c r="H891" s="818">
        <v>6545</v>
      </c>
      <c r="I891" s="817">
        <v>12654</v>
      </c>
      <c r="J891" s="816">
        <v>5627</v>
      </c>
      <c r="K891" s="818">
        <f t="shared" si="32"/>
        <v>32183</v>
      </c>
      <c r="L891" s="816"/>
      <c r="M891" s="817">
        <v>247</v>
      </c>
      <c r="N891" s="817">
        <v>0</v>
      </c>
      <c r="O891" s="816">
        <v>1142</v>
      </c>
      <c r="P891" s="818">
        <f t="shared" si="33"/>
        <v>1389</v>
      </c>
      <c r="Q891" s="816"/>
      <c r="R891" s="817">
        <v>13245</v>
      </c>
      <c r="S891" s="816">
        <v>2717</v>
      </c>
      <c r="T891" s="819">
        <v>15962</v>
      </c>
    </row>
    <row r="892" spans="1:20" x14ac:dyDescent="0.25">
      <c r="A892" s="813">
        <v>99610</v>
      </c>
      <c r="B892" s="814" t="s">
        <v>3406</v>
      </c>
      <c r="C892" s="815">
        <v>1.872E-4</v>
      </c>
      <c r="D892" s="815">
        <v>1.9440000000000001E-4</v>
      </c>
      <c r="E892" s="816">
        <v>444102</v>
      </c>
      <c r="F892" s="816"/>
      <c r="G892" s="817">
        <v>68514</v>
      </c>
      <c r="H892" s="818">
        <v>60962</v>
      </c>
      <c r="I892" s="817">
        <v>117848</v>
      </c>
      <c r="J892" s="816">
        <v>855</v>
      </c>
      <c r="K892" s="818">
        <f t="shared" si="32"/>
        <v>248179</v>
      </c>
      <c r="L892" s="816"/>
      <c r="M892" s="817">
        <v>2299</v>
      </c>
      <c r="N892" s="817">
        <v>0</v>
      </c>
      <c r="O892" s="816">
        <v>8068</v>
      </c>
      <c r="P892" s="818">
        <f t="shared" si="33"/>
        <v>10367</v>
      </c>
      <c r="Q892" s="816"/>
      <c r="R892" s="817">
        <v>123360</v>
      </c>
      <c r="S892" s="816">
        <v>-738</v>
      </c>
      <c r="T892" s="819">
        <v>122622</v>
      </c>
    </row>
    <row r="893" spans="1:20" x14ac:dyDescent="0.25">
      <c r="A893" s="813">
        <v>99611</v>
      </c>
      <c r="B893" s="814" t="s">
        <v>3407</v>
      </c>
      <c r="C893" s="815">
        <v>3.2894E-3</v>
      </c>
      <c r="D893" s="815">
        <v>3.1959000000000002E-3</v>
      </c>
      <c r="E893" s="816">
        <v>7803582</v>
      </c>
      <c r="F893" s="816"/>
      <c r="G893" s="817">
        <v>1203907</v>
      </c>
      <c r="H893" s="818">
        <v>1071199</v>
      </c>
      <c r="I893" s="817">
        <v>2070769</v>
      </c>
      <c r="J893" s="816">
        <v>61818</v>
      </c>
      <c r="K893" s="818">
        <f t="shared" si="32"/>
        <v>4407693</v>
      </c>
      <c r="L893" s="816"/>
      <c r="M893" s="817">
        <v>40397</v>
      </c>
      <c r="N893" s="817">
        <v>0</v>
      </c>
      <c r="O893" s="816">
        <v>100389</v>
      </c>
      <c r="P893" s="818">
        <f t="shared" si="33"/>
        <v>140786</v>
      </c>
      <c r="Q893" s="816"/>
      <c r="R893" s="817">
        <v>2167626</v>
      </c>
      <c r="S893" s="816">
        <v>-79577</v>
      </c>
      <c r="T893" s="819">
        <v>2088049</v>
      </c>
    </row>
    <row r="894" spans="1:20" x14ac:dyDescent="0.25">
      <c r="A894" s="813">
        <v>99613</v>
      </c>
      <c r="B894" s="814" t="s">
        <v>3408</v>
      </c>
      <c r="C894" s="815">
        <v>3.57E-4</v>
      </c>
      <c r="D894" s="815">
        <v>3.2909999999999998E-4</v>
      </c>
      <c r="E894" s="816">
        <v>846926</v>
      </c>
      <c r="F894" s="816"/>
      <c r="G894" s="817">
        <v>130661</v>
      </c>
      <c r="H894" s="818">
        <v>116258</v>
      </c>
      <c r="I894" s="817">
        <v>224741</v>
      </c>
      <c r="J894" s="816">
        <v>342685</v>
      </c>
      <c r="K894" s="818">
        <f t="shared" si="32"/>
        <v>814345</v>
      </c>
      <c r="L894" s="816"/>
      <c r="M894" s="817">
        <v>4384</v>
      </c>
      <c r="N894" s="817">
        <v>0</v>
      </c>
      <c r="O894" s="816">
        <v>0</v>
      </c>
      <c r="P894" s="818">
        <f t="shared" si="33"/>
        <v>4384</v>
      </c>
      <c r="Q894" s="816"/>
      <c r="R894" s="817">
        <v>235253</v>
      </c>
      <c r="S894" s="816">
        <v>135388</v>
      </c>
      <c r="T894" s="819">
        <v>370641</v>
      </c>
    </row>
    <row r="895" spans="1:20" x14ac:dyDescent="0.25">
      <c r="A895" s="813">
        <v>99621</v>
      </c>
      <c r="B895" s="814" t="s">
        <v>4329</v>
      </c>
      <c r="C895" s="815">
        <v>3.7399999999999998E-4</v>
      </c>
      <c r="D895" s="815">
        <v>3.7060000000000001E-4</v>
      </c>
      <c r="E895" s="816">
        <v>887256</v>
      </c>
      <c r="F895" s="816"/>
      <c r="G895" s="817">
        <v>136883</v>
      </c>
      <c r="H895" s="818">
        <v>121794</v>
      </c>
      <c r="I895" s="817">
        <v>235443</v>
      </c>
      <c r="J895" s="816">
        <v>26836</v>
      </c>
      <c r="K895" s="818">
        <f t="shared" si="32"/>
        <v>520956</v>
      </c>
      <c r="L895" s="816"/>
      <c r="M895" s="817">
        <v>4593</v>
      </c>
      <c r="N895" s="817">
        <v>0</v>
      </c>
      <c r="O895" s="816">
        <v>3834</v>
      </c>
      <c r="P895" s="818">
        <f t="shared" si="33"/>
        <v>8427</v>
      </c>
      <c r="Q895" s="816"/>
      <c r="R895" s="817">
        <v>246456</v>
      </c>
      <c r="S895" s="816">
        <v>12349</v>
      </c>
      <c r="T895" s="819">
        <v>258805</v>
      </c>
    </row>
    <row r="896" spans="1:20" x14ac:dyDescent="0.25">
      <c r="A896" s="813">
        <v>99623</v>
      </c>
      <c r="B896" s="814" t="s">
        <v>4330</v>
      </c>
      <c r="C896" s="815">
        <v>3.4799999999999999E-5</v>
      </c>
      <c r="D896" s="815">
        <v>2.6400000000000001E-5</v>
      </c>
      <c r="E896" s="816">
        <v>82558</v>
      </c>
      <c r="F896" s="816"/>
      <c r="G896" s="817">
        <v>12737</v>
      </c>
      <c r="H896" s="818">
        <v>11333</v>
      </c>
      <c r="I896" s="817">
        <v>21908</v>
      </c>
      <c r="J896" s="816">
        <v>1303</v>
      </c>
      <c r="K896" s="818">
        <f t="shared" si="32"/>
        <v>47281</v>
      </c>
      <c r="L896" s="816"/>
      <c r="M896" s="817">
        <v>427</v>
      </c>
      <c r="N896" s="817">
        <v>0</v>
      </c>
      <c r="O896" s="816">
        <v>2046</v>
      </c>
      <c r="P896" s="818">
        <f t="shared" si="33"/>
        <v>2473</v>
      </c>
      <c r="Q896" s="816"/>
      <c r="R896" s="817">
        <v>22932</v>
      </c>
      <c r="S896" s="816">
        <v>311</v>
      </c>
      <c r="T896" s="819">
        <v>23243</v>
      </c>
    </row>
    <row r="897" spans="1:20" x14ac:dyDescent="0.25">
      <c r="A897" s="813">
        <v>99631</v>
      </c>
      <c r="B897" s="814" t="s">
        <v>4331</v>
      </c>
      <c r="C897" s="815">
        <v>1.11E-4</v>
      </c>
      <c r="D897" s="815">
        <v>1.102E-4</v>
      </c>
      <c r="E897" s="816">
        <v>263330</v>
      </c>
      <c r="F897" s="816"/>
      <c r="G897" s="817">
        <v>40626</v>
      </c>
      <c r="H897" s="818">
        <v>36148</v>
      </c>
      <c r="I897" s="817">
        <v>69878</v>
      </c>
      <c r="J897" s="816">
        <v>803</v>
      </c>
      <c r="K897" s="818">
        <f t="shared" si="32"/>
        <v>147455</v>
      </c>
      <c r="L897" s="816"/>
      <c r="M897" s="817">
        <v>1363</v>
      </c>
      <c r="N897" s="817">
        <v>0</v>
      </c>
      <c r="O897" s="816">
        <v>2497</v>
      </c>
      <c r="P897" s="818">
        <f t="shared" si="33"/>
        <v>3860</v>
      </c>
      <c r="Q897" s="816"/>
      <c r="R897" s="817">
        <v>73146</v>
      </c>
      <c r="S897" s="816">
        <v>-4302</v>
      </c>
      <c r="T897" s="819">
        <v>68844</v>
      </c>
    </row>
    <row r="898" spans="1:20" x14ac:dyDescent="0.25">
      <c r="A898" s="813">
        <v>99651</v>
      </c>
      <c r="B898" s="814" t="s">
        <v>4332</v>
      </c>
      <c r="C898" s="815">
        <v>5.7000000000000003E-5</v>
      </c>
      <c r="D898" s="815">
        <v>6.7199999999999994E-5</v>
      </c>
      <c r="E898" s="816">
        <v>135223</v>
      </c>
      <c r="F898" s="816"/>
      <c r="G898" s="817">
        <v>20862</v>
      </c>
      <c r="H898" s="818">
        <v>18562</v>
      </c>
      <c r="I898" s="817">
        <v>35883</v>
      </c>
      <c r="J898" s="816">
        <v>3097</v>
      </c>
      <c r="K898" s="818">
        <f t="shared" si="32"/>
        <v>78404</v>
      </c>
      <c r="L898" s="816"/>
      <c r="M898" s="817">
        <v>700</v>
      </c>
      <c r="N898" s="817">
        <v>0</v>
      </c>
      <c r="O898" s="816">
        <v>6539</v>
      </c>
      <c r="P898" s="818">
        <f t="shared" si="33"/>
        <v>7239</v>
      </c>
      <c r="Q898" s="816"/>
      <c r="R898" s="817">
        <v>37561</v>
      </c>
      <c r="S898" s="816">
        <v>-227</v>
      </c>
      <c r="T898" s="819">
        <v>37334</v>
      </c>
    </row>
    <row r="899" spans="1:20" x14ac:dyDescent="0.25">
      <c r="A899" s="813">
        <v>99661</v>
      </c>
      <c r="B899" s="814" t="s">
        <v>4333</v>
      </c>
      <c r="C899" s="815">
        <v>2.5999999999999998E-5</v>
      </c>
      <c r="D899" s="815">
        <v>3.26E-5</v>
      </c>
      <c r="E899" s="816">
        <v>61681</v>
      </c>
      <c r="F899" s="816"/>
      <c r="G899" s="817">
        <v>9516</v>
      </c>
      <c r="H899" s="818">
        <v>8467</v>
      </c>
      <c r="I899" s="817">
        <v>16368</v>
      </c>
      <c r="J899" s="816">
        <v>41516</v>
      </c>
      <c r="K899" s="818">
        <f t="shared" si="32"/>
        <v>75867</v>
      </c>
      <c r="L899" s="816"/>
      <c r="M899" s="817">
        <v>319</v>
      </c>
      <c r="N899" s="817">
        <v>0</v>
      </c>
      <c r="O899" s="816">
        <v>0</v>
      </c>
      <c r="P899" s="818">
        <f t="shared" si="33"/>
        <v>319</v>
      </c>
      <c r="Q899" s="816"/>
      <c r="R899" s="817">
        <v>17133</v>
      </c>
      <c r="S899" s="816">
        <v>17737</v>
      </c>
      <c r="T899" s="819">
        <v>34870</v>
      </c>
    </row>
    <row r="900" spans="1:20" x14ac:dyDescent="0.25">
      <c r="A900" s="813">
        <v>99701</v>
      </c>
      <c r="B900" s="814" t="s">
        <v>3414</v>
      </c>
      <c r="C900" s="815">
        <v>2.9659E-3</v>
      </c>
      <c r="D900" s="815">
        <v>2.9190000000000002E-3</v>
      </c>
      <c r="E900" s="816">
        <v>7036129</v>
      </c>
      <c r="F900" s="816"/>
      <c r="G900" s="817">
        <v>1085508</v>
      </c>
      <c r="H900" s="818">
        <v>965851</v>
      </c>
      <c r="I900" s="817">
        <v>1867117</v>
      </c>
      <c r="J900" s="816">
        <v>11285</v>
      </c>
      <c r="K900" s="818">
        <f t="shared" si="32"/>
        <v>3929761</v>
      </c>
      <c r="L900" s="816"/>
      <c r="M900" s="817">
        <v>36424</v>
      </c>
      <c r="N900" s="817">
        <v>0</v>
      </c>
      <c r="O900" s="816">
        <v>20475</v>
      </c>
      <c r="P900" s="818">
        <f t="shared" si="33"/>
        <v>56899</v>
      </c>
      <c r="Q900" s="816"/>
      <c r="R900" s="817">
        <v>1954448</v>
      </c>
      <c r="S900" s="816">
        <v>-5521</v>
      </c>
      <c r="T900" s="819">
        <v>1948927</v>
      </c>
    </row>
    <row r="901" spans="1:20" x14ac:dyDescent="0.25">
      <c r="A901" s="813">
        <v>99705</v>
      </c>
      <c r="B901" s="814" t="s">
        <v>3415</v>
      </c>
      <c r="C901" s="815">
        <v>1.6349999999999999E-4</v>
      </c>
      <c r="D901" s="815">
        <v>1.7229999999999999E-4</v>
      </c>
      <c r="E901" s="816">
        <v>387878</v>
      </c>
      <c r="F901" s="816"/>
      <c r="G901" s="817">
        <v>59840</v>
      </c>
      <c r="H901" s="818">
        <v>53244</v>
      </c>
      <c r="I901" s="817">
        <v>102928</v>
      </c>
      <c r="J901" s="816">
        <v>9123</v>
      </c>
      <c r="K901" s="818">
        <f t="shared" si="32"/>
        <v>225135</v>
      </c>
      <c r="L901" s="816"/>
      <c r="M901" s="817">
        <v>2008</v>
      </c>
      <c r="N901" s="817">
        <v>0</v>
      </c>
      <c r="O901" s="816">
        <v>244</v>
      </c>
      <c r="P901" s="818">
        <f t="shared" si="33"/>
        <v>2252</v>
      </c>
      <c r="Q901" s="816"/>
      <c r="R901" s="817">
        <v>107742</v>
      </c>
      <c r="S901" s="816">
        <v>6947</v>
      </c>
      <c r="T901" s="819">
        <v>114689</v>
      </c>
    </row>
    <row r="902" spans="1:20" x14ac:dyDescent="0.25">
      <c r="A902" s="813">
        <v>99711</v>
      </c>
      <c r="B902" s="814" t="s">
        <v>4334</v>
      </c>
      <c r="C902" s="815">
        <v>4.462E-4</v>
      </c>
      <c r="D902" s="815">
        <v>4.5459999999999999E-4</v>
      </c>
      <c r="E902" s="816">
        <v>1058539</v>
      </c>
      <c r="F902" s="816"/>
      <c r="G902" s="817">
        <v>163307</v>
      </c>
      <c r="H902" s="818">
        <v>145306</v>
      </c>
      <c r="I902" s="817">
        <v>280895</v>
      </c>
      <c r="J902" s="816">
        <v>10132</v>
      </c>
      <c r="K902" s="818">
        <f t="shared" si="32"/>
        <v>599640</v>
      </c>
      <c r="L902" s="816"/>
      <c r="M902" s="817">
        <v>5480</v>
      </c>
      <c r="N902" s="817">
        <v>0</v>
      </c>
      <c r="O902" s="816">
        <v>5402</v>
      </c>
      <c r="P902" s="818">
        <f t="shared" si="33"/>
        <v>10882</v>
      </c>
      <c r="Q902" s="816"/>
      <c r="R902" s="817">
        <v>294034</v>
      </c>
      <c r="S902" s="816">
        <v>-1088</v>
      </c>
      <c r="T902" s="819">
        <v>292946</v>
      </c>
    </row>
    <row r="903" spans="1:20" x14ac:dyDescent="0.25">
      <c r="A903" s="813">
        <v>99717</v>
      </c>
      <c r="B903" s="814" t="s">
        <v>4335</v>
      </c>
      <c r="C903" s="815">
        <v>2.1800000000000001E-5</v>
      </c>
      <c r="D903" s="815">
        <v>2.19E-5</v>
      </c>
      <c r="E903" s="816">
        <v>51717</v>
      </c>
      <c r="F903" s="816"/>
      <c r="G903" s="817">
        <v>7979</v>
      </c>
      <c r="H903" s="818">
        <v>7099</v>
      </c>
      <c r="I903" s="817">
        <v>13724</v>
      </c>
      <c r="J903" s="816">
        <v>0</v>
      </c>
      <c r="K903" s="818">
        <f t="shared" si="32"/>
        <v>28802</v>
      </c>
      <c r="L903" s="816"/>
      <c r="M903" s="817">
        <v>268</v>
      </c>
      <c r="N903" s="817">
        <v>0</v>
      </c>
      <c r="O903" s="816">
        <v>4093</v>
      </c>
      <c r="P903" s="818">
        <f t="shared" si="33"/>
        <v>4361</v>
      </c>
      <c r="Q903" s="816"/>
      <c r="R903" s="817">
        <v>14366</v>
      </c>
      <c r="S903" s="816">
        <v>-1627</v>
      </c>
      <c r="T903" s="819">
        <v>12739</v>
      </c>
    </row>
    <row r="904" spans="1:20" x14ac:dyDescent="0.25">
      <c r="A904" s="813">
        <v>99721</v>
      </c>
      <c r="B904" s="814" t="s">
        <v>4336</v>
      </c>
      <c r="C904" s="815">
        <v>5.886E-4</v>
      </c>
      <c r="D904" s="815">
        <v>5.7779999999999995E-4</v>
      </c>
      <c r="E904" s="816">
        <v>1396361</v>
      </c>
      <c r="F904" s="816"/>
      <c r="G904" s="817">
        <v>215425</v>
      </c>
      <c r="H904" s="818">
        <v>191679</v>
      </c>
      <c r="I904" s="817">
        <v>370540</v>
      </c>
      <c r="J904" s="816">
        <v>0</v>
      </c>
      <c r="K904" s="818">
        <f t="shared" si="32"/>
        <v>777644</v>
      </c>
      <c r="L904" s="816"/>
      <c r="M904" s="817">
        <v>7229</v>
      </c>
      <c r="N904" s="817">
        <v>0</v>
      </c>
      <c r="O904" s="816">
        <v>40498</v>
      </c>
      <c r="P904" s="818">
        <f t="shared" si="33"/>
        <v>47727</v>
      </c>
      <c r="Q904" s="816"/>
      <c r="R904" s="817">
        <v>387872</v>
      </c>
      <c r="S904" s="816">
        <v>-15685</v>
      </c>
      <c r="T904" s="819">
        <v>372187</v>
      </c>
    </row>
    <row r="905" spans="1:20" x14ac:dyDescent="0.25">
      <c r="A905" s="813">
        <v>99727</v>
      </c>
      <c r="B905" s="814" t="s">
        <v>3419</v>
      </c>
      <c r="C905" s="815">
        <v>2.2099999999999998E-5</v>
      </c>
      <c r="D905" s="815">
        <v>2.3900000000000002E-5</v>
      </c>
      <c r="E905" s="816">
        <v>52429</v>
      </c>
      <c r="F905" s="816"/>
      <c r="G905" s="817">
        <v>8089</v>
      </c>
      <c r="H905" s="818">
        <v>7197</v>
      </c>
      <c r="I905" s="817">
        <v>13913</v>
      </c>
      <c r="J905" s="816">
        <v>68017</v>
      </c>
      <c r="K905" s="818">
        <f t="shared" si="32"/>
        <v>97216</v>
      </c>
      <c r="L905" s="816"/>
      <c r="M905" s="817">
        <v>271</v>
      </c>
      <c r="N905" s="817">
        <v>0</v>
      </c>
      <c r="O905" s="816">
        <v>0</v>
      </c>
      <c r="P905" s="818">
        <f t="shared" si="33"/>
        <v>271</v>
      </c>
      <c r="Q905" s="816"/>
      <c r="R905" s="817">
        <v>14563</v>
      </c>
      <c r="S905" s="816">
        <v>28353</v>
      </c>
      <c r="T905" s="819">
        <v>42916</v>
      </c>
    </row>
    <row r="906" spans="1:20" x14ac:dyDescent="0.25">
      <c r="A906" s="813">
        <v>99801</v>
      </c>
      <c r="B906" s="814" t="s">
        <v>3420</v>
      </c>
      <c r="C906" s="815">
        <v>4.9709000000000003E-3</v>
      </c>
      <c r="D906" s="815">
        <v>5.1866000000000004E-3</v>
      </c>
      <c r="E906" s="816">
        <v>11792675</v>
      </c>
      <c r="F906" s="816"/>
      <c r="G906" s="817">
        <v>1819330</v>
      </c>
      <c r="H906" s="818">
        <v>1618783</v>
      </c>
      <c r="I906" s="817">
        <v>3129321</v>
      </c>
      <c r="J906" s="816">
        <v>0</v>
      </c>
      <c r="K906" s="818">
        <f t="shared" si="32"/>
        <v>6567434</v>
      </c>
      <c r="L906" s="816"/>
      <c r="M906" s="817">
        <v>61048</v>
      </c>
      <c r="N906" s="817">
        <v>0</v>
      </c>
      <c r="O906" s="816">
        <v>343453</v>
      </c>
      <c r="P906" s="818">
        <f t="shared" si="33"/>
        <v>404501</v>
      </c>
      <c r="Q906" s="816"/>
      <c r="R906" s="817">
        <v>3275689</v>
      </c>
      <c r="S906" s="816">
        <v>-89773</v>
      </c>
      <c r="T906" s="819">
        <v>3185916</v>
      </c>
    </row>
    <row r="907" spans="1:20" x14ac:dyDescent="0.25">
      <c r="A907" s="813">
        <v>99802</v>
      </c>
      <c r="B907" s="814" t="s">
        <v>4337</v>
      </c>
      <c r="C907" s="815">
        <v>1.19E-5</v>
      </c>
      <c r="D907" s="815">
        <v>6.0000000000000002E-6</v>
      </c>
      <c r="E907" s="816">
        <v>28231</v>
      </c>
      <c r="F907" s="816"/>
      <c r="G907" s="817">
        <v>4355</v>
      </c>
      <c r="H907" s="818">
        <v>3875</v>
      </c>
      <c r="I907" s="817">
        <v>7491</v>
      </c>
      <c r="J907" s="816">
        <v>5957</v>
      </c>
      <c r="K907" s="818">
        <f t="shared" si="32"/>
        <v>21678</v>
      </c>
      <c r="L907" s="816"/>
      <c r="M907" s="817">
        <v>146</v>
      </c>
      <c r="N907" s="817">
        <v>0</v>
      </c>
      <c r="O907" s="816">
        <v>0</v>
      </c>
      <c r="P907" s="818">
        <f t="shared" si="33"/>
        <v>146</v>
      </c>
      <c r="Q907" s="816"/>
      <c r="R907" s="817">
        <v>7842</v>
      </c>
      <c r="S907" s="816">
        <v>1575</v>
      </c>
      <c r="T907" s="819">
        <v>9417</v>
      </c>
    </row>
    <row r="908" spans="1:20" x14ac:dyDescent="0.25">
      <c r="A908" s="813">
        <v>99804</v>
      </c>
      <c r="B908" s="814" t="s">
        <v>3422</v>
      </c>
      <c r="C908" s="815">
        <v>8.1000000000000004E-5</v>
      </c>
      <c r="D908" s="815">
        <v>9.0500000000000004E-5</v>
      </c>
      <c r="E908" s="816">
        <v>192160</v>
      </c>
      <c r="F908" s="816"/>
      <c r="G908" s="817">
        <v>29646</v>
      </c>
      <c r="H908" s="818">
        <v>26377</v>
      </c>
      <c r="I908" s="817">
        <v>50992</v>
      </c>
      <c r="J908" s="816">
        <v>8772</v>
      </c>
      <c r="K908" s="818">
        <f t="shared" si="32"/>
        <v>115787</v>
      </c>
      <c r="L908" s="816"/>
      <c r="M908" s="817">
        <v>995</v>
      </c>
      <c r="N908" s="817">
        <v>0</v>
      </c>
      <c r="O908" s="816">
        <v>129</v>
      </c>
      <c r="P908" s="818">
        <f t="shared" si="33"/>
        <v>1124</v>
      </c>
      <c r="Q908" s="816"/>
      <c r="R908" s="817">
        <v>53377</v>
      </c>
      <c r="S908" s="816">
        <v>4885</v>
      </c>
      <c r="T908" s="819">
        <v>58262</v>
      </c>
    </row>
    <row r="909" spans="1:20" x14ac:dyDescent="0.25">
      <c r="A909" s="813">
        <v>99811</v>
      </c>
      <c r="B909" s="814" t="s">
        <v>4338</v>
      </c>
      <c r="C909" s="815">
        <v>6.4733000000000004E-3</v>
      </c>
      <c r="D909" s="815">
        <v>6.7026999999999998E-3</v>
      </c>
      <c r="E909" s="816">
        <v>15356881</v>
      </c>
      <c r="F909" s="816"/>
      <c r="G909" s="817">
        <v>2369202</v>
      </c>
      <c r="H909" s="818">
        <v>2108043</v>
      </c>
      <c r="I909" s="817">
        <v>4075124</v>
      </c>
      <c r="J909" s="816">
        <v>0</v>
      </c>
      <c r="K909" s="818">
        <f t="shared" si="32"/>
        <v>8552369</v>
      </c>
      <c r="L909" s="816"/>
      <c r="M909" s="817">
        <v>79499</v>
      </c>
      <c r="N909" s="817">
        <v>0</v>
      </c>
      <c r="O909" s="816">
        <v>605474</v>
      </c>
      <c r="P909" s="818">
        <f t="shared" si="33"/>
        <v>684973</v>
      </c>
      <c r="Q909" s="816"/>
      <c r="R909" s="817">
        <v>4265730</v>
      </c>
      <c r="S909" s="816">
        <v>-297315</v>
      </c>
      <c r="T909" s="819">
        <v>3968415</v>
      </c>
    </row>
    <row r="910" spans="1:20" x14ac:dyDescent="0.25">
      <c r="A910" s="813">
        <v>99812</v>
      </c>
      <c r="B910" s="814" t="s">
        <v>3424</v>
      </c>
      <c r="C910" s="815">
        <v>1.9700000000000001E-5</v>
      </c>
      <c r="D910" s="815">
        <v>2.2099999999999998E-5</v>
      </c>
      <c r="E910" s="816">
        <v>46735</v>
      </c>
      <c r="F910" s="816"/>
      <c r="G910" s="817">
        <v>7210</v>
      </c>
      <c r="H910" s="818">
        <v>6415</v>
      </c>
      <c r="I910" s="817">
        <v>12402</v>
      </c>
      <c r="J910" s="816">
        <v>15128</v>
      </c>
      <c r="K910" s="818">
        <f t="shared" si="32"/>
        <v>41155</v>
      </c>
      <c r="L910" s="816"/>
      <c r="M910" s="817">
        <v>242</v>
      </c>
      <c r="N910" s="817">
        <v>0</v>
      </c>
      <c r="O910" s="816">
        <v>0</v>
      </c>
      <c r="P910" s="818">
        <f t="shared" si="33"/>
        <v>242</v>
      </c>
      <c r="Q910" s="816"/>
      <c r="R910" s="817">
        <v>12982</v>
      </c>
      <c r="S910" s="816">
        <v>6159</v>
      </c>
      <c r="T910" s="819">
        <v>19141</v>
      </c>
    </row>
    <row r="911" spans="1:20" x14ac:dyDescent="0.25">
      <c r="A911" s="813">
        <v>99818</v>
      </c>
      <c r="B911" s="814" t="s">
        <v>4339</v>
      </c>
      <c r="C911" s="815">
        <v>3.3399999999999999E-5</v>
      </c>
      <c r="D911" s="815">
        <v>3.1600000000000002E-5</v>
      </c>
      <c r="E911" s="816">
        <v>79236</v>
      </c>
      <c r="F911" s="816"/>
      <c r="G911" s="817">
        <v>12224</v>
      </c>
      <c r="H911" s="818">
        <v>10877</v>
      </c>
      <c r="I911" s="817">
        <v>21026</v>
      </c>
      <c r="J911" s="816">
        <v>554</v>
      </c>
      <c r="K911" s="818">
        <f t="shared" si="32"/>
        <v>44681</v>
      </c>
      <c r="L911" s="816"/>
      <c r="M911" s="817">
        <v>410</v>
      </c>
      <c r="N911" s="817">
        <v>0</v>
      </c>
      <c r="O911" s="816">
        <v>5622</v>
      </c>
      <c r="P911" s="818">
        <f t="shared" si="33"/>
        <v>6032</v>
      </c>
      <c r="Q911" s="816"/>
      <c r="R911" s="817">
        <v>22010</v>
      </c>
      <c r="S911" s="816">
        <v>419</v>
      </c>
      <c r="T911" s="819">
        <v>22429</v>
      </c>
    </row>
    <row r="912" spans="1:20" x14ac:dyDescent="0.25">
      <c r="A912" s="813">
        <v>99821</v>
      </c>
      <c r="B912" s="814" t="s">
        <v>4340</v>
      </c>
      <c r="C912" s="815">
        <v>9.2899999999999995E-5</v>
      </c>
      <c r="D912" s="815">
        <v>9.1100000000000005E-5</v>
      </c>
      <c r="E912" s="816">
        <v>220391</v>
      </c>
      <c r="F912" s="816"/>
      <c r="G912" s="817">
        <v>34001</v>
      </c>
      <c r="H912" s="818">
        <v>30253</v>
      </c>
      <c r="I912" s="817">
        <v>58483</v>
      </c>
      <c r="J912" s="816">
        <v>16591</v>
      </c>
      <c r="K912" s="818">
        <f t="shared" si="32"/>
        <v>139328</v>
      </c>
      <c r="L912" s="816"/>
      <c r="M912" s="817">
        <v>1141</v>
      </c>
      <c r="N912" s="817">
        <v>0</v>
      </c>
      <c r="O912" s="816">
        <v>250</v>
      </c>
      <c r="P912" s="818">
        <f t="shared" si="33"/>
        <v>1391</v>
      </c>
      <c r="Q912" s="816"/>
      <c r="R912" s="817">
        <v>61219</v>
      </c>
      <c r="S912" s="816">
        <v>11230</v>
      </c>
      <c r="T912" s="819">
        <v>72449</v>
      </c>
    </row>
    <row r="913" spans="1:20" x14ac:dyDescent="0.25">
      <c r="A913" s="813">
        <v>99831</v>
      </c>
      <c r="B913" s="814" t="s">
        <v>4341</v>
      </c>
      <c r="C913" s="815">
        <v>4.9700000000000002E-5</v>
      </c>
      <c r="D913" s="815">
        <v>6.3299999999999994E-5</v>
      </c>
      <c r="E913" s="816">
        <v>117905</v>
      </c>
      <c r="F913" s="816"/>
      <c r="G913" s="817">
        <v>18190</v>
      </c>
      <c r="H913" s="818">
        <v>16185</v>
      </c>
      <c r="I913" s="817">
        <v>31288</v>
      </c>
      <c r="J913" s="816">
        <v>4819</v>
      </c>
      <c r="K913" s="818">
        <f t="shared" si="32"/>
        <v>70482</v>
      </c>
      <c r="L913" s="816"/>
      <c r="M913" s="817">
        <v>610</v>
      </c>
      <c r="N913" s="817">
        <v>0</v>
      </c>
      <c r="O913" s="816">
        <v>7455</v>
      </c>
      <c r="P913" s="818">
        <f t="shared" si="33"/>
        <v>8065</v>
      </c>
      <c r="Q913" s="816"/>
      <c r="R913" s="817">
        <v>32751</v>
      </c>
      <c r="S913" s="816">
        <v>103</v>
      </c>
      <c r="T913" s="819">
        <v>32854</v>
      </c>
    </row>
    <row r="914" spans="1:20" x14ac:dyDescent="0.25">
      <c r="A914" s="813">
        <v>99841</v>
      </c>
      <c r="B914" s="814" t="s">
        <v>4342</v>
      </c>
      <c r="C914" s="815">
        <v>3.2199999999999997E-5</v>
      </c>
      <c r="D914" s="815">
        <v>4.3399999999999998E-5</v>
      </c>
      <c r="E914" s="816">
        <v>76389</v>
      </c>
      <c r="F914" s="816"/>
      <c r="G914" s="817">
        <v>11785</v>
      </c>
      <c r="H914" s="818">
        <v>10486</v>
      </c>
      <c r="I914" s="817">
        <v>20271</v>
      </c>
      <c r="J914" s="816">
        <v>574</v>
      </c>
      <c r="K914" s="818">
        <f t="shared" si="32"/>
        <v>43116</v>
      </c>
      <c r="L914" s="816"/>
      <c r="M914" s="817">
        <v>395</v>
      </c>
      <c r="N914" s="817">
        <v>0</v>
      </c>
      <c r="O914" s="816">
        <v>8879</v>
      </c>
      <c r="P914" s="818">
        <f t="shared" si="33"/>
        <v>9274</v>
      </c>
      <c r="Q914" s="816"/>
      <c r="R914" s="817">
        <v>21219</v>
      </c>
      <c r="S914" s="816">
        <v>-2883</v>
      </c>
      <c r="T914" s="819">
        <v>18336</v>
      </c>
    </row>
    <row r="915" spans="1:20" x14ac:dyDescent="0.25">
      <c r="A915" s="813">
        <v>99851</v>
      </c>
      <c r="B915" s="814" t="s">
        <v>4343</v>
      </c>
      <c r="C915" s="815">
        <v>2.34E-5</v>
      </c>
      <c r="D915" s="815">
        <v>2.23E-5</v>
      </c>
      <c r="E915" s="816">
        <v>55513</v>
      </c>
      <c r="F915" s="816"/>
      <c r="G915" s="817">
        <v>8564</v>
      </c>
      <c r="H915" s="818">
        <v>7620</v>
      </c>
      <c r="I915" s="817">
        <v>14731</v>
      </c>
      <c r="J915" s="816">
        <v>65</v>
      </c>
      <c r="K915" s="818">
        <f t="shared" si="32"/>
        <v>30980</v>
      </c>
      <c r="L915" s="816"/>
      <c r="M915" s="817">
        <v>287</v>
      </c>
      <c r="N915" s="817">
        <v>0</v>
      </c>
      <c r="O915" s="816">
        <v>4221</v>
      </c>
      <c r="P915" s="818">
        <f t="shared" si="33"/>
        <v>4508</v>
      </c>
      <c r="Q915" s="816"/>
      <c r="R915" s="817">
        <v>15420</v>
      </c>
      <c r="S915" s="816">
        <v>-1336</v>
      </c>
      <c r="T915" s="819">
        <v>14084</v>
      </c>
    </row>
    <row r="916" spans="1:20" x14ac:dyDescent="0.25">
      <c r="A916" s="813">
        <v>99901</v>
      </c>
      <c r="B916" s="814" t="s">
        <v>3430</v>
      </c>
      <c r="C916" s="815">
        <v>1.5693E-3</v>
      </c>
      <c r="D916" s="815">
        <v>1.6707E-3</v>
      </c>
      <c r="E916" s="816">
        <v>3722916</v>
      </c>
      <c r="F916" s="816"/>
      <c r="G916" s="817">
        <v>574358</v>
      </c>
      <c r="H916" s="818">
        <v>511045</v>
      </c>
      <c r="I916" s="817">
        <v>987918</v>
      </c>
      <c r="J916" s="816">
        <v>38150</v>
      </c>
      <c r="K916" s="818">
        <f t="shared" si="32"/>
        <v>2111471</v>
      </c>
      <c r="L916" s="816"/>
      <c r="M916" s="817">
        <v>19273</v>
      </c>
      <c r="N916" s="817">
        <v>0</v>
      </c>
      <c r="O916" s="816">
        <v>80037</v>
      </c>
      <c r="P916" s="818">
        <f t="shared" si="33"/>
        <v>99310</v>
      </c>
      <c r="Q916" s="816"/>
      <c r="R916" s="817">
        <v>1034126</v>
      </c>
      <c r="S916" s="816">
        <v>-6774</v>
      </c>
      <c r="T916" s="819">
        <v>1027352</v>
      </c>
    </row>
    <row r="917" spans="1:20" x14ac:dyDescent="0.25">
      <c r="A917" s="813">
        <v>99911</v>
      </c>
      <c r="B917" s="814" t="s">
        <v>4344</v>
      </c>
      <c r="C917" s="815">
        <v>2.3900000000000001E-4</v>
      </c>
      <c r="D917" s="815">
        <v>2.5980000000000003E-4</v>
      </c>
      <c r="E917" s="816">
        <v>566990</v>
      </c>
      <c r="F917" s="816"/>
      <c r="G917" s="817">
        <v>87473</v>
      </c>
      <c r="H917" s="818">
        <v>77831</v>
      </c>
      <c r="I917" s="817">
        <v>150457</v>
      </c>
      <c r="J917" s="816">
        <v>4825</v>
      </c>
      <c r="K917" s="818">
        <f t="shared" si="32"/>
        <v>320586</v>
      </c>
      <c r="L917" s="816"/>
      <c r="M917" s="817">
        <v>2935</v>
      </c>
      <c r="N917" s="817">
        <v>0</v>
      </c>
      <c r="O917" s="816">
        <v>11799</v>
      </c>
      <c r="P917" s="818">
        <f t="shared" si="33"/>
        <v>14734</v>
      </c>
      <c r="Q917" s="816"/>
      <c r="R917" s="817">
        <v>157495</v>
      </c>
      <c r="S917" s="816">
        <v>-7207</v>
      </c>
      <c r="T917" s="819">
        <v>150288</v>
      </c>
    </row>
    <row r="918" spans="1:20" x14ac:dyDescent="0.25">
      <c r="A918" s="813">
        <v>99921</v>
      </c>
      <c r="B918" s="814" t="s">
        <v>4345</v>
      </c>
      <c r="C918" s="815">
        <v>1.3119999999999999E-4</v>
      </c>
      <c r="D918" s="815">
        <v>1.506E-4</v>
      </c>
      <c r="E918" s="816">
        <v>311251</v>
      </c>
      <c r="F918" s="816"/>
      <c r="G918" s="817">
        <v>48019</v>
      </c>
      <c r="H918" s="818">
        <v>42726</v>
      </c>
      <c r="I918" s="817">
        <v>82594</v>
      </c>
      <c r="J918" s="816">
        <v>1708</v>
      </c>
      <c r="K918" s="818">
        <f t="shared" si="32"/>
        <v>175047</v>
      </c>
      <c r="L918" s="816"/>
      <c r="M918" s="817">
        <v>1611</v>
      </c>
      <c r="N918" s="817">
        <v>0</v>
      </c>
      <c r="O918" s="816">
        <v>19558</v>
      </c>
      <c r="P918" s="818">
        <f t="shared" si="33"/>
        <v>21169</v>
      </c>
      <c r="Q918" s="816"/>
      <c r="R918" s="817">
        <v>86457</v>
      </c>
      <c r="S918" s="816">
        <v>-7225</v>
      </c>
      <c r="T918" s="819">
        <v>79232</v>
      </c>
    </row>
    <row r="919" spans="1:20" x14ac:dyDescent="0.25">
      <c r="A919" s="813">
        <v>99931</v>
      </c>
      <c r="B919" s="814" t="s">
        <v>4346</v>
      </c>
      <c r="C919" s="815">
        <v>1.52E-5</v>
      </c>
      <c r="D919" s="815">
        <v>1.5800000000000001E-5</v>
      </c>
      <c r="E919" s="816">
        <v>36060</v>
      </c>
      <c r="F919" s="816"/>
      <c r="G919" s="817">
        <v>5563</v>
      </c>
      <c r="H919" s="818">
        <v>4950</v>
      </c>
      <c r="I919" s="817">
        <v>9569</v>
      </c>
      <c r="J919" s="816">
        <v>1614</v>
      </c>
      <c r="K919" s="818">
        <f t="shared" ref="K919:K923" si="34">G919+H919+I919+J919</f>
        <v>21696</v>
      </c>
      <c r="L919" s="816"/>
      <c r="M919" s="817">
        <v>187</v>
      </c>
      <c r="N919" s="817">
        <v>0</v>
      </c>
      <c r="O919" s="816">
        <v>5213</v>
      </c>
      <c r="P919" s="818">
        <f t="shared" ref="P919:P923" si="35">M919+N919+O919</f>
        <v>5400</v>
      </c>
      <c r="Q919" s="816"/>
      <c r="R919" s="817">
        <v>10016</v>
      </c>
      <c r="S919" s="816">
        <v>-2861</v>
      </c>
      <c r="T919" s="819">
        <v>7155</v>
      </c>
    </row>
    <row r="920" spans="1:20" x14ac:dyDescent="0.25">
      <c r="A920" s="813">
        <v>99941</v>
      </c>
      <c r="B920" s="814" t="s">
        <v>4347</v>
      </c>
      <c r="C920" s="815">
        <v>7.4200000000000001E-5</v>
      </c>
      <c r="D920" s="815">
        <v>7.5400000000000003E-5</v>
      </c>
      <c r="E920" s="816">
        <v>176028</v>
      </c>
      <c r="F920" s="816"/>
      <c r="G920" s="817">
        <v>27157</v>
      </c>
      <c r="H920" s="818">
        <v>24164</v>
      </c>
      <c r="I920" s="817">
        <v>46711</v>
      </c>
      <c r="J920" s="816">
        <v>0</v>
      </c>
      <c r="K920" s="818">
        <f t="shared" si="34"/>
        <v>98032</v>
      </c>
      <c r="L920" s="816"/>
      <c r="M920" s="817">
        <v>911</v>
      </c>
      <c r="N920" s="817">
        <v>0</v>
      </c>
      <c r="O920" s="816">
        <v>9131</v>
      </c>
      <c r="P920" s="818">
        <f t="shared" si="35"/>
        <v>10042</v>
      </c>
      <c r="Q920" s="816"/>
      <c r="R920" s="817">
        <v>48896</v>
      </c>
      <c r="S920" s="816">
        <v>-5026</v>
      </c>
      <c r="T920" s="819">
        <v>43870</v>
      </c>
    </row>
    <row r="921" spans="1:20" x14ac:dyDescent="0.25">
      <c r="A921" s="813">
        <v>99991</v>
      </c>
      <c r="B921" s="814" t="s">
        <v>3435</v>
      </c>
      <c r="C921" s="815">
        <v>5.2700000000000002E-4</v>
      </c>
      <c r="D921" s="815">
        <v>5.3450000000000004E-4</v>
      </c>
      <c r="E921" s="816">
        <v>1250224</v>
      </c>
      <c r="F921" s="816"/>
      <c r="G921" s="817">
        <v>192880</v>
      </c>
      <c r="H921" s="818">
        <v>171619</v>
      </c>
      <c r="I921" s="817">
        <v>331761</v>
      </c>
      <c r="J921" s="816">
        <v>9601</v>
      </c>
      <c r="K921" s="818">
        <f t="shared" si="34"/>
        <v>705861</v>
      </c>
      <c r="L921" s="816"/>
      <c r="M921" s="817">
        <v>6472</v>
      </c>
      <c r="N921" s="817">
        <v>0</v>
      </c>
      <c r="O921" s="816">
        <v>27621</v>
      </c>
      <c r="P921" s="818">
        <f t="shared" si="35"/>
        <v>34093</v>
      </c>
      <c r="Q921" s="816"/>
      <c r="R921" s="817">
        <v>347279</v>
      </c>
      <c r="S921" s="816">
        <v>10622</v>
      </c>
      <c r="T921" s="819">
        <v>357901</v>
      </c>
    </row>
    <row r="922" spans="1:20" x14ac:dyDescent="0.25">
      <c r="A922" s="813">
        <v>99999</v>
      </c>
      <c r="B922" s="814" t="s">
        <v>3436</v>
      </c>
      <c r="C922" s="815">
        <v>9.2020000000000003E-4</v>
      </c>
      <c r="D922" s="815">
        <v>8.7509999999999997E-4</v>
      </c>
      <c r="E922" s="816">
        <v>2183029</v>
      </c>
      <c r="F922" s="816"/>
      <c r="G922" s="817">
        <v>336790</v>
      </c>
      <c r="H922" s="818">
        <v>299665</v>
      </c>
      <c r="I922" s="817">
        <v>579292</v>
      </c>
      <c r="J922" s="816">
        <v>139284</v>
      </c>
      <c r="K922" s="818">
        <f t="shared" si="34"/>
        <v>1355031</v>
      </c>
      <c r="L922" s="816"/>
      <c r="M922" s="817">
        <v>11301</v>
      </c>
      <c r="N922" s="817">
        <v>0</v>
      </c>
      <c r="O922" s="816">
        <v>3425</v>
      </c>
      <c r="P922" s="818">
        <f t="shared" si="35"/>
        <v>14726</v>
      </c>
      <c r="Q922" s="816"/>
      <c r="R922" s="817">
        <v>606387</v>
      </c>
      <c r="S922" s="816">
        <v>34690</v>
      </c>
      <c r="T922" s="819">
        <v>641077</v>
      </c>
    </row>
    <row r="923" spans="1:20" s="827" customFormat="1" x14ac:dyDescent="0.25">
      <c r="A923" s="821" t="s">
        <v>2526</v>
      </c>
      <c r="B923" s="822" t="s">
        <v>4835</v>
      </c>
      <c r="C923" s="823">
        <v>2.7599999999999999E-4</v>
      </c>
      <c r="D923" s="823">
        <v>2.2699999999999999E-4</v>
      </c>
      <c r="E923" s="824">
        <v>654766</v>
      </c>
      <c r="F923" s="824" t="s">
        <v>185</v>
      </c>
      <c r="G923" s="825">
        <v>101015</v>
      </c>
      <c r="H923" s="825">
        <v>89880</v>
      </c>
      <c r="I923" s="825">
        <v>173750</v>
      </c>
      <c r="J923" s="824">
        <v>51648</v>
      </c>
      <c r="K923" s="825">
        <f t="shared" si="34"/>
        <v>416293</v>
      </c>
      <c r="L923" s="824"/>
      <c r="M923" s="825">
        <v>3390</v>
      </c>
      <c r="N923" s="825">
        <v>0</v>
      </c>
      <c r="O923" s="824">
        <v>10320</v>
      </c>
      <c r="P923" s="825">
        <f t="shared" si="35"/>
        <v>13710</v>
      </c>
      <c r="Q923" s="824"/>
      <c r="R923" s="825">
        <v>181877</v>
      </c>
      <c r="S923" s="824">
        <v>8885</v>
      </c>
      <c r="T923" s="826">
        <v>190762</v>
      </c>
    </row>
    <row r="924" spans="1:20" x14ac:dyDescent="0.25">
      <c r="A924" s="813"/>
      <c r="B924" s="814"/>
      <c r="C924" s="815"/>
      <c r="D924" s="830"/>
    </row>
    <row r="925" spans="1:20" s="839" customFormat="1" x14ac:dyDescent="0.25">
      <c r="A925" s="831"/>
      <c r="B925" s="832" t="s">
        <v>102</v>
      </c>
      <c r="C925" s="833">
        <f>SUM(C7:C922)-SUM(C248:C250)-SUM(C680:C681)-SUM(C790:C791)-SUM(C806:C807)</f>
        <v>1</v>
      </c>
      <c r="D925" s="833">
        <f>SUM(D7:D922)-SUM(D248:D250)-SUM(D680:D681)-SUM(D790:D791)-SUM(D806:D807)</f>
        <v>1</v>
      </c>
      <c r="E925" s="834">
        <f>SUM(E7:E922)-SUM(E248:E250)-SUM(E680:E681)-SUM(E790:E791)-SUM(E806:E807)</f>
        <v>2372341991</v>
      </c>
      <c r="F925" s="835"/>
      <c r="G925" s="835">
        <f>SUM(G7:G922)-SUM(G248:G250)-SUM(G680:G681)-SUM(G790:G791)-SUM(G806:G807)</f>
        <v>365996013</v>
      </c>
      <c r="H925" s="836">
        <f>SUM(H7:H922)-SUM(H248:H250)-SUM(H680:H681)-SUM(H790:H791)-SUM(H806:H807)</f>
        <v>325651977</v>
      </c>
      <c r="I925" s="835">
        <f>SUM(I7:I922)-SUM(I248:I250)-SUM(I680:I681)-SUM(I790:I791)-SUM(I806:I807)</f>
        <v>629527990</v>
      </c>
      <c r="J925" s="835">
        <f>SUM(J7:J922)-SUM(J248:J250)-SUM(J680:J681)-SUM(J790:J791)-SUM(J806:J807)</f>
        <v>39321171</v>
      </c>
      <c r="K925" s="836">
        <f>SUM(K7:K922)-SUM(K248:K250)-SUM(K680:K681)-SUM(K790:K791)-SUM(K806:K807)</f>
        <v>1360497151</v>
      </c>
      <c r="L925" s="835"/>
      <c r="M925" s="835">
        <f>SUM(M7:M922)-SUM(M248:M250)-SUM(M680:M681)-SUM(M790:M791)-SUM(M806:M807)</f>
        <v>12280987</v>
      </c>
      <c r="N925" s="835">
        <f>SUM(N7:N922)-SUM(N248:N250)-SUM(N680:N681)-SUM(N790:N791)-SUM(N806:N807)</f>
        <v>0</v>
      </c>
      <c r="O925" s="835">
        <f>SUM(O7:O922)-SUM(O248:O250)-SUM(O680:O681)-SUM(O790:O791)-SUM(O806:O807)</f>
        <v>39321083</v>
      </c>
      <c r="P925" s="837">
        <f>SUM(P7:P922)-SUM(P248:P250)-SUM(P680:P681)-SUM(P790:P791)-SUM(P806:P807)</f>
        <v>51602070</v>
      </c>
      <c r="Q925" s="838"/>
      <c r="R925" s="838">
        <f>SUM(R7:R922)-SUM(R248:R250)-SUM(R680:R681)-SUM(R790:R791)-SUM(R806:R807)</f>
        <v>658973009</v>
      </c>
      <c r="S925" s="838">
        <f>SUM(S7:S922)-SUM(S248:S250)-SUM(S680:S681)-SUM(S790:S791)-SUM(S806:S807)</f>
        <v>6</v>
      </c>
      <c r="T925" s="838">
        <f>SUM(T7:T922)-SUM(T248:T250)-SUM(T680:T681)-SUM(T790:T791)-SUM(T806:T807)</f>
        <v>658973015</v>
      </c>
    </row>
    <row r="926" spans="1:20" s="839" customFormat="1" x14ac:dyDescent="0.25">
      <c r="A926" s="831"/>
      <c r="B926" s="832" t="s">
        <v>4348</v>
      </c>
      <c r="C926" s="833">
        <v>1</v>
      </c>
      <c r="D926" s="833">
        <v>1</v>
      </c>
      <c r="E926" s="834">
        <v>2372341991</v>
      </c>
      <c r="F926" s="835"/>
      <c r="G926" s="835">
        <v>365996013</v>
      </c>
      <c r="H926" s="836">
        <v>325651977</v>
      </c>
      <c r="I926" s="835">
        <v>629527990</v>
      </c>
      <c r="J926" s="835">
        <v>39321171</v>
      </c>
      <c r="K926" s="836">
        <v>1360497151</v>
      </c>
      <c r="L926" s="835"/>
      <c r="M926" s="835">
        <v>12280987</v>
      </c>
      <c r="N926" s="835">
        <v>0</v>
      </c>
      <c r="O926" s="835">
        <v>39321083</v>
      </c>
      <c r="P926" s="837">
        <v>51602070</v>
      </c>
      <c r="Q926" s="838"/>
      <c r="R926" s="838">
        <v>658973009</v>
      </c>
      <c r="S926" s="838">
        <v>6</v>
      </c>
      <c r="T926" s="838">
        <v>658973015</v>
      </c>
    </row>
    <row r="927" spans="1:20" s="839" customFormat="1" x14ac:dyDescent="0.25">
      <c r="A927" s="831"/>
      <c r="B927" s="832"/>
      <c r="C927" s="815"/>
      <c r="D927" s="805"/>
      <c r="E927" s="835"/>
      <c r="F927" s="835"/>
      <c r="G927" s="838"/>
      <c r="H927" s="837"/>
      <c r="I927" s="838"/>
      <c r="J927" s="838"/>
      <c r="K927" s="837"/>
      <c r="L927" s="838"/>
      <c r="M927" s="838"/>
      <c r="N927" s="838"/>
      <c r="O927" s="838"/>
      <c r="P927" s="837"/>
      <c r="Q927" s="838"/>
      <c r="R927" s="838"/>
      <c r="S927" s="838"/>
      <c r="T927" s="838"/>
    </row>
    <row r="928" spans="1:20" x14ac:dyDescent="0.25">
      <c r="B928" s="820" t="s">
        <v>2094</v>
      </c>
      <c r="C928" s="840" t="s">
        <v>480</v>
      </c>
    </row>
    <row r="929" spans="1:16" x14ac:dyDescent="0.25">
      <c r="B929" s="859" t="s">
        <v>4835</v>
      </c>
      <c r="C929" s="840" t="s">
        <v>2526</v>
      </c>
    </row>
    <row r="930" spans="1:16" x14ac:dyDescent="0.25">
      <c r="A930" s="813"/>
      <c r="B930" s="841" t="s">
        <v>4349</v>
      </c>
      <c r="C930" s="813">
        <v>96331</v>
      </c>
      <c r="H930" s="805"/>
      <c r="K930" s="805"/>
      <c r="P930" s="805"/>
    </row>
    <row r="931" spans="1:16" x14ac:dyDescent="0.25">
      <c r="A931" s="813"/>
      <c r="B931" s="841" t="s">
        <v>4350</v>
      </c>
      <c r="C931" s="813">
        <v>94611</v>
      </c>
      <c r="H931" s="805"/>
      <c r="K931" s="805"/>
      <c r="P931" s="805"/>
    </row>
    <row r="932" spans="1:16" x14ac:dyDescent="0.25">
      <c r="A932" s="813"/>
      <c r="B932" s="841" t="s">
        <v>2861</v>
      </c>
      <c r="C932" s="813">
        <v>93402</v>
      </c>
      <c r="H932" s="805"/>
      <c r="K932" s="805"/>
      <c r="P932" s="805"/>
    </row>
    <row r="933" spans="1:16" x14ac:dyDescent="0.25">
      <c r="A933" s="813"/>
      <c r="B933" s="841" t="s">
        <v>4351</v>
      </c>
      <c r="C933" s="813">
        <v>90151</v>
      </c>
      <c r="H933" s="805"/>
      <c r="K933" s="805"/>
      <c r="P933" s="805"/>
    </row>
    <row r="934" spans="1:16" x14ac:dyDescent="0.25">
      <c r="A934" s="813"/>
      <c r="B934" s="841" t="s">
        <v>2925</v>
      </c>
      <c r="C934" s="813">
        <v>94109</v>
      </c>
      <c r="H934" s="805"/>
      <c r="K934" s="805"/>
      <c r="P934" s="805"/>
    </row>
    <row r="935" spans="1:16" x14ac:dyDescent="0.25">
      <c r="A935" s="813"/>
      <c r="B935" s="841" t="s">
        <v>2558</v>
      </c>
      <c r="C935" s="813">
        <v>90101</v>
      </c>
      <c r="H935" s="805"/>
      <c r="K935" s="805"/>
      <c r="P935" s="805"/>
    </row>
    <row r="936" spans="1:16" x14ac:dyDescent="0.25">
      <c r="A936" s="813"/>
      <c r="B936" s="841" t="s">
        <v>2561</v>
      </c>
      <c r="C936" s="813">
        <v>90117</v>
      </c>
      <c r="H936" s="805"/>
      <c r="K936" s="805"/>
      <c r="P936" s="805"/>
    </row>
    <row r="937" spans="1:16" x14ac:dyDescent="0.25">
      <c r="A937" s="813"/>
      <c r="B937" s="841" t="s">
        <v>4352</v>
      </c>
      <c r="C937" s="813">
        <v>98411</v>
      </c>
      <c r="H937" s="805"/>
      <c r="K937" s="805"/>
      <c r="P937" s="805"/>
    </row>
    <row r="938" spans="1:16" x14ac:dyDescent="0.25">
      <c r="A938" s="813"/>
      <c r="B938" s="841" t="s">
        <v>3310</v>
      </c>
      <c r="C938" s="813">
        <v>98417</v>
      </c>
      <c r="H938" s="805"/>
      <c r="K938" s="805"/>
      <c r="P938" s="805"/>
    </row>
    <row r="939" spans="1:16" x14ac:dyDescent="0.25">
      <c r="A939" s="813"/>
      <c r="B939" s="841" t="s">
        <v>3170</v>
      </c>
      <c r="C939" s="813">
        <v>97008</v>
      </c>
      <c r="H939" s="805"/>
      <c r="K939" s="805"/>
      <c r="P939" s="805"/>
    </row>
    <row r="940" spans="1:16" x14ac:dyDescent="0.25">
      <c r="A940" s="813"/>
      <c r="B940" s="841" t="s">
        <v>3171</v>
      </c>
      <c r="C940" s="813">
        <v>97010</v>
      </c>
      <c r="H940" s="805"/>
      <c r="K940" s="805"/>
      <c r="P940" s="805"/>
    </row>
    <row r="941" spans="1:16" x14ac:dyDescent="0.25">
      <c r="A941" s="813"/>
      <c r="B941" s="841" t="s">
        <v>2555</v>
      </c>
      <c r="C941" s="813">
        <v>90096</v>
      </c>
      <c r="H941" s="805"/>
      <c r="K941" s="805"/>
      <c r="P941" s="805"/>
    </row>
    <row r="942" spans="1:16" x14ac:dyDescent="0.25">
      <c r="A942" s="813"/>
      <c r="B942" s="841" t="s">
        <v>2606</v>
      </c>
      <c r="C942" s="813">
        <v>90805</v>
      </c>
      <c r="H942" s="805"/>
      <c r="K942" s="805"/>
      <c r="P942" s="805"/>
    </row>
    <row r="943" spans="1:16" x14ac:dyDescent="0.25">
      <c r="A943" s="813"/>
      <c r="B943" s="841" t="s">
        <v>2749</v>
      </c>
      <c r="C943" s="813">
        <v>92109</v>
      </c>
      <c r="H943" s="805"/>
      <c r="K943" s="805"/>
      <c r="P943" s="805"/>
    </row>
    <row r="944" spans="1:16" x14ac:dyDescent="0.25">
      <c r="A944" s="813"/>
      <c r="B944" s="841" t="s">
        <v>2567</v>
      </c>
      <c r="C944" s="813">
        <v>90201</v>
      </c>
      <c r="H944" s="805"/>
      <c r="K944" s="805"/>
      <c r="P944" s="805"/>
    </row>
    <row r="945" spans="1:16" x14ac:dyDescent="0.25">
      <c r="A945" s="813"/>
      <c r="B945" s="841" t="s">
        <v>2570</v>
      </c>
      <c r="C945" s="813">
        <v>90206</v>
      </c>
      <c r="H945" s="805"/>
      <c r="K945" s="805"/>
      <c r="P945" s="805"/>
    </row>
    <row r="946" spans="1:16" x14ac:dyDescent="0.25">
      <c r="A946" s="813"/>
      <c r="B946" s="841" t="s">
        <v>2568</v>
      </c>
      <c r="C946" s="813">
        <v>90203</v>
      </c>
      <c r="H946" s="805"/>
      <c r="K946" s="805"/>
      <c r="P946" s="805"/>
    </row>
    <row r="947" spans="1:16" x14ac:dyDescent="0.25">
      <c r="A947" s="813"/>
      <c r="B947" s="841" t="s">
        <v>2569</v>
      </c>
      <c r="C947" s="813">
        <v>90205</v>
      </c>
      <c r="H947" s="805"/>
      <c r="K947" s="805"/>
      <c r="P947" s="805"/>
    </row>
    <row r="948" spans="1:16" x14ac:dyDescent="0.25">
      <c r="A948" s="813"/>
      <c r="B948" s="841" t="s">
        <v>2572</v>
      </c>
      <c r="C948" s="813">
        <v>90301</v>
      </c>
      <c r="H948" s="805"/>
      <c r="K948" s="805"/>
      <c r="P948" s="805"/>
    </row>
    <row r="949" spans="1:16" x14ac:dyDescent="0.25">
      <c r="A949" s="813"/>
      <c r="B949" s="841" t="s">
        <v>2844</v>
      </c>
      <c r="C949" s="813">
        <v>93209</v>
      </c>
      <c r="H949" s="805"/>
      <c r="K949" s="805"/>
      <c r="P949" s="805"/>
    </row>
    <row r="950" spans="1:16" x14ac:dyDescent="0.25">
      <c r="A950" s="813"/>
      <c r="B950" s="841" t="s">
        <v>4353</v>
      </c>
      <c r="C950" s="813">
        <v>92021</v>
      </c>
      <c r="H950" s="805"/>
      <c r="K950" s="805"/>
      <c r="P950" s="805"/>
    </row>
    <row r="951" spans="1:16" x14ac:dyDescent="0.25">
      <c r="A951" s="813"/>
      <c r="B951" s="841" t="s">
        <v>4354</v>
      </c>
      <c r="C951" s="813">
        <v>94351</v>
      </c>
      <c r="H951" s="805"/>
      <c r="K951" s="805"/>
      <c r="P951" s="805"/>
    </row>
    <row r="952" spans="1:16" x14ac:dyDescent="0.25">
      <c r="A952" s="813"/>
      <c r="B952" s="841" t="s">
        <v>4355</v>
      </c>
      <c r="C952" s="813">
        <v>94347</v>
      </c>
      <c r="H952" s="805"/>
      <c r="K952" s="805"/>
      <c r="P952" s="805"/>
    </row>
    <row r="953" spans="1:16" x14ac:dyDescent="0.25">
      <c r="A953" s="813"/>
      <c r="B953" s="841" t="s">
        <v>2575</v>
      </c>
      <c r="C953" s="813">
        <v>90401</v>
      </c>
      <c r="H953" s="805"/>
      <c r="K953" s="805"/>
      <c r="P953" s="805"/>
    </row>
    <row r="954" spans="1:16" x14ac:dyDescent="0.25">
      <c r="A954" s="813"/>
      <c r="B954" s="841" t="s">
        <v>4356</v>
      </c>
      <c r="C954" s="813">
        <v>90451</v>
      </c>
      <c r="H954" s="805"/>
      <c r="K954" s="805"/>
      <c r="P954" s="805"/>
    </row>
    <row r="955" spans="1:16" x14ac:dyDescent="0.25">
      <c r="A955" s="813"/>
      <c r="B955" s="841" t="s">
        <v>4357</v>
      </c>
      <c r="C955" s="813">
        <v>99271</v>
      </c>
      <c r="H955" s="805"/>
      <c r="K955" s="805"/>
      <c r="P955" s="805"/>
    </row>
    <row r="956" spans="1:16" x14ac:dyDescent="0.25">
      <c r="A956" s="813"/>
      <c r="B956" s="841" t="s">
        <v>2557</v>
      </c>
      <c r="C956" s="813">
        <v>90099</v>
      </c>
      <c r="H956" s="805"/>
      <c r="K956" s="805"/>
      <c r="P956" s="805"/>
    </row>
    <row r="957" spans="1:16" x14ac:dyDescent="0.25">
      <c r="A957" s="813"/>
      <c r="B957" s="841" t="s">
        <v>3415</v>
      </c>
      <c r="C957" s="813">
        <v>99705</v>
      </c>
      <c r="H957" s="805"/>
      <c r="K957" s="805"/>
      <c r="P957" s="805"/>
    </row>
    <row r="958" spans="1:16" x14ac:dyDescent="0.25">
      <c r="A958" s="813"/>
      <c r="B958" s="841" t="s">
        <v>4358</v>
      </c>
      <c r="C958" s="813">
        <v>97651</v>
      </c>
      <c r="H958" s="805"/>
      <c r="K958" s="805"/>
      <c r="P958" s="805"/>
    </row>
    <row r="959" spans="1:16" x14ac:dyDescent="0.25">
      <c r="A959" s="813"/>
      <c r="B959" s="841" t="s">
        <v>4359</v>
      </c>
      <c r="C959" s="813">
        <v>95106</v>
      </c>
      <c r="H959" s="805"/>
      <c r="K959" s="805"/>
      <c r="P959" s="805"/>
    </row>
    <row r="960" spans="1:16" x14ac:dyDescent="0.25">
      <c r="A960" s="813"/>
      <c r="B960" s="841" t="s">
        <v>2584</v>
      </c>
      <c r="C960" s="813">
        <v>90501</v>
      </c>
      <c r="H960" s="805"/>
      <c r="K960" s="805"/>
      <c r="P960" s="805"/>
    </row>
    <row r="961" spans="1:16" x14ac:dyDescent="0.25">
      <c r="A961" s="813"/>
      <c r="B961" s="841" t="s">
        <v>4360</v>
      </c>
      <c r="C961" s="813">
        <v>97611</v>
      </c>
      <c r="H961" s="805"/>
      <c r="K961" s="805"/>
      <c r="P961" s="805"/>
    </row>
    <row r="962" spans="1:16" x14ac:dyDescent="0.25">
      <c r="A962" s="813"/>
      <c r="B962" s="841" t="s">
        <v>3213</v>
      </c>
      <c r="C962" s="813">
        <v>97607</v>
      </c>
      <c r="H962" s="805"/>
      <c r="K962" s="805"/>
      <c r="P962" s="805"/>
    </row>
    <row r="963" spans="1:16" x14ac:dyDescent="0.25">
      <c r="A963" s="813"/>
      <c r="B963" s="841" t="s">
        <v>4245</v>
      </c>
      <c r="C963" s="813">
        <v>97613</v>
      </c>
      <c r="H963" s="805"/>
      <c r="K963" s="805"/>
      <c r="P963" s="805"/>
    </row>
    <row r="964" spans="1:16" x14ac:dyDescent="0.25">
      <c r="A964" s="813"/>
      <c r="B964" s="841" t="s">
        <v>4361</v>
      </c>
      <c r="C964" s="813">
        <v>91121</v>
      </c>
      <c r="H964" s="805"/>
      <c r="K964" s="805"/>
      <c r="P964" s="805"/>
    </row>
    <row r="965" spans="1:16" x14ac:dyDescent="0.25">
      <c r="A965" s="813"/>
      <c r="B965" s="841" t="s">
        <v>2658</v>
      </c>
      <c r="C965" s="813">
        <v>91127</v>
      </c>
      <c r="H965" s="805"/>
      <c r="K965" s="805"/>
      <c r="P965" s="805"/>
    </row>
    <row r="966" spans="1:16" x14ac:dyDescent="0.25">
      <c r="A966" s="813"/>
      <c r="B966" s="841" t="s">
        <v>2659</v>
      </c>
      <c r="C966" s="813">
        <v>91128</v>
      </c>
      <c r="H966" s="805"/>
      <c r="K966" s="805"/>
      <c r="P966" s="805"/>
    </row>
    <row r="967" spans="1:16" x14ac:dyDescent="0.25">
      <c r="A967" s="813"/>
      <c r="B967" s="841" t="s">
        <v>4362</v>
      </c>
      <c r="C967" s="813">
        <v>91681</v>
      </c>
      <c r="H967" s="805"/>
      <c r="K967" s="805"/>
      <c r="P967" s="805"/>
    </row>
    <row r="968" spans="1:16" x14ac:dyDescent="0.25">
      <c r="A968" s="813"/>
      <c r="B968" s="841" t="s">
        <v>4363</v>
      </c>
      <c r="C968" s="813">
        <v>90811</v>
      </c>
      <c r="H968" s="805"/>
      <c r="K968" s="805"/>
      <c r="P968" s="805"/>
    </row>
    <row r="969" spans="1:16" x14ac:dyDescent="0.25">
      <c r="A969" s="813"/>
      <c r="B969" s="841" t="s">
        <v>4364</v>
      </c>
      <c r="C969" s="813">
        <v>90721</v>
      </c>
      <c r="H969" s="805"/>
      <c r="K969" s="805"/>
      <c r="P969" s="805"/>
    </row>
    <row r="970" spans="1:16" x14ac:dyDescent="0.25">
      <c r="A970" s="813"/>
      <c r="B970" s="841" t="s">
        <v>4365</v>
      </c>
      <c r="C970" s="813">
        <v>98271</v>
      </c>
      <c r="H970" s="805"/>
      <c r="K970" s="805"/>
      <c r="P970" s="805"/>
    </row>
    <row r="971" spans="1:16" x14ac:dyDescent="0.25">
      <c r="A971" s="813"/>
      <c r="B971" s="841" t="s">
        <v>2587</v>
      </c>
      <c r="C971" s="813">
        <v>90601</v>
      </c>
      <c r="H971" s="805"/>
      <c r="K971" s="805"/>
      <c r="P971" s="805"/>
    </row>
    <row r="972" spans="1:16" x14ac:dyDescent="0.25">
      <c r="A972" s="813"/>
      <c r="B972" s="841" t="s">
        <v>2095</v>
      </c>
      <c r="C972" s="813">
        <v>90602</v>
      </c>
      <c r="H972" s="805"/>
      <c r="K972" s="805"/>
      <c r="P972" s="805"/>
    </row>
    <row r="973" spans="1:16" x14ac:dyDescent="0.25">
      <c r="A973" s="813"/>
      <c r="B973" s="841" t="s">
        <v>2588</v>
      </c>
      <c r="C973" s="813">
        <v>90605</v>
      </c>
      <c r="H973" s="805"/>
      <c r="K973" s="805"/>
      <c r="P973" s="805"/>
    </row>
    <row r="974" spans="1:16" x14ac:dyDescent="0.25">
      <c r="A974" s="813"/>
      <c r="B974" s="841" t="s">
        <v>4366</v>
      </c>
      <c r="C974" s="813">
        <v>97461</v>
      </c>
      <c r="H974" s="805"/>
      <c r="K974" s="805"/>
      <c r="P974" s="805"/>
    </row>
    <row r="975" spans="1:16" x14ac:dyDescent="0.25">
      <c r="A975" s="813"/>
      <c r="B975" s="841" t="s">
        <v>4367</v>
      </c>
      <c r="C975" s="813" t="s">
        <v>4238</v>
      </c>
      <c r="H975" s="805"/>
      <c r="K975" s="805"/>
      <c r="P975" s="805"/>
    </row>
    <row r="976" spans="1:16" x14ac:dyDescent="0.25">
      <c r="A976" s="813"/>
      <c r="B976" s="841" t="s">
        <v>2597</v>
      </c>
      <c r="C976" s="813">
        <v>90705</v>
      </c>
      <c r="H976" s="805"/>
      <c r="K976" s="805"/>
      <c r="P976" s="805"/>
    </row>
    <row r="977" spans="1:16" x14ac:dyDescent="0.25">
      <c r="A977" s="813"/>
      <c r="B977" s="841" t="s">
        <v>4368</v>
      </c>
      <c r="C977" s="813">
        <v>98451</v>
      </c>
      <c r="H977" s="805"/>
      <c r="K977" s="805"/>
      <c r="P977" s="805"/>
    </row>
    <row r="978" spans="1:16" x14ac:dyDescent="0.25">
      <c r="A978" s="813"/>
      <c r="B978" s="841" t="s">
        <v>4369</v>
      </c>
      <c r="C978" s="813">
        <v>96451</v>
      </c>
      <c r="H978" s="805"/>
      <c r="K978" s="805"/>
      <c r="P978" s="805"/>
    </row>
    <row r="979" spans="1:16" x14ac:dyDescent="0.25">
      <c r="A979" s="813"/>
      <c r="B979" s="841" t="s">
        <v>4370</v>
      </c>
      <c r="C979" s="813">
        <v>96121</v>
      </c>
      <c r="H979" s="805"/>
      <c r="K979" s="805"/>
      <c r="P979" s="805"/>
    </row>
    <row r="980" spans="1:16" x14ac:dyDescent="0.25">
      <c r="A980" s="813"/>
      <c r="B980" s="841" t="s">
        <v>4371</v>
      </c>
      <c r="C980" s="813">
        <v>91091</v>
      </c>
      <c r="H980" s="805"/>
      <c r="K980" s="805"/>
      <c r="P980" s="805"/>
    </row>
    <row r="981" spans="1:16" x14ac:dyDescent="0.25">
      <c r="A981" s="813"/>
      <c r="B981" s="841" t="s">
        <v>4372</v>
      </c>
      <c r="C981" s="813">
        <v>90611</v>
      </c>
      <c r="H981" s="805"/>
      <c r="K981" s="805"/>
      <c r="P981" s="805"/>
    </row>
    <row r="982" spans="1:16" x14ac:dyDescent="0.25">
      <c r="A982" s="813"/>
      <c r="B982" s="841" t="s">
        <v>3165</v>
      </c>
      <c r="C982" s="813">
        <v>96918</v>
      </c>
      <c r="H982" s="805"/>
      <c r="K982" s="805"/>
      <c r="P982" s="805"/>
    </row>
    <row r="983" spans="1:16" x14ac:dyDescent="0.25">
      <c r="A983" s="813"/>
      <c r="B983" s="841" t="s">
        <v>4373</v>
      </c>
      <c r="C983" s="813">
        <v>96911</v>
      </c>
      <c r="H983" s="805"/>
      <c r="K983" s="805"/>
      <c r="P983" s="805"/>
    </row>
    <row r="984" spans="1:16" x14ac:dyDescent="0.25">
      <c r="A984" s="813"/>
      <c r="B984" s="841" t="s">
        <v>3366</v>
      </c>
      <c r="C984" s="813">
        <v>99208</v>
      </c>
      <c r="H984" s="805"/>
      <c r="K984" s="805"/>
      <c r="P984" s="805"/>
    </row>
    <row r="985" spans="1:16" x14ac:dyDescent="0.25">
      <c r="A985" s="813"/>
      <c r="B985" s="841" t="s">
        <v>4374</v>
      </c>
      <c r="C985" s="813">
        <v>91631</v>
      </c>
      <c r="H985" s="805"/>
      <c r="K985" s="805"/>
      <c r="P985" s="805"/>
    </row>
    <row r="986" spans="1:16" x14ac:dyDescent="0.25">
      <c r="A986" s="813"/>
      <c r="B986" s="841" t="s">
        <v>3549</v>
      </c>
      <c r="C986" s="813">
        <v>90701</v>
      </c>
      <c r="H986" s="805"/>
      <c r="K986" s="805"/>
      <c r="P986" s="805"/>
    </row>
    <row r="987" spans="1:16" x14ac:dyDescent="0.25">
      <c r="A987" s="813"/>
      <c r="B987" s="841" t="s">
        <v>2596</v>
      </c>
      <c r="C987" s="813">
        <v>90704</v>
      </c>
      <c r="H987" s="805"/>
      <c r="K987" s="805"/>
      <c r="P987" s="805"/>
    </row>
    <row r="988" spans="1:16" x14ac:dyDescent="0.25">
      <c r="A988" s="813"/>
      <c r="B988" s="841" t="s">
        <v>4012</v>
      </c>
      <c r="C988" s="813">
        <v>91633</v>
      </c>
      <c r="H988" s="805"/>
      <c r="K988" s="805"/>
      <c r="P988" s="805"/>
    </row>
    <row r="989" spans="1:16" x14ac:dyDescent="0.25">
      <c r="A989" s="813"/>
      <c r="B989" s="841" t="s">
        <v>4375</v>
      </c>
      <c r="C989" s="813">
        <v>90631</v>
      </c>
      <c r="H989" s="805"/>
      <c r="K989" s="805"/>
      <c r="P989" s="805"/>
    </row>
    <row r="990" spans="1:16" x14ac:dyDescent="0.25">
      <c r="A990" s="813"/>
      <c r="B990" s="841" t="s">
        <v>4376</v>
      </c>
      <c r="C990" s="813">
        <v>90731</v>
      </c>
      <c r="H990" s="805"/>
      <c r="K990" s="805"/>
      <c r="P990" s="805"/>
    </row>
    <row r="991" spans="1:16" x14ac:dyDescent="0.25">
      <c r="A991" s="813"/>
      <c r="B991" s="841" t="s">
        <v>4377</v>
      </c>
      <c r="C991" s="813">
        <v>93621</v>
      </c>
      <c r="H991" s="805"/>
      <c r="K991" s="805"/>
      <c r="P991" s="805"/>
    </row>
    <row r="992" spans="1:16" x14ac:dyDescent="0.25">
      <c r="A992" s="813"/>
      <c r="B992" s="841" t="s">
        <v>2890</v>
      </c>
      <c r="C992" s="813">
        <v>93623</v>
      </c>
      <c r="H992" s="805"/>
      <c r="K992" s="805"/>
      <c r="P992" s="805"/>
    </row>
    <row r="993" spans="1:16" x14ac:dyDescent="0.25">
      <c r="A993" s="813"/>
      <c r="B993" s="841" t="s">
        <v>4378</v>
      </c>
      <c r="C993" s="813">
        <v>91020</v>
      </c>
      <c r="H993" s="805"/>
      <c r="K993" s="805"/>
      <c r="P993" s="805"/>
    </row>
    <row r="994" spans="1:16" x14ac:dyDescent="0.25">
      <c r="A994" s="813"/>
      <c r="B994" s="841" t="s">
        <v>4379</v>
      </c>
      <c r="C994" s="813">
        <v>95141</v>
      </c>
      <c r="H994" s="805"/>
      <c r="K994" s="805"/>
      <c r="P994" s="805"/>
    </row>
    <row r="995" spans="1:16" x14ac:dyDescent="0.25">
      <c r="A995" s="813"/>
      <c r="B995" s="841" t="s">
        <v>3009</v>
      </c>
      <c r="C995" s="813">
        <v>95103</v>
      </c>
      <c r="H995" s="805"/>
      <c r="K995" s="805"/>
      <c r="P995" s="805"/>
    </row>
    <row r="996" spans="1:16" x14ac:dyDescent="0.25">
      <c r="A996" s="813"/>
      <c r="B996" s="841" t="s">
        <v>4380</v>
      </c>
      <c r="C996" s="813">
        <v>93021</v>
      </c>
      <c r="H996" s="805"/>
      <c r="K996" s="805"/>
      <c r="P996" s="805"/>
    </row>
    <row r="997" spans="1:16" x14ac:dyDescent="0.25">
      <c r="A997" s="813"/>
      <c r="B997" s="841" t="s">
        <v>2604</v>
      </c>
      <c r="C997" s="813">
        <v>90801</v>
      </c>
      <c r="H997" s="805"/>
      <c r="K997" s="805"/>
      <c r="P997" s="805"/>
    </row>
    <row r="998" spans="1:16" x14ac:dyDescent="0.25">
      <c r="A998" s="813"/>
      <c r="B998" s="841" t="s">
        <v>2605</v>
      </c>
      <c r="C998" s="813">
        <v>90804</v>
      </c>
      <c r="H998" s="805"/>
      <c r="K998" s="805"/>
      <c r="P998" s="805"/>
    </row>
    <row r="999" spans="1:16" x14ac:dyDescent="0.25">
      <c r="A999" s="813"/>
      <c r="B999" s="841" t="s">
        <v>2607</v>
      </c>
      <c r="C999" s="813">
        <v>90808</v>
      </c>
      <c r="H999" s="805"/>
      <c r="K999" s="805"/>
      <c r="P999" s="805"/>
    </row>
    <row r="1000" spans="1:16" x14ac:dyDescent="0.25">
      <c r="A1000" s="813"/>
      <c r="B1000" s="841" t="s">
        <v>2896</v>
      </c>
      <c r="C1000" s="813">
        <v>93671</v>
      </c>
      <c r="H1000" s="805"/>
      <c r="K1000" s="805"/>
      <c r="P1000" s="805"/>
    </row>
    <row r="1001" spans="1:16" x14ac:dyDescent="0.25">
      <c r="A1001" s="813"/>
      <c r="B1001" s="841" t="s">
        <v>4381</v>
      </c>
      <c r="C1001" s="813">
        <v>93677</v>
      </c>
      <c r="H1001" s="805"/>
      <c r="K1001" s="805"/>
      <c r="P1001" s="805"/>
    </row>
    <row r="1002" spans="1:16" x14ac:dyDescent="0.25">
      <c r="A1002" s="813"/>
      <c r="B1002" s="841" t="s">
        <v>4382</v>
      </c>
      <c r="C1002" s="813">
        <v>97441</v>
      </c>
      <c r="H1002" s="805"/>
      <c r="K1002" s="805"/>
      <c r="P1002" s="805"/>
    </row>
    <row r="1003" spans="1:16" x14ac:dyDescent="0.25">
      <c r="A1003" s="813"/>
      <c r="B1003" s="841" t="s">
        <v>4383</v>
      </c>
      <c r="C1003" s="813">
        <v>93111</v>
      </c>
      <c r="H1003" s="805"/>
      <c r="K1003" s="805"/>
      <c r="P1003" s="805"/>
    </row>
    <row r="1004" spans="1:16" x14ac:dyDescent="0.25">
      <c r="A1004" s="813"/>
      <c r="B1004" s="841" t="s">
        <v>4384</v>
      </c>
      <c r="C1004" s="813">
        <v>91111</v>
      </c>
      <c r="H1004" s="805"/>
      <c r="K1004" s="805"/>
      <c r="P1004" s="805"/>
    </row>
    <row r="1005" spans="1:16" x14ac:dyDescent="0.25">
      <c r="A1005" s="813"/>
      <c r="B1005" s="841" t="s">
        <v>4385</v>
      </c>
      <c r="C1005" s="813">
        <v>96231</v>
      </c>
      <c r="H1005" s="805"/>
      <c r="K1005" s="805"/>
      <c r="P1005" s="805"/>
    </row>
    <row r="1006" spans="1:16" x14ac:dyDescent="0.25">
      <c r="A1006" s="813"/>
      <c r="B1006" s="841" t="s">
        <v>4386</v>
      </c>
      <c r="C1006" s="813">
        <v>99831</v>
      </c>
      <c r="H1006" s="805"/>
      <c r="K1006" s="805"/>
      <c r="P1006" s="805"/>
    </row>
    <row r="1007" spans="1:16" x14ac:dyDescent="0.25">
      <c r="A1007" s="813"/>
      <c r="B1007" s="841" t="s">
        <v>4387</v>
      </c>
      <c r="C1007" s="813">
        <v>91151</v>
      </c>
      <c r="H1007" s="805"/>
      <c r="K1007" s="805"/>
      <c r="P1007" s="805"/>
    </row>
    <row r="1008" spans="1:16" x14ac:dyDescent="0.25">
      <c r="A1008" s="813"/>
      <c r="B1008" s="841" t="s">
        <v>2664</v>
      </c>
      <c r="C1008" s="813">
        <v>91154</v>
      </c>
      <c r="H1008" s="805"/>
      <c r="K1008" s="805"/>
      <c r="P1008" s="805"/>
    </row>
    <row r="1009" spans="1:16" x14ac:dyDescent="0.25">
      <c r="A1009" s="813"/>
      <c r="B1009" s="841" t="s">
        <v>2612</v>
      </c>
      <c r="C1009" s="813">
        <v>90901</v>
      </c>
      <c r="H1009" s="805"/>
      <c r="K1009" s="805"/>
      <c r="P1009" s="805"/>
    </row>
    <row r="1010" spans="1:16" x14ac:dyDescent="0.25">
      <c r="A1010" s="813"/>
      <c r="B1010" s="841" t="s">
        <v>4388</v>
      </c>
      <c r="C1010" s="813">
        <v>90941</v>
      </c>
      <c r="H1010" s="805"/>
      <c r="K1010" s="805"/>
      <c r="P1010" s="805"/>
    </row>
    <row r="1011" spans="1:16" x14ac:dyDescent="0.25">
      <c r="A1011" s="813"/>
      <c r="B1011" s="841" t="s">
        <v>4389</v>
      </c>
      <c r="C1011" s="813">
        <v>99521</v>
      </c>
      <c r="H1011" s="805"/>
      <c r="K1011" s="805"/>
      <c r="P1011" s="805"/>
    </row>
    <row r="1012" spans="1:16" x14ac:dyDescent="0.25">
      <c r="A1012" s="813"/>
      <c r="B1012" s="841" t="s">
        <v>3399</v>
      </c>
      <c r="C1012" s="813">
        <v>99527</v>
      </c>
      <c r="H1012" s="805"/>
      <c r="K1012" s="805"/>
      <c r="P1012" s="805"/>
    </row>
    <row r="1013" spans="1:16" x14ac:dyDescent="0.25">
      <c r="A1013" s="813"/>
      <c r="B1013" s="841" t="s">
        <v>3395</v>
      </c>
      <c r="C1013" s="813">
        <v>99508</v>
      </c>
      <c r="H1013" s="805"/>
      <c r="K1013" s="805"/>
      <c r="P1013" s="805"/>
    </row>
    <row r="1014" spans="1:16" x14ac:dyDescent="0.25">
      <c r="A1014" s="813"/>
      <c r="B1014" s="841" t="s">
        <v>2975</v>
      </c>
      <c r="C1014" s="813">
        <v>94532</v>
      </c>
      <c r="H1014" s="805"/>
      <c r="K1014" s="805"/>
      <c r="P1014" s="805"/>
    </row>
    <row r="1015" spans="1:16" x14ac:dyDescent="0.25">
      <c r="A1015" s="813"/>
      <c r="B1015" s="841" t="s">
        <v>4390</v>
      </c>
      <c r="C1015" s="813">
        <v>91071</v>
      </c>
      <c r="H1015" s="805"/>
      <c r="K1015" s="805"/>
      <c r="P1015" s="805"/>
    </row>
    <row r="1016" spans="1:16" x14ac:dyDescent="0.25">
      <c r="A1016" s="813"/>
      <c r="B1016" s="841" t="s">
        <v>2646</v>
      </c>
      <c r="C1016" s="813">
        <v>91077</v>
      </c>
      <c r="H1016" s="805"/>
      <c r="K1016" s="805"/>
      <c r="P1016" s="805"/>
    </row>
    <row r="1017" spans="1:16" x14ac:dyDescent="0.25">
      <c r="A1017" s="813"/>
      <c r="B1017" s="841" t="s">
        <v>4391</v>
      </c>
      <c r="C1017" s="813">
        <v>92331</v>
      </c>
      <c r="H1017" s="805"/>
      <c r="K1017" s="805"/>
      <c r="P1017" s="805"/>
    </row>
    <row r="1018" spans="1:16" x14ac:dyDescent="0.25">
      <c r="A1018" s="813"/>
      <c r="B1018" s="841" t="s">
        <v>4392</v>
      </c>
      <c r="C1018" s="813">
        <v>92414</v>
      </c>
      <c r="H1018" s="805"/>
      <c r="K1018" s="805"/>
      <c r="P1018" s="805"/>
    </row>
    <row r="1019" spans="1:16" x14ac:dyDescent="0.25">
      <c r="A1019" s="813"/>
      <c r="B1019" s="841" t="s">
        <v>4393</v>
      </c>
      <c r="C1019" s="813">
        <v>99511</v>
      </c>
      <c r="H1019" s="805"/>
      <c r="K1019" s="805"/>
      <c r="P1019" s="805"/>
    </row>
    <row r="1020" spans="1:16" x14ac:dyDescent="0.25">
      <c r="A1020" s="813"/>
      <c r="B1020" s="841" t="s">
        <v>4394</v>
      </c>
      <c r="C1020" s="813">
        <v>99941</v>
      </c>
      <c r="H1020" s="805"/>
      <c r="K1020" s="805"/>
      <c r="P1020" s="805"/>
    </row>
    <row r="1021" spans="1:16" x14ac:dyDescent="0.25">
      <c r="A1021" s="813"/>
      <c r="B1021" s="841" t="s">
        <v>3117</v>
      </c>
      <c r="C1021" s="813">
        <v>96405</v>
      </c>
      <c r="H1021" s="805"/>
      <c r="K1021" s="805"/>
      <c r="P1021" s="805"/>
    </row>
    <row r="1022" spans="1:16" x14ac:dyDescent="0.25">
      <c r="A1022" s="813"/>
      <c r="B1022" s="841" t="s">
        <v>4395</v>
      </c>
      <c r="C1022" s="813">
        <v>98811</v>
      </c>
      <c r="H1022" s="805"/>
      <c r="K1022" s="805"/>
      <c r="P1022" s="805"/>
    </row>
    <row r="1023" spans="1:16" x14ac:dyDescent="0.25">
      <c r="A1023" s="813"/>
      <c r="B1023" s="841" t="s">
        <v>3337</v>
      </c>
      <c r="C1023" s="813">
        <v>98817</v>
      </c>
      <c r="H1023" s="805"/>
      <c r="K1023" s="805"/>
      <c r="P1023" s="805"/>
    </row>
    <row r="1024" spans="1:16" x14ac:dyDescent="0.25">
      <c r="A1024" s="813"/>
      <c r="B1024" s="841" t="s">
        <v>4396</v>
      </c>
      <c r="C1024" s="813">
        <v>92561</v>
      </c>
      <c r="H1024" s="805"/>
      <c r="K1024" s="805"/>
      <c r="P1024" s="805"/>
    </row>
    <row r="1025" spans="1:16" x14ac:dyDescent="0.25">
      <c r="A1025" s="813"/>
      <c r="B1025" s="841" t="s">
        <v>3279</v>
      </c>
      <c r="C1025" s="813">
        <v>98102</v>
      </c>
      <c r="H1025" s="805"/>
      <c r="K1025" s="805"/>
      <c r="P1025" s="805"/>
    </row>
    <row r="1026" spans="1:16" x14ac:dyDescent="0.25">
      <c r="A1026" s="813"/>
      <c r="B1026" s="841" t="s">
        <v>4397</v>
      </c>
      <c r="C1026" s="813">
        <v>95321</v>
      </c>
      <c r="H1026" s="805"/>
      <c r="K1026" s="805"/>
      <c r="P1026" s="805"/>
    </row>
    <row r="1027" spans="1:16" x14ac:dyDescent="0.25">
      <c r="A1027" s="813"/>
      <c r="B1027" s="841" t="s">
        <v>4398</v>
      </c>
      <c r="C1027" s="813">
        <v>91861</v>
      </c>
      <c r="H1027" s="805"/>
      <c r="K1027" s="805"/>
      <c r="P1027" s="805"/>
    </row>
    <row r="1028" spans="1:16" x14ac:dyDescent="0.25">
      <c r="A1028" s="813"/>
      <c r="B1028" s="841" t="s">
        <v>4399</v>
      </c>
      <c r="C1028" s="813">
        <v>92421</v>
      </c>
      <c r="H1028" s="805"/>
      <c r="K1028" s="805"/>
      <c r="P1028" s="805"/>
    </row>
    <row r="1029" spans="1:16" x14ac:dyDescent="0.25">
      <c r="A1029" s="813"/>
      <c r="B1029" s="841" t="s">
        <v>2619</v>
      </c>
      <c r="C1029" s="813">
        <v>91001</v>
      </c>
      <c r="H1029" s="805"/>
      <c r="K1029" s="805"/>
      <c r="P1029" s="805"/>
    </row>
    <row r="1030" spans="1:16" x14ac:dyDescent="0.25">
      <c r="A1030" s="813"/>
      <c r="B1030" s="841" t="s">
        <v>2622</v>
      </c>
      <c r="C1030" s="813">
        <v>91004</v>
      </c>
      <c r="H1030" s="805"/>
      <c r="K1030" s="805"/>
      <c r="P1030" s="805"/>
    </row>
    <row r="1031" spans="1:16" x14ac:dyDescent="0.25">
      <c r="A1031" s="813"/>
      <c r="B1031" s="841" t="s">
        <v>4400</v>
      </c>
      <c r="C1031" s="813">
        <v>91006</v>
      </c>
      <c r="H1031" s="805"/>
      <c r="K1031" s="805"/>
      <c r="P1031" s="805"/>
    </row>
    <row r="1032" spans="1:16" x14ac:dyDescent="0.25">
      <c r="A1032" s="813"/>
      <c r="B1032" s="841" t="s">
        <v>4401</v>
      </c>
      <c r="C1032" s="813">
        <v>91003</v>
      </c>
      <c r="H1032" s="805"/>
      <c r="K1032" s="805"/>
      <c r="P1032" s="805"/>
    </row>
    <row r="1033" spans="1:16" x14ac:dyDescent="0.25">
      <c r="A1033" s="813"/>
      <c r="B1033" s="841" t="s">
        <v>2626</v>
      </c>
      <c r="C1033" s="813">
        <v>91009</v>
      </c>
      <c r="H1033" s="805"/>
      <c r="K1033" s="805"/>
      <c r="P1033" s="805"/>
    </row>
    <row r="1034" spans="1:16" x14ac:dyDescent="0.25">
      <c r="A1034" s="813"/>
      <c r="B1034" s="841" t="s">
        <v>2639</v>
      </c>
      <c r="C1034" s="813">
        <v>91042</v>
      </c>
      <c r="H1034" s="805"/>
      <c r="K1034" s="805"/>
      <c r="P1034" s="805"/>
    </row>
    <row r="1035" spans="1:16" x14ac:dyDescent="0.25">
      <c r="A1035" s="813"/>
      <c r="B1035" s="841" t="s">
        <v>4402</v>
      </c>
      <c r="C1035" s="813">
        <v>98711</v>
      </c>
      <c r="H1035" s="805"/>
      <c r="K1035" s="805"/>
      <c r="P1035" s="805"/>
    </row>
    <row r="1036" spans="1:16" x14ac:dyDescent="0.25">
      <c r="A1036" s="813"/>
      <c r="B1036" s="841" t="s">
        <v>3334</v>
      </c>
      <c r="C1036" s="813">
        <v>98717</v>
      </c>
      <c r="H1036" s="805"/>
      <c r="K1036" s="805"/>
      <c r="P1036" s="805"/>
    </row>
    <row r="1037" spans="1:16" x14ac:dyDescent="0.25">
      <c r="A1037" s="813"/>
      <c r="B1037" s="841" t="s">
        <v>2649</v>
      </c>
      <c r="C1037" s="813">
        <v>91101</v>
      </c>
      <c r="H1037" s="805"/>
      <c r="K1037" s="805"/>
      <c r="P1037" s="805"/>
    </row>
    <row r="1038" spans="1:16" x14ac:dyDescent="0.25">
      <c r="A1038" s="813"/>
      <c r="B1038" s="841" t="s">
        <v>4095</v>
      </c>
      <c r="C1038" s="813">
        <v>93531</v>
      </c>
      <c r="H1038" s="805"/>
      <c r="K1038" s="805"/>
      <c r="P1038" s="805"/>
    </row>
    <row r="1039" spans="1:16" x14ac:dyDescent="0.25">
      <c r="A1039" s="813"/>
      <c r="B1039" s="841" t="s">
        <v>4403</v>
      </c>
      <c r="C1039" s="813">
        <v>93537</v>
      </c>
      <c r="H1039" s="805"/>
      <c r="K1039" s="805"/>
      <c r="P1039" s="805"/>
    </row>
    <row r="1040" spans="1:16" x14ac:dyDescent="0.25">
      <c r="A1040" s="813"/>
      <c r="B1040" s="841" t="s">
        <v>4404</v>
      </c>
      <c r="C1040" s="813">
        <v>97111</v>
      </c>
      <c r="H1040" s="805"/>
      <c r="K1040" s="805"/>
      <c r="P1040" s="805"/>
    </row>
    <row r="1041" spans="1:16" x14ac:dyDescent="0.25">
      <c r="A1041" s="813"/>
      <c r="B1041" s="841" t="s">
        <v>2667</v>
      </c>
      <c r="C1041" s="813">
        <v>91201</v>
      </c>
      <c r="H1041" s="805"/>
      <c r="K1041" s="805"/>
      <c r="P1041" s="805"/>
    </row>
    <row r="1042" spans="1:16" x14ac:dyDescent="0.25">
      <c r="A1042" s="813"/>
      <c r="B1042" s="841" t="s">
        <v>4405</v>
      </c>
      <c r="C1042" s="813">
        <v>91206</v>
      </c>
      <c r="H1042" s="805"/>
      <c r="K1042" s="805"/>
      <c r="P1042" s="805"/>
    </row>
    <row r="1043" spans="1:16" x14ac:dyDescent="0.25">
      <c r="A1043" s="813"/>
      <c r="B1043" s="841" t="s">
        <v>4406</v>
      </c>
      <c r="C1043" s="813">
        <v>91203</v>
      </c>
      <c r="H1043" s="805"/>
      <c r="K1043" s="805"/>
      <c r="P1043" s="805"/>
    </row>
    <row r="1044" spans="1:16" x14ac:dyDescent="0.25">
      <c r="A1044" s="813"/>
      <c r="B1044" s="841" t="s">
        <v>2671</v>
      </c>
      <c r="C1044" s="813">
        <v>91208</v>
      </c>
      <c r="H1044" s="805"/>
      <c r="K1044" s="805"/>
      <c r="P1044" s="805"/>
    </row>
    <row r="1045" spans="1:16" x14ac:dyDescent="0.25">
      <c r="A1045" s="813"/>
      <c r="B1045" s="841" t="s">
        <v>2668</v>
      </c>
      <c r="C1045" s="813">
        <v>91202</v>
      </c>
      <c r="H1045" s="805"/>
      <c r="K1045" s="805"/>
      <c r="P1045" s="805"/>
    </row>
    <row r="1046" spans="1:16" x14ac:dyDescent="0.25">
      <c r="A1046" s="813"/>
      <c r="B1046" s="841" t="s">
        <v>4407</v>
      </c>
      <c r="C1046" s="813">
        <v>90111</v>
      </c>
      <c r="H1046" s="805"/>
      <c r="K1046" s="805"/>
      <c r="P1046" s="805"/>
    </row>
    <row r="1047" spans="1:16" x14ac:dyDescent="0.25">
      <c r="A1047" s="813"/>
      <c r="B1047" s="841" t="s">
        <v>4408</v>
      </c>
      <c r="C1047" s="813">
        <v>90011</v>
      </c>
      <c r="H1047" s="805"/>
      <c r="K1047" s="805"/>
      <c r="P1047" s="805"/>
    </row>
    <row r="1048" spans="1:16" x14ac:dyDescent="0.25">
      <c r="A1048" s="813"/>
      <c r="B1048" s="841" t="s">
        <v>4409</v>
      </c>
      <c r="C1048" s="813">
        <v>93931</v>
      </c>
      <c r="H1048" s="805"/>
      <c r="K1048" s="805"/>
      <c r="P1048" s="805"/>
    </row>
    <row r="1049" spans="1:16" x14ac:dyDescent="0.25">
      <c r="A1049" s="813"/>
      <c r="B1049" s="841" t="s">
        <v>2682</v>
      </c>
      <c r="C1049" s="813">
        <v>91301</v>
      </c>
      <c r="H1049" s="805"/>
      <c r="K1049" s="805"/>
      <c r="P1049" s="805"/>
    </row>
    <row r="1050" spans="1:16" x14ac:dyDescent="0.25">
      <c r="A1050" s="813"/>
      <c r="B1050" s="841" t="s">
        <v>4410</v>
      </c>
      <c r="C1050" s="813">
        <v>91306</v>
      </c>
      <c r="H1050" s="805"/>
      <c r="K1050" s="805"/>
      <c r="P1050" s="805"/>
    </row>
    <row r="1051" spans="1:16" x14ac:dyDescent="0.25">
      <c r="A1051" s="813"/>
      <c r="B1051" s="841" t="s">
        <v>2685</v>
      </c>
      <c r="C1051" s="813">
        <v>91308</v>
      </c>
      <c r="H1051" s="805"/>
      <c r="K1051" s="805"/>
      <c r="P1051" s="805"/>
    </row>
    <row r="1052" spans="1:16" x14ac:dyDescent="0.25">
      <c r="A1052" s="813"/>
      <c r="B1052" s="841" t="s">
        <v>4411</v>
      </c>
      <c r="C1052" s="813">
        <v>91461</v>
      </c>
      <c r="H1052" s="805"/>
      <c r="K1052" s="805"/>
      <c r="P1052" s="805"/>
    </row>
    <row r="1053" spans="1:16" x14ac:dyDescent="0.25">
      <c r="A1053" s="813"/>
      <c r="B1053" s="841" t="s">
        <v>4412</v>
      </c>
      <c r="C1053" s="813">
        <v>91010</v>
      </c>
      <c r="H1053" s="805"/>
      <c r="K1053" s="805"/>
      <c r="P1053" s="805"/>
    </row>
    <row r="1054" spans="1:16" x14ac:dyDescent="0.25">
      <c r="A1054" s="813"/>
      <c r="B1054" s="841" t="s">
        <v>2624</v>
      </c>
      <c r="C1054" s="813">
        <v>91007</v>
      </c>
      <c r="H1054" s="805"/>
      <c r="K1054" s="805"/>
      <c r="P1054" s="805"/>
    </row>
    <row r="1055" spans="1:16" x14ac:dyDescent="0.25">
      <c r="A1055" s="813"/>
      <c r="B1055" s="841" t="s">
        <v>2692</v>
      </c>
      <c r="C1055" s="813">
        <v>91401</v>
      </c>
      <c r="H1055" s="805"/>
      <c r="K1055" s="805"/>
      <c r="P1055" s="805"/>
    </row>
    <row r="1056" spans="1:16" x14ac:dyDescent="0.25">
      <c r="A1056" s="813"/>
      <c r="B1056" s="841" t="s">
        <v>4413</v>
      </c>
      <c r="C1056" s="813">
        <v>93171</v>
      </c>
      <c r="H1056" s="805"/>
      <c r="K1056" s="805"/>
      <c r="P1056" s="805"/>
    </row>
    <row r="1057" spans="1:16" x14ac:dyDescent="0.25">
      <c r="A1057" s="813"/>
      <c r="B1057" s="841" t="s">
        <v>2702</v>
      </c>
      <c r="C1057" s="813">
        <v>91501</v>
      </c>
      <c r="H1057" s="805"/>
      <c r="K1057" s="805"/>
      <c r="P1057" s="805"/>
    </row>
    <row r="1058" spans="1:16" x14ac:dyDescent="0.25">
      <c r="A1058" s="813"/>
      <c r="B1058" s="841" t="s">
        <v>2703</v>
      </c>
      <c r="C1058" s="813">
        <v>91504</v>
      </c>
      <c r="H1058" s="805"/>
      <c r="K1058" s="805"/>
      <c r="P1058" s="805"/>
    </row>
    <row r="1059" spans="1:16" x14ac:dyDescent="0.25">
      <c r="A1059" s="813"/>
      <c r="B1059" s="841" t="s">
        <v>4414</v>
      </c>
      <c r="C1059" s="813">
        <v>96312</v>
      </c>
      <c r="H1059" s="805"/>
      <c r="K1059" s="805"/>
      <c r="P1059" s="805"/>
    </row>
    <row r="1060" spans="1:16" x14ac:dyDescent="0.25">
      <c r="A1060" s="813"/>
      <c r="B1060" s="841" t="s">
        <v>4415</v>
      </c>
      <c r="C1060" s="813">
        <v>96241</v>
      </c>
      <c r="H1060" s="805"/>
      <c r="K1060" s="805"/>
      <c r="P1060" s="805"/>
    </row>
    <row r="1061" spans="1:16" x14ac:dyDescent="0.25">
      <c r="A1061" s="813"/>
      <c r="B1061" s="841" t="s">
        <v>4416</v>
      </c>
      <c r="C1061" s="813">
        <v>94431</v>
      </c>
      <c r="H1061" s="805"/>
      <c r="K1061" s="805"/>
      <c r="P1061" s="805"/>
    </row>
    <row r="1062" spans="1:16" x14ac:dyDescent="0.25">
      <c r="A1062" s="813"/>
      <c r="B1062" s="841" t="s">
        <v>2967</v>
      </c>
      <c r="C1062" s="813">
        <v>94437</v>
      </c>
      <c r="H1062" s="805"/>
      <c r="K1062" s="805"/>
      <c r="P1062" s="805"/>
    </row>
    <row r="1063" spans="1:16" x14ac:dyDescent="0.25">
      <c r="A1063" s="813"/>
      <c r="B1063" s="841" t="s">
        <v>4417</v>
      </c>
      <c r="C1063" s="813">
        <v>91671</v>
      </c>
      <c r="H1063" s="805"/>
      <c r="K1063" s="805"/>
      <c r="P1063" s="805"/>
    </row>
    <row r="1064" spans="1:16" x14ac:dyDescent="0.25">
      <c r="A1064" s="813"/>
      <c r="B1064" s="841" t="s">
        <v>2625</v>
      </c>
      <c r="C1064" s="813">
        <v>91008</v>
      </c>
      <c r="H1064" s="805"/>
      <c r="K1064" s="805"/>
      <c r="P1064" s="805"/>
    </row>
    <row r="1065" spans="1:16" x14ac:dyDescent="0.25">
      <c r="A1065" s="813"/>
      <c r="B1065" s="841" t="s">
        <v>3131</v>
      </c>
      <c r="C1065" s="813">
        <v>96512</v>
      </c>
      <c r="H1065" s="805"/>
      <c r="K1065" s="805"/>
      <c r="P1065" s="805"/>
    </row>
    <row r="1066" spans="1:16" x14ac:dyDescent="0.25">
      <c r="A1066" s="813"/>
      <c r="B1066" s="841" t="s">
        <v>3128</v>
      </c>
      <c r="C1066" s="813">
        <v>96507</v>
      </c>
      <c r="H1066" s="805"/>
      <c r="K1066" s="805"/>
      <c r="P1066" s="805"/>
    </row>
    <row r="1067" spans="1:16" x14ac:dyDescent="0.25">
      <c r="A1067" s="813"/>
      <c r="B1067" s="841" t="s">
        <v>3845</v>
      </c>
      <c r="C1067" s="813">
        <v>91015</v>
      </c>
      <c r="H1067" s="805"/>
      <c r="K1067" s="805"/>
      <c r="P1067" s="805"/>
    </row>
    <row r="1068" spans="1:16" x14ac:dyDescent="0.25">
      <c r="A1068" s="813"/>
      <c r="B1068" s="841" t="s">
        <v>4418</v>
      </c>
      <c r="C1068" s="813">
        <v>96521</v>
      </c>
      <c r="H1068" s="805"/>
      <c r="K1068" s="805"/>
      <c r="P1068" s="805"/>
    </row>
    <row r="1069" spans="1:16" x14ac:dyDescent="0.25">
      <c r="A1069" s="813"/>
      <c r="B1069" s="841" t="s">
        <v>4419</v>
      </c>
      <c r="C1069" s="813">
        <v>91024</v>
      </c>
      <c r="H1069" s="805"/>
      <c r="K1069" s="805"/>
      <c r="P1069" s="805"/>
    </row>
    <row r="1070" spans="1:16" x14ac:dyDescent="0.25">
      <c r="A1070" s="813"/>
      <c r="B1070" s="841" t="s">
        <v>4420</v>
      </c>
      <c r="C1070" s="813">
        <v>96821</v>
      </c>
      <c r="H1070" s="805"/>
      <c r="K1070" s="805"/>
      <c r="P1070" s="805"/>
    </row>
    <row r="1071" spans="1:16" x14ac:dyDescent="0.25">
      <c r="A1071" s="813"/>
      <c r="B1071" s="841" t="s">
        <v>2704</v>
      </c>
      <c r="C1071" s="813">
        <v>91601</v>
      </c>
      <c r="H1071" s="805"/>
      <c r="K1071" s="805"/>
      <c r="P1071" s="805"/>
    </row>
    <row r="1072" spans="1:16" x14ac:dyDescent="0.25">
      <c r="A1072" s="813"/>
      <c r="B1072" s="841" t="s">
        <v>2705</v>
      </c>
      <c r="C1072" s="813">
        <v>91604</v>
      </c>
      <c r="H1072" s="805"/>
      <c r="K1072" s="805"/>
      <c r="P1072" s="805"/>
    </row>
    <row r="1073" spans="1:16" x14ac:dyDescent="0.25">
      <c r="A1073" s="813"/>
      <c r="B1073" s="841" t="s">
        <v>4421</v>
      </c>
      <c r="C1073" s="813">
        <v>96391</v>
      </c>
      <c r="H1073" s="805"/>
      <c r="K1073" s="805"/>
      <c r="P1073" s="805"/>
    </row>
    <row r="1074" spans="1:16" x14ac:dyDescent="0.25">
      <c r="A1074" s="813"/>
      <c r="B1074" s="841" t="s">
        <v>4422</v>
      </c>
      <c r="C1074" s="813">
        <v>99221</v>
      </c>
      <c r="H1074" s="805"/>
      <c r="K1074" s="805"/>
      <c r="P1074" s="805"/>
    </row>
    <row r="1075" spans="1:16" x14ac:dyDescent="0.25">
      <c r="A1075" s="813"/>
      <c r="B1075" s="841" t="s">
        <v>4423</v>
      </c>
      <c r="C1075" s="813">
        <v>91051</v>
      </c>
      <c r="H1075" s="805"/>
      <c r="K1075" s="805"/>
      <c r="P1075" s="805"/>
    </row>
    <row r="1076" spans="1:16" x14ac:dyDescent="0.25">
      <c r="A1076" s="813"/>
      <c r="B1076" s="841" t="s">
        <v>2717</v>
      </c>
      <c r="C1076" s="813">
        <v>91701</v>
      </c>
      <c r="H1076" s="805"/>
      <c r="K1076" s="805"/>
      <c r="P1076" s="805"/>
    </row>
    <row r="1077" spans="1:16" x14ac:dyDescent="0.25">
      <c r="A1077" s="813"/>
      <c r="B1077" s="841" t="s">
        <v>2718</v>
      </c>
      <c r="C1077" s="813">
        <v>91704</v>
      </c>
      <c r="H1077" s="805"/>
      <c r="K1077" s="805"/>
      <c r="P1077" s="805"/>
    </row>
    <row r="1078" spans="1:16" x14ac:dyDescent="0.25">
      <c r="A1078" s="813"/>
      <c r="B1078" s="841" t="s">
        <v>4424</v>
      </c>
      <c r="C1078" s="813">
        <v>91706</v>
      </c>
      <c r="H1078" s="805"/>
      <c r="K1078" s="805"/>
      <c r="P1078" s="805"/>
    </row>
    <row r="1079" spans="1:16" x14ac:dyDescent="0.25">
      <c r="A1079" s="813"/>
      <c r="B1079" s="841" t="s">
        <v>4425</v>
      </c>
      <c r="C1079" s="813">
        <v>91881</v>
      </c>
      <c r="H1079" s="805"/>
      <c r="K1079" s="805"/>
      <c r="P1079" s="805"/>
    </row>
    <row r="1080" spans="1:16" x14ac:dyDescent="0.25">
      <c r="A1080" s="813"/>
      <c r="B1080" s="841" t="s">
        <v>2721</v>
      </c>
      <c r="C1080" s="813">
        <v>91801</v>
      </c>
      <c r="H1080" s="805"/>
      <c r="K1080" s="805"/>
      <c r="P1080" s="805"/>
    </row>
    <row r="1081" spans="1:16" x14ac:dyDescent="0.25">
      <c r="A1081" s="813"/>
      <c r="B1081" s="841" t="s">
        <v>2722</v>
      </c>
      <c r="C1081" s="813">
        <v>91804</v>
      </c>
      <c r="H1081" s="805"/>
      <c r="K1081" s="805"/>
      <c r="P1081" s="805"/>
    </row>
    <row r="1082" spans="1:16" x14ac:dyDescent="0.25">
      <c r="A1082" s="813"/>
      <c r="B1082" s="841" t="s">
        <v>4426</v>
      </c>
      <c r="C1082" s="813">
        <v>91691</v>
      </c>
      <c r="H1082" s="805"/>
      <c r="K1082" s="805"/>
      <c r="P1082" s="805"/>
    </row>
    <row r="1083" spans="1:16" x14ac:dyDescent="0.25">
      <c r="A1083" s="813"/>
      <c r="B1083" s="841" t="s">
        <v>3373</v>
      </c>
      <c r="C1083" s="813">
        <v>99222</v>
      </c>
      <c r="H1083" s="805"/>
      <c r="K1083" s="805"/>
      <c r="P1083" s="805"/>
    </row>
    <row r="1084" spans="1:16" x14ac:dyDescent="0.25">
      <c r="A1084" s="813"/>
      <c r="B1084" s="841" t="s">
        <v>2863</v>
      </c>
      <c r="C1084" s="813">
        <v>93408</v>
      </c>
      <c r="H1084" s="805"/>
      <c r="K1084" s="805"/>
      <c r="P1084" s="805"/>
    </row>
    <row r="1085" spans="1:16" x14ac:dyDescent="0.25">
      <c r="A1085" s="813"/>
      <c r="B1085" s="841" t="s">
        <v>3077</v>
      </c>
      <c r="C1085" s="813">
        <v>96009</v>
      </c>
      <c r="H1085" s="805"/>
      <c r="K1085" s="805"/>
      <c r="P1085" s="805"/>
    </row>
    <row r="1086" spans="1:16" x14ac:dyDescent="0.25">
      <c r="A1086" s="813"/>
      <c r="B1086" s="841" t="s">
        <v>4427</v>
      </c>
      <c r="C1086" s="813">
        <v>92441</v>
      </c>
      <c r="H1086" s="805"/>
      <c r="K1086" s="805"/>
      <c r="P1086" s="805"/>
    </row>
    <row r="1087" spans="1:16" x14ac:dyDescent="0.25">
      <c r="A1087" s="813"/>
      <c r="B1087" s="841" t="s">
        <v>4428</v>
      </c>
      <c r="C1087" s="813">
        <v>96811</v>
      </c>
      <c r="H1087" s="805"/>
      <c r="K1087" s="805"/>
      <c r="P1087" s="805"/>
    </row>
    <row r="1088" spans="1:16" x14ac:dyDescent="0.25">
      <c r="A1088" s="813"/>
      <c r="B1088" s="841" t="s">
        <v>4429</v>
      </c>
      <c r="C1088" s="813">
        <v>96011</v>
      </c>
      <c r="H1088" s="805"/>
      <c r="K1088" s="805"/>
      <c r="P1088" s="805"/>
    </row>
    <row r="1089" spans="1:16" x14ac:dyDescent="0.25">
      <c r="A1089" s="813"/>
      <c r="B1089" s="841" t="s">
        <v>3080</v>
      </c>
      <c r="C1089" s="813">
        <v>96018</v>
      </c>
      <c r="H1089" s="805"/>
      <c r="K1089" s="805"/>
      <c r="P1089" s="805"/>
    </row>
    <row r="1090" spans="1:16" x14ac:dyDescent="0.25">
      <c r="A1090" s="813"/>
      <c r="B1090" s="841" t="s">
        <v>3073</v>
      </c>
      <c r="C1090" s="813">
        <v>96003</v>
      </c>
      <c r="H1090" s="805"/>
      <c r="K1090" s="805"/>
      <c r="P1090" s="805"/>
    </row>
    <row r="1091" spans="1:16" x14ac:dyDescent="0.25">
      <c r="A1091" s="813"/>
      <c r="B1091" s="841" t="s">
        <v>3075</v>
      </c>
      <c r="C1091" s="813">
        <v>96005</v>
      </c>
      <c r="H1091" s="805"/>
      <c r="K1091" s="805"/>
      <c r="P1091" s="805"/>
    </row>
    <row r="1092" spans="1:16" x14ac:dyDescent="0.25">
      <c r="A1092" s="813"/>
      <c r="B1092" s="841" t="s">
        <v>3079</v>
      </c>
      <c r="C1092" s="813">
        <v>96012</v>
      </c>
      <c r="H1092" s="805"/>
      <c r="K1092" s="805"/>
      <c r="P1092" s="805"/>
    </row>
    <row r="1093" spans="1:16" x14ac:dyDescent="0.25">
      <c r="A1093" s="813"/>
      <c r="B1093" s="841" t="s">
        <v>2735</v>
      </c>
      <c r="C1093" s="813">
        <v>91901</v>
      </c>
      <c r="H1093" s="805"/>
      <c r="K1093" s="805"/>
      <c r="P1093" s="805"/>
    </row>
    <row r="1094" spans="1:16" x14ac:dyDescent="0.25">
      <c r="A1094" s="813"/>
      <c r="B1094" s="841" t="s">
        <v>2737</v>
      </c>
      <c r="C1094" s="813">
        <v>91904</v>
      </c>
      <c r="H1094" s="805"/>
      <c r="K1094" s="805"/>
      <c r="P1094" s="805"/>
    </row>
    <row r="1095" spans="1:16" x14ac:dyDescent="0.25">
      <c r="A1095" s="813"/>
      <c r="B1095" s="841" t="s">
        <v>4430</v>
      </c>
      <c r="C1095" s="813">
        <v>91903</v>
      </c>
      <c r="H1095" s="805"/>
      <c r="K1095" s="805"/>
      <c r="P1095" s="805"/>
    </row>
    <row r="1096" spans="1:16" x14ac:dyDescent="0.25">
      <c r="A1096" s="813"/>
      <c r="B1096" s="841" t="s">
        <v>2742</v>
      </c>
      <c r="C1096" s="813">
        <v>92001</v>
      </c>
      <c r="H1096" s="805"/>
      <c r="K1096" s="805"/>
      <c r="P1096" s="805"/>
    </row>
    <row r="1097" spans="1:16" x14ac:dyDescent="0.25">
      <c r="A1097" s="813"/>
      <c r="B1097" s="841" t="s">
        <v>4431</v>
      </c>
      <c r="C1097" s="813">
        <v>93641</v>
      </c>
      <c r="H1097" s="805"/>
      <c r="K1097" s="805"/>
      <c r="P1097" s="805"/>
    </row>
    <row r="1098" spans="1:16" x14ac:dyDescent="0.25">
      <c r="A1098" s="813"/>
      <c r="B1098" s="841" t="s">
        <v>2893</v>
      </c>
      <c r="C1098" s="813">
        <v>93647</v>
      </c>
      <c r="H1098" s="805"/>
      <c r="K1098" s="805"/>
      <c r="P1098" s="805"/>
    </row>
    <row r="1099" spans="1:16" x14ac:dyDescent="0.25">
      <c r="A1099" s="813"/>
      <c r="B1099" s="841" t="s">
        <v>4432</v>
      </c>
      <c r="C1099" s="813">
        <v>98041</v>
      </c>
      <c r="H1099" s="805"/>
      <c r="K1099" s="805"/>
      <c r="P1099" s="805"/>
    </row>
    <row r="1100" spans="1:16" x14ac:dyDescent="0.25">
      <c r="A1100" s="813"/>
      <c r="B1100" s="841" t="s">
        <v>4207</v>
      </c>
      <c r="C1100" s="813">
        <v>96612</v>
      </c>
      <c r="H1100" s="805"/>
      <c r="K1100" s="805"/>
      <c r="P1100" s="805"/>
    </row>
    <row r="1101" spans="1:16" x14ac:dyDescent="0.25">
      <c r="A1101" s="813"/>
      <c r="B1101" s="841" t="s">
        <v>4433</v>
      </c>
      <c r="C1101" s="813">
        <v>90751</v>
      </c>
      <c r="H1101" s="805"/>
      <c r="K1101" s="805"/>
      <c r="P1101" s="805"/>
    </row>
    <row r="1102" spans="1:16" x14ac:dyDescent="0.25">
      <c r="A1102" s="813"/>
      <c r="B1102" s="841" t="s">
        <v>2747</v>
      </c>
      <c r="C1102" s="813">
        <v>92101</v>
      </c>
      <c r="H1102" s="805"/>
      <c r="K1102" s="805"/>
      <c r="P1102" s="805"/>
    </row>
    <row r="1103" spans="1:16" x14ac:dyDescent="0.25">
      <c r="A1103" s="813"/>
      <c r="B1103" s="841" t="s">
        <v>2748</v>
      </c>
      <c r="C1103" s="813">
        <v>92104</v>
      </c>
      <c r="H1103" s="805"/>
      <c r="K1103" s="805"/>
      <c r="P1103" s="805"/>
    </row>
    <row r="1104" spans="1:16" x14ac:dyDescent="0.25">
      <c r="A1104" s="813"/>
      <c r="B1104" s="841" t="s">
        <v>4434</v>
      </c>
      <c r="C1104" s="813">
        <v>91821</v>
      </c>
      <c r="H1104" s="805"/>
      <c r="K1104" s="805"/>
      <c r="P1104" s="805"/>
    </row>
    <row r="1105" spans="1:16" x14ac:dyDescent="0.25">
      <c r="A1105" s="813"/>
      <c r="B1105" s="841" t="s">
        <v>4435</v>
      </c>
      <c r="C1105" s="813">
        <v>90931</v>
      </c>
      <c r="H1105" s="805"/>
      <c r="K1105" s="805"/>
      <c r="P1105" s="805"/>
    </row>
    <row r="1106" spans="1:16" x14ac:dyDescent="0.25">
      <c r="A1106" s="813"/>
      <c r="B1106" s="841" t="s">
        <v>2752</v>
      </c>
      <c r="C1106" s="813">
        <v>92201</v>
      </c>
      <c r="H1106" s="805"/>
      <c r="K1106" s="805"/>
      <c r="P1106" s="805"/>
    </row>
    <row r="1107" spans="1:16" x14ac:dyDescent="0.25">
      <c r="A1107" s="813"/>
      <c r="B1107" s="842" t="s">
        <v>4033</v>
      </c>
      <c r="C1107" s="813">
        <v>92214</v>
      </c>
      <c r="H1107" s="805"/>
      <c r="K1107" s="805"/>
      <c r="P1107" s="805"/>
    </row>
    <row r="1108" spans="1:16" x14ac:dyDescent="0.25">
      <c r="A1108" s="813"/>
      <c r="B1108" s="841" t="s">
        <v>4436</v>
      </c>
      <c r="C1108" s="813">
        <v>95131</v>
      </c>
      <c r="H1108" s="805"/>
      <c r="K1108" s="805"/>
      <c r="P1108" s="805"/>
    </row>
    <row r="1109" spans="1:16" x14ac:dyDescent="0.25">
      <c r="A1109" s="813"/>
      <c r="B1109" s="841" t="s">
        <v>4437</v>
      </c>
      <c r="C1109" s="813">
        <v>93441</v>
      </c>
      <c r="H1109" s="805"/>
      <c r="K1109" s="805"/>
      <c r="P1109" s="805"/>
    </row>
    <row r="1110" spans="1:16" x14ac:dyDescent="0.25">
      <c r="A1110" s="813"/>
      <c r="B1110" s="841" t="s">
        <v>2870</v>
      </c>
      <c r="C1110" s="813">
        <v>93442</v>
      </c>
      <c r="H1110" s="805"/>
      <c r="K1110" s="805"/>
      <c r="P1110" s="805"/>
    </row>
    <row r="1111" spans="1:16" x14ac:dyDescent="0.25">
      <c r="A1111" s="813"/>
      <c r="B1111" s="841" t="s">
        <v>4438</v>
      </c>
      <c r="C1111" s="813">
        <v>98091</v>
      </c>
      <c r="H1111" s="805"/>
      <c r="K1111" s="805"/>
      <c r="P1111" s="805"/>
    </row>
    <row r="1112" spans="1:16" x14ac:dyDescent="0.25">
      <c r="A1112" s="813"/>
      <c r="B1112" s="841" t="s">
        <v>2753</v>
      </c>
      <c r="C1112" s="813">
        <v>92301</v>
      </c>
      <c r="H1112" s="805"/>
      <c r="K1112" s="805"/>
      <c r="P1112" s="805"/>
    </row>
    <row r="1113" spans="1:16" x14ac:dyDescent="0.25">
      <c r="A1113" s="813"/>
      <c r="B1113" s="841" t="s">
        <v>3552</v>
      </c>
      <c r="C1113" s="813">
        <v>92302</v>
      </c>
      <c r="H1113" s="805"/>
      <c r="K1113" s="805"/>
      <c r="P1113" s="805"/>
    </row>
    <row r="1114" spans="1:16" x14ac:dyDescent="0.25">
      <c r="A1114" s="813"/>
      <c r="B1114" s="841" t="s">
        <v>4439</v>
      </c>
      <c r="C1114" s="813">
        <v>98211</v>
      </c>
      <c r="H1114" s="805"/>
      <c r="K1114" s="805"/>
      <c r="P1114" s="805"/>
    </row>
    <row r="1115" spans="1:16" x14ac:dyDescent="0.25">
      <c r="A1115" s="813"/>
      <c r="B1115" s="841" t="s">
        <v>3293</v>
      </c>
      <c r="C1115" s="813">
        <v>98218</v>
      </c>
      <c r="H1115" s="805"/>
      <c r="K1115" s="805"/>
      <c r="P1115" s="805"/>
    </row>
    <row r="1116" spans="1:16" x14ac:dyDescent="0.25">
      <c r="A1116" s="813"/>
      <c r="B1116" s="841" t="s">
        <v>2777</v>
      </c>
      <c r="C1116" s="813">
        <v>92506</v>
      </c>
      <c r="H1116" s="805"/>
      <c r="K1116" s="805"/>
      <c r="P1116" s="805"/>
    </row>
    <row r="1117" spans="1:16" x14ac:dyDescent="0.25">
      <c r="A1117" s="813"/>
      <c r="B1117" s="841" t="s">
        <v>4043</v>
      </c>
      <c r="C1117" s="813">
        <v>92508</v>
      </c>
      <c r="H1117" s="805"/>
      <c r="K1117" s="805"/>
      <c r="P1117" s="805"/>
    </row>
    <row r="1118" spans="1:16" x14ac:dyDescent="0.25">
      <c r="A1118" s="813"/>
      <c r="B1118" s="841" t="s">
        <v>4440</v>
      </c>
      <c r="C1118" s="813" t="s">
        <v>4044</v>
      </c>
      <c r="H1118" s="805"/>
      <c r="K1118" s="805"/>
      <c r="P1118" s="805"/>
    </row>
    <row r="1119" spans="1:16" x14ac:dyDescent="0.25">
      <c r="A1119" s="813"/>
      <c r="B1119" s="841" t="s">
        <v>4441</v>
      </c>
      <c r="C1119" s="813">
        <v>94341</v>
      </c>
      <c r="H1119" s="805"/>
      <c r="K1119" s="805"/>
      <c r="P1119" s="805"/>
    </row>
    <row r="1120" spans="1:16" x14ac:dyDescent="0.25">
      <c r="A1120" s="813"/>
      <c r="B1120" s="841" t="s">
        <v>4442</v>
      </c>
      <c r="C1120" s="813">
        <v>94641</v>
      </c>
      <c r="H1120" s="805"/>
      <c r="K1120" s="805"/>
      <c r="P1120" s="805"/>
    </row>
    <row r="1121" spans="1:16" x14ac:dyDescent="0.25">
      <c r="A1121" s="813"/>
      <c r="B1121" s="841" t="s">
        <v>4443</v>
      </c>
      <c r="C1121" s="813">
        <v>90813</v>
      </c>
      <c r="H1121" s="805"/>
      <c r="K1121" s="805"/>
      <c r="P1121" s="805"/>
    </row>
    <row r="1122" spans="1:16" x14ac:dyDescent="0.25">
      <c r="A1122" s="813"/>
      <c r="B1122" s="841" t="s">
        <v>2936</v>
      </c>
      <c r="C1122" s="813">
        <v>94168</v>
      </c>
      <c r="H1122" s="805"/>
      <c r="K1122" s="805"/>
      <c r="P1122" s="805"/>
    </row>
    <row r="1123" spans="1:16" x14ac:dyDescent="0.25">
      <c r="A1123" s="813"/>
      <c r="B1123" s="841" t="s">
        <v>4444</v>
      </c>
      <c r="C1123" s="813">
        <v>98911</v>
      </c>
      <c r="H1123" s="805"/>
      <c r="K1123" s="805"/>
      <c r="P1123" s="805"/>
    </row>
    <row r="1124" spans="1:16" x14ac:dyDescent="0.25">
      <c r="A1124" s="813"/>
      <c r="B1124" s="841" t="s">
        <v>4445</v>
      </c>
      <c r="C1124" s="813">
        <v>97521</v>
      </c>
      <c r="H1124" s="805"/>
      <c r="K1124" s="805"/>
      <c r="P1124" s="805"/>
    </row>
    <row r="1125" spans="1:16" x14ac:dyDescent="0.25">
      <c r="A1125" s="813"/>
      <c r="B1125" s="841" t="s">
        <v>3846</v>
      </c>
      <c r="C1125" s="813">
        <v>97527</v>
      </c>
      <c r="H1125" s="805"/>
      <c r="K1125" s="805"/>
      <c r="P1125" s="805"/>
    </row>
    <row r="1126" spans="1:16" x14ac:dyDescent="0.25">
      <c r="A1126" s="813"/>
      <c r="B1126" s="841" t="s">
        <v>2762</v>
      </c>
      <c r="C1126" s="813">
        <v>92401</v>
      </c>
      <c r="H1126" s="805"/>
      <c r="K1126" s="805"/>
      <c r="P1126" s="805"/>
    </row>
    <row r="1127" spans="1:16" x14ac:dyDescent="0.25">
      <c r="A1127" s="813"/>
      <c r="B1127" s="841" t="s">
        <v>4446</v>
      </c>
      <c r="C1127" s="813">
        <v>91311</v>
      </c>
      <c r="H1127" s="805"/>
      <c r="K1127" s="805"/>
      <c r="P1127" s="805"/>
    </row>
    <row r="1128" spans="1:16" x14ac:dyDescent="0.25">
      <c r="A1128" s="813"/>
      <c r="B1128" s="841" t="s">
        <v>2687</v>
      </c>
      <c r="C1128" s="813">
        <v>91317</v>
      </c>
      <c r="H1128" s="805"/>
      <c r="K1128" s="805"/>
      <c r="P1128" s="805"/>
    </row>
    <row r="1129" spans="1:16" x14ac:dyDescent="0.25">
      <c r="A1129" s="813"/>
      <c r="B1129" s="841" t="s">
        <v>4447</v>
      </c>
      <c r="C1129" s="813">
        <v>91261</v>
      </c>
      <c r="H1129" s="805"/>
      <c r="K1129" s="805"/>
      <c r="P1129" s="805"/>
    </row>
    <row r="1130" spans="1:16" x14ac:dyDescent="0.25">
      <c r="A1130" s="813"/>
      <c r="B1130" s="841" t="s">
        <v>4448</v>
      </c>
      <c r="C1130" s="813">
        <v>91851</v>
      </c>
      <c r="H1130" s="805"/>
      <c r="K1130" s="805"/>
      <c r="P1130" s="805"/>
    </row>
    <row r="1131" spans="1:16" x14ac:dyDescent="0.25">
      <c r="A1131" s="813"/>
      <c r="B1131" s="841" t="s">
        <v>3194</v>
      </c>
      <c r="C1131" s="813">
        <v>97408</v>
      </c>
      <c r="H1131" s="805"/>
      <c r="K1131" s="805"/>
      <c r="P1131" s="805"/>
    </row>
    <row r="1132" spans="1:16" x14ac:dyDescent="0.25">
      <c r="A1132" s="813"/>
      <c r="B1132" s="841" t="s">
        <v>4449</v>
      </c>
      <c r="C1132" s="813">
        <v>96641</v>
      </c>
      <c r="H1132" s="805"/>
      <c r="K1132" s="805"/>
      <c r="P1132" s="805"/>
    </row>
    <row r="1133" spans="1:16" x14ac:dyDescent="0.25">
      <c r="A1133" s="813"/>
      <c r="B1133" s="841" t="s">
        <v>4450</v>
      </c>
      <c r="C1133" s="813">
        <v>93031</v>
      </c>
      <c r="H1133" s="805"/>
      <c r="K1133" s="805"/>
      <c r="P1133" s="805"/>
    </row>
    <row r="1134" spans="1:16" x14ac:dyDescent="0.25">
      <c r="A1134" s="813"/>
      <c r="B1134" s="841" t="s">
        <v>2825</v>
      </c>
      <c r="C1134" s="813">
        <v>93027</v>
      </c>
      <c r="H1134" s="805"/>
      <c r="K1134" s="805"/>
      <c r="P1134" s="805"/>
    </row>
    <row r="1135" spans="1:16" x14ac:dyDescent="0.25">
      <c r="A1135" s="813"/>
      <c r="B1135" s="841" t="s">
        <v>4451</v>
      </c>
      <c r="C1135" s="813">
        <v>96051</v>
      </c>
      <c r="H1135" s="805"/>
      <c r="K1135" s="805"/>
      <c r="P1135" s="805"/>
    </row>
    <row r="1136" spans="1:16" x14ac:dyDescent="0.25">
      <c r="A1136" s="813"/>
      <c r="B1136" s="841" t="s">
        <v>4452</v>
      </c>
      <c r="C1136" s="813">
        <v>92571</v>
      </c>
      <c r="H1136" s="805"/>
      <c r="K1136" s="805"/>
      <c r="P1136" s="805"/>
    </row>
    <row r="1137" spans="1:16" x14ac:dyDescent="0.25">
      <c r="A1137" s="813"/>
      <c r="B1137" s="841" t="s">
        <v>4453</v>
      </c>
      <c r="C1137" s="813">
        <v>93631</v>
      </c>
      <c r="H1137" s="805"/>
      <c r="K1137" s="805"/>
      <c r="P1137" s="805"/>
    </row>
    <row r="1138" spans="1:16" x14ac:dyDescent="0.25">
      <c r="A1138" s="813"/>
      <c r="B1138" s="842" t="s">
        <v>4099</v>
      </c>
      <c r="C1138" s="813">
        <v>93604</v>
      </c>
      <c r="H1138" s="805"/>
      <c r="K1138" s="805"/>
      <c r="P1138" s="805"/>
    </row>
    <row r="1139" spans="1:16" x14ac:dyDescent="0.25">
      <c r="A1139" s="813"/>
      <c r="B1139" s="841" t="s">
        <v>2775</v>
      </c>
      <c r="C1139" s="813">
        <v>92504</v>
      </c>
      <c r="H1139" s="805"/>
      <c r="K1139" s="805"/>
      <c r="P1139" s="805"/>
    </row>
    <row r="1140" spans="1:16" x14ac:dyDescent="0.25">
      <c r="A1140" s="813"/>
      <c r="B1140" s="841" t="s">
        <v>2773</v>
      </c>
      <c r="C1140" s="813">
        <v>92501</v>
      </c>
      <c r="H1140" s="805"/>
      <c r="K1140" s="805"/>
      <c r="P1140" s="805"/>
    </row>
    <row r="1141" spans="1:16" x14ac:dyDescent="0.25">
      <c r="A1141" s="813"/>
      <c r="B1141" s="841" t="s">
        <v>2776</v>
      </c>
      <c r="C1141" s="813">
        <v>92505</v>
      </c>
      <c r="H1141" s="805"/>
      <c r="K1141" s="805"/>
      <c r="P1141" s="805"/>
    </row>
    <row r="1142" spans="1:16" x14ac:dyDescent="0.25">
      <c r="A1142" s="813"/>
      <c r="B1142" s="841" t="s">
        <v>4454</v>
      </c>
      <c r="C1142" s="813">
        <v>93921</v>
      </c>
      <c r="H1142" s="805"/>
      <c r="K1142" s="805"/>
      <c r="P1142" s="805"/>
    </row>
    <row r="1143" spans="1:16" x14ac:dyDescent="0.25">
      <c r="A1143" s="813"/>
      <c r="B1143" s="841" t="s">
        <v>4455</v>
      </c>
      <c r="C1143" s="813">
        <v>99431</v>
      </c>
      <c r="H1143" s="805"/>
      <c r="K1143" s="805"/>
      <c r="P1143" s="805"/>
    </row>
    <row r="1144" spans="1:16" x14ac:dyDescent="0.25">
      <c r="A1144" s="813"/>
      <c r="B1144" s="841" t="s">
        <v>2791</v>
      </c>
      <c r="C1144" s="813">
        <v>92604</v>
      </c>
      <c r="H1144" s="805"/>
      <c r="K1144" s="805"/>
      <c r="P1144" s="805"/>
    </row>
    <row r="1145" spans="1:16" x14ac:dyDescent="0.25">
      <c r="A1145" s="813"/>
      <c r="B1145" s="841" t="s">
        <v>2789</v>
      </c>
      <c r="C1145" s="813">
        <v>92601</v>
      </c>
      <c r="H1145" s="805"/>
      <c r="K1145" s="805"/>
      <c r="P1145" s="805"/>
    </row>
    <row r="1146" spans="1:16" x14ac:dyDescent="0.25">
      <c r="A1146" s="813"/>
      <c r="B1146" s="841" t="s">
        <v>2793</v>
      </c>
      <c r="C1146" s="813">
        <v>92608</v>
      </c>
      <c r="H1146" s="805"/>
      <c r="K1146" s="805"/>
      <c r="P1146" s="805"/>
    </row>
    <row r="1147" spans="1:16" x14ac:dyDescent="0.25">
      <c r="A1147" s="813"/>
      <c r="B1147" s="841" t="s">
        <v>2805</v>
      </c>
      <c r="C1147" s="813">
        <v>92704</v>
      </c>
      <c r="H1147" s="805"/>
      <c r="K1147" s="805"/>
      <c r="P1147" s="805"/>
    </row>
    <row r="1148" spans="1:16" x14ac:dyDescent="0.25">
      <c r="A1148" s="813"/>
      <c r="B1148" s="841" t="s">
        <v>2804</v>
      </c>
      <c r="C1148" s="813">
        <v>92701</v>
      </c>
      <c r="H1148" s="805"/>
      <c r="K1148" s="805"/>
      <c r="P1148" s="805"/>
    </row>
    <row r="1149" spans="1:16" x14ac:dyDescent="0.25">
      <c r="A1149" s="813"/>
      <c r="B1149" s="841" t="s">
        <v>4456</v>
      </c>
      <c r="C1149" s="813">
        <v>93651</v>
      </c>
      <c r="H1149" s="805"/>
      <c r="K1149" s="805"/>
      <c r="P1149" s="805"/>
    </row>
    <row r="1150" spans="1:16" x14ac:dyDescent="0.25">
      <c r="A1150" s="813"/>
      <c r="B1150" s="841" t="s">
        <v>2806</v>
      </c>
      <c r="C1150" s="813">
        <v>92801</v>
      </c>
      <c r="H1150" s="805"/>
      <c r="K1150" s="805"/>
      <c r="P1150" s="805"/>
    </row>
    <row r="1151" spans="1:16" x14ac:dyDescent="0.25">
      <c r="A1151" s="813"/>
      <c r="B1151" s="841" t="s">
        <v>2808</v>
      </c>
      <c r="C1151" s="813">
        <v>92804</v>
      </c>
      <c r="H1151" s="805"/>
      <c r="K1151" s="805"/>
      <c r="P1151" s="805"/>
    </row>
    <row r="1152" spans="1:16" x14ac:dyDescent="0.25">
      <c r="A1152" s="813"/>
      <c r="B1152" s="841" t="s">
        <v>2807</v>
      </c>
      <c r="C1152" s="813">
        <v>92802</v>
      </c>
      <c r="H1152" s="805"/>
      <c r="K1152" s="805"/>
      <c r="P1152" s="805"/>
    </row>
    <row r="1153" spans="1:16" x14ac:dyDescent="0.25">
      <c r="A1153" s="813"/>
      <c r="B1153" s="841" t="s">
        <v>4457</v>
      </c>
      <c r="C1153" s="813">
        <v>96081</v>
      </c>
      <c r="H1153" s="805"/>
      <c r="K1153" s="805"/>
      <c r="P1153" s="805"/>
    </row>
    <row r="1154" spans="1:16" x14ac:dyDescent="0.25">
      <c r="A1154" s="813"/>
      <c r="B1154" s="841" t="s">
        <v>2815</v>
      </c>
      <c r="C1154" s="813">
        <v>92901</v>
      </c>
      <c r="H1154" s="805"/>
      <c r="K1154" s="805"/>
      <c r="P1154" s="805"/>
    </row>
    <row r="1155" spans="1:16" x14ac:dyDescent="0.25">
      <c r="A1155" s="813"/>
      <c r="B1155" s="841" t="s">
        <v>2821</v>
      </c>
      <c r="C1155" s="813">
        <v>93001</v>
      </c>
      <c r="H1155" s="805"/>
      <c r="K1155" s="805"/>
      <c r="P1155" s="805"/>
    </row>
    <row r="1156" spans="1:16" x14ac:dyDescent="0.25">
      <c r="A1156" s="813"/>
      <c r="B1156" s="841" t="s">
        <v>2822</v>
      </c>
      <c r="C1156" s="813">
        <v>93009</v>
      </c>
      <c r="H1156" s="805"/>
      <c r="K1156" s="805"/>
      <c r="P1156" s="805"/>
    </row>
    <row r="1157" spans="1:16" x14ac:dyDescent="0.25">
      <c r="A1157" s="813"/>
      <c r="B1157" s="841" t="s">
        <v>4458</v>
      </c>
      <c r="C1157" s="813">
        <v>92921</v>
      </c>
      <c r="H1157" s="805"/>
      <c r="K1157" s="805"/>
      <c r="P1157" s="805"/>
    </row>
    <row r="1158" spans="1:16" x14ac:dyDescent="0.25">
      <c r="A1158" s="813"/>
      <c r="B1158" s="841" t="s">
        <v>4459</v>
      </c>
      <c r="C1158" s="813">
        <v>98621</v>
      </c>
      <c r="H1158" s="805"/>
      <c r="K1158" s="805"/>
      <c r="P1158" s="805"/>
    </row>
    <row r="1159" spans="1:16" x14ac:dyDescent="0.25">
      <c r="A1159" s="813"/>
      <c r="B1159" s="841" t="s">
        <v>3327</v>
      </c>
      <c r="C1159" s="813">
        <v>98627</v>
      </c>
      <c r="H1159" s="805"/>
      <c r="K1159" s="805"/>
      <c r="P1159" s="805"/>
    </row>
    <row r="1160" spans="1:16" x14ac:dyDescent="0.25">
      <c r="A1160" s="813"/>
      <c r="B1160" s="841" t="s">
        <v>4460</v>
      </c>
      <c r="C1160" s="813">
        <v>91221</v>
      </c>
      <c r="H1160" s="805"/>
      <c r="K1160" s="805"/>
      <c r="P1160" s="805"/>
    </row>
    <row r="1161" spans="1:16" x14ac:dyDescent="0.25">
      <c r="A1161" s="813"/>
      <c r="B1161" s="841" t="s">
        <v>4461</v>
      </c>
      <c r="C1161" s="813">
        <v>92861</v>
      </c>
      <c r="H1161" s="805"/>
      <c r="K1161" s="805"/>
      <c r="P1161" s="805"/>
    </row>
    <row r="1162" spans="1:16" x14ac:dyDescent="0.25">
      <c r="A1162" s="813"/>
      <c r="B1162" s="841" t="s">
        <v>4462</v>
      </c>
      <c r="C1162" s="813">
        <v>94311</v>
      </c>
      <c r="H1162" s="805"/>
      <c r="K1162" s="805"/>
      <c r="P1162" s="805"/>
    </row>
    <row r="1163" spans="1:16" x14ac:dyDescent="0.25">
      <c r="A1163" s="813"/>
      <c r="B1163" s="841" t="s">
        <v>2952</v>
      </c>
      <c r="C1163" s="813">
        <v>94317</v>
      </c>
      <c r="H1163" s="805"/>
      <c r="K1163" s="805"/>
      <c r="P1163" s="805"/>
    </row>
    <row r="1164" spans="1:16" x14ac:dyDescent="0.25">
      <c r="A1164" s="813"/>
      <c r="B1164" s="841" t="s">
        <v>2951</v>
      </c>
      <c r="C1164" s="813">
        <v>94313</v>
      </c>
      <c r="H1164" s="805"/>
      <c r="K1164" s="805"/>
      <c r="P1164" s="805"/>
    </row>
    <row r="1165" spans="1:16" x14ac:dyDescent="0.25">
      <c r="A1165" s="813"/>
      <c r="B1165" s="841" t="s">
        <v>2827</v>
      </c>
      <c r="C1165" s="813">
        <v>93101</v>
      </c>
      <c r="H1165" s="805"/>
      <c r="K1165" s="805"/>
      <c r="P1165" s="805"/>
    </row>
    <row r="1166" spans="1:16" x14ac:dyDescent="0.25">
      <c r="A1166" s="813"/>
      <c r="B1166" s="841" t="s">
        <v>2096</v>
      </c>
      <c r="C1166" s="813">
        <v>93103</v>
      </c>
      <c r="H1166" s="805"/>
      <c r="K1166" s="805"/>
      <c r="P1166" s="805"/>
    </row>
    <row r="1167" spans="1:16" x14ac:dyDescent="0.25">
      <c r="A1167" s="813"/>
      <c r="B1167" s="841" t="s">
        <v>4463</v>
      </c>
      <c r="C1167" s="813">
        <v>93211</v>
      </c>
      <c r="H1167" s="805"/>
      <c r="K1167" s="805"/>
      <c r="P1167" s="805"/>
    </row>
    <row r="1168" spans="1:16" x14ac:dyDescent="0.25">
      <c r="A1168" s="813"/>
      <c r="B1168" s="841" t="s">
        <v>2846</v>
      </c>
      <c r="C1168" s="813">
        <v>93212</v>
      </c>
      <c r="H1168" s="805"/>
      <c r="K1168" s="805"/>
      <c r="P1168" s="805"/>
    </row>
    <row r="1169" spans="1:16" x14ac:dyDescent="0.25">
      <c r="A1169" s="813"/>
      <c r="B1169" s="841" t="s">
        <v>2841</v>
      </c>
      <c r="C1169" s="813">
        <v>93201</v>
      </c>
      <c r="H1169" s="805"/>
      <c r="K1169" s="805"/>
      <c r="P1169" s="805"/>
    </row>
    <row r="1170" spans="1:16" x14ac:dyDescent="0.25">
      <c r="A1170" s="813"/>
      <c r="B1170" s="841" t="s">
        <v>2843</v>
      </c>
      <c r="C1170" s="813">
        <v>93204</v>
      </c>
      <c r="H1170" s="805"/>
      <c r="K1170" s="805"/>
      <c r="P1170" s="805"/>
    </row>
    <row r="1171" spans="1:16" x14ac:dyDescent="0.25">
      <c r="A1171" s="813"/>
      <c r="B1171" s="841" t="s">
        <v>3369</v>
      </c>
      <c r="C1171" s="813">
        <v>99212</v>
      </c>
      <c r="H1171" s="805"/>
      <c r="K1171" s="805"/>
      <c r="P1171" s="805"/>
    </row>
    <row r="1172" spans="1:16" x14ac:dyDescent="0.25">
      <c r="A1172" s="813"/>
      <c r="B1172" s="841" t="s">
        <v>3169</v>
      </c>
      <c r="C1172" s="813">
        <v>97005</v>
      </c>
      <c r="H1172" s="805"/>
      <c r="K1172" s="805"/>
      <c r="P1172" s="805"/>
    </row>
    <row r="1173" spans="1:16" x14ac:dyDescent="0.25">
      <c r="A1173" s="813"/>
      <c r="B1173" s="841" t="s">
        <v>4464</v>
      </c>
      <c r="C1173" s="813">
        <v>99931</v>
      </c>
      <c r="H1173" s="805"/>
      <c r="K1173" s="805"/>
      <c r="P1173" s="805"/>
    </row>
    <row r="1174" spans="1:16" x14ac:dyDescent="0.25">
      <c r="A1174" s="813"/>
      <c r="B1174" s="841" t="s">
        <v>4465</v>
      </c>
      <c r="C1174" s="813" t="s">
        <v>4046</v>
      </c>
      <c r="H1174" s="805"/>
      <c r="K1174" s="805"/>
      <c r="P1174" s="805"/>
    </row>
    <row r="1175" spans="1:16" x14ac:dyDescent="0.25">
      <c r="A1175" s="813"/>
      <c r="B1175" s="841" t="s">
        <v>4466</v>
      </c>
      <c r="C1175" s="813">
        <v>98021</v>
      </c>
      <c r="H1175" s="805"/>
      <c r="K1175" s="805"/>
      <c r="P1175" s="805"/>
    </row>
    <row r="1176" spans="1:16" x14ac:dyDescent="0.25">
      <c r="A1176" s="813"/>
      <c r="B1176" s="841" t="s">
        <v>3270</v>
      </c>
      <c r="C1176" s="813">
        <v>98023</v>
      </c>
      <c r="H1176" s="805"/>
      <c r="K1176" s="805"/>
      <c r="P1176" s="805"/>
    </row>
    <row r="1177" spans="1:16" x14ac:dyDescent="0.25">
      <c r="A1177" s="813"/>
      <c r="B1177" s="841" t="s">
        <v>4467</v>
      </c>
      <c r="C1177" s="843">
        <v>70505</v>
      </c>
      <c r="H1177" s="805"/>
      <c r="K1177" s="805"/>
      <c r="P1177" s="805"/>
    </row>
    <row r="1178" spans="1:16" x14ac:dyDescent="0.25">
      <c r="A1178" s="813"/>
      <c r="B1178" s="841" t="s">
        <v>4328</v>
      </c>
      <c r="C1178" s="813">
        <v>99603</v>
      </c>
      <c r="H1178" s="805"/>
      <c r="K1178" s="805"/>
      <c r="P1178" s="805"/>
    </row>
    <row r="1179" spans="1:16" x14ac:dyDescent="0.25">
      <c r="A1179" s="813"/>
      <c r="B1179" s="841" t="s">
        <v>3406</v>
      </c>
      <c r="C1179" s="813">
        <v>99610</v>
      </c>
      <c r="H1179" s="805"/>
      <c r="K1179" s="805"/>
      <c r="P1179" s="805"/>
    </row>
    <row r="1180" spans="1:16" x14ac:dyDescent="0.25">
      <c r="A1180" s="813"/>
      <c r="B1180" s="841" t="s">
        <v>4468</v>
      </c>
      <c r="C1180" s="813">
        <v>92681</v>
      </c>
      <c r="H1180" s="805"/>
      <c r="K1180" s="805"/>
      <c r="P1180" s="805"/>
    </row>
    <row r="1181" spans="1:16" x14ac:dyDescent="0.25">
      <c r="A1181" s="813"/>
      <c r="B1181" s="841" t="s">
        <v>2828</v>
      </c>
      <c r="C1181" s="813">
        <v>93108</v>
      </c>
      <c r="H1181" s="805"/>
      <c r="K1181" s="805"/>
      <c r="P1181" s="805"/>
    </row>
    <row r="1182" spans="1:16" x14ac:dyDescent="0.25">
      <c r="A1182" s="813"/>
      <c r="B1182" s="841" t="s">
        <v>4469</v>
      </c>
      <c r="C1182" s="813">
        <v>97951</v>
      </c>
      <c r="H1182" s="805"/>
      <c r="K1182" s="805"/>
      <c r="P1182" s="805"/>
    </row>
    <row r="1183" spans="1:16" x14ac:dyDescent="0.25">
      <c r="A1183" s="813"/>
      <c r="B1183" s="841" t="s">
        <v>3261</v>
      </c>
      <c r="C1183" s="813">
        <v>97957</v>
      </c>
      <c r="H1183" s="805"/>
      <c r="K1183" s="805"/>
      <c r="P1183" s="805"/>
    </row>
    <row r="1184" spans="1:16" x14ac:dyDescent="0.25">
      <c r="A1184" s="813"/>
      <c r="B1184" s="841" t="s">
        <v>4470</v>
      </c>
      <c r="C1184" s="813">
        <v>92111</v>
      </c>
      <c r="H1184" s="805"/>
      <c r="K1184" s="805"/>
      <c r="P1184" s="805"/>
    </row>
    <row r="1185" spans="1:16" x14ac:dyDescent="0.25">
      <c r="A1185" s="813"/>
      <c r="B1185" s="841" t="s">
        <v>2848</v>
      </c>
      <c r="C1185" s="813">
        <v>93301</v>
      </c>
      <c r="H1185" s="805"/>
      <c r="K1185" s="805"/>
      <c r="P1185" s="805"/>
    </row>
    <row r="1186" spans="1:16" x14ac:dyDescent="0.25">
      <c r="A1186" s="813"/>
      <c r="B1186" s="841" t="s">
        <v>2849</v>
      </c>
      <c r="C1186" s="813">
        <v>93304</v>
      </c>
      <c r="H1186" s="805"/>
      <c r="K1186" s="805"/>
      <c r="P1186" s="805"/>
    </row>
    <row r="1187" spans="1:16" x14ac:dyDescent="0.25">
      <c r="A1187" s="813"/>
      <c r="B1187" s="841" t="s">
        <v>2850</v>
      </c>
      <c r="C1187" s="813">
        <v>93305</v>
      </c>
      <c r="H1187" s="805"/>
      <c r="K1187" s="805"/>
      <c r="P1187" s="805"/>
    </row>
    <row r="1188" spans="1:16" x14ac:dyDescent="0.25">
      <c r="A1188" s="813"/>
      <c r="B1188" s="841" t="s">
        <v>3367</v>
      </c>
      <c r="C1188" s="813">
        <v>99210</v>
      </c>
      <c r="H1188" s="805"/>
      <c r="K1188" s="805"/>
      <c r="P1188" s="805"/>
    </row>
    <row r="1189" spans="1:16" x14ac:dyDescent="0.25">
      <c r="A1189" s="813"/>
      <c r="B1189" s="841" t="s">
        <v>3172</v>
      </c>
      <c r="C1189" s="813">
        <v>97011</v>
      </c>
      <c r="H1189" s="805"/>
      <c r="K1189" s="805"/>
      <c r="P1189" s="805"/>
    </row>
    <row r="1190" spans="1:16" x14ac:dyDescent="0.25">
      <c r="A1190" s="813"/>
      <c r="B1190" s="841" t="s">
        <v>3174</v>
      </c>
      <c r="C1190" s="813">
        <v>97013</v>
      </c>
      <c r="H1190" s="805"/>
      <c r="K1190" s="805"/>
      <c r="P1190" s="805"/>
    </row>
    <row r="1191" spans="1:16" x14ac:dyDescent="0.25">
      <c r="A1191" s="813"/>
      <c r="B1191" s="841" t="s">
        <v>4224</v>
      </c>
      <c r="C1191" s="813">
        <v>97012</v>
      </c>
      <c r="H1191" s="805"/>
      <c r="K1191" s="805"/>
      <c r="P1191" s="805"/>
    </row>
    <row r="1192" spans="1:16" x14ac:dyDescent="0.25">
      <c r="A1192" s="813"/>
      <c r="B1192" s="841" t="s">
        <v>3176</v>
      </c>
      <c r="C1192" s="813">
        <v>97018</v>
      </c>
      <c r="H1192" s="805"/>
      <c r="K1192" s="805"/>
      <c r="P1192" s="805"/>
    </row>
    <row r="1193" spans="1:16" x14ac:dyDescent="0.25">
      <c r="A1193" s="813"/>
      <c r="B1193" s="841" t="s">
        <v>4471</v>
      </c>
      <c r="C1193" s="813">
        <v>90911</v>
      </c>
      <c r="H1193" s="805"/>
      <c r="K1193" s="805"/>
      <c r="P1193" s="805"/>
    </row>
    <row r="1194" spans="1:16" x14ac:dyDescent="0.25">
      <c r="A1194" s="813"/>
      <c r="B1194" s="841" t="s">
        <v>2614</v>
      </c>
      <c r="C1194" s="813">
        <v>90917</v>
      </c>
      <c r="H1194" s="805"/>
      <c r="K1194" s="805"/>
      <c r="P1194" s="805"/>
    </row>
    <row r="1195" spans="1:16" x14ac:dyDescent="0.25">
      <c r="A1195" s="813"/>
      <c r="B1195" s="841" t="s">
        <v>4472</v>
      </c>
      <c r="C1195" s="813">
        <v>90641</v>
      </c>
      <c r="H1195" s="805"/>
      <c r="K1195" s="805"/>
      <c r="P1195" s="805"/>
    </row>
    <row r="1196" spans="1:16" x14ac:dyDescent="0.25">
      <c r="A1196" s="813"/>
      <c r="B1196" s="841" t="s">
        <v>4473</v>
      </c>
      <c r="C1196" s="813">
        <v>98641</v>
      </c>
      <c r="H1196" s="805"/>
      <c r="K1196" s="805"/>
      <c r="P1196" s="805"/>
    </row>
    <row r="1197" spans="1:16" x14ac:dyDescent="0.25">
      <c r="A1197" s="813"/>
      <c r="B1197" s="841" t="s">
        <v>4474</v>
      </c>
      <c r="C1197" s="813" t="s">
        <v>4293</v>
      </c>
      <c r="H1197" s="805"/>
      <c r="K1197" s="805"/>
      <c r="P1197" s="805"/>
    </row>
    <row r="1198" spans="1:16" x14ac:dyDescent="0.25">
      <c r="A1198" s="813"/>
      <c r="B1198" s="841" t="s">
        <v>4475</v>
      </c>
      <c r="C1198" s="813">
        <v>98161</v>
      </c>
      <c r="H1198" s="805"/>
      <c r="K1198" s="805"/>
      <c r="P1198" s="805"/>
    </row>
    <row r="1199" spans="1:16" x14ac:dyDescent="0.25">
      <c r="A1199" s="813"/>
      <c r="B1199" s="841" t="s">
        <v>4476</v>
      </c>
      <c r="C1199" s="813">
        <v>97731</v>
      </c>
      <c r="H1199" s="805"/>
      <c r="K1199" s="805"/>
      <c r="P1199" s="805"/>
    </row>
    <row r="1200" spans="1:16" x14ac:dyDescent="0.25">
      <c r="A1200" s="813"/>
      <c r="B1200" s="841" t="s">
        <v>4477</v>
      </c>
      <c r="C1200" s="813">
        <v>99851</v>
      </c>
      <c r="H1200" s="805"/>
      <c r="K1200" s="805"/>
      <c r="P1200" s="805"/>
    </row>
    <row r="1201" spans="1:16" x14ac:dyDescent="0.25">
      <c r="A1201" s="813"/>
      <c r="B1201" s="841" t="s">
        <v>4478</v>
      </c>
      <c r="C1201" s="813">
        <v>90131</v>
      </c>
      <c r="H1201" s="805"/>
      <c r="K1201" s="805"/>
      <c r="P1201" s="805"/>
    </row>
    <row r="1202" spans="1:16" x14ac:dyDescent="0.25">
      <c r="A1202" s="813"/>
      <c r="B1202" s="841" t="s">
        <v>4479</v>
      </c>
      <c r="C1202" s="813">
        <v>91651</v>
      </c>
      <c r="H1202" s="805"/>
      <c r="K1202" s="805"/>
      <c r="P1202" s="805"/>
    </row>
    <row r="1203" spans="1:16" x14ac:dyDescent="0.25">
      <c r="A1203" s="813"/>
      <c r="B1203" s="841" t="s">
        <v>4480</v>
      </c>
      <c r="C1203" s="813">
        <v>94211</v>
      </c>
      <c r="H1203" s="805"/>
      <c r="K1203" s="805"/>
      <c r="P1203" s="805"/>
    </row>
    <row r="1204" spans="1:16" x14ac:dyDescent="0.25">
      <c r="A1204" s="813"/>
      <c r="B1204" s="841" t="s">
        <v>4481</v>
      </c>
      <c r="C1204" s="813">
        <v>94331</v>
      </c>
      <c r="H1204" s="805"/>
      <c r="K1204" s="805"/>
      <c r="P1204" s="805"/>
    </row>
    <row r="1205" spans="1:16" x14ac:dyDescent="0.25">
      <c r="A1205" s="813"/>
      <c r="B1205" s="841" t="s">
        <v>4482</v>
      </c>
      <c r="C1205" s="813">
        <v>92431</v>
      </c>
      <c r="H1205" s="805"/>
      <c r="K1205" s="805"/>
      <c r="P1205" s="805"/>
    </row>
    <row r="1206" spans="1:16" x14ac:dyDescent="0.25">
      <c r="A1206" s="813"/>
      <c r="B1206" s="841" t="s">
        <v>4483</v>
      </c>
      <c r="C1206" s="813">
        <v>97821</v>
      </c>
      <c r="H1206" s="805"/>
      <c r="K1206" s="805"/>
      <c r="P1206" s="805"/>
    </row>
    <row r="1207" spans="1:16" x14ac:dyDescent="0.25">
      <c r="A1207" s="813"/>
      <c r="B1207" s="841" t="s">
        <v>3240</v>
      </c>
      <c r="C1207" s="813">
        <v>97823</v>
      </c>
      <c r="H1207" s="805"/>
      <c r="K1207" s="805"/>
      <c r="P1207" s="805"/>
    </row>
    <row r="1208" spans="1:16" x14ac:dyDescent="0.25">
      <c r="A1208" s="813"/>
      <c r="B1208" s="841" t="s">
        <v>4484</v>
      </c>
      <c r="C1208" s="813">
        <v>93141</v>
      </c>
      <c r="H1208" s="805"/>
      <c r="K1208" s="805"/>
      <c r="P1208" s="805"/>
    </row>
    <row r="1209" spans="1:16" x14ac:dyDescent="0.25">
      <c r="A1209" s="813"/>
      <c r="B1209" s="841" t="s">
        <v>4485</v>
      </c>
      <c r="C1209" s="813">
        <v>98081</v>
      </c>
      <c r="H1209" s="805"/>
      <c r="K1209" s="805"/>
      <c r="P1209" s="805"/>
    </row>
    <row r="1210" spans="1:16" x14ac:dyDescent="0.25">
      <c r="A1210" s="813"/>
      <c r="B1210" s="841" t="s">
        <v>4486</v>
      </c>
      <c r="C1210" s="813">
        <v>92671</v>
      </c>
      <c r="H1210" s="805"/>
      <c r="K1210" s="805"/>
      <c r="P1210" s="805"/>
    </row>
    <row r="1211" spans="1:16" x14ac:dyDescent="0.25">
      <c r="A1211" s="813"/>
      <c r="B1211" s="841" t="s">
        <v>4487</v>
      </c>
      <c r="C1211" s="813">
        <v>97421</v>
      </c>
      <c r="H1211" s="805"/>
      <c r="K1211" s="805"/>
      <c r="P1211" s="805"/>
    </row>
    <row r="1212" spans="1:16" x14ac:dyDescent="0.25">
      <c r="A1212" s="813"/>
      <c r="B1212" s="841" t="s">
        <v>3199</v>
      </c>
      <c r="C1212" s="813">
        <v>97423</v>
      </c>
      <c r="H1212" s="805"/>
      <c r="K1212" s="805"/>
      <c r="P1212" s="805"/>
    </row>
    <row r="1213" spans="1:16" x14ac:dyDescent="0.25">
      <c r="A1213" s="813"/>
      <c r="B1213" s="841" t="s">
        <v>4488</v>
      </c>
      <c r="C1213" s="813">
        <v>92611</v>
      </c>
      <c r="H1213" s="805"/>
      <c r="K1213" s="805"/>
      <c r="P1213" s="805"/>
    </row>
    <row r="1214" spans="1:16" x14ac:dyDescent="0.25">
      <c r="A1214" s="813"/>
      <c r="B1214" s="841" t="s">
        <v>4055</v>
      </c>
      <c r="C1214" s="813">
        <v>92613</v>
      </c>
      <c r="H1214" s="805"/>
      <c r="K1214" s="805"/>
      <c r="P1214" s="805"/>
    </row>
    <row r="1215" spans="1:16" x14ac:dyDescent="0.25">
      <c r="A1215" s="813"/>
      <c r="B1215" s="841" t="s">
        <v>4489</v>
      </c>
      <c r="C1215" s="813">
        <v>92614</v>
      </c>
      <c r="H1215" s="805"/>
      <c r="K1215" s="805"/>
      <c r="P1215" s="805"/>
    </row>
    <row r="1216" spans="1:16" x14ac:dyDescent="0.25">
      <c r="A1216" s="813"/>
      <c r="B1216" s="841" t="s">
        <v>2774</v>
      </c>
      <c r="C1216" s="813">
        <v>92502</v>
      </c>
      <c r="H1216" s="805"/>
      <c r="K1216" s="805"/>
      <c r="P1216" s="805"/>
    </row>
    <row r="1217" spans="1:16" x14ac:dyDescent="0.25">
      <c r="A1217" s="813"/>
      <c r="B1217" s="841" t="s">
        <v>4490</v>
      </c>
      <c r="C1217" s="813">
        <v>94531</v>
      </c>
      <c r="H1217" s="805"/>
      <c r="K1217" s="805"/>
      <c r="P1217" s="805"/>
    </row>
    <row r="1218" spans="1:16" x14ac:dyDescent="0.25">
      <c r="A1218" s="813"/>
      <c r="B1218" s="841" t="s">
        <v>4491</v>
      </c>
      <c r="C1218" s="813">
        <v>94541</v>
      </c>
      <c r="H1218" s="805"/>
      <c r="K1218" s="805"/>
      <c r="P1218" s="805"/>
    </row>
    <row r="1219" spans="1:16" x14ac:dyDescent="0.25">
      <c r="A1219" s="813"/>
      <c r="B1219" s="841" t="s">
        <v>2977</v>
      </c>
      <c r="C1219" s="813">
        <v>94547</v>
      </c>
      <c r="H1219" s="805"/>
      <c r="K1219" s="805"/>
      <c r="P1219" s="805"/>
    </row>
    <row r="1220" spans="1:16" x14ac:dyDescent="0.25">
      <c r="A1220" s="813"/>
      <c r="B1220" s="841" t="s">
        <v>3003</v>
      </c>
      <c r="C1220" s="813">
        <v>95005</v>
      </c>
      <c r="H1220" s="805"/>
      <c r="K1220" s="805"/>
      <c r="P1220" s="805"/>
    </row>
    <row r="1221" spans="1:16" x14ac:dyDescent="0.25">
      <c r="A1221" s="813"/>
      <c r="B1221" s="841" t="s">
        <v>4492</v>
      </c>
      <c r="C1221" s="813">
        <v>98111</v>
      </c>
      <c r="H1221" s="805"/>
      <c r="K1221" s="805"/>
      <c r="P1221" s="805"/>
    </row>
    <row r="1222" spans="1:16" x14ac:dyDescent="0.25">
      <c r="A1222" s="813"/>
      <c r="B1222" s="841" t="s">
        <v>3281</v>
      </c>
      <c r="C1222" s="813">
        <v>98107</v>
      </c>
      <c r="H1222" s="805"/>
      <c r="K1222" s="805"/>
      <c r="P1222" s="805"/>
    </row>
    <row r="1223" spans="1:16" x14ac:dyDescent="0.25">
      <c r="A1223" s="813"/>
      <c r="B1223" s="841" t="s">
        <v>3284</v>
      </c>
      <c r="C1223" s="813">
        <v>98113</v>
      </c>
      <c r="H1223" s="805"/>
      <c r="K1223" s="805"/>
      <c r="P1223" s="805"/>
    </row>
    <row r="1224" spans="1:16" x14ac:dyDescent="0.25">
      <c r="A1224" s="813"/>
      <c r="B1224" s="841" t="s">
        <v>3402</v>
      </c>
      <c r="C1224" s="813">
        <v>99602</v>
      </c>
      <c r="H1224" s="805"/>
      <c r="K1224" s="805"/>
      <c r="P1224" s="805"/>
    </row>
    <row r="1225" spans="1:16" x14ac:dyDescent="0.25">
      <c r="A1225" s="813"/>
      <c r="B1225" s="841" t="s">
        <v>2860</v>
      </c>
      <c r="C1225" s="813">
        <v>93401</v>
      </c>
      <c r="H1225" s="805"/>
      <c r="K1225" s="805"/>
      <c r="P1225" s="805"/>
    </row>
    <row r="1226" spans="1:16" x14ac:dyDescent="0.25">
      <c r="A1226" s="813"/>
      <c r="B1226" s="841" t="s">
        <v>4493</v>
      </c>
      <c r="C1226" s="813">
        <v>97491</v>
      </c>
      <c r="H1226" s="805"/>
      <c r="K1226" s="805"/>
      <c r="P1226" s="805"/>
    </row>
    <row r="1227" spans="1:16" x14ac:dyDescent="0.25">
      <c r="A1227" s="813"/>
      <c r="B1227" s="841" t="s">
        <v>4494</v>
      </c>
      <c r="C1227" s="813">
        <v>95151</v>
      </c>
      <c r="H1227" s="805"/>
      <c r="K1227" s="805"/>
      <c r="P1227" s="805"/>
    </row>
    <row r="1228" spans="1:16" x14ac:dyDescent="0.25">
      <c r="A1228" s="813"/>
      <c r="B1228" s="841" t="s">
        <v>3113</v>
      </c>
      <c r="C1228" s="813">
        <v>96381</v>
      </c>
      <c r="H1228" s="805"/>
      <c r="K1228" s="805"/>
      <c r="P1228" s="805"/>
    </row>
    <row r="1229" spans="1:16" x14ac:dyDescent="0.25">
      <c r="A1229" s="813"/>
      <c r="B1229" s="841" t="s">
        <v>4495</v>
      </c>
      <c r="C1229" s="813">
        <v>95611</v>
      </c>
      <c r="H1229" s="805"/>
      <c r="K1229" s="805"/>
      <c r="P1229" s="805"/>
    </row>
    <row r="1230" spans="1:16" x14ac:dyDescent="0.25">
      <c r="A1230" s="813"/>
      <c r="B1230" s="841" t="s">
        <v>2874</v>
      </c>
      <c r="C1230" s="813">
        <v>93501</v>
      </c>
      <c r="H1230" s="805"/>
      <c r="K1230" s="805"/>
      <c r="P1230" s="805"/>
    </row>
    <row r="1231" spans="1:16" x14ac:dyDescent="0.25">
      <c r="A1231" s="813"/>
      <c r="B1231" s="841" t="s">
        <v>4496</v>
      </c>
      <c r="C1231" s="813">
        <v>93511</v>
      </c>
      <c r="H1231" s="805"/>
      <c r="K1231" s="805"/>
      <c r="P1231" s="805"/>
    </row>
    <row r="1232" spans="1:16" x14ac:dyDescent="0.25">
      <c r="A1232" s="813"/>
      <c r="B1232" s="841" t="s">
        <v>2876</v>
      </c>
      <c r="C1232" s="813">
        <v>93517</v>
      </c>
      <c r="H1232" s="805"/>
      <c r="K1232" s="805"/>
      <c r="P1232" s="805"/>
    </row>
    <row r="1233" spans="1:16" x14ac:dyDescent="0.25">
      <c r="A1233" s="813"/>
      <c r="B1233" s="841" t="s">
        <v>4497</v>
      </c>
      <c r="C1233" s="813">
        <v>99631</v>
      </c>
      <c r="H1233" s="805"/>
      <c r="K1233" s="805"/>
      <c r="P1233" s="805"/>
    </row>
    <row r="1234" spans="1:16" x14ac:dyDescent="0.25">
      <c r="A1234" s="813"/>
      <c r="B1234" s="841" t="s">
        <v>4498</v>
      </c>
      <c r="C1234" s="813">
        <v>99261</v>
      </c>
      <c r="H1234" s="805"/>
      <c r="K1234" s="805"/>
      <c r="P1234" s="805"/>
    </row>
    <row r="1235" spans="1:16" x14ac:dyDescent="0.25">
      <c r="A1235" s="813"/>
      <c r="B1235" s="841" t="s">
        <v>4499</v>
      </c>
      <c r="C1235" s="813">
        <v>98241</v>
      </c>
      <c r="H1235" s="805"/>
      <c r="K1235" s="805"/>
      <c r="P1235" s="805"/>
    </row>
    <row r="1236" spans="1:16" x14ac:dyDescent="0.25">
      <c r="A1236" s="813"/>
      <c r="B1236" s="841" t="s">
        <v>4500</v>
      </c>
      <c r="C1236" s="813">
        <v>99251</v>
      </c>
      <c r="H1236" s="805"/>
      <c r="K1236" s="805"/>
      <c r="P1236" s="805"/>
    </row>
    <row r="1237" spans="1:16" x14ac:dyDescent="0.25">
      <c r="A1237" s="813"/>
      <c r="B1237" s="841" t="s">
        <v>3377</v>
      </c>
      <c r="C1237" s="813">
        <v>99252</v>
      </c>
      <c r="H1237" s="805"/>
      <c r="K1237" s="805"/>
      <c r="P1237" s="805"/>
    </row>
    <row r="1238" spans="1:16" x14ac:dyDescent="0.25">
      <c r="A1238" s="813"/>
      <c r="B1238" s="841" t="s">
        <v>4501</v>
      </c>
      <c r="C1238" s="813">
        <v>96631</v>
      </c>
      <c r="H1238" s="805"/>
      <c r="K1238" s="805"/>
      <c r="P1238" s="805"/>
    </row>
    <row r="1239" spans="1:16" x14ac:dyDescent="0.25">
      <c r="A1239" s="813"/>
      <c r="B1239" s="841" t="s">
        <v>4502</v>
      </c>
      <c r="C1239" s="813">
        <v>96651</v>
      </c>
      <c r="H1239" s="805"/>
      <c r="K1239" s="805"/>
      <c r="P1239" s="805"/>
    </row>
    <row r="1240" spans="1:16" x14ac:dyDescent="0.25">
      <c r="A1240" s="813"/>
      <c r="B1240" s="841" t="s">
        <v>2882</v>
      </c>
      <c r="C1240" s="813">
        <v>93601</v>
      </c>
      <c r="H1240" s="805"/>
      <c r="K1240" s="805"/>
      <c r="P1240" s="805"/>
    </row>
    <row r="1241" spans="1:16" x14ac:dyDescent="0.25">
      <c r="A1241" s="813"/>
      <c r="B1241" s="841" t="s">
        <v>2888</v>
      </c>
      <c r="C1241" s="813">
        <v>93618</v>
      </c>
      <c r="H1241" s="805"/>
      <c r="K1241" s="805"/>
      <c r="P1241" s="805"/>
    </row>
    <row r="1242" spans="1:16" x14ac:dyDescent="0.25">
      <c r="A1242" s="813"/>
      <c r="B1242" s="841" t="s">
        <v>4503</v>
      </c>
      <c r="C1242" s="813">
        <v>93611</v>
      </c>
      <c r="H1242" s="805"/>
      <c r="K1242" s="805"/>
      <c r="P1242" s="805"/>
    </row>
    <row r="1243" spans="1:16" x14ac:dyDescent="0.25">
      <c r="A1243" s="813"/>
      <c r="B1243" s="841" t="s">
        <v>2887</v>
      </c>
      <c r="C1243" s="813">
        <v>93617</v>
      </c>
      <c r="H1243" s="805"/>
      <c r="K1243" s="805"/>
      <c r="P1243" s="805"/>
    </row>
    <row r="1244" spans="1:16" x14ac:dyDescent="0.25">
      <c r="A1244" s="813"/>
      <c r="B1244" s="841" t="s">
        <v>3554</v>
      </c>
      <c r="C1244" s="813">
        <v>93701</v>
      </c>
      <c r="H1244" s="805"/>
      <c r="K1244" s="805"/>
      <c r="P1244" s="805"/>
    </row>
    <row r="1245" spans="1:16" x14ac:dyDescent="0.25">
      <c r="A1245" s="813"/>
      <c r="B1245" s="841" t="s">
        <v>2900</v>
      </c>
      <c r="C1245" s="813">
        <v>93704</v>
      </c>
      <c r="H1245" s="805"/>
      <c r="K1245" s="805"/>
      <c r="P1245" s="805"/>
    </row>
    <row r="1246" spans="1:16" x14ac:dyDescent="0.25">
      <c r="A1246" s="813"/>
      <c r="B1246" s="841" t="s">
        <v>4504</v>
      </c>
      <c r="C1246" s="813">
        <v>98331</v>
      </c>
      <c r="H1246" s="805"/>
      <c r="K1246" s="805"/>
      <c r="P1246" s="805"/>
    </row>
    <row r="1247" spans="1:16" x14ac:dyDescent="0.25">
      <c r="A1247" s="813"/>
      <c r="B1247" s="841" t="s">
        <v>4505</v>
      </c>
      <c r="C1247" s="813">
        <v>94151</v>
      </c>
      <c r="H1247" s="805"/>
      <c r="K1247" s="805"/>
      <c r="P1247" s="805"/>
    </row>
    <row r="1248" spans="1:16" x14ac:dyDescent="0.25">
      <c r="A1248" s="813"/>
      <c r="B1248" s="841" t="s">
        <v>2934</v>
      </c>
      <c r="C1248" s="813">
        <v>94157</v>
      </c>
      <c r="H1248" s="805"/>
      <c r="K1248" s="805"/>
      <c r="P1248" s="805"/>
    </row>
    <row r="1249" spans="1:16" x14ac:dyDescent="0.25">
      <c r="A1249" s="813"/>
      <c r="B1249" s="841" t="s">
        <v>4506</v>
      </c>
      <c r="C1249" s="813">
        <v>91241</v>
      </c>
      <c r="H1249" s="805"/>
      <c r="K1249" s="805"/>
      <c r="P1249" s="805"/>
    </row>
    <row r="1250" spans="1:16" x14ac:dyDescent="0.25">
      <c r="A1250" s="813"/>
      <c r="B1250" s="841" t="s">
        <v>3039</v>
      </c>
      <c r="C1250" s="813">
        <v>95412</v>
      </c>
      <c r="H1250" s="805"/>
      <c r="K1250" s="805"/>
      <c r="P1250" s="805"/>
    </row>
    <row r="1251" spans="1:16" x14ac:dyDescent="0.25">
      <c r="A1251" s="813"/>
      <c r="B1251" s="841" t="s">
        <v>4507</v>
      </c>
      <c r="C1251" s="813">
        <v>99611</v>
      </c>
      <c r="H1251" s="805"/>
      <c r="K1251" s="805"/>
      <c r="P1251" s="805"/>
    </row>
    <row r="1252" spans="1:16" x14ac:dyDescent="0.25">
      <c r="A1252" s="813"/>
      <c r="B1252" s="841" t="s">
        <v>4508</v>
      </c>
      <c r="C1252" s="813">
        <v>99613</v>
      </c>
      <c r="H1252" s="805"/>
      <c r="K1252" s="805"/>
      <c r="P1252" s="805"/>
    </row>
    <row r="1253" spans="1:16" x14ac:dyDescent="0.25">
      <c r="A1253" s="813"/>
      <c r="B1253" s="841" t="s">
        <v>2738</v>
      </c>
      <c r="C1253" s="813">
        <v>91908</v>
      </c>
      <c r="H1253" s="805"/>
      <c r="K1253" s="805"/>
      <c r="P1253" s="805"/>
    </row>
    <row r="1254" spans="1:16" x14ac:dyDescent="0.25">
      <c r="A1254" s="813"/>
      <c r="B1254" s="841" t="s">
        <v>4509</v>
      </c>
      <c r="C1254" s="813">
        <v>90121</v>
      </c>
      <c r="H1254" s="805"/>
      <c r="K1254" s="805"/>
      <c r="P1254" s="805"/>
    </row>
    <row r="1255" spans="1:16" x14ac:dyDescent="0.25">
      <c r="A1255" s="813"/>
      <c r="B1255" s="841" t="s">
        <v>2902</v>
      </c>
      <c r="C1255" s="813">
        <v>93803</v>
      </c>
      <c r="H1255" s="805"/>
      <c r="K1255" s="805"/>
      <c r="P1255" s="805"/>
    </row>
    <row r="1256" spans="1:16" x14ac:dyDescent="0.25">
      <c r="A1256" s="813"/>
      <c r="B1256" s="841" t="s">
        <v>2901</v>
      </c>
      <c r="C1256" s="813">
        <v>93801</v>
      </c>
      <c r="H1256" s="805"/>
      <c r="K1256" s="805"/>
      <c r="P1256" s="805"/>
    </row>
    <row r="1257" spans="1:16" x14ac:dyDescent="0.25">
      <c r="A1257" s="813"/>
      <c r="B1257" s="841" t="s">
        <v>2903</v>
      </c>
      <c r="C1257" s="813">
        <v>93806</v>
      </c>
      <c r="H1257" s="805"/>
      <c r="K1257" s="805"/>
      <c r="P1257" s="805"/>
    </row>
    <row r="1258" spans="1:16" x14ac:dyDescent="0.25">
      <c r="A1258" s="813"/>
      <c r="B1258" s="841" t="s">
        <v>4510</v>
      </c>
      <c r="C1258" s="813">
        <v>91411</v>
      </c>
      <c r="H1258" s="805"/>
      <c r="K1258" s="805"/>
      <c r="P1258" s="805"/>
    </row>
    <row r="1259" spans="1:16" x14ac:dyDescent="0.25">
      <c r="A1259" s="813"/>
      <c r="B1259" s="841" t="s">
        <v>2694</v>
      </c>
      <c r="C1259" s="813">
        <v>91417</v>
      </c>
      <c r="H1259" s="805"/>
      <c r="K1259" s="805"/>
      <c r="P1259" s="805"/>
    </row>
    <row r="1260" spans="1:16" x14ac:dyDescent="0.25">
      <c r="A1260" s="813"/>
      <c r="B1260" s="841" t="s">
        <v>4511</v>
      </c>
      <c r="C1260" s="813">
        <v>98061</v>
      </c>
      <c r="H1260" s="805"/>
      <c r="K1260" s="805"/>
      <c r="P1260" s="805"/>
    </row>
    <row r="1261" spans="1:16" x14ac:dyDescent="0.25">
      <c r="A1261" s="813"/>
      <c r="B1261" s="841" t="s">
        <v>4512</v>
      </c>
      <c r="C1261" s="813">
        <v>93904</v>
      </c>
      <c r="H1261" s="805"/>
      <c r="K1261" s="805"/>
      <c r="P1261" s="805"/>
    </row>
    <row r="1262" spans="1:16" x14ac:dyDescent="0.25">
      <c r="A1262" s="813"/>
      <c r="B1262" s="841" t="s">
        <v>2905</v>
      </c>
      <c r="C1262" s="813">
        <v>93901</v>
      </c>
      <c r="H1262" s="805"/>
      <c r="K1262" s="805"/>
      <c r="P1262" s="805"/>
    </row>
    <row r="1263" spans="1:16" x14ac:dyDescent="0.25">
      <c r="A1263" s="813"/>
      <c r="B1263" s="841" t="s">
        <v>2907</v>
      </c>
      <c r="C1263" s="813">
        <v>93906</v>
      </c>
      <c r="H1263" s="805"/>
      <c r="K1263" s="805"/>
      <c r="P1263" s="805"/>
    </row>
    <row r="1264" spans="1:16" x14ac:dyDescent="0.25">
      <c r="A1264" s="813"/>
      <c r="B1264" s="841" t="s">
        <v>3555</v>
      </c>
      <c r="C1264" s="813">
        <v>93908</v>
      </c>
      <c r="H1264" s="805"/>
      <c r="K1264" s="805"/>
      <c r="P1264" s="805"/>
    </row>
    <row r="1265" spans="1:16" x14ac:dyDescent="0.25">
      <c r="A1265" s="813"/>
      <c r="B1265" s="841" t="s">
        <v>2993</v>
      </c>
      <c r="C1265" s="813">
        <v>94908</v>
      </c>
      <c r="H1265" s="805"/>
      <c r="K1265" s="805"/>
      <c r="P1265" s="805"/>
    </row>
    <row r="1266" spans="1:16" x14ac:dyDescent="0.25">
      <c r="A1266" s="813"/>
      <c r="B1266" s="841" t="s">
        <v>4513</v>
      </c>
      <c r="C1266" s="813">
        <v>90161</v>
      </c>
      <c r="H1266" s="805"/>
      <c r="K1266" s="805"/>
      <c r="P1266" s="805"/>
    </row>
    <row r="1267" spans="1:16" x14ac:dyDescent="0.25">
      <c r="A1267" s="813"/>
      <c r="B1267" s="841" t="s">
        <v>2915</v>
      </c>
      <c r="C1267" s="813">
        <v>94001</v>
      </c>
      <c r="H1267" s="805"/>
      <c r="K1267" s="805"/>
      <c r="P1267" s="805"/>
    </row>
    <row r="1268" spans="1:16" x14ac:dyDescent="0.25">
      <c r="A1268" s="813"/>
      <c r="B1268" s="841" t="s">
        <v>2917</v>
      </c>
      <c r="C1268" s="813">
        <v>94004</v>
      </c>
      <c r="H1268" s="805"/>
      <c r="K1268" s="805"/>
      <c r="P1268" s="805"/>
    </row>
    <row r="1269" spans="1:16" x14ac:dyDescent="0.25">
      <c r="A1269" s="813"/>
      <c r="B1269" s="841" t="s">
        <v>4514</v>
      </c>
      <c r="C1269" s="813">
        <v>94111</v>
      </c>
      <c r="H1269" s="805"/>
      <c r="K1269" s="805"/>
      <c r="P1269" s="805"/>
    </row>
    <row r="1270" spans="1:16" x14ac:dyDescent="0.25">
      <c r="A1270" s="813"/>
      <c r="B1270" s="841" t="s">
        <v>4515</v>
      </c>
      <c r="C1270" s="813">
        <v>94117</v>
      </c>
      <c r="H1270" s="805"/>
      <c r="K1270" s="805"/>
      <c r="P1270" s="805"/>
    </row>
    <row r="1271" spans="1:16" x14ac:dyDescent="0.25">
      <c r="A1271" s="813"/>
      <c r="B1271" s="841" t="s">
        <v>4516</v>
      </c>
      <c r="C1271" s="813">
        <v>97411</v>
      </c>
      <c r="H1271" s="805"/>
      <c r="K1271" s="805"/>
      <c r="P1271" s="805"/>
    </row>
    <row r="1272" spans="1:16" x14ac:dyDescent="0.25">
      <c r="A1272" s="813"/>
      <c r="B1272" s="841" t="s">
        <v>3197</v>
      </c>
      <c r="C1272" s="813">
        <v>97413</v>
      </c>
      <c r="H1272" s="805"/>
      <c r="K1272" s="805"/>
      <c r="P1272" s="805"/>
    </row>
    <row r="1273" spans="1:16" x14ac:dyDescent="0.25">
      <c r="A1273" s="813"/>
      <c r="B1273" s="841" t="s">
        <v>3196</v>
      </c>
      <c r="C1273" s="813">
        <v>97412</v>
      </c>
      <c r="H1273" s="805"/>
      <c r="K1273" s="805"/>
      <c r="P1273" s="805"/>
    </row>
    <row r="1274" spans="1:16" x14ac:dyDescent="0.25">
      <c r="A1274" s="813"/>
      <c r="B1274" s="841" t="s">
        <v>4517</v>
      </c>
      <c r="C1274" s="813">
        <v>97431</v>
      </c>
      <c r="H1274" s="805"/>
      <c r="K1274" s="805"/>
      <c r="P1274" s="805"/>
    </row>
    <row r="1275" spans="1:16" x14ac:dyDescent="0.25">
      <c r="A1275" s="813"/>
      <c r="B1275" s="841" t="s">
        <v>4518</v>
      </c>
      <c r="C1275" s="813">
        <v>97471</v>
      </c>
      <c r="H1275" s="805"/>
      <c r="K1275" s="805"/>
      <c r="P1275" s="805"/>
    </row>
    <row r="1276" spans="1:16" x14ac:dyDescent="0.25">
      <c r="A1276" s="813"/>
      <c r="B1276" s="841" t="s">
        <v>4519</v>
      </c>
      <c r="C1276" s="813">
        <v>92351</v>
      </c>
      <c r="H1276" s="805"/>
      <c r="K1276" s="805"/>
      <c r="P1276" s="805"/>
    </row>
    <row r="1277" spans="1:16" x14ac:dyDescent="0.25">
      <c r="A1277" s="813"/>
      <c r="B1277" s="841" t="s">
        <v>2922</v>
      </c>
      <c r="C1277" s="813">
        <v>94101</v>
      </c>
      <c r="H1277" s="805"/>
      <c r="K1277" s="805"/>
      <c r="P1277" s="805"/>
    </row>
    <row r="1278" spans="1:16" x14ac:dyDescent="0.25">
      <c r="A1278" s="813"/>
      <c r="B1278" s="841" t="s">
        <v>2929</v>
      </c>
      <c r="C1278" s="813">
        <v>94118</v>
      </c>
      <c r="H1278" s="805"/>
      <c r="K1278" s="805"/>
      <c r="P1278" s="805"/>
    </row>
    <row r="1279" spans="1:16" x14ac:dyDescent="0.25">
      <c r="A1279" s="813"/>
      <c r="B1279" s="841" t="s">
        <v>2923</v>
      </c>
      <c r="C1279" s="813">
        <v>94102</v>
      </c>
      <c r="H1279" s="805"/>
      <c r="K1279" s="805"/>
      <c r="P1279" s="805"/>
    </row>
    <row r="1280" spans="1:16" x14ac:dyDescent="0.25">
      <c r="A1280" s="813"/>
      <c r="B1280" s="841" t="s">
        <v>2939</v>
      </c>
      <c r="C1280" s="813">
        <v>94201</v>
      </c>
      <c r="H1280" s="805"/>
      <c r="K1280" s="805"/>
      <c r="P1280" s="805"/>
    </row>
    <row r="1281" spans="1:16" x14ac:dyDescent="0.25">
      <c r="A1281" s="813"/>
      <c r="B1281" s="841" t="s">
        <v>2940</v>
      </c>
      <c r="C1281" s="813">
        <v>94204</v>
      </c>
      <c r="H1281" s="805"/>
      <c r="K1281" s="805"/>
      <c r="P1281" s="805"/>
    </row>
    <row r="1282" spans="1:16" x14ac:dyDescent="0.25">
      <c r="A1282" s="813"/>
      <c r="B1282" s="841" t="s">
        <v>2941</v>
      </c>
      <c r="C1282" s="813">
        <v>94205</v>
      </c>
      <c r="H1282" s="805"/>
      <c r="K1282" s="805"/>
      <c r="P1282" s="805"/>
    </row>
    <row r="1283" spans="1:16" x14ac:dyDescent="0.25">
      <c r="A1283" s="813"/>
      <c r="B1283" s="841" t="s">
        <v>4520</v>
      </c>
      <c r="C1283" s="813">
        <v>95831</v>
      </c>
      <c r="H1283" s="805"/>
      <c r="K1283" s="805"/>
      <c r="P1283" s="805"/>
    </row>
    <row r="1284" spans="1:16" x14ac:dyDescent="0.25">
      <c r="A1284" s="813"/>
      <c r="B1284" s="841" t="s">
        <v>4521</v>
      </c>
      <c r="C1284" s="813">
        <v>97721</v>
      </c>
      <c r="H1284" s="805"/>
      <c r="K1284" s="805"/>
      <c r="P1284" s="805"/>
    </row>
    <row r="1285" spans="1:16" x14ac:dyDescent="0.25">
      <c r="A1285" s="813"/>
      <c r="B1285" s="841" t="s">
        <v>3228</v>
      </c>
      <c r="C1285" s="813">
        <v>97717</v>
      </c>
      <c r="H1285" s="805"/>
      <c r="K1285" s="805"/>
      <c r="P1285" s="805"/>
    </row>
    <row r="1286" spans="1:16" x14ac:dyDescent="0.25">
      <c r="A1286" s="813"/>
      <c r="B1286" s="841" t="s">
        <v>2949</v>
      </c>
      <c r="C1286" s="813">
        <v>94301</v>
      </c>
      <c r="H1286" s="805"/>
      <c r="K1286" s="805"/>
      <c r="P1286" s="805"/>
    </row>
    <row r="1287" spans="1:16" x14ac:dyDescent="0.25">
      <c r="A1287" s="813"/>
      <c r="B1287" s="841" t="s">
        <v>4522</v>
      </c>
      <c r="C1287" s="813">
        <v>91441</v>
      </c>
      <c r="H1287" s="805"/>
      <c r="K1287" s="805"/>
      <c r="P1287" s="805"/>
    </row>
    <row r="1288" spans="1:16" x14ac:dyDescent="0.25">
      <c r="A1288" s="813"/>
      <c r="B1288" s="841" t="s">
        <v>4523</v>
      </c>
      <c r="C1288" s="813">
        <v>92531</v>
      </c>
      <c r="H1288" s="805"/>
      <c r="K1288" s="805"/>
      <c r="P1288" s="805"/>
    </row>
    <row r="1289" spans="1:16" x14ac:dyDescent="0.25">
      <c r="A1289" s="813"/>
      <c r="B1289" s="841" t="s">
        <v>4524</v>
      </c>
      <c r="C1289" s="813">
        <v>90141</v>
      </c>
      <c r="H1289" s="805"/>
      <c r="K1289" s="805"/>
      <c r="P1289" s="805"/>
    </row>
    <row r="1290" spans="1:16" x14ac:dyDescent="0.25">
      <c r="A1290" s="813"/>
      <c r="B1290" s="841" t="s">
        <v>3556</v>
      </c>
      <c r="C1290" s="813">
        <v>94401</v>
      </c>
      <c r="H1290" s="805"/>
      <c r="K1290" s="805"/>
      <c r="P1290" s="805"/>
    </row>
    <row r="1291" spans="1:16" x14ac:dyDescent="0.25">
      <c r="A1291" s="813"/>
      <c r="B1291" s="841" t="s">
        <v>3557</v>
      </c>
      <c r="C1291" s="813">
        <v>94403</v>
      </c>
      <c r="H1291" s="805"/>
      <c r="K1291" s="805"/>
      <c r="P1291" s="805"/>
    </row>
    <row r="1292" spans="1:16" x14ac:dyDescent="0.25">
      <c r="A1292" s="813"/>
      <c r="B1292" s="841" t="s">
        <v>2959</v>
      </c>
      <c r="C1292" s="813">
        <v>94402</v>
      </c>
      <c r="H1292" s="805"/>
      <c r="K1292" s="805"/>
      <c r="P1292" s="805"/>
    </row>
    <row r="1293" spans="1:16" x14ac:dyDescent="0.25">
      <c r="A1293" s="813"/>
      <c r="B1293" s="841" t="s">
        <v>4525</v>
      </c>
      <c r="C1293" s="813">
        <v>99111</v>
      </c>
      <c r="H1293" s="805"/>
      <c r="K1293" s="805"/>
      <c r="P1293" s="805"/>
    </row>
    <row r="1294" spans="1:16" x14ac:dyDescent="0.25">
      <c r="A1294" s="813"/>
      <c r="B1294" s="841" t="s">
        <v>4526</v>
      </c>
      <c r="C1294" s="813">
        <v>94501</v>
      </c>
      <c r="H1294" s="805"/>
      <c r="K1294" s="805"/>
      <c r="P1294" s="805"/>
    </row>
    <row r="1295" spans="1:16" x14ac:dyDescent="0.25">
      <c r="A1295" s="813"/>
      <c r="B1295" s="841" t="s">
        <v>4527</v>
      </c>
      <c r="C1295" s="813">
        <v>94511</v>
      </c>
      <c r="H1295" s="805"/>
      <c r="K1295" s="805"/>
      <c r="P1295" s="805"/>
    </row>
    <row r="1296" spans="1:16" x14ac:dyDescent="0.25">
      <c r="A1296" s="813"/>
      <c r="B1296" s="841" t="s">
        <v>4528</v>
      </c>
      <c r="C1296" s="813">
        <v>94517</v>
      </c>
      <c r="H1296" s="805"/>
      <c r="K1296" s="805"/>
      <c r="P1296" s="805"/>
    </row>
    <row r="1297" spans="1:16" x14ac:dyDescent="0.25">
      <c r="A1297" s="813"/>
      <c r="B1297" s="841" t="s">
        <v>2970</v>
      </c>
      <c r="C1297" s="813">
        <v>94512</v>
      </c>
      <c r="H1297" s="805"/>
      <c r="K1297" s="805"/>
      <c r="P1297" s="805"/>
    </row>
    <row r="1298" spans="1:16" x14ac:dyDescent="0.25">
      <c r="A1298" s="813"/>
      <c r="B1298" s="841" t="s">
        <v>4529</v>
      </c>
      <c r="C1298" s="813">
        <v>97211</v>
      </c>
      <c r="H1298" s="805"/>
      <c r="K1298" s="805"/>
      <c r="P1298" s="805"/>
    </row>
    <row r="1299" spans="1:16" x14ac:dyDescent="0.25">
      <c r="A1299" s="813"/>
      <c r="B1299" s="841" t="s">
        <v>4530</v>
      </c>
      <c r="C1299" s="813">
        <v>97217</v>
      </c>
      <c r="H1299" s="805"/>
      <c r="K1299" s="805"/>
      <c r="P1299" s="805"/>
    </row>
    <row r="1300" spans="1:16" x14ac:dyDescent="0.25">
      <c r="A1300" s="813"/>
      <c r="B1300" s="841" t="s">
        <v>2979</v>
      </c>
      <c r="C1300" s="813">
        <v>94601</v>
      </c>
      <c r="H1300" s="805"/>
      <c r="K1300" s="805"/>
      <c r="P1300" s="805"/>
    </row>
    <row r="1301" spans="1:16" x14ac:dyDescent="0.25">
      <c r="A1301" s="813"/>
      <c r="B1301" s="841" t="s">
        <v>2980</v>
      </c>
      <c r="C1301" s="813">
        <v>94604</v>
      </c>
      <c r="H1301" s="805"/>
      <c r="K1301" s="805"/>
      <c r="P1301" s="805"/>
    </row>
    <row r="1302" spans="1:16" x14ac:dyDescent="0.25">
      <c r="A1302" s="813"/>
      <c r="B1302" s="841" t="s">
        <v>2981</v>
      </c>
      <c r="C1302" s="813">
        <v>94606</v>
      </c>
      <c r="H1302" s="805"/>
      <c r="K1302" s="805"/>
      <c r="P1302" s="805"/>
    </row>
    <row r="1303" spans="1:16" x14ac:dyDescent="0.25">
      <c r="A1303" s="813"/>
      <c r="B1303" s="841" t="s">
        <v>4229</v>
      </c>
      <c r="C1303" s="813">
        <v>97213</v>
      </c>
      <c r="H1303" s="805"/>
      <c r="K1303" s="805"/>
      <c r="P1303" s="805"/>
    </row>
    <row r="1304" spans="1:16" x14ac:dyDescent="0.25">
      <c r="A1304" s="813"/>
      <c r="B1304" s="841" t="s">
        <v>4531</v>
      </c>
      <c r="C1304" s="813">
        <v>91811</v>
      </c>
      <c r="H1304" s="805"/>
      <c r="K1304" s="805"/>
      <c r="P1304" s="805"/>
    </row>
    <row r="1305" spans="1:16" x14ac:dyDescent="0.25">
      <c r="A1305" s="813"/>
      <c r="B1305" s="841" t="s">
        <v>4020</v>
      </c>
      <c r="C1305" s="813">
        <v>91812</v>
      </c>
      <c r="H1305" s="805"/>
      <c r="K1305" s="805"/>
      <c r="P1305" s="805"/>
    </row>
    <row r="1306" spans="1:16" x14ac:dyDescent="0.25">
      <c r="A1306" s="813"/>
      <c r="B1306" s="841" t="s">
        <v>2725</v>
      </c>
      <c r="C1306" s="813">
        <v>91813</v>
      </c>
      <c r="H1306" s="805"/>
      <c r="K1306" s="805"/>
      <c r="P1306" s="805"/>
    </row>
    <row r="1307" spans="1:16" x14ac:dyDescent="0.25">
      <c r="A1307" s="813"/>
      <c r="B1307" s="841" t="s">
        <v>2590</v>
      </c>
      <c r="C1307" s="813">
        <v>90617</v>
      </c>
      <c r="H1307" s="805"/>
      <c r="K1307" s="805"/>
      <c r="P1307" s="805"/>
    </row>
    <row r="1308" spans="1:16" x14ac:dyDescent="0.25">
      <c r="A1308" s="813"/>
      <c r="B1308" s="841" t="s">
        <v>4532</v>
      </c>
      <c r="C1308" s="813">
        <v>94121</v>
      </c>
      <c r="H1308" s="805"/>
      <c r="K1308" s="805"/>
      <c r="P1308" s="805"/>
    </row>
    <row r="1309" spans="1:16" x14ac:dyDescent="0.25">
      <c r="A1309" s="813"/>
      <c r="B1309" s="841" t="s">
        <v>4533</v>
      </c>
      <c r="C1309" s="813">
        <v>94127</v>
      </c>
      <c r="H1309" s="805"/>
      <c r="K1309" s="805"/>
      <c r="P1309" s="805"/>
    </row>
    <row r="1310" spans="1:16" x14ac:dyDescent="0.25">
      <c r="A1310" s="813"/>
      <c r="B1310" s="841" t="s">
        <v>4534</v>
      </c>
      <c r="C1310" s="813">
        <v>95621</v>
      </c>
      <c r="H1310" s="805"/>
      <c r="K1310" s="805"/>
      <c r="P1310" s="805"/>
    </row>
    <row r="1311" spans="1:16" x14ac:dyDescent="0.25">
      <c r="A1311" s="813"/>
      <c r="B1311" s="841" t="s">
        <v>3051</v>
      </c>
      <c r="C1311" s="813">
        <v>95617</v>
      </c>
      <c r="H1311" s="805"/>
      <c r="K1311" s="805"/>
      <c r="P1311" s="805"/>
    </row>
    <row r="1312" spans="1:16" x14ac:dyDescent="0.25">
      <c r="A1312" s="813"/>
      <c r="B1312" s="841" t="s">
        <v>4535</v>
      </c>
      <c r="C1312" s="813">
        <v>91251</v>
      </c>
      <c r="H1312" s="805"/>
      <c r="K1312" s="805"/>
      <c r="P1312" s="805"/>
    </row>
    <row r="1313" spans="1:16" x14ac:dyDescent="0.25">
      <c r="A1313" s="813"/>
      <c r="B1313" s="841" t="s">
        <v>4536</v>
      </c>
      <c r="C1313" s="813">
        <v>96831</v>
      </c>
      <c r="H1313" s="805"/>
      <c r="K1313" s="805"/>
      <c r="P1313" s="805"/>
    </row>
    <row r="1314" spans="1:16" x14ac:dyDescent="0.25">
      <c r="A1314" s="813"/>
      <c r="B1314" s="841" t="s">
        <v>4537</v>
      </c>
      <c r="C1314" s="813">
        <v>94251</v>
      </c>
      <c r="H1314" s="805"/>
      <c r="K1314" s="805"/>
      <c r="P1314" s="805"/>
    </row>
    <row r="1315" spans="1:16" x14ac:dyDescent="0.25">
      <c r="A1315" s="813"/>
      <c r="B1315" s="841" t="s">
        <v>2986</v>
      </c>
      <c r="C1315" s="813">
        <v>94701</v>
      </c>
      <c r="H1315" s="805"/>
      <c r="K1315" s="805"/>
      <c r="P1315" s="805"/>
    </row>
    <row r="1316" spans="1:16" x14ac:dyDescent="0.25">
      <c r="A1316" s="813"/>
      <c r="B1316" s="841" t="s">
        <v>2987</v>
      </c>
      <c r="C1316" s="813">
        <v>94704</v>
      </c>
      <c r="H1316" s="805"/>
      <c r="K1316" s="805"/>
      <c r="P1316" s="805"/>
    </row>
    <row r="1317" spans="1:16" x14ac:dyDescent="0.25">
      <c r="A1317" s="813"/>
      <c r="B1317" s="841" t="s">
        <v>4538</v>
      </c>
      <c r="C1317" s="813">
        <v>91014</v>
      </c>
      <c r="H1317" s="805"/>
      <c r="K1317" s="805"/>
      <c r="P1317" s="805"/>
    </row>
    <row r="1318" spans="1:16" x14ac:dyDescent="0.25">
      <c r="A1318" s="813"/>
      <c r="B1318" s="841" t="s">
        <v>4539</v>
      </c>
      <c r="C1318" s="813">
        <v>96731</v>
      </c>
      <c r="H1318" s="805"/>
      <c r="K1318" s="805"/>
      <c r="P1318" s="805"/>
    </row>
    <row r="1319" spans="1:16" x14ac:dyDescent="0.25">
      <c r="A1319" s="813"/>
      <c r="B1319" s="841" t="s">
        <v>3153</v>
      </c>
      <c r="C1319" s="813">
        <v>96733</v>
      </c>
      <c r="H1319" s="805"/>
      <c r="K1319" s="805"/>
      <c r="P1319" s="805"/>
    </row>
    <row r="1320" spans="1:16" x14ac:dyDescent="0.25">
      <c r="A1320" s="813"/>
      <c r="B1320" s="841" t="s">
        <v>4540</v>
      </c>
      <c r="C1320" s="813">
        <v>99202</v>
      </c>
      <c r="H1320" s="805"/>
      <c r="K1320" s="805"/>
      <c r="P1320" s="805"/>
    </row>
    <row r="1321" spans="1:16" x14ac:dyDescent="0.25">
      <c r="A1321" s="813"/>
      <c r="B1321" s="841" t="s">
        <v>4541</v>
      </c>
      <c r="C1321" s="813">
        <v>94011</v>
      </c>
      <c r="H1321" s="805"/>
      <c r="K1321" s="805"/>
      <c r="P1321" s="805"/>
    </row>
    <row r="1322" spans="1:16" x14ac:dyDescent="0.25">
      <c r="A1322" s="813"/>
      <c r="B1322" s="841" t="s">
        <v>4542</v>
      </c>
      <c r="C1322" s="813">
        <v>92631</v>
      </c>
      <c r="H1322" s="805"/>
      <c r="K1322" s="805"/>
      <c r="P1322" s="805"/>
    </row>
    <row r="1323" spans="1:16" x14ac:dyDescent="0.25">
      <c r="A1323" s="813"/>
      <c r="B1323" s="841" t="s">
        <v>3056</v>
      </c>
      <c r="C1323" s="813">
        <v>95733</v>
      </c>
      <c r="H1323" s="805"/>
      <c r="K1323" s="805"/>
      <c r="P1323" s="805"/>
    </row>
    <row r="1324" spans="1:16" x14ac:dyDescent="0.25">
      <c r="A1324" s="813"/>
      <c r="B1324" s="841" t="s">
        <v>4543</v>
      </c>
      <c r="C1324" s="813">
        <v>91431</v>
      </c>
      <c r="H1324" s="805"/>
      <c r="K1324" s="805"/>
      <c r="P1324" s="805"/>
    </row>
    <row r="1325" spans="1:16" x14ac:dyDescent="0.25">
      <c r="A1325" s="813"/>
      <c r="B1325" s="841" t="s">
        <v>4544</v>
      </c>
      <c r="C1325" s="813">
        <v>96041</v>
      </c>
      <c r="H1325" s="805"/>
      <c r="K1325" s="805"/>
      <c r="P1325" s="805"/>
    </row>
    <row r="1326" spans="1:16" x14ac:dyDescent="0.25">
      <c r="A1326" s="813"/>
      <c r="B1326" s="841" t="s">
        <v>2989</v>
      </c>
      <c r="C1326" s="813">
        <v>94801</v>
      </c>
      <c r="H1326" s="805"/>
      <c r="K1326" s="805"/>
      <c r="P1326" s="805"/>
    </row>
    <row r="1327" spans="1:16" x14ac:dyDescent="0.25">
      <c r="A1327" s="813"/>
      <c r="B1327" s="841" t="s">
        <v>2990</v>
      </c>
      <c r="C1327" s="813">
        <v>94804</v>
      </c>
      <c r="H1327" s="805"/>
      <c r="K1327" s="805"/>
      <c r="P1327" s="805"/>
    </row>
    <row r="1328" spans="1:16" x14ac:dyDescent="0.25">
      <c r="A1328" s="813"/>
      <c r="B1328" s="841" t="s">
        <v>4545</v>
      </c>
      <c r="C1328" s="813">
        <v>91661</v>
      </c>
      <c r="H1328" s="805"/>
      <c r="K1328" s="805"/>
      <c r="P1328" s="805"/>
    </row>
    <row r="1329" spans="1:16" x14ac:dyDescent="0.25">
      <c r="A1329" s="813"/>
      <c r="B1329" s="841" t="s">
        <v>4546</v>
      </c>
      <c r="C1329" s="813">
        <v>99051</v>
      </c>
      <c r="H1329" s="805"/>
      <c r="K1329" s="805"/>
      <c r="P1329" s="805"/>
    </row>
    <row r="1330" spans="1:16" x14ac:dyDescent="0.25">
      <c r="A1330" s="813"/>
      <c r="B1330" s="841" t="s">
        <v>3344</v>
      </c>
      <c r="C1330" s="813">
        <v>99014</v>
      </c>
      <c r="H1330" s="805"/>
      <c r="K1330" s="805"/>
      <c r="P1330" s="805"/>
    </row>
    <row r="1331" spans="1:16" x14ac:dyDescent="0.25">
      <c r="A1331" s="813"/>
      <c r="B1331" s="841" t="s">
        <v>2992</v>
      </c>
      <c r="C1331" s="813">
        <v>94901</v>
      </c>
      <c r="H1331" s="805"/>
      <c r="K1331" s="805"/>
      <c r="P1331" s="805"/>
    </row>
    <row r="1332" spans="1:16" x14ac:dyDescent="0.25">
      <c r="A1332" s="813"/>
      <c r="B1332" s="841" t="s">
        <v>3282</v>
      </c>
      <c r="C1332" s="813">
        <v>98109</v>
      </c>
      <c r="H1332" s="805"/>
      <c r="K1332" s="805"/>
      <c r="P1332" s="805"/>
    </row>
    <row r="1333" spans="1:16" x14ac:dyDescent="0.25">
      <c r="A1333" s="813"/>
      <c r="B1333" s="841" t="s">
        <v>4547</v>
      </c>
      <c r="C1333" s="813">
        <v>98205</v>
      </c>
      <c r="H1333" s="805"/>
      <c r="K1333" s="805"/>
      <c r="P1333" s="805"/>
    </row>
    <row r="1334" spans="1:16" x14ac:dyDescent="0.25">
      <c r="A1334" s="813"/>
      <c r="B1334" s="841" t="s">
        <v>4548</v>
      </c>
      <c r="C1334" s="813">
        <v>96661</v>
      </c>
      <c r="H1334" s="805"/>
      <c r="K1334" s="805"/>
      <c r="P1334" s="805"/>
    </row>
    <row r="1335" spans="1:16" x14ac:dyDescent="0.25">
      <c r="A1335" s="813"/>
      <c r="B1335" s="841" t="s">
        <v>3001</v>
      </c>
      <c r="C1335" s="813">
        <v>95001</v>
      </c>
      <c r="H1335" s="805"/>
      <c r="K1335" s="805"/>
      <c r="P1335" s="805"/>
    </row>
    <row r="1336" spans="1:16" x14ac:dyDescent="0.25">
      <c r="A1336" s="813"/>
      <c r="B1336" s="841" t="s">
        <v>3007</v>
      </c>
      <c r="C1336" s="813">
        <v>95017</v>
      </c>
      <c r="H1336" s="805"/>
      <c r="K1336" s="805"/>
      <c r="P1336" s="805"/>
    </row>
    <row r="1337" spans="1:16" x14ac:dyDescent="0.25">
      <c r="A1337" s="813"/>
      <c r="B1337" s="841" t="s">
        <v>4549</v>
      </c>
      <c r="C1337" s="813">
        <v>96711</v>
      </c>
      <c r="H1337" s="805"/>
      <c r="K1337" s="805"/>
      <c r="P1337" s="805"/>
    </row>
    <row r="1338" spans="1:16" x14ac:dyDescent="0.25">
      <c r="A1338" s="813"/>
      <c r="B1338" s="841" t="s">
        <v>4550</v>
      </c>
      <c r="C1338" s="813">
        <v>94131</v>
      </c>
      <c r="H1338" s="805"/>
      <c r="K1338" s="805"/>
      <c r="P1338" s="805"/>
    </row>
    <row r="1339" spans="1:16" x14ac:dyDescent="0.25">
      <c r="A1339" s="813"/>
      <c r="B1339" s="841" t="s">
        <v>4551</v>
      </c>
      <c r="C1339" s="813">
        <v>95841</v>
      </c>
      <c r="H1339" s="805"/>
      <c r="K1339" s="805"/>
      <c r="P1339" s="805"/>
    </row>
    <row r="1340" spans="1:16" x14ac:dyDescent="0.25">
      <c r="A1340" s="813"/>
      <c r="B1340" s="841" t="s">
        <v>4552</v>
      </c>
      <c r="C1340" s="813">
        <v>90511</v>
      </c>
      <c r="H1340" s="805"/>
      <c r="K1340" s="805"/>
      <c r="P1340" s="805"/>
    </row>
    <row r="1341" spans="1:16" x14ac:dyDescent="0.25">
      <c r="A1341" s="813"/>
      <c r="B1341" s="841" t="s">
        <v>3008</v>
      </c>
      <c r="C1341" s="813">
        <v>95101</v>
      </c>
      <c r="H1341" s="805"/>
      <c r="K1341" s="805"/>
      <c r="P1341" s="805"/>
    </row>
    <row r="1342" spans="1:16" x14ac:dyDescent="0.25">
      <c r="A1342" s="813"/>
      <c r="B1342" s="841" t="s">
        <v>3010</v>
      </c>
      <c r="C1342" s="813">
        <v>95104</v>
      </c>
      <c r="H1342" s="805"/>
      <c r="K1342" s="805"/>
      <c r="P1342" s="805"/>
    </row>
    <row r="1343" spans="1:16" x14ac:dyDescent="0.25">
      <c r="A1343" s="813"/>
      <c r="B1343" s="841" t="s">
        <v>3013</v>
      </c>
      <c r="C1343" s="813">
        <v>95110</v>
      </c>
      <c r="H1343" s="805"/>
      <c r="K1343" s="805"/>
      <c r="P1343" s="805"/>
    </row>
    <row r="1344" spans="1:16" x14ac:dyDescent="0.25">
      <c r="A1344" s="813"/>
      <c r="B1344" s="841" t="s">
        <v>3026</v>
      </c>
      <c r="C1344" s="813">
        <v>95201</v>
      </c>
      <c r="H1344" s="805"/>
      <c r="K1344" s="805"/>
      <c r="P1344" s="805"/>
    </row>
    <row r="1345" spans="1:16" x14ac:dyDescent="0.25">
      <c r="A1345" s="813"/>
      <c r="B1345" s="841" t="s">
        <v>3027</v>
      </c>
      <c r="C1345" s="813">
        <v>95204</v>
      </c>
      <c r="H1345" s="805"/>
      <c r="K1345" s="805"/>
      <c r="P1345" s="805"/>
    </row>
    <row r="1346" spans="1:16" x14ac:dyDescent="0.25">
      <c r="A1346" s="813"/>
      <c r="B1346" s="841" t="s">
        <v>4553</v>
      </c>
      <c r="C1346" s="813">
        <v>99921</v>
      </c>
      <c r="H1346" s="805"/>
      <c r="K1346" s="805"/>
      <c r="P1346" s="805"/>
    </row>
    <row r="1347" spans="1:16" x14ac:dyDescent="0.25">
      <c r="A1347" s="813"/>
      <c r="B1347" s="841" t="s">
        <v>2960</v>
      </c>
      <c r="C1347" s="813">
        <v>94408</v>
      </c>
      <c r="H1347" s="805"/>
      <c r="K1347" s="805"/>
      <c r="P1347" s="805"/>
    </row>
    <row r="1348" spans="1:16" x14ac:dyDescent="0.25">
      <c r="A1348" s="813"/>
      <c r="B1348" s="841" t="s">
        <v>4554</v>
      </c>
      <c r="C1348" s="813">
        <v>91331</v>
      </c>
      <c r="H1348" s="805"/>
      <c r="K1348" s="805"/>
      <c r="P1348" s="805"/>
    </row>
    <row r="1349" spans="1:16" x14ac:dyDescent="0.25">
      <c r="A1349" s="813"/>
      <c r="B1349" s="841" t="s">
        <v>4555</v>
      </c>
      <c r="C1349" s="813">
        <v>93121</v>
      </c>
      <c r="H1349" s="805"/>
      <c r="K1349" s="805"/>
      <c r="P1349" s="805"/>
    </row>
    <row r="1350" spans="1:16" x14ac:dyDescent="0.25">
      <c r="A1350" s="813"/>
      <c r="B1350" s="841" t="s">
        <v>2831</v>
      </c>
      <c r="C1350" s="813">
        <v>93127</v>
      </c>
      <c r="H1350" s="805"/>
      <c r="K1350" s="805"/>
      <c r="P1350" s="805"/>
    </row>
    <row r="1351" spans="1:16" x14ac:dyDescent="0.25">
      <c r="A1351" s="813"/>
      <c r="B1351" s="841" t="s">
        <v>4556</v>
      </c>
      <c r="C1351" s="813">
        <v>95171</v>
      </c>
      <c r="H1351" s="805"/>
      <c r="K1351" s="805"/>
      <c r="P1351" s="805"/>
    </row>
    <row r="1352" spans="1:16" x14ac:dyDescent="0.25">
      <c r="A1352" s="813"/>
      <c r="B1352" s="841" t="s">
        <v>4557</v>
      </c>
      <c r="C1352" s="813">
        <v>93421</v>
      </c>
      <c r="H1352" s="805"/>
      <c r="K1352" s="805"/>
      <c r="P1352" s="805"/>
    </row>
    <row r="1353" spans="1:16" x14ac:dyDescent="0.25">
      <c r="A1353" s="813"/>
      <c r="B1353" s="841" t="s">
        <v>3358</v>
      </c>
      <c r="C1353" s="813">
        <v>99110</v>
      </c>
      <c r="H1353" s="805"/>
      <c r="K1353" s="805"/>
      <c r="P1353" s="805"/>
    </row>
    <row r="1354" spans="1:16" x14ac:dyDescent="0.25">
      <c r="A1354" s="813"/>
      <c r="B1354" s="841" t="s">
        <v>4558</v>
      </c>
      <c r="C1354" s="813">
        <v>99109</v>
      </c>
      <c r="H1354" s="805"/>
      <c r="K1354" s="805"/>
      <c r="P1354" s="805"/>
    </row>
    <row r="1355" spans="1:16" x14ac:dyDescent="0.25">
      <c r="A1355" s="813"/>
      <c r="B1355" s="841" t="s">
        <v>4559</v>
      </c>
      <c r="C1355" s="813">
        <v>92821</v>
      </c>
      <c r="H1355" s="805"/>
      <c r="K1355" s="805"/>
      <c r="P1355" s="805"/>
    </row>
    <row r="1356" spans="1:16" x14ac:dyDescent="0.25">
      <c r="A1356" s="813"/>
      <c r="B1356" s="841" t="s">
        <v>4560</v>
      </c>
      <c r="C1356" s="813">
        <v>98521</v>
      </c>
      <c r="H1356" s="805"/>
      <c r="K1356" s="805"/>
      <c r="P1356" s="805"/>
    </row>
    <row r="1357" spans="1:16" x14ac:dyDescent="0.25">
      <c r="A1357" s="813"/>
      <c r="B1357" s="841" t="s">
        <v>4561</v>
      </c>
      <c r="C1357" s="813">
        <v>92321</v>
      </c>
      <c r="H1357" s="805"/>
      <c r="K1357" s="805"/>
      <c r="P1357" s="805"/>
    </row>
    <row r="1358" spans="1:16" x14ac:dyDescent="0.25">
      <c r="A1358" s="813"/>
      <c r="B1358" s="841" t="s">
        <v>2758</v>
      </c>
      <c r="C1358" s="813">
        <v>92327</v>
      </c>
      <c r="H1358" s="805"/>
      <c r="K1358" s="805"/>
      <c r="P1358" s="805"/>
    </row>
    <row r="1359" spans="1:16" x14ac:dyDescent="0.25">
      <c r="A1359" s="813"/>
      <c r="B1359" s="841" t="s">
        <v>4562</v>
      </c>
      <c r="C1359" s="813">
        <v>95411</v>
      </c>
      <c r="H1359" s="805"/>
      <c r="K1359" s="805"/>
      <c r="P1359" s="805"/>
    </row>
    <row r="1360" spans="1:16" x14ac:dyDescent="0.25">
      <c r="A1360" s="813"/>
      <c r="B1360" s="841" t="s">
        <v>4563</v>
      </c>
      <c r="C1360" s="813">
        <v>95413</v>
      </c>
      <c r="H1360" s="805"/>
      <c r="K1360" s="805"/>
      <c r="P1360" s="805"/>
    </row>
    <row r="1361" spans="1:16" x14ac:dyDescent="0.25">
      <c r="A1361" s="813"/>
      <c r="B1361" s="841" t="s">
        <v>4564</v>
      </c>
      <c r="C1361" s="813">
        <v>95415</v>
      </c>
      <c r="H1361" s="805"/>
      <c r="K1361" s="805"/>
      <c r="P1361" s="805"/>
    </row>
    <row r="1362" spans="1:16" x14ac:dyDescent="0.25">
      <c r="A1362" s="813"/>
      <c r="B1362" s="841" t="s">
        <v>4565</v>
      </c>
      <c r="C1362" s="813">
        <v>92851</v>
      </c>
      <c r="H1362" s="805"/>
      <c r="K1362" s="805"/>
      <c r="P1362" s="805"/>
    </row>
    <row r="1363" spans="1:16" x14ac:dyDescent="0.25">
      <c r="A1363" s="813"/>
      <c r="B1363" s="841" t="s">
        <v>4566</v>
      </c>
      <c r="C1363" s="813">
        <v>99291</v>
      </c>
      <c r="H1363" s="805"/>
      <c r="K1363" s="805"/>
      <c r="P1363" s="805"/>
    </row>
    <row r="1364" spans="1:16" x14ac:dyDescent="0.25">
      <c r="A1364" s="813"/>
      <c r="B1364" s="841" t="s">
        <v>4567</v>
      </c>
      <c r="C1364" s="813">
        <v>96541</v>
      </c>
      <c r="H1364" s="805"/>
      <c r="K1364" s="805"/>
      <c r="P1364" s="805"/>
    </row>
    <row r="1365" spans="1:16" x14ac:dyDescent="0.25">
      <c r="A1365" s="813"/>
      <c r="B1365" s="841" t="s">
        <v>4568</v>
      </c>
      <c r="C1365" s="813">
        <v>95431</v>
      </c>
      <c r="H1365" s="805"/>
      <c r="K1365" s="805"/>
      <c r="P1365" s="805"/>
    </row>
    <row r="1366" spans="1:16" x14ac:dyDescent="0.25">
      <c r="A1366" s="813"/>
      <c r="B1366" s="841" t="s">
        <v>4569</v>
      </c>
      <c r="C1366" s="813">
        <v>98131</v>
      </c>
      <c r="H1366" s="805"/>
      <c r="K1366" s="805"/>
      <c r="P1366" s="805"/>
    </row>
    <row r="1367" spans="1:16" x14ac:dyDescent="0.25">
      <c r="A1367" s="813"/>
      <c r="B1367" s="841" t="s">
        <v>4570</v>
      </c>
      <c r="C1367" s="813">
        <v>92461</v>
      </c>
      <c r="H1367" s="805"/>
      <c r="K1367" s="805"/>
      <c r="P1367" s="805"/>
    </row>
    <row r="1368" spans="1:16" x14ac:dyDescent="0.25">
      <c r="A1368" s="813"/>
      <c r="B1368" s="841" t="s">
        <v>2767</v>
      </c>
      <c r="C1368" s="813">
        <v>92427</v>
      </c>
      <c r="H1368" s="805"/>
      <c r="K1368" s="805"/>
      <c r="P1368" s="805"/>
    </row>
    <row r="1369" spans="1:16" x14ac:dyDescent="0.25">
      <c r="A1369" s="813"/>
      <c r="B1369" s="841" t="s">
        <v>4571</v>
      </c>
      <c r="C1369" s="813">
        <v>98051</v>
      </c>
      <c r="H1369" s="805"/>
      <c r="K1369" s="805"/>
      <c r="P1369" s="805"/>
    </row>
    <row r="1370" spans="1:16" x14ac:dyDescent="0.25">
      <c r="A1370" s="813"/>
      <c r="B1370" s="841" t="s">
        <v>2650</v>
      </c>
      <c r="C1370" s="813">
        <v>91102</v>
      </c>
      <c r="H1370" s="805"/>
      <c r="K1370" s="805"/>
      <c r="P1370" s="805"/>
    </row>
    <row r="1371" spans="1:16" x14ac:dyDescent="0.25">
      <c r="A1371" s="813"/>
      <c r="B1371" s="841" t="s">
        <v>4572</v>
      </c>
      <c r="C1371" s="813">
        <v>94521</v>
      </c>
      <c r="H1371" s="805"/>
      <c r="K1371" s="805"/>
      <c r="P1371" s="805"/>
    </row>
    <row r="1372" spans="1:16" x14ac:dyDescent="0.25">
      <c r="A1372" s="813"/>
      <c r="B1372" s="841" t="s">
        <v>2973</v>
      </c>
      <c r="C1372" s="813">
        <v>94527</v>
      </c>
      <c r="H1372" s="805"/>
      <c r="K1372" s="805"/>
      <c r="P1372" s="805"/>
    </row>
    <row r="1373" spans="1:16" x14ac:dyDescent="0.25">
      <c r="A1373" s="813"/>
      <c r="B1373" s="841" t="s">
        <v>4573</v>
      </c>
      <c r="C1373" s="813">
        <v>98311</v>
      </c>
      <c r="H1373" s="805"/>
      <c r="K1373" s="805"/>
      <c r="P1373" s="805"/>
    </row>
    <row r="1374" spans="1:16" x14ac:dyDescent="0.25">
      <c r="A1374" s="813"/>
      <c r="B1374" s="841" t="s">
        <v>3305</v>
      </c>
      <c r="C1374" s="813">
        <v>98313</v>
      </c>
      <c r="H1374" s="805"/>
      <c r="K1374" s="805"/>
      <c r="P1374" s="805"/>
    </row>
    <row r="1375" spans="1:16" x14ac:dyDescent="0.25">
      <c r="A1375" s="813"/>
      <c r="B1375" s="841" t="s">
        <v>3303</v>
      </c>
      <c r="C1375" s="813">
        <v>98308</v>
      </c>
      <c r="H1375" s="805"/>
      <c r="K1375" s="805"/>
      <c r="P1375" s="805"/>
    </row>
    <row r="1376" spans="1:16" x14ac:dyDescent="0.25">
      <c r="A1376" s="813"/>
      <c r="B1376" s="841" t="s">
        <v>4574</v>
      </c>
      <c r="C1376" s="813">
        <v>92341</v>
      </c>
      <c r="H1376" s="805"/>
      <c r="K1376" s="805"/>
      <c r="P1376" s="805"/>
    </row>
    <row r="1377" spans="1:16" x14ac:dyDescent="0.25">
      <c r="A1377" s="813"/>
      <c r="B1377" s="841" t="s">
        <v>3031</v>
      </c>
      <c r="C1377" s="813">
        <v>95301</v>
      </c>
      <c r="H1377" s="805"/>
      <c r="K1377" s="805"/>
      <c r="P1377" s="805"/>
    </row>
    <row r="1378" spans="1:16" x14ac:dyDescent="0.25">
      <c r="A1378" s="813"/>
      <c r="B1378" s="841" t="s">
        <v>4575</v>
      </c>
      <c r="C1378" s="813">
        <v>91002</v>
      </c>
      <c r="H1378" s="805"/>
      <c r="K1378" s="805"/>
      <c r="P1378" s="805"/>
    </row>
    <row r="1379" spans="1:16" x14ac:dyDescent="0.25">
      <c r="A1379" s="813"/>
      <c r="B1379" s="841" t="s">
        <v>4576</v>
      </c>
      <c r="C1379" s="813">
        <v>91451</v>
      </c>
      <c r="H1379" s="805"/>
      <c r="K1379" s="805"/>
      <c r="P1379" s="805"/>
    </row>
    <row r="1380" spans="1:16" x14ac:dyDescent="0.25">
      <c r="A1380" s="813"/>
      <c r="B1380" s="841" t="s">
        <v>4577</v>
      </c>
      <c r="C1380" s="813">
        <v>91457</v>
      </c>
      <c r="H1380" s="805"/>
      <c r="K1380" s="805"/>
      <c r="P1380" s="805"/>
    </row>
    <row r="1381" spans="1:16" x14ac:dyDescent="0.25">
      <c r="A1381" s="813"/>
      <c r="B1381" s="841" t="s">
        <v>3035</v>
      </c>
      <c r="C1381" s="813">
        <v>95401</v>
      </c>
      <c r="H1381" s="805"/>
      <c r="K1381" s="805"/>
      <c r="P1381" s="805"/>
    </row>
    <row r="1382" spans="1:16" x14ac:dyDescent="0.25">
      <c r="A1382" s="813"/>
      <c r="B1382" s="841" t="s">
        <v>3036</v>
      </c>
      <c r="C1382" s="813">
        <v>95404</v>
      </c>
      <c r="H1382" s="805"/>
      <c r="K1382" s="805"/>
      <c r="P1382" s="805"/>
    </row>
    <row r="1383" spans="1:16" x14ac:dyDescent="0.25">
      <c r="A1383" s="813"/>
      <c r="B1383" s="841" t="s">
        <v>2696</v>
      </c>
      <c r="C1383" s="813">
        <v>91423</v>
      </c>
      <c r="H1383" s="805"/>
      <c r="K1383" s="805"/>
      <c r="P1383" s="805"/>
    </row>
    <row r="1384" spans="1:16" x14ac:dyDescent="0.25">
      <c r="A1384" s="813"/>
      <c r="B1384" s="841" t="s">
        <v>4578</v>
      </c>
      <c r="C1384" s="813">
        <v>90861</v>
      </c>
      <c r="H1384" s="805"/>
      <c r="K1384" s="805"/>
      <c r="P1384" s="805"/>
    </row>
    <row r="1385" spans="1:16" x14ac:dyDescent="0.25">
      <c r="A1385" s="813"/>
      <c r="B1385" s="841" t="s">
        <v>4579</v>
      </c>
      <c r="C1385" s="813">
        <v>93451</v>
      </c>
      <c r="H1385" s="805"/>
      <c r="K1385" s="805"/>
      <c r="P1385" s="805"/>
    </row>
    <row r="1386" spans="1:16" x14ac:dyDescent="0.25">
      <c r="A1386" s="813"/>
      <c r="B1386" s="841" t="s">
        <v>4580</v>
      </c>
      <c r="C1386" s="813">
        <v>92931</v>
      </c>
      <c r="H1386" s="805"/>
      <c r="K1386" s="805"/>
      <c r="P1386" s="805"/>
    </row>
    <row r="1387" spans="1:16" x14ac:dyDescent="0.25">
      <c r="A1387" s="813"/>
      <c r="B1387" s="841" t="s">
        <v>2818</v>
      </c>
      <c r="C1387" s="813">
        <v>92917</v>
      </c>
      <c r="H1387" s="805"/>
      <c r="K1387" s="805"/>
      <c r="P1387" s="805"/>
    </row>
    <row r="1388" spans="1:16" x14ac:dyDescent="0.25">
      <c r="A1388" s="813"/>
      <c r="B1388" s="841" t="s">
        <v>4581</v>
      </c>
      <c r="C1388" s="813">
        <v>97631</v>
      </c>
      <c r="H1388" s="805"/>
      <c r="K1388" s="805"/>
      <c r="P1388" s="805"/>
    </row>
    <row r="1389" spans="1:16" x14ac:dyDescent="0.25">
      <c r="A1389" s="813"/>
      <c r="B1389" s="841" t="s">
        <v>3220</v>
      </c>
      <c r="C1389" s="813">
        <v>97637</v>
      </c>
      <c r="H1389" s="805"/>
      <c r="K1389" s="805"/>
      <c r="P1389" s="805"/>
    </row>
    <row r="1390" spans="1:16" x14ac:dyDescent="0.25">
      <c r="A1390" s="813"/>
      <c r="B1390" s="841" t="s">
        <v>4582</v>
      </c>
      <c r="C1390" s="813">
        <v>90421</v>
      </c>
      <c r="H1390" s="805"/>
      <c r="K1390" s="805"/>
      <c r="P1390" s="805"/>
    </row>
    <row r="1391" spans="1:16" x14ac:dyDescent="0.25">
      <c r="A1391" s="813"/>
      <c r="B1391" s="841" t="s">
        <v>4583</v>
      </c>
      <c r="C1391" s="813">
        <v>94321</v>
      </c>
      <c r="H1391" s="805"/>
      <c r="K1391" s="805"/>
      <c r="P1391" s="805"/>
    </row>
    <row r="1392" spans="1:16" x14ac:dyDescent="0.25">
      <c r="A1392" s="813"/>
      <c r="B1392" s="841" t="s">
        <v>3044</v>
      </c>
      <c r="C1392" s="813">
        <v>95501</v>
      </c>
      <c r="H1392" s="805"/>
      <c r="K1392" s="805"/>
      <c r="P1392" s="805"/>
    </row>
    <row r="1393" spans="1:16" x14ac:dyDescent="0.25">
      <c r="A1393" s="813"/>
      <c r="B1393" s="841" t="s">
        <v>3045</v>
      </c>
      <c r="C1393" s="813">
        <v>95504</v>
      </c>
      <c r="H1393" s="805"/>
      <c r="K1393" s="805"/>
      <c r="P1393" s="805"/>
    </row>
    <row r="1394" spans="1:16" x14ac:dyDescent="0.25">
      <c r="A1394" s="813"/>
      <c r="B1394" s="841" t="s">
        <v>4584</v>
      </c>
      <c r="C1394" s="813">
        <v>95511</v>
      </c>
      <c r="H1394" s="805"/>
      <c r="K1394" s="805"/>
      <c r="P1394" s="805"/>
    </row>
    <row r="1395" spans="1:16" x14ac:dyDescent="0.25">
      <c r="A1395" s="813"/>
      <c r="B1395" s="841" t="s">
        <v>4585</v>
      </c>
      <c r="C1395" s="813">
        <v>95517</v>
      </c>
      <c r="H1395" s="805"/>
      <c r="K1395" s="805"/>
      <c r="P1395" s="805"/>
    </row>
    <row r="1396" spans="1:16" x14ac:dyDescent="0.25">
      <c r="A1396" s="813"/>
      <c r="B1396" s="841" t="s">
        <v>3047</v>
      </c>
      <c r="C1396" s="813">
        <v>95513</v>
      </c>
      <c r="H1396" s="805"/>
      <c r="K1396" s="805"/>
      <c r="P1396" s="805"/>
    </row>
    <row r="1397" spans="1:16" x14ac:dyDescent="0.25">
      <c r="A1397" s="813"/>
      <c r="B1397" s="841" t="s">
        <v>4586</v>
      </c>
      <c r="C1397" s="813">
        <v>92651</v>
      </c>
      <c r="H1397" s="805"/>
      <c r="K1397" s="805"/>
      <c r="P1397" s="805"/>
    </row>
    <row r="1398" spans="1:16" x14ac:dyDescent="0.25">
      <c r="A1398" s="813"/>
      <c r="B1398" s="841" t="s">
        <v>4587</v>
      </c>
      <c r="C1398" s="813">
        <v>94261</v>
      </c>
      <c r="H1398" s="805"/>
      <c r="K1398" s="805"/>
      <c r="P1398" s="805"/>
    </row>
    <row r="1399" spans="1:16" x14ac:dyDescent="0.25">
      <c r="A1399" s="813"/>
      <c r="B1399" s="841" t="s">
        <v>4588</v>
      </c>
      <c r="C1399" s="813">
        <v>98431</v>
      </c>
      <c r="H1399" s="805"/>
      <c r="K1399" s="805"/>
      <c r="P1399" s="805"/>
    </row>
    <row r="1400" spans="1:16" x14ac:dyDescent="0.25">
      <c r="A1400" s="813"/>
      <c r="B1400" s="841" t="s">
        <v>3561</v>
      </c>
      <c r="C1400" s="813">
        <v>98404</v>
      </c>
      <c r="H1400" s="805"/>
      <c r="K1400" s="805"/>
      <c r="P1400" s="805"/>
    </row>
    <row r="1401" spans="1:16" x14ac:dyDescent="0.25">
      <c r="A1401" s="813"/>
      <c r="B1401" s="841" t="s">
        <v>4589</v>
      </c>
      <c r="C1401" s="813">
        <v>91841</v>
      </c>
      <c r="H1401" s="805"/>
      <c r="K1401" s="805"/>
      <c r="P1401" s="805"/>
    </row>
    <row r="1402" spans="1:16" x14ac:dyDescent="0.25">
      <c r="A1402" s="813"/>
      <c r="B1402" s="841" t="s">
        <v>4590</v>
      </c>
      <c r="C1402" s="813">
        <v>93521</v>
      </c>
      <c r="H1402" s="805"/>
      <c r="K1402" s="805"/>
      <c r="P1402" s="805"/>
    </row>
    <row r="1403" spans="1:16" x14ac:dyDescent="0.25">
      <c r="A1403" s="813"/>
      <c r="B1403" s="841" t="s">
        <v>2878</v>
      </c>
      <c r="C1403" s="813">
        <v>93527</v>
      </c>
      <c r="H1403" s="805"/>
      <c r="K1403" s="805"/>
      <c r="P1403" s="805"/>
    </row>
    <row r="1404" spans="1:16" x14ac:dyDescent="0.25">
      <c r="A1404" s="813"/>
      <c r="B1404" s="841" t="s">
        <v>4591</v>
      </c>
      <c r="C1404" s="813">
        <v>93661</v>
      </c>
      <c r="H1404" s="805"/>
      <c r="K1404" s="805"/>
      <c r="P1404" s="805"/>
    </row>
    <row r="1405" spans="1:16" x14ac:dyDescent="0.25">
      <c r="A1405" s="813"/>
      <c r="B1405" s="841" t="s">
        <v>4202</v>
      </c>
      <c r="C1405" s="813">
        <v>96508</v>
      </c>
      <c r="H1405" s="805"/>
      <c r="K1405" s="805"/>
      <c r="P1405" s="805"/>
    </row>
    <row r="1406" spans="1:16" x14ac:dyDescent="0.25">
      <c r="A1406" s="813"/>
      <c r="B1406" s="841" t="s">
        <v>4592</v>
      </c>
      <c r="C1406" s="813">
        <v>99841</v>
      </c>
      <c r="H1406" s="805"/>
      <c r="K1406" s="805"/>
      <c r="P1406" s="805"/>
    </row>
    <row r="1407" spans="1:16" x14ac:dyDescent="0.25">
      <c r="A1407" s="813"/>
      <c r="B1407" s="841" t="s">
        <v>3233</v>
      </c>
      <c r="C1407" s="813">
        <v>97802</v>
      </c>
      <c r="H1407" s="805"/>
      <c r="K1407" s="805"/>
      <c r="P1407" s="805"/>
    </row>
    <row r="1408" spans="1:16" x14ac:dyDescent="0.25">
      <c r="A1408" s="813"/>
      <c r="B1408" s="841" t="s">
        <v>4593</v>
      </c>
      <c r="C1408" s="813">
        <v>97811</v>
      </c>
      <c r="H1408" s="805"/>
      <c r="K1408" s="805"/>
      <c r="P1408" s="805"/>
    </row>
    <row r="1409" spans="1:16" x14ac:dyDescent="0.25">
      <c r="A1409" s="813"/>
      <c r="B1409" s="841" t="s">
        <v>3237</v>
      </c>
      <c r="C1409" s="813">
        <v>97817</v>
      </c>
      <c r="H1409" s="805"/>
      <c r="K1409" s="805"/>
      <c r="P1409" s="805"/>
    </row>
    <row r="1410" spans="1:16" x14ac:dyDescent="0.25">
      <c r="A1410" s="813"/>
      <c r="B1410" s="841" t="s">
        <v>4594</v>
      </c>
      <c r="C1410" s="813">
        <v>97818</v>
      </c>
      <c r="H1410" s="805"/>
      <c r="K1410" s="805"/>
      <c r="P1410" s="805"/>
    </row>
    <row r="1411" spans="1:16" x14ac:dyDescent="0.25">
      <c r="A1411" s="813"/>
      <c r="B1411" s="841" t="s">
        <v>4595</v>
      </c>
      <c r="C1411" s="813">
        <v>93341</v>
      </c>
      <c r="H1411" s="805"/>
      <c r="K1411" s="805"/>
      <c r="P1411" s="805"/>
    </row>
    <row r="1412" spans="1:16" x14ac:dyDescent="0.25">
      <c r="A1412" s="813"/>
      <c r="B1412" s="841" t="s">
        <v>3049</v>
      </c>
      <c r="C1412" s="813">
        <v>95601</v>
      </c>
      <c r="H1412" s="805"/>
      <c r="K1412" s="805"/>
      <c r="P1412" s="805"/>
    </row>
    <row r="1413" spans="1:16" x14ac:dyDescent="0.25">
      <c r="A1413" s="813"/>
      <c r="B1413" s="841" t="s">
        <v>4596</v>
      </c>
      <c r="C1413" s="813">
        <v>97941</v>
      </c>
      <c r="H1413" s="805"/>
      <c r="K1413" s="805"/>
      <c r="P1413" s="805"/>
    </row>
    <row r="1414" spans="1:16" x14ac:dyDescent="0.25">
      <c r="A1414" s="813"/>
      <c r="B1414" s="841" t="s">
        <v>3258</v>
      </c>
      <c r="C1414" s="813">
        <v>97947</v>
      </c>
      <c r="H1414" s="805"/>
      <c r="K1414" s="805"/>
      <c r="P1414" s="805"/>
    </row>
    <row r="1415" spans="1:16" x14ac:dyDescent="0.25">
      <c r="A1415" s="813"/>
      <c r="B1415" s="841" t="s">
        <v>3053</v>
      </c>
      <c r="C1415" s="813">
        <v>95701</v>
      </c>
      <c r="H1415" s="805"/>
      <c r="K1415" s="805"/>
      <c r="P1415" s="805"/>
    </row>
    <row r="1416" spans="1:16" x14ac:dyDescent="0.25">
      <c r="A1416" s="813"/>
      <c r="B1416" s="841" t="s">
        <v>3259</v>
      </c>
      <c r="C1416" s="813">
        <v>97948</v>
      </c>
      <c r="H1416" s="805"/>
      <c r="K1416" s="805"/>
      <c r="P1416" s="805"/>
    </row>
    <row r="1417" spans="1:16" x14ac:dyDescent="0.25">
      <c r="A1417" s="813"/>
      <c r="B1417" s="841" t="s">
        <v>4597</v>
      </c>
      <c r="C1417" s="813">
        <v>94421</v>
      </c>
      <c r="H1417" s="805"/>
      <c r="K1417" s="805"/>
      <c r="P1417" s="805"/>
    </row>
    <row r="1418" spans="1:16" x14ac:dyDescent="0.25">
      <c r="A1418" s="813"/>
      <c r="B1418" s="841" t="s">
        <v>2964</v>
      </c>
      <c r="C1418" s="813">
        <v>94427</v>
      </c>
      <c r="H1418" s="805"/>
      <c r="K1418" s="805"/>
      <c r="P1418" s="805"/>
    </row>
    <row r="1419" spans="1:16" x14ac:dyDescent="0.25">
      <c r="A1419" s="813"/>
      <c r="B1419" s="841" t="s">
        <v>4598</v>
      </c>
      <c r="C1419" s="813">
        <v>94428</v>
      </c>
      <c r="H1419" s="805"/>
      <c r="K1419" s="805"/>
      <c r="P1419" s="805"/>
    </row>
    <row r="1420" spans="1:16" x14ac:dyDescent="0.25">
      <c r="A1420" s="813"/>
      <c r="B1420" s="841" t="s">
        <v>4599</v>
      </c>
      <c r="C1420" s="813">
        <v>93191</v>
      </c>
      <c r="H1420" s="805"/>
      <c r="K1420" s="805"/>
      <c r="P1420" s="805"/>
    </row>
    <row r="1421" spans="1:16" x14ac:dyDescent="0.25">
      <c r="A1421" s="813"/>
      <c r="B1421" s="841" t="s">
        <v>4600</v>
      </c>
      <c r="C1421" s="813">
        <v>91831</v>
      </c>
      <c r="H1421" s="805"/>
      <c r="K1421" s="805"/>
      <c r="P1421" s="805"/>
    </row>
    <row r="1422" spans="1:16" x14ac:dyDescent="0.25">
      <c r="A1422" s="813"/>
      <c r="B1422" s="841" t="s">
        <v>4601</v>
      </c>
      <c r="C1422" s="813">
        <v>92831</v>
      </c>
      <c r="H1422" s="805"/>
      <c r="K1422" s="805"/>
      <c r="P1422" s="805"/>
    </row>
    <row r="1423" spans="1:16" x14ac:dyDescent="0.25">
      <c r="A1423" s="813"/>
      <c r="B1423" s="841" t="s">
        <v>4602</v>
      </c>
      <c r="C1423" s="813">
        <v>95911</v>
      </c>
      <c r="H1423" s="805"/>
      <c r="K1423" s="805"/>
      <c r="P1423" s="805"/>
    </row>
    <row r="1424" spans="1:16" x14ac:dyDescent="0.25">
      <c r="A1424" s="813"/>
      <c r="B1424" s="841" t="s">
        <v>3070</v>
      </c>
      <c r="C1424" s="813">
        <v>95917</v>
      </c>
      <c r="H1424" s="805"/>
      <c r="K1424" s="805"/>
      <c r="P1424" s="805"/>
    </row>
    <row r="1425" spans="1:16" x14ac:dyDescent="0.25">
      <c r="A1425" s="813"/>
      <c r="B1425" s="841" t="s">
        <v>4603</v>
      </c>
      <c r="C1425" s="813">
        <v>95711</v>
      </c>
      <c r="H1425" s="805"/>
      <c r="K1425" s="805"/>
      <c r="P1425" s="805"/>
    </row>
    <row r="1426" spans="1:16" x14ac:dyDescent="0.25">
      <c r="A1426" s="813"/>
      <c r="B1426" s="841" t="s">
        <v>4604</v>
      </c>
      <c r="C1426" s="813">
        <v>95721</v>
      </c>
      <c r="H1426" s="805"/>
      <c r="K1426" s="805"/>
      <c r="P1426" s="805"/>
    </row>
    <row r="1427" spans="1:16" x14ac:dyDescent="0.25">
      <c r="A1427" s="813"/>
      <c r="B1427" s="841" t="s">
        <v>4605</v>
      </c>
      <c r="C1427" s="813">
        <v>99021</v>
      </c>
      <c r="H1427" s="805"/>
      <c r="K1427" s="805"/>
      <c r="P1427" s="805"/>
    </row>
    <row r="1428" spans="1:16" x14ac:dyDescent="0.25">
      <c r="A1428" s="813"/>
      <c r="B1428" s="841" t="s">
        <v>4163</v>
      </c>
      <c r="C1428" s="813">
        <v>95802</v>
      </c>
      <c r="H1428" s="805"/>
      <c r="K1428" s="805"/>
      <c r="P1428" s="805"/>
    </row>
    <row r="1429" spans="1:16" x14ac:dyDescent="0.25">
      <c r="A1429" s="813"/>
      <c r="B1429" s="841" t="s">
        <v>3057</v>
      </c>
      <c r="C1429" s="813">
        <v>95801</v>
      </c>
      <c r="H1429" s="805"/>
      <c r="K1429" s="805"/>
      <c r="P1429" s="805"/>
    </row>
    <row r="1430" spans="1:16" x14ac:dyDescent="0.25">
      <c r="A1430" s="813"/>
      <c r="B1430" s="841" t="s">
        <v>3059</v>
      </c>
      <c r="C1430" s="813">
        <v>95804</v>
      </c>
      <c r="H1430" s="805"/>
      <c r="K1430" s="805"/>
      <c r="P1430" s="805"/>
    </row>
    <row r="1431" spans="1:16" x14ac:dyDescent="0.25">
      <c r="A1431" s="813"/>
      <c r="B1431" s="841" t="s">
        <v>4606</v>
      </c>
      <c r="C1431" s="813">
        <v>90092</v>
      </c>
      <c r="H1431" s="805"/>
      <c r="K1431" s="805"/>
      <c r="P1431" s="805"/>
    </row>
    <row r="1432" spans="1:16" x14ac:dyDescent="0.25">
      <c r="A1432" s="813"/>
      <c r="B1432" s="841" t="s">
        <v>4607</v>
      </c>
      <c r="C1432" s="813">
        <v>99081</v>
      </c>
      <c r="H1432" s="805"/>
      <c r="K1432" s="805"/>
      <c r="P1432" s="805"/>
    </row>
    <row r="1433" spans="1:16" x14ac:dyDescent="0.25">
      <c r="A1433" s="813"/>
      <c r="B1433" s="841" t="s">
        <v>4608</v>
      </c>
      <c r="C1433" s="813">
        <v>96071</v>
      </c>
      <c r="H1433" s="805"/>
      <c r="K1433" s="805"/>
      <c r="P1433" s="805"/>
    </row>
    <row r="1434" spans="1:16" x14ac:dyDescent="0.25">
      <c r="A1434" s="813"/>
      <c r="B1434" s="841" t="s">
        <v>2916</v>
      </c>
      <c r="C1434" s="813">
        <v>94002</v>
      </c>
      <c r="H1434" s="805"/>
      <c r="K1434" s="805"/>
      <c r="P1434" s="805"/>
    </row>
    <row r="1435" spans="1:16" x14ac:dyDescent="0.25">
      <c r="A1435" s="813"/>
      <c r="B1435" s="841" t="s">
        <v>4609</v>
      </c>
      <c r="C1435" s="813">
        <v>97840</v>
      </c>
      <c r="H1435" s="805"/>
      <c r="K1435" s="805"/>
      <c r="P1435" s="805"/>
    </row>
    <row r="1436" spans="1:16" x14ac:dyDescent="0.25">
      <c r="A1436" s="813"/>
      <c r="B1436" s="841" t="s">
        <v>3245</v>
      </c>
      <c r="C1436" s="813">
        <v>97847</v>
      </c>
      <c r="H1436" s="805"/>
      <c r="K1436" s="805"/>
      <c r="P1436" s="805"/>
    </row>
    <row r="1437" spans="1:16" x14ac:dyDescent="0.25">
      <c r="A1437" s="813"/>
      <c r="B1437" s="841" t="s">
        <v>4610</v>
      </c>
      <c r="C1437" s="813">
        <v>97921</v>
      </c>
      <c r="H1437" s="805"/>
      <c r="K1437" s="805"/>
      <c r="P1437" s="805"/>
    </row>
    <row r="1438" spans="1:16" x14ac:dyDescent="0.25">
      <c r="A1438" s="813"/>
      <c r="B1438" s="841" t="s">
        <v>4611</v>
      </c>
      <c r="C1438" s="813">
        <v>95221</v>
      </c>
      <c r="H1438" s="805"/>
      <c r="K1438" s="805"/>
      <c r="P1438" s="805"/>
    </row>
    <row r="1439" spans="1:16" x14ac:dyDescent="0.25">
      <c r="A1439" s="813"/>
      <c r="B1439" s="841" t="s">
        <v>4100</v>
      </c>
      <c r="C1439" s="813">
        <v>93610</v>
      </c>
      <c r="H1439" s="805"/>
      <c r="K1439" s="805"/>
      <c r="P1439" s="805"/>
    </row>
    <row r="1440" spans="1:16" x14ac:dyDescent="0.25">
      <c r="A1440" s="813"/>
      <c r="B1440" s="841" t="s">
        <v>3067</v>
      </c>
      <c r="C1440" s="813">
        <v>95901</v>
      </c>
      <c r="H1440" s="805"/>
      <c r="K1440" s="805"/>
      <c r="P1440" s="805"/>
    </row>
    <row r="1441" spans="1:16" x14ac:dyDescent="0.25">
      <c r="A1441" s="813"/>
      <c r="B1441" s="841" t="s">
        <v>4612</v>
      </c>
      <c r="C1441" s="813">
        <v>90114</v>
      </c>
      <c r="H1441" s="805"/>
      <c r="K1441" s="805"/>
      <c r="P1441" s="805"/>
    </row>
    <row r="1442" spans="1:16" x14ac:dyDescent="0.25">
      <c r="A1442" s="813"/>
      <c r="B1442" s="841" t="s">
        <v>3072</v>
      </c>
      <c r="C1442" s="813">
        <v>96001</v>
      </c>
      <c r="H1442" s="805"/>
      <c r="K1442" s="805"/>
      <c r="P1442" s="805"/>
    </row>
    <row r="1443" spans="1:16" x14ac:dyDescent="0.25">
      <c r="A1443" s="813"/>
      <c r="B1443" s="841" t="s">
        <v>3074</v>
      </c>
      <c r="C1443" s="813">
        <v>96004</v>
      </c>
      <c r="H1443" s="805"/>
      <c r="K1443" s="805"/>
      <c r="P1443" s="805"/>
    </row>
    <row r="1444" spans="1:16" x14ac:dyDescent="0.25">
      <c r="A1444" s="813"/>
      <c r="B1444" s="841" t="s">
        <v>4613</v>
      </c>
      <c r="C1444" s="813">
        <v>96008</v>
      </c>
      <c r="H1444" s="805"/>
      <c r="K1444" s="805"/>
      <c r="P1444" s="805"/>
    </row>
    <row r="1445" spans="1:16" x14ac:dyDescent="0.25">
      <c r="A1445" s="813"/>
      <c r="B1445" s="841" t="s">
        <v>2653</v>
      </c>
      <c r="C1445" s="813">
        <v>91108</v>
      </c>
      <c r="H1445" s="805"/>
      <c r="K1445" s="805"/>
      <c r="P1445" s="805"/>
    </row>
    <row r="1446" spans="1:16" x14ac:dyDescent="0.25">
      <c r="A1446" s="813"/>
      <c r="B1446" s="841" t="s">
        <v>3000</v>
      </c>
      <c r="C1446" s="813">
        <v>94941</v>
      </c>
      <c r="H1446" s="805"/>
      <c r="K1446" s="805"/>
      <c r="P1446" s="805"/>
    </row>
    <row r="1447" spans="1:16" x14ac:dyDescent="0.25">
      <c r="A1447" s="813"/>
      <c r="B1447" s="841" t="s">
        <v>4614</v>
      </c>
      <c r="C1447" s="813">
        <v>95122</v>
      </c>
      <c r="H1447" s="805"/>
      <c r="K1447" s="805"/>
      <c r="P1447" s="805"/>
    </row>
    <row r="1448" spans="1:16" x14ac:dyDescent="0.25">
      <c r="A1448" s="813"/>
      <c r="B1448" s="841" t="s">
        <v>2792</v>
      </c>
      <c r="C1448" s="813">
        <v>92607</v>
      </c>
      <c r="H1448" s="805"/>
      <c r="K1448" s="805"/>
      <c r="P1448" s="805"/>
    </row>
    <row r="1449" spans="1:16" x14ac:dyDescent="0.25">
      <c r="A1449" s="813"/>
      <c r="B1449" s="841" t="s">
        <v>4615</v>
      </c>
      <c r="C1449" s="813">
        <v>96431</v>
      </c>
      <c r="H1449" s="805"/>
      <c r="K1449" s="805"/>
      <c r="P1449" s="805"/>
    </row>
    <row r="1450" spans="1:16" x14ac:dyDescent="0.25">
      <c r="A1450" s="813"/>
      <c r="B1450" s="841" t="s">
        <v>2598</v>
      </c>
      <c r="C1450" s="813">
        <v>90709</v>
      </c>
      <c r="H1450" s="805"/>
      <c r="K1450" s="805"/>
      <c r="P1450" s="805"/>
    </row>
    <row r="1451" spans="1:16" x14ac:dyDescent="0.25">
      <c r="A1451" s="813"/>
      <c r="B1451" s="841" t="s">
        <v>4616</v>
      </c>
      <c r="C1451" s="813">
        <v>91341</v>
      </c>
      <c r="H1451" s="805"/>
      <c r="K1451" s="805"/>
      <c r="P1451" s="805"/>
    </row>
    <row r="1452" spans="1:16" x14ac:dyDescent="0.25">
      <c r="A1452" s="813"/>
      <c r="B1452" s="841" t="s">
        <v>4617</v>
      </c>
      <c r="C1452" s="813">
        <v>92941</v>
      </c>
      <c r="H1452" s="805"/>
      <c r="K1452" s="805"/>
      <c r="P1452" s="805"/>
    </row>
    <row r="1453" spans="1:16" x14ac:dyDescent="0.25">
      <c r="A1453" s="813"/>
      <c r="B1453" s="841" t="s">
        <v>4618</v>
      </c>
      <c r="C1453" s="813">
        <v>94551</v>
      </c>
      <c r="H1453" s="805"/>
      <c r="K1453" s="805"/>
      <c r="P1453" s="805"/>
    </row>
    <row r="1454" spans="1:16" x14ac:dyDescent="0.25">
      <c r="A1454" s="813"/>
      <c r="B1454" s="841" t="s">
        <v>4619</v>
      </c>
      <c r="C1454" s="813">
        <v>99022</v>
      </c>
      <c r="H1454" s="805"/>
      <c r="K1454" s="805"/>
      <c r="P1454" s="805"/>
    </row>
    <row r="1455" spans="1:16" x14ac:dyDescent="0.25">
      <c r="A1455" s="813"/>
      <c r="B1455" s="841" t="s">
        <v>4620</v>
      </c>
      <c r="C1455" s="813">
        <v>96031</v>
      </c>
      <c r="H1455" s="805"/>
      <c r="K1455" s="805"/>
      <c r="P1455" s="805"/>
    </row>
    <row r="1456" spans="1:16" x14ac:dyDescent="0.25">
      <c r="A1456" s="813"/>
      <c r="B1456" s="841" t="s">
        <v>4621</v>
      </c>
      <c r="C1456" s="813">
        <v>98414</v>
      </c>
      <c r="H1456" s="805"/>
      <c r="K1456" s="805"/>
      <c r="P1456" s="805"/>
    </row>
    <row r="1457" spans="1:16" x14ac:dyDescent="0.25">
      <c r="A1457" s="813"/>
      <c r="B1457" s="841" t="s">
        <v>3088</v>
      </c>
      <c r="C1457" s="813">
        <v>96101</v>
      </c>
      <c r="H1457" s="805"/>
      <c r="K1457" s="805"/>
      <c r="P1457" s="805"/>
    </row>
    <row r="1458" spans="1:16" x14ac:dyDescent="0.25">
      <c r="A1458" s="813"/>
      <c r="B1458" s="841" t="s">
        <v>4622</v>
      </c>
      <c r="C1458" s="813">
        <v>96102</v>
      </c>
      <c r="H1458" s="805"/>
      <c r="K1458" s="805"/>
      <c r="P1458" s="805"/>
    </row>
    <row r="1459" spans="1:16" x14ac:dyDescent="0.25">
      <c r="A1459" s="813"/>
      <c r="B1459" s="841" t="s">
        <v>4623</v>
      </c>
      <c r="C1459" s="813">
        <v>93011</v>
      </c>
      <c r="H1459" s="805"/>
      <c r="K1459" s="805"/>
      <c r="P1459" s="805"/>
    </row>
    <row r="1460" spans="1:16" x14ac:dyDescent="0.25">
      <c r="A1460" s="813"/>
      <c r="B1460" s="841" t="s">
        <v>4624</v>
      </c>
      <c r="C1460" s="813">
        <v>99011</v>
      </c>
      <c r="H1460" s="805"/>
      <c r="K1460" s="805"/>
      <c r="P1460" s="805"/>
    </row>
    <row r="1461" spans="1:16" x14ac:dyDescent="0.25">
      <c r="A1461" s="813"/>
      <c r="B1461" s="841" t="s">
        <v>3345</v>
      </c>
      <c r="C1461" s="813">
        <v>99017</v>
      </c>
      <c r="H1461" s="805"/>
      <c r="K1461" s="805"/>
      <c r="P1461" s="805"/>
    </row>
    <row r="1462" spans="1:16" x14ac:dyDescent="0.25">
      <c r="A1462" s="813"/>
      <c r="B1462" s="841" t="s">
        <v>4625</v>
      </c>
      <c r="C1462" s="813">
        <v>99013</v>
      </c>
      <c r="H1462" s="805"/>
      <c r="K1462" s="805"/>
      <c r="P1462" s="805"/>
    </row>
    <row r="1463" spans="1:16" x14ac:dyDescent="0.25">
      <c r="A1463" s="813"/>
      <c r="B1463" s="841" t="s">
        <v>3092</v>
      </c>
      <c r="C1463" s="813">
        <v>96201</v>
      </c>
      <c r="H1463" s="805"/>
      <c r="K1463" s="805"/>
      <c r="P1463" s="805"/>
    </row>
    <row r="1464" spans="1:16" x14ac:dyDescent="0.25">
      <c r="A1464" s="813"/>
      <c r="B1464" s="841" t="s">
        <v>3093</v>
      </c>
      <c r="C1464" s="813">
        <v>96204</v>
      </c>
      <c r="H1464" s="805"/>
      <c r="K1464" s="805"/>
      <c r="P1464" s="805"/>
    </row>
    <row r="1465" spans="1:16" x14ac:dyDescent="0.25">
      <c r="A1465" s="813"/>
      <c r="B1465" s="841" t="s">
        <v>4626</v>
      </c>
      <c r="C1465" s="813">
        <v>91161</v>
      </c>
      <c r="H1465" s="805"/>
      <c r="K1465" s="805"/>
      <c r="P1465" s="805"/>
    </row>
    <row r="1466" spans="1:16" x14ac:dyDescent="0.25">
      <c r="A1466" s="813"/>
      <c r="B1466" s="841" t="s">
        <v>3099</v>
      </c>
      <c r="C1466" s="813">
        <v>96301</v>
      </c>
      <c r="H1466" s="805"/>
      <c r="K1466" s="805"/>
      <c r="P1466" s="805"/>
    </row>
    <row r="1467" spans="1:16" x14ac:dyDescent="0.25">
      <c r="A1467" s="813"/>
      <c r="B1467" s="841" t="s">
        <v>3101</v>
      </c>
      <c r="C1467" s="813">
        <v>96304</v>
      </c>
      <c r="H1467" s="805"/>
      <c r="K1467" s="805"/>
      <c r="P1467" s="805"/>
    </row>
    <row r="1468" spans="1:16" x14ac:dyDescent="0.25">
      <c r="A1468" s="813"/>
      <c r="B1468" s="841" t="s">
        <v>3103</v>
      </c>
      <c r="C1468" s="813">
        <v>96310</v>
      </c>
      <c r="H1468" s="805"/>
      <c r="K1468" s="805"/>
      <c r="P1468" s="805"/>
    </row>
    <row r="1469" spans="1:16" x14ac:dyDescent="0.25">
      <c r="A1469" s="813"/>
      <c r="B1469" s="841" t="s">
        <v>3102</v>
      </c>
      <c r="C1469" s="813">
        <v>96305</v>
      </c>
      <c r="H1469" s="805"/>
      <c r="K1469" s="805"/>
      <c r="P1469" s="805"/>
    </row>
    <row r="1470" spans="1:16" x14ac:dyDescent="0.25">
      <c r="A1470" s="813"/>
      <c r="B1470" s="841" t="s">
        <v>4627</v>
      </c>
      <c r="C1470" s="813">
        <v>94921</v>
      </c>
      <c r="H1470" s="805"/>
      <c r="K1470" s="805"/>
      <c r="P1470" s="805"/>
    </row>
    <row r="1471" spans="1:16" x14ac:dyDescent="0.25">
      <c r="A1471" s="813"/>
      <c r="B1471" s="841" t="s">
        <v>2998</v>
      </c>
      <c r="C1471" s="813">
        <v>94927</v>
      </c>
      <c r="H1471" s="805"/>
      <c r="K1471" s="805"/>
      <c r="P1471" s="805"/>
    </row>
    <row r="1472" spans="1:16" x14ac:dyDescent="0.25">
      <c r="A1472" s="813"/>
      <c r="B1472" s="841" t="s">
        <v>2997</v>
      </c>
      <c r="C1472" s="813">
        <v>94923</v>
      </c>
      <c r="H1472" s="805"/>
      <c r="K1472" s="805"/>
      <c r="P1472" s="805"/>
    </row>
    <row r="1473" spans="1:16" x14ac:dyDescent="0.25">
      <c r="A1473" s="813"/>
      <c r="B1473" s="841" t="s">
        <v>4628</v>
      </c>
      <c r="C1473" s="813">
        <v>91611</v>
      </c>
      <c r="H1473" s="805"/>
      <c r="K1473" s="805"/>
      <c r="P1473" s="805"/>
    </row>
    <row r="1474" spans="1:16" x14ac:dyDescent="0.25">
      <c r="A1474" s="813"/>
      <c r="B1474" s="841" t="s">
        <v>4629</v>
      </c>
      <c r="C1474" s="813">
        <v>91231</v>
      </c>
      <c r="H1474" s="805"/>
      <c r="K1474" s="805"/>
      <c r="P1474" s="805"/>
    </row>
    <row r="1475" spans="1:16" x14ac:dyDescent="0.25">
      <c r="A1475" s="813"/>
      <c r="B1475" s="841" t="s">
        <v>2675</v>
      </c>
      <c r="C1475" s="813">
        <v>91217</v>
      </c>
      <c r="H1475" s="805"/>
      <c r="K1475" s="805"/>
      <c r="P1475" s="805"/>
    </row>
    <row r="1476" spans="1:16" x14ac:dyDescent="0.25">
      <c r="A1476" s="813"/>
      <c r="B1476" s="841" t="s">
        <v>2678</v>
      </c>
      <c r="C1476" s="813">
        <v>91233</v>
      </c>
      <c r="H1476" s="805"/>
      <c r="K1476" s="805"/>
      <c r="P1476" s="805"/>
    </row>
    <row r="1477" spans="1:16" x14ac:dyDescent="0.25">
      <c r="A1477" s="813"/>
      <c r="B1477" s="841" t="s">
        <v>4630</v>
      </c>
      <c r="C1477" s="813">
        <v>99206</v>
      </c>
      <c r="H1477" s="805"/>
      <c r="K1477" s="805"/>
      <c r="P1477" s="805"/>
    </row>
    <row r="1478" spans="1:16" x14ac:dyDescent="0.25">
      <c r="A1478" s="813"/>
      <c r="B1478" s="841" t="s">
        <v>4631</v>
      </c>
      <c r="C1478" s="813">
        <v>90461</v>
      </c>
      <c r="H1478" s="805"/>
      <c r="K1478" s="805"/>
      <c r="P1478" s="805"/>
    </row>
    <row r="1479" spans="1:16" x14ac:dyDescent="0.25">
      <c r="A1479" s="813"/>
      <c r="B1479" s="841" t="s">
        <v>4632</v>
      </c>
      <c r="C1479" s="813">
        <v>98631</v>
      </c>
      <c r="H1479" s="805"/>
      <c r="K1479" s="805"/>
      <c r="P1479" s="805"/>
    </row>
    <row r="1480" spans="1:16" x14ac:dyDescent="0.25">
      <c r="A1480" s="813"/>
      <c r="B1480" s="841" t="s">
        <v>3329</v>
      </c>
      <c r="C1480" s="813">
        <v>98637</v>
      </c>
      <c r="H1480" s="805"/>
      <c r="K1480" s="805"/>
      <c r="P1480" s="805"/>
    </row>
    <row r="1481" spans="1:16" x14ac:dyDescent="0.25">
      <c r="A1481" s="813"/>
      <c r="B1481" s="841" t="s">
        <v>4633</v>
      </c>
      <c r="C1481" s="813">
        <v>96251</v>
      </c>
      <c r="H1481" s="805"/>
      <c r="K1481" s="805"/>
      <c r="P1481" s="805"/>
    </row>
    <row r="1482" spans="1:16" x14ac:dyDescent="0.25">
      <c r="A1482" s="813"/>
      <c r="B1482" s="841" t="s">
        <v>4634</v>
      </c>
      <c r="C1482" s="813">
        <v>93691</v>
      </c>
      <c r="H1482" s="805"/>
      <c r="K1482" s="805"/>
      <c r="P1482" s="805"/>
    </row>
    <row r="1483" spans="1:16" x14ac:dyDescent="0.25">
      <c r="A1483" s="813"/>
      <c r="B1483" s="841" t="s">
        <v>4635</v>
      </c>
      <c r="C1483" s="813">
        <v>99621</v>
      </c>
      <c r="H1483" s="805"/>
      <c r="K1483" s="805"/>
      <c r="P1483" s="805"/>
    </row>
    <row r="1484" spans="1:16" x14ac:dyDescent="0.25">
      <c r="A1484" s="813"/>
      <c r="B1484" s="841" t="s">
        <v>4330</v>
      </c>
      <c r="C1484" s="813">
        <v>99623</v>
      </c>
      <c r="H1484" s="805"/>
      <c r="K1484" s="805"/>
      <c r="P1484" s="805"/>
    </row>
    <row r="1485" spans="1:16" x14ac:dyDescent="0.25">
      <c r="A1485" s="813"/>
      <c r="B1485" s="841" t="s">
        <v>4636</v>
      </c>
      <c r="C1485" s="813">
        <v>91321</v>
      </c>
      <c r="H1485" s="805"/>
      <c r="K1485" s="805"/>
      <c r="P1485" s="805"/>
    </row>
    <row r="1486" spans="1:16" x14ac:dyDescent="0.25">
      <c r="A1486" s="813"/>
      <c r="B1486" s="841" t="s">
        <v>4637</v>
      </c>
      <c r="C1486" s="813">
        <v>91327</v>
      </c>
      <c r="H1486" s="805"/>
      <c r="K1486" s="805"/>
      <c r="P1486" s="805"/>
    </row>
    <row r="1487" spans="1:16" x14ac:dyDescent="0.25">
      <c r="A1487" s="813"/>
      <c r="B1487" s="841" t="s">
        <v>4638</v>
      </c>
      <c r="C1487" s="813">
        <v>94621</v>
      </c>
      <c r="H1487" s="805"/>
      <c r="K1487" s="805"/>
      <c r="P1487" s="805"/>
    </row>
    <row r="1488" spans="1:16" x14ac:dyDescent="0.25">
      <c r="A1488" s="813"/>
      <c r="B1488" s="841" t="s">
        <v>4639</v>
      </c>
      <c r="C1488" s="813">
        <v>92011</v>
      </c>
      <c r="H1488" s="805"/>
      <c r="K1488" s="805"/>
      <c r="P1488" s="805"/>
    </row>
    <row r="1489" spans="1:16" x14ac:dyDescent="0.25">
      <c r="A1489" s="813"/>
      <c r="B1489" s="841" t="s">
        <v>2745</v>
      </c>
      <c r="C1489" s="813">
        <v>92017</v>
      </c>
      <c r="H1489" s="805"/>
      <c r="K1489" s="805"/>
      <c r="P1489" s="805"/>
    </row>
    <row r="1490" spans="1:16" x14ac:dyDescent="0.25">
      <c r="A1490" s="813"/>
      <c r="B1490" s="841" t="s">
        <v>3435</v>
      </c>
      <c r="C1490" s="813">
        <v>99991</v>
      </c>
      <c r="H1490" s="805"/>
      <c r="K1490" s="805"/>
      <c r="P1490" s="805"/>
    </row>
    <row r="1491" spans="1:16" x14ac:dyDescent="0.25">
      <c r="A1491" s="813"/>
      <c r="B1491" s="841" t="s">
        <v>3436</v>
      </c>
      <c r="C1491" s="813">
        <v>99999</v>
      </c>
      <c r="H1491" s="805"/>
      <c r="K1491" s="805"/>
      <c r="P1491" s="805"/>
    </row>
    <row r="1492" spans="1:16" x14ac:dyDescent="0.25">
      <c r="A1492" s="813"/>
      <c r="B1492" s="841" t="s">
        <v>4640</v>
      </c>
      <c r="C1492" s="813">
        <v>92811</v>
      </c>
      <c r="H1492" s="805"/>
      <c r="K1492" s="805"/>
      <c r="P1492" s="805"/>
    </row>
    <row r="1493" spans="1:16" x14ac:dyDescent="0.25">
      <c r="A1493" s="813"/>
      <c r="B1493" s="841" t="s">
        <v>2743</v>
      </c>
      <c r="C1493" s="813">
        <v>92005</v>
      </c>
      <c r="H1493" s="805"/>
      <c r="K1493" s="805"/>
      <c r="P1493" s="805"/>
    </row>
    <row r="1494" spans="1:16" x14ac:dyDescent="0.25">
      <c r="A1494" s="813"/>
      <c r="B1494" s="841" t="s">
        <v>3115</v>
      </c>
      <c r="C1494" s="813">
        <v>96401</v>
      </c>
      <c r="H1494" s="805"/>
      <c r="K1494" s="805"/>
      <c r="P1494" s="805"/>
    </row>
    <row r="1495" spans="1:16" x14ac:dyDescent="0.25">
      <c r="A1495" s="813"/>
      <c r="B1495" s="841" t="s">
        <v>3116</v>
      </c>
      <c r="C1495" s="813">
        <v>96404</v>
      </c>
      <c r="H1495" s="805"/>
      <c r="K1495" s="805"/>
      <c r="P1495" s="805"/>
    </row>
    <row r="1496" spans="1:16" x14ac:dyDescent="0.25">
      <c r="A1496" s="813"/>
      <c r="B1496" s="841" t="s">
        <v>4641</v>
      </c>
      <c r="C1496" s="813">
        <v>96421</v>
      </c>
      <c r="H1496" s="805"/>
      <c r="K1496" s="805"/>
      <c r="P1496" s="805"/>
    </row>
    <row r="1497" spans="1:16" x14ac:dyDescent="0.25">
      <c r="A1497" s="813"/>
      <c r="B1497" s="841" t="s">
        <v>4642</v>
      </c>
      <c r="C1497" s="813">
        <v>91026</v>
      </c>
      <c r="H1497" s="805"/>
      <c r="K1497" s="805"/>
      <c r="P1497" s="805"/>
    </row>
    <row r="1498" spans="1:16" x14ac:dyDescent="0.25">
      <c r="A1498" s="813"/>
      <c r="B1498" s="841" t="s">
        <v>3037</v>
      </c>
      <c r="C1498" s="813">
        <v>95405</v>
      </c>
      <c r="H1498" s="805"/>
      <c r="K1498" s="805"/>
      <c r="P1498" s="805"/>
    </row>
    <row r="1499" spans="1:16" x14ac:dyDescent="0.25">
      <c r="A1499" s="813"/>
      <c r="B1499" s="841" t="s">
        <v>2918</v>
      </c>
      <c r="C1499" s="813">
        <v>94005</v>
      </c>
      <c r="H1499" s="805"/>
      <c r="K1499" s="805"/>
      <c r="P1499" s="805"/>
    </row>
    <row r="1500" spans="1:16" x14ac:dyDescent="0.25">
      <c r="A1500" s="813"/>
      <c r="B1500" s="841" t="s">
        <v>3028</v>
      </c>
      <c r="C1500" s="813">
        <v>95205</v>
      </c>
      <c r="H1500" s="805"/>
      <c r="K1500" s="805"/>
      <c r="P1500" s="805"/>
    </row>
    <row r="1501" spans="1:16" x14ac:dyDescent="0.25">
      <c r="A1501" s="813"/>
      <c r="B1501" s="841" t="s">
        <v>2778</v>
      </c>
      <c r="C1501" s="813">
        <v>92507</v>
      </c>
      <c r="H1501" s="805"/>
      <c r="K1501" s="805"/>
      <c r="P1501" s="805"/>
    </row>
    <row r="1502" spans="1:16" x14ac:dyDescent="0.25">
      <c r="A1502" s="813"/>
      <c r="B1502" s="841" t="s">
        <v>4643</v>
      </c>
      <c r="C1502" s="813">
        <v>92511</v>
      </c>
      <c r="H1502" s="805"/>
      <c r="K1502" s="805"/>
      <c r="P1502" s="805"/>
    </row>
    <row r="1503" spans="1:16" x14ac:dyDescent="0.25">
      <c r="A1503" s="813"/>
      <c r="B1503" s="841" t="s">
        <v>4644</v>
      </c>
      <c r="C1503" s="813">
        <v>92113</v>
      </c>
      <c r="H1503" s="805"/>
      <c r="K1503" s="805"/>
      <c r="P1503" s="805"/>
    </row>
    <row r="1504" spans="1:16" x14ac:dyDescent="0.25">
      <c r="A1504" s="813"/>
      <c r="B1504" s="841" t="s">
        <v>4201</v>
      </c>
      <c r="C1504" s="813">
        <v>96502</v>
      </c>
      <c r="H1504" s="805"/>
      <c r="K1504" s="805"/>
      <c r="P1504" s="805"/>
    </row>
    <row r="1505" spans="1:16" x14ac:dyDescent="0.25">
      <c r="A1505" s="813"/>
      <c r="B1505" s="841" t="s">
        <v>3124</v>
      </c>
      <c r="C1505" s="813">
        <v>96501</v>
      </c>
      <c r="H1505" s="805"/>
      <c r="K1505" s="805"/>
      <c r="P1505" s="805"/>
    </row>
    <row r="1506" spans="1:16" x14ac:dyDescent="0.25">
      <c r="A1506" s="813"/>
      <c r="B1506" s="841" t="s">
        <v>3127</v>
      </c>
      <c r="C1506" s="813">
        <v>96504</v>
      </c>
      <c r="H1506" s="805"/>
      <c r="K1506" s="805"/>
      <c r="P1506" s="805"/>
    </row>
    <row r="1507" spans="1:16" x14ac:dyDescent="0.25">
      <c r="A1507" s="813"/>
      <c r="B1507" s="844" t="s">
        <v>4645</v>
      </c>
      <c r="C1507" s="813">
        <v>98471</v>
      </c>
      <c r="H1507" s="805"/>
      <c r="K1507" s="805"/>
      <c r="P1507" s="805"/>
    </row>
    <row r="1508" spans="1:16" x14ac:dyDescent="0.25">
      <c r="A1508" s="813"/>
      <c r="B1508" s="841" t="s">
        <v>4646</v>
      </c>
      <c r="C1508" s="813">
        <v>97913</v>
      </c>
      <c r="H1508" s="805"/>
      <c r="K1508" s="805"/>
      <c r="P1508" s="805"/>
    </row>
    <row r="1509" spans="1:16" x14ac:dyDescent="0.25">
      <c r="A1509" s="813"/>
      <c r="B1509" s="841" t="s">
        <v>4647</v>
      </c>
      <c r="C1509" s="813">
        <v>90621</v>
      </c>
      <c r="H1509" s="805"/>
      <c r="K1509" s="805"/>
      <c r="P1509" s="805"/>
    </row>
    <row r="1510" spans="1:16" x14ac:dyDescent="0.25">
      <c r="A1510" s="813"/>
      <c r="B1510" s="841" t="s">
        <v>4648</v>
      </c>
      <c r="C1510" s="813">
        <v>91621</v>
      </c>
      <c r="H1510" s="805"/>
      <c r="K1510" s="805"/>
      <c r="P1510" s="805"/>
    </row>
    <row r="1511" spans="1:16" x14ac:dyDescent="0.25">
      <c r="A1511" s="813"/>
      <c r="B1511" s="841" t="s">
        <v>4649</v>
      </c>
      <c r="C1511" s="813">
        <v>91871</v>
      </c>
      <c r="H1511" s="805"/>
      <c r="K1511" s="805"/>
      <c r="P1511" s="805"/>
    </row>
    <row r="1512" spans="1:16" x14ac:dyDescent="0.25">
      <c r="A1512" s="813"/>
      <c r="B1512" s="841" t="s">
        <v>4650</v>
      </c>
      <c r="C1512" s="813">
        <v>98231</v>
      </c>
      <c r="H1512" s="805"/>
      <c r="K1512" s="805"/>
      <c r="P1512" s="805"/>
    </row>
    <row r="1513" spans="1:16" x14ac:dyDescent="0.25">
      <c r="A1513" s="813"/>
      <c r="B1513" s="841" t="s">
        <v>4651</v>
      </c>
      <c r="C1513" s="813">
        <v>99311</v>
      </c>
      <c r="H1513" s="805"/>
      <c r="K1513" s="805"/>
      <c r="P1513" s="805"/>
    </row>
    <row r="1514" spans="1:16" x14ac:dyDescent="0.25">
      <c r="A1514" s="813"/>
      <c r="B1514" s="841" t="s">
        <v>4652</v>
      </c>
      <c r="C1514" s="813">
        <v>96751</v>
      </c>
      <c r="H1514" s="805"/>
      <c r="K1514" s="805"/>
      <c r="P1514" s="805"/>
    </row>
    <row r="1515" spans="1:16" x14ac:dyDescent="0.25">
      <c r="A1515" s="813"/>
      <c r="B1515" s="841" t="s">
        <v>4653</v>
      </c>
      <c r="C1515" s="813">
        <v>99711</v>
      </c>
      <c r="H1515" s="805"/>
      <c r="K1515" s="805"/>
      <c r="P1515" s="805"/>
    </row>
    <row r="1516" spans="1:16" x14ac:dyDescent="0.25">
      <c r="A1516" s="813"/>
      <c r="B1516" s="841" t="s">
        <v>4654</v>
      </c>
      <c r="C1516" s="813">
        <v>99717</v>
      </c>
      <c r="H1516" s="805"/>
      <c r="K1516" s="805"/>
      <c r="P1516" s="805"/>
    </row>
    <row r="1517" spans="1:16" x14ac:dyDescent="0.25">
      <c r="A1517" s="813"/>
      <c r="B1517" s="841" t="s">
        <v>3136</v>
      </c>
      <c r="C1517" s="813">
        <v>96601</v>
      </c>
      <c r="H1517" s="805"/>
      <c r="K1517" s="805"/>
      <c r="P1517" s="805"/>
    </row>
    <row r="1518" spans="1:16" x14ac:dyDescent="0.25">
      <c r="A1518" s="813"/>
      <c r="B1518" s="841" t="s">
        <v>3137</v>
      </c>
      <c r="C1518" s="813">
        <v>96604</v>
      </c>
      <c r="H1518" s="805"/>
      <c r="K1518" s="805"/>
      <c r="P1518" s="805"/>
    </row>
    <row r="1519" spans="1:16" x14ac:dyDescent="0.25">
      <c r="A1519" s="813"/>
      <c r="B1519" s="841" t="s">
        <v>4655</v>
      </c>
      <c r="C1519" s="813">
        <v>91012</v>
      </c>
      <c r="H1519" s="805"/>
      <c r="K1519" s="805"/>
      <c r="P1519" s="805"/>
    </row>
    <row r="1520" spans="1:16" x14ac:dyDescent="0.25">
      <c r="A1520" s="813"/>
      <c r="B1520" s="841" t="s">
        <v>2573</v>
      </c>
      <c r="C1520" s="813">
        <v>90305</v>
      </c>
      <c r="H1520" s="805"/>
      <c r="K1520" s="805"/>
      <c r="P1520" s="805"/>
    </row>
    <row r="1521" spans="1:16" x14ac:dyDescent="0.25">
      <c r="A1521" s="813"/>
      <c r="B1521" s="841" t="s">
        <v>4656</v>
      </c>
      <c r="C1521" s="813">
        <v>98421</v>
      </c>
      <c r="H1521" s="805"/>
      <c r="K1521" s="805"/>
      <c r="P1521" s="805"/>
    </row>
    <row r="1522" spans="1:16" x14ac:dyDescent="0.25">
      <c r="A1522" s="813"/>
      <c r="B1522" s="841" t="s">
        <v>4657</v>
      </c>
      <c r="C1522" s="813">
        <v>98427</v>
      </c>
      <c r="H1522" s="805"/>
      <c r="K1522" s="805"/>
      <c r="P1522" s="805"/>
    </row>
    <row r="1523" spans="1:16" x14ac:dyDescent="0.25">
      <c r="A1523" s="813"/>
      <c r="B1523" s="841" t="s">
        <v>4658</v>
      </c>
      <c r="C1523" s="813">
        <v>95821</v>
      </c>
      <c r="H1523" s="805"/>
      <c r="K1523" s="805"/>
      <c r="P1523" s="805"/>
    </row>
    <row r="1524" spans="1:16" x14ac:dyDescent="0.25">
      <c r="A1524" s="813"/>
      <c r="B1524" s="841" t="s">
        <v>4659</v>
      </c>
      <c r="C1524" s="813">
        <v>91021</v>
      </c>
      <c r="H1524" s="805"/>
      <c r="K1524" s="805"/>
      <c r="P1524" s="805"/>
    </row>
    <row r="1525" spans="1:16" x14ac:dyDescent="0.25">
      <c r="A1525" s="813"/>
      <c r="B1525" s="841" t="s">
        <v>4660</v>
      </c>
      <c r="C1525" s="813">
        <v>91027</v>
      </c>
      <c r="H1525" s="805"/>
      <c r="K1525" s="805"/>
      <c r="P1525" s="805"/>
    </row>
    <row r="1526" spans="1:16" x14ac:dyDescent="0.25">
      <c r="A1526" s="813"/>
      <c r="B1526" s="841" t="s">
        <v>4661</v>
      </c>
      <c r="C1526" s="813">
        <v>94161</v>
      </c>
      <c r="H1526" s="805"/>
      <c r="K1526" s="805"/>
      <c r="P1526" s="805"/>
    </row>
    <row r="1527" spans="1:16" x14ac:dyDescent="0.25">
      <c r="A1527" s="813"/>
      <c r="B1527" s="841" t="s">
        <v>4662</v>
      </c>
      <c r="C1527" s="813">
        <v>98441</v>
      </c>
      <c r="H1527" s="805"/>
      <c r="K1527" s="805"/>
      <c r="P1527" s="805"/>
    </row>
    <row r="1528" spans="1:16" x14ac:dyDescent="0.25">
      <c r="A1528" s="813"/>
      <c r="B1528" s="841" t="s">
        <v>4663</v>
      </c>
      <c r="C1528" s="813">
        <v>91061</v>
      </c>
      <c r="H1528" s="805"/>
      <c r="K1528" s="805"/>
      <c r="P1528" s="805"/>
    </row>
    <row r="1529" spans="1:16" x14ac:dyDescent="0.25">
      <c r="A1529" s="813"/>
      <c r="B1529" s="841" t="s">
        <v>2644</v>
      </c>
      <c r="C1529" s="813">
        <v>91067</v>
      </c>
      <c r="H1529" s="805"/>
      <c r="K1529" s="805"/>
      <c r="P1529" s="805"/>
    </row>
    <row r="1530" spans="1:16" x14ac:dyDescent="0.25">
      <c r="A1530" s="813"/>
      <c r="B1530" s="841" t="s">
        <v>4664</v>
      </c>
      <c r="C1530" s="813">
        <v>94812</v>
      </c>
      <c r="H1530" s="805"/>
      <c r="K1530" s="805"/>
      <c r="P1530" s="805"/>
    </row>
    <row r="1531" spans="1:16" x14ac:dyDescent="0.25">
      <c r="A1531" s="813"/>
      <c r="B1531" s="841" t="s">
        <v>4665</v>
      </c>
      <c r="C1531" s="813">
        <v>95921</v>
      </c>
      <c r="H1531" s="805"/>
      <c r="K1531" s="805"/>
      <c r="P1531" s="805"/>
    </row>
    <row r="1532" spans="1:16" x14ac:dyDescent="0.25">
      <c r="A1532" s="813"/>
      <c r="B1532" s="841" t="s">
        <v>3147</v>
      </c>
      <c r="C1532" s="813">
        <v>96701</v>
      </c>
      <c r="H1532" s="805"/>
      <c r="K1532" s="805"/>
      <c r="P1532" s="805"/>
    </row>
    <row r="1533" spans="1:16" x14ac:dyDescent="0.25">
      <c r="A1533" s="813"/>
      <c r="B1533" s="841" t="s">
        <v>3148</v>
      </c>
      <c r="C1533" s="813">
        <v>96704</v>
      </c>
      <c r="H1533" s="805"/>
      <c r="K1533" s="805"/>
      <c r="P1533" s="805"/>
    </row>
    <row r="1534" spans="1:16" x14ac:dyDescent="0.25">
      <c r="A1534" s="813"/>
      <c r="B1534" s="841" t="s">
        <v>3149</v>
      </c>
      <c r="C1534" s="813">
        <v>96708</v>
      </c>
      <c r="H1534" s="805"/>
      <c r="K1534" s="805"/>
      <c r="P1534" s="805"/>
    </row>
    <row r="1535" spans="1:16" x14ac:dyDescent="0.25">
      <c r="A1535" s="813"/>
      <c r="B1535" s="841" t="s">
        <v>3156</v>
      </c>
      <c r="C1535" s="813">
        <v>96801</v>
      </c>
      <c r="H1535" s="805"/>
      <c r="K1535" s="805"/>
      <c r="P1535" s="805"/>
    </row>
    <row r="1536" spans="1:16" x14ac:dyDescent="0.25">
      <c r="A1536" s="813"/>
      <c r="B1536" s="841" t="s">
        <v>3157</v>
      </c>
      <c r="C1536" s="813">
        <v>96804</v>
      </c>
      <c r="H1536" s="805"/>
      <c r="K1536" s="805"/>
      <c r="P1536" s="805"/>
    </row>
    <row r="1537" spans="1:16" x14ac:dyDescent="0.25">
      <c r="A1537" s="813"/>
      <c r="B1537" s="841" t="s">
        <v>3158</v>
      </c>
      <c r="C1537" s="813">
        <v>96808</v>
      </c>
      <c r="H1537" s="805"/>
      <c r="K1537" s="805"/>
      <c r="P1537" s="805"/>
    </row>
    <row r="1538" spans="1:16" x14ac:dyDescent="0.25">
      <c r="A1538" s="813"/>
      <c r="B1538" s="841" t="s">
        <v>4666</v>
      </c>
      <c r="C1538" s="813">
        <v>96912</v>
      </c>
      <c r="H1538" s="805"/>
      <c r="K1538" s="805"/>
      <c r="P1538" s="805"/>
    </row>
    <row r="1539" spans="1:16" x14ac:dyDescent="0.25">
      <c r="A1539" s="813"/>
      <c r="B1539" s="841" t="s">
        <v>4667</v>
      </c>
      <c r="C1539" s="813">
        <v>93911</v>
      </c>
      <c r="H1539" s="805"/>
      <c r="K1539" s="805"/>
      <c r="P1539" s="805"/>
    </row>
    <row r="1540" spans="1:16" x14ac:dyDescent="0.25">
      <c r="A1540" s="813"/>
      <c r="B1540" s="841" t="s">
        <v>2911</v>
      </c>
      <c r="C1540" s="813">
        <v>93913</v>
      </c>
      <c r="H1540" s="805"/>
      <c r="K1540" s="805"/>
      <c r="P1540" s="805"/>
    </row>
    <row r="1541" spans="1:16" x14ac:dyDescent="0.25">
      <c r="A1541" s="813"/>
      <c r="B1541" s="841" t="s">
        <v>3162</v>
      </c>
      <c r="C1541" s="813">
        <v>96901</v>
      </c>
      <c r="H1541" s="805"/>
      <c r="K1541" s="805"/>
      <c r="P1541" s="805"/>
    </row>
    <row r="1542" spans="1:16" x14ac:dyDescent="0.25">
      <c r="A1542" s="813"/>
      <c r="B1542" s="841" t="s">
        <v>4668</v>
      </c>
      <c r="C1542" s="813">
        <v>97841</v>
      </c>
      <c r="H1542" s="805"/>
      <c r="K1542" s="805"/>
      <c r="P1542" s="805"/>
    </row>
    <row r="1543" spans="1:16" x14ac:dyDescent="0.25">
      <c r="A1543" s="813"/>
      <c r="B1543" s="841" t="s">
        <v>2842</v>
      </c>
      <c r="C1543" s="813">
        <v>93202</v>
      </c>
      <c r="H1543" s="805"/>
      <c r="K1543" s="805"/>
      <c r="P1543" s="805"/>
    </row>
    <row r="1544" spans="1:16" x14ac:dyDescent="0.25">
      <c r="A1544" s="813"/>
      <c r="B1544" s="841" t="s">
        <v>2884</v>
      </c>
      <c r="C1544" s="813">
        <v>93609</v>
      </c>
      <c r="H1544" s="805"/>
      <c r="K1544" s="805"/>
      <c r="P1544" s="805"/>
    </row>
    <row r="1545" spans="1:16" x14ac:dyDescent="0.25">
      <c r="A1545" s="813"/>
      <c r="B1545" s="841" t="s">
        <v>3168</v>
      </c>
      <c r="C1545" s="813">
        <v>97004</v>
      </c>
      <c r="H1545" s="805"/>
      <c r="K1545" s="805"/>
      <c r="P1545" s="805"/>
    </row>
    <row r="1546" spans="1:16" x14ac:dyDescent="0.25">
      <c r="A1546" s="813"/>
      <c r="B1546" s="841" t="s">
        <v>3166</v>
      </c>
      <c r="C1546" s="813">
        <v>97001</v>
      </c>
      <c r="H1546" s="805"/>
      <c r="K1546" s="805"/>
      <c r="P1546" s="805"/>
    </row>
    <row r="1547" spans="1:16" x14ac:dyDescent="0.25">
      <c r="A1547" s="813"/>
      <c r="B1547" s="841" t="s">
        <v>3167</v>
      </c>
      <c r="C1547" s="813">
        <v>97002</v>
      </c>
      <c r="H1547" s="805"/>
      <c r="K1547" s="805"/>
      <c r="P1547" s="805"/>
    </row>
    <row r="1548" spans="1:16" x14ac:dyDescent="0.25">
      <c r="A1548" s="813"/>
      <c r="B1548" s="841" t="s">
        <v>3175</v>
      </c>
      <c r="C1548" s="813">
        <v>97015</v>
      </c>
      <c r="H1548" s="805"/>
      <c r="K1548" s="805"/>
      <c r="P1548" s="805"/>
    </row>
    <row r="1549" spans="1:16" x14ac:dyDescent="0.25">
      <c r="A1549" s="813"/>
      <c r="B1549" s="841" t="s">
        <v>4669</v>
      </c>
      <c r="C1549" s="813">
        <v>90441</v>
      </c>
      <c r="H1549" s="805"/>
      <c r="K1549" s="805"/>
      <c r="P1549" s="805"/>
    </row>
    <row r="1550" spans="1:16" x14ac:dyDescent="0.25">
      <c r="A1550" s="813"/>
      <c r="B1550" s="841" t="s">
        <v>4670</v>
      </c>
      <c r="C1550" s="813">
        <v>97851</v>
      </c>
      <c r="H1550" s="805"/>
      <c r="K1550" s="805"/>
      <c r="P1550" s="805"/>
    </row>
    <row r="1551" spans="1:16" x14ac:dyDescent="0.25">
      <c r="A1551" s="813"/>
      <c r="B1551" s="841" t="s">
        <v>3247</v>
      </c>
      <c r="C1551" s="813">
        <v>97853</v>
      </c>
      <c r="H1551" s="805"/>
      <c r="K1551" s="805"/>
      <c r="P1551" s="805"/>
    </row>
    <row r="1552" spans="1:16" x14ac:dyDescent="0.25">
      <c r="A1552" s="813"/>
      <c r="B1552" s="841" t="s">
        <v>3177</v>
      </c>
      <c r="C1552" s="813">
        <v>97101</v>
      </c>
      <c r="H1552" s="805"/>
      <c r="K1552" s="805"/>
      <c r="P1552" s="805"/>
    </row>
    <row r="1553" spans="1:16" x14ac:dyDescent="0.25">
      <c r="A1553" s="813"/>
      <c r="B1553" s="841" t="s">
        <v>3178</v>
      </c>
      <c r="C1553" s="813">
        <v>97104</v>
      </c>
      <c r="H1553" s="805"/>
      <c r="K1553" s="805"/>
      <c r="P1553" s="805"/>
    </row>
    <row r="1554" spans="1:16" x14ac:dyDescent="0.25">
      <c r="A1554" s="813"/>
      <c r="B1554" s="841" t="s">
        <v>3182</v>
      </c>
      <c r="C1554" s="813">
        <v>97201</v>
      </c>
      <c r="H1554" s="805"/>
      <c r="K1554" s="805"/>
      <c r="P1554" s="805"/>
    </row>
    <row r="1555" spans="1:16" x14ac:dyDescent="0.25">
      <c r="A1555" s="813"/>
      <c r="B1555" s="841" t="s">
        <v>4671</v>
      </c>
      <c r="C1555" s="813">
        <v>97304</v>
      </c>
      <c r="H1555" s="805"/>
      <c r="K1555" s="805"/>
      <c r="P1555" s="805"/>
    </row>
    <row r="1556" spans="1:16" x14ac:dyDescent="0.25">
      <c r="A1556" s="813"/>
      <c r="B1556" s="841" t="s">
        <v>3187</v>
      </c>
      <c r="C1556" s="813">
        <v>97301</v>
      </c>
      <c r="H1556" s="805"/>
      <c r="K1556" s="805"/>
      <c r="P1556" s="805"/>
    </row>
    <row r="1557" spans="1:16" x14ac:dyDescent="0.25">
      <c r="A1557" s="813"/>
      <c r="B1557" s="841" t="s">
        <v>3388</v>
      </c>
      <c r="C1557" s="813">
        <v>99405</v>
      </c>
      <c r="H1557" s="805"/>
      <c r="K1557" s="805"/>
      <c r="P1557" s="805"/>
    </row>
    <row r="1558" spans="1:16" x14ac:dyDescent="0.25">
      <c r="A1558" s="813"/>
      <c r="B1558" s="841" t="s">
        <v>2549</v>
      </c>
      <c r="C1558" s="843">
        <v>72265</v>
      </c>
      <c r="H1558" s="805"/>
      <c r="K1558" s="805"/>
      <c r="P1558" s="805"/>
    </row>
    <row r="1559" spans="1:16" x14ac:dyDescent="0.25">
      <c r="A1559" s="813"/>
      <c r="B1559" s="841" t="s">
        <v>4110</v>
      </c>
      <c r="C1559" s="813">
        <v>94112</v>
      </c>
      <c r="H1559" s="805"/>
      <c r="K1559" s="805"/>
      <c r="P1559" s="805"/>
    </row>
    <row r="1560" spans="1:16" x14ac:dyDescent="0.25">
      <c r="A1560" s="813"/>
      <c r="B1560" s="841" t="s">
        <v>2862</v>
      </c>
      <c r="C1560" s="813">
        <v>93406</v>
      </c>
      <c r="H1560" s="805"/>
      <c r="K1560" s="805"/>
      <c r="P1560" s="805"/>
    </row>
    <row r="1561" spans="1:16" x14ac:dyDescent="0.25">
      <c r="A1561" s="813"/>
      <c r="B1561" s="841" t="s">
        <v>4672</v>
      </c>
      <c r="C1561" s="813">
        <v>99651</v>
      </c>
      <c r="H1561" s="805"/>
      <c r="K1561" s="805"/>
      <c r="P1561" s="805"/>
    </row>
    <row r="1562" spans="1:16" x14ac:dyDescent="0.25">
      <c r="A1562" s="813"/>
      <c r="B1562" s="841" t="s">
        <v>4673</v>
      </c>
      <c r="C1562" s="813">
        <v>98611</v>
      </c>
      <c r="H1562" s="805"/>
      <c r="K1562" s="805"/>
      <c r="P1562" s="805"/>
    </row>
    <row r="1563" spans="1:16" x14ac:dyDescent="0.25">
      <c r="A1563" s="813"/>
      <c r="B1563" s="841" t="s">
        <v>3323</v>
      </c>
      <c r="C1563" s="813">
        <v>98607</v>
      </c>
      <c r="H1563" s="805"/>
      <c r="K1563" s="805"/>
      <c r="P1563" s="805"/>
    </row>
    <row r="1564" spans="1:16" x14ac:dyDescent="0.25">
      <c r="A1564" s="813"/>
      <c r="B1564" s="841" t="s">
        <v>4674</v>
      </c>
      <c r="C1564" s="813">
        <v>91641</v>
      </c>
      <c r="H1564" s="805"/>
      <c r="K1564" s="805"/>
      <c r="P1564" s="805"/>
    </row>
    <row r="1565" spans="1:16" x14ac:dyDescent="0.25">
      <c r="A1565" s="813"/>
      <c r="B1565" s="841" t="s">
        <v>4675</v>
      </c>
      <c r="C1565" s="813">
        <v>95161</v>
      </c>
      <c r="H1565" s="805"/>
      <c r="K1565" s="805"/>
      <c r="P1565" s="805"/>
    </row>
    <row r="1566" spans="1:16" x14ac:dyDescent="0.25">
      <c r="A1566" s="813"/>
      <c r="B1566" s="841" t="s">
        <v>4676</v>
      </c>
      <c r="C1566" s="813">
        <v>96361</v>
      </c>
      <c r="H1566" s="805"/>
      <c r="K1566" s="805"/>
      <c r="P1566" s="805"/>
    </row>
    <row r="1567" spans="1:16" x14ac:dyDescent="0.25">
      <c r="A1567" s="813"/>
      <c r="B1567" s="841" t="s">
        <v>2924</v>
      </c>
      <c r="C1567" s="813">
        <v>94108</v>
      </c>
      <c r="H1567" s="805"/>
      <c r="K1567" s="805"/>
      <c r="P1567" s="805"/>
    </row>
    <row r="1568" spans="1:16" x14ac:dyDescent="0.25">
      <c r="A1568" s="813"/>
      <c r="B1568" s="841" t="s">
        <v>4677</v>
      </c>
      <c r="C1568" s="813">
        <v>96351</v>
      </c>
      <c r="H1568" s="805"/>
      <c r="K1568" s="805"/>
      <c r="P1568" s="805"/>
    </row>
    <row r="1569" spans="1:16" x14ac:dyDescent="0.25">
      <c r="A1569" s="813"/>
      <c r="B1569" s="841" t="s">
        <v>4678</v>
      </c>
      <c r="C1569" s="813">
        <v>93331</v>
      </c>
      <c r="H1569" s="805"/>
      <c r="K1569" s="805"/>
      <c r="P1569" s="805"/>
    </row>
    <row r="1570" spans="1:16" x14ac:dyDescent="0.25">
      <c r="A1570" s="813"/>
      <c r="B1570" s="841" t="s">
        <v>4679</v>
      </c>
      <c r="C1570" s="813">
        <v>96021</v>
      </c>
      <c r="H1570" s="805"/>
      <c r="K1570" s="805"/>
      <c r="P1570" s="805"/>
    </row>
    <row r="1571" spans="1:16" x14ac:dyDescent="0.25">
      <c r="A1571" s="813"/>
      <c r="B1571" s="841" t="s">
        <v>4680</v>
      </c>
      <c r="C1571" s="813">
        <v>95421</v>
      </c>
      <c r="H1571" s="805"/>
      <c r="K1571" s="805"/>
      <c r="P1571" s="805"/>
    </row>
    <row r="1572" spans="1:16" x14ac:dyDescent="0.25">
      <c r="A1572" s="813"/>
      <c r="B1572" s="841" t="s">
        <v>3190</v>
      </c>
      <c r="C1572" s="813">
        <v>97401</v>
      </c>
      <c r="H1572" s="805"/>
      <c r="K1572" s="805"/>
      <c r="P1572" s="805"/>
    </row>
    <row r="1573" spans="1:16" x14ac:dyDescent="0.25">
      <c r="A1573" s="813"/>
      <c r="B1573" s="841" t="s">
        <v>3192</v>
      </c>
      <c r="C1573" s="813">
        <v>97404</v>
      </c>
      <c r="H1573" s="805"/>
      <c r="K1573" s="805"/>
      <c r="P1573" s="805"/>
    </row>
    <row r="1574" spans="1:16" x14ac:dyDescent="0.25">
      <c r="A1574" s="813"/>
      <c r="B1574" s="841" t="s">
        <v>4681</v>
      </c>
      <c r="C1574" s="813">
        <v>97402</v>
      </c>
      <c r="H1574" s="805"/>
      <c r="K1574" s="805"/>
      <c r="P1574" s="805"/>
    </row>
    <row r="1575" spans="1:16" x14ac:dyDescent="0.25">
      <c r="A1575" s="813"/>
      <c r="B1575" s="841" t="s">
        <v>4682</v>
      </c>
      <c r="C1575" s="813">
        <v>91921</v>
      </c>
      <c r="H1575" s="805"/>
      <c r="K1575" s="805"/>
      <c r="P1575" s="805"/>
    </row>
    <row r="1576" spans="1:16" x14ac:dyDescent="0.25">
      <c r="A1576" s="813"/>
      <c r="B1576" s="841" t="s">
        <v>3068</v>
      </c>
      <c r="C1576" s="813">
        <v>95908</v>
      </c>
      <c r="H1576" s="805"/>
      <c r="K1576" s="805"/>
      <c r="P1576" s="805"/>
    </row>
    <row r="1577" spans="1:16" x14ac:dyDescent="0.25">
      <c r="A1577" s="813"/>
      <c r="B1577" s="841" t="s">
        <v>4683</v>
      </c>
      <c r="C1577" s="813">
        <v>99411</v>
      </c>
      <c r="H1577" s="805"/>
      <c r="K1577" s="805"/>
      <c r="P1577" s="805"/>
    </row>
    <row r="1578" spans="1:16" x14ac:dyDescent="0.25">
      <c r="A1578" s="813"/>
      <c r="B1578" s="841" t="s">
        <v>3390</v>
      </c>
      <c r="C1578" s="813">
        <v>99413</v>
      </c>
      <c r="H1578" s="805"/>
      <c r="K1578" s="805"/>
      <c r="P1578" s="805"/>
    </row>
    <row r="1579" spans="1:16" x14ac:dyDescent="0.25">
      <c r="A1579" s="813"/>
      <c r="B1579" s="841" t="s">
        <v>3208</v>
      </c>
      <c r="C1579" s="813">
        <v>97501</v>
      </c>
      <c r="H1579" s="805"/>
      <c r="K1579" s="805"/>
      <c r="P1579" s="805"/>
    </row>
    <row r="1580" spans="1:16" x14ac:dyDescent="0.25">
      <c r="A1580" s="813"/>
      <c r="B1580" s="841" t="s">
        <v>4684</v>
      </c>
      <c r="C1580" s="813">
        <v>90431</v>
      </c>
      <c r="H1580" s="805"/>
      <c r="K1580" s="805"/>
      <c r="P1580" s="805"/>
    </row>
    <row r="1581" spans="1:16" x14ac:dyDescent="0.25">
      <c r="A1581" s="813"/>
      <c r="B1581" s="841" t="s">
        <v>4685</v>
      </c>
      <c r="C1581" s="813">
        <v>95211</v>
      </c>
      <c r="H1581" s="805"/>
      <c r="K1581" s="805"/>
      <c r="P1581" s="805"/>
    </row>
    <row r="1582" spans="1:16" x14ac:dyDescent="0.25">
      <c r="A1582" s="813"/>
      <c r="B1582" s="841" t="s">
        <v>4686</v>
      </c>
      <c r="C1582" s="813">
        <v>95181</v>
      </c>
      <c r="H1582" s="805"/>
      <c r="K1582" s="805"/>
      <c r="P1582" s="805"/>
    </row>
    <row r="1583" spans="1:16" x14ac:dyDescent="0.25">
      <c r="A1583" s="813"/>
      <c r="B1583" s="841" t="s">
        <v>4687</v>
      </c>
      <c r="C1583" s="813">
        <v>93351</v>
      </c>
      <c r="H1583" s="805"/>
      <c r="K1583" s="805"/>
      <c r="P1583" s="805"/>
    </row>
    <row r="1584" spans="1:16" x14ac:dyDescent="0.25">
      <c r="A1584" s="813"/>
      <c r="B1584" s="841" t="s">
        <v>3011</v>
      </c>
      <c r="C1584" s="813">
        <v>95105</v>
      </c>
      <c r="H1584" s="805"/>
      <c r="K1584" s="805"/>
      <c r="P1584" s="805"/>
    </row>
    <row r="1585" spans="1:16" x14ac:dyDescent="0.25">
      <c r="A1585" s="813"/>
      <c r="B1585" s="841" t="s">
        <v>4688</v>
      </c>
      <c r="C1585" s="813">
        <v>94711</v>
      </c>
      <c r="H1585" s="805"/>
      <c r="K1585" s="805"/>
      <c r="P1585" s="805"/>
    </row>
    <row r="1586" spans="1:16" x14ac:dyDescent="0.25">
      <c r="A1586" s="813"/>
      <c r="B1586" s="841" t="s">
        <v>4689</v>
      </c>
      <c r="C1586" s="813">
        <v>99211</v>
      </c>
      <c r="H1586" s="805"/>
      <c r="K1586" s="805"/>
      <c r="P1586" s="805"/>
    </row>
    <row r="1587" spans="1:16" x14ac:dyDescent="0.25">
      <c r="A1587" s="813"/>
      <c r="B1587" s="841" t="s">
        <v>4690</v>
      </c>
      <c r="C1587" s="813">
        <v>99213</v>
      </c>
      <c r="H1587" s="805"/>
      <c r="K1587" s="805"/>
      <c r="P1587" s="805"/>
    </row>
    <row r="1588" spans="1:16" x14ac:dyDescent="0.25">
      <c r="A1588" s="813"/>
      <c r="B1588" s="841" t="s">
        <v>3371</v>
      </c>
      <c r="C1588" s="813">
        <v>99218</v>
      </c>
      <c r="H1588" s="805"/>
      <c r="K1588" s="805"/>
      <c r="P1588" s="805"/>
    </row>
    <row r="1589" spans="1:16" x14ac:dyDescent="0.25">
      <c r="A1589" s="813"/>
      <c r="B1589" s="841" t="s">
        <v>4691</v>
      </c>
      <c r="C1589" s="813">
        <v>97641</v>
      </c>
      <c r="H1589" s="805"/>
      <c r="K1589" s="805"/>
      <c r="P1589" s="805"/>
    </row>
    <row r="1590" spans="1:16" x14ac:dyDescent="0.25">
      <c r="A1590" s="813"/>
      <c r="B1590" s="841" t="s">
        <v>4692</v>
      </c>
      <c r="C1590" s="813">
        <v>97621</v>
      </c>
      <c r="H1590" s="805"/>
      <c r="K1590" s="805"/>
      <c r="P1590" s="805"/>
    </row>
    <row r="1591" spans="1:16" x14ac:dyDescent="0.25">
      <c r="A1591" s="813"/>
      <c r="B1591" s="841" t="s">
        <v>4693</v>
      </c>
      <c r="C1591" s="813">
        <v>97627</v>
      </c>
      <c r="H1591" s="805"/>
      <c r="K1591" s="805"/>
      <c r="P1591" s="805"/>
    </row>
    <row r="1592" spans="1:16" x14ac:dyDescent="0.25">
      <c r="A1592" s="813"/>
      <c r="B1592" s="841" t="s">
        <v>4694</v>
      </c>
      <c r="C1592" s="813">
        <v>97623</v>
      </c>
      <c r="H1592" s="805"/>
      <c r="K1592" s="805"/>
      <c r="P1592" s="805"/>
    </row>
    <row r="1593" spans="1:16" x14ac:dyDescent="0.25">
      <c r="A1593" s="813"/>
      <c r="B1593" s="841" t="s">
        <v>3212</v>
      </c>
      <c r="C1593" s="813">
        <v>97601</v>
      </c>
      <c r="H1593" s="805"/>
      <c r="K1593" s="805"/>
      <c r="P1593" s="805"/>
    </row>
    <row r="1594" spans="1:16" x14ac:dyDescent="0.25">
      <c r="A1594" s="813"/>
      <c r="B1594" s="841" t="s">
        <v>4695</v>
      </c>
      <c r="C1594" s="813">
        <v>93681</v>
      </c>
      <c r="H1594" s="805"/>
      <c r="K1594" s="805"/>
      <c r="P1594" s="805"/>
    </row>
    <row r="1595" spans="1:16" x14ac:dyDescent="0.25">
      <c r="A1595" s="813"/>
      <c r="B1595" s="841" t="s">
        <v>4696</v>
      </c>
      <c r="C1595" s="813">
        <v>97871</v>
      </c>
      <c r="H1595" s="805"/>
      <c r="K1595" s="805"/>
      <c r="P1595" s="805"/>
    </row>
    <row r="1596" spans="1:16" x14ac:dyDescent="0.25">
      <c r="A1596" s="813"/>
      <c r="B1596" s="841" t="s">
        <v>3250</v>
      </c>
      <c r="C1596" s="813">
        <v>97877</v>
      </c>
      <c r="H1596" s="805"/>
      <c r="K1596" s="805"/>
      <c r="P1596" s="805"/>
    </row>
    <row r="1597" spans="1:16" x14ac:dyDescent="0.25">
      <c r="A1597" s="813"/>
      <c r="B1597" s="841" t="s">
        <v>3394</v>
      </c>
      <c r="C1597" s="813">
        <v>99502</v>
      </c>
      <c r="H1597" s="805"/>
      <c r="K1597" s="805"/>
      <c r="P1597" s="805"/>
    </row>
    <row r="1598" spans="1:16" x14ac:dyDescent="0.25">
      <c r="A1598" s="813"/>
      <c r="B1598" s="841" t="s">
        <v>4697</v>
      </c>
      <c r="C1598" s="813">
        <v>97911</v>
      </c>
      <c r="H1598" s="805"/>
      <c r="K1598" s="805"/>
      <c r="P1598" s="805"/>
    </row>
    <row r="1599" spans="1:16" x14ac:dyDescent="0.25">
      <c r="A1599" s="813"/>
      <c r="B1599" s="841" t="s">
        <v>3254</v>
      </c>
      <c r="C1599" s="813">
        <v>97917</v>
      </c>
      <c r="H1599" s="805"/>
      <c r="K1599" s="805"/>
      <c r="P1599" s="805"/>
    </row>
    <row r="1600" spans="1:16" x14ac:dyDescent="0.25">
      <c r="A1600" s="813"/>
      <c r="B1600" s="841" t="s">
        <v>4698</v>
      </c>
      <c r="C1600" s="813">
        <v>96611</v>
      </c>
      <c r="H1600" s="805"/>
      <c r="K1600" s="805"/>
      <c r="P1600" s="805"/>
    </row>
    <row r="1601" spans="1:16" x14ac:dyDescent="0.25">
      <c r="A1601" s="813"/>
      <c r="B1601" s="841" t="s">
        <v>4699</v>
      </c>
      <c r="C1601" s="813">
        <v>96741</v>
      </c>
      <c r="H1601" s="805"/>
      <c r="K1601" s="805"/>
      <c r="P1601" s="805"/>
    </row>
    <row r="1602" spans="1:16" x14ac:dyDescent="0.25">
      <c r="A1602" s="813"/>
      <c r="B1602" s="841" t="s">
        <v>3224</v>
      </c>
      <c r="C1602" s="813">
        <v>97701</v>
      </c>
      <c r="H1602" s="805"/>
      <c r="K1602" s="805"/>
      <c r="P1602" s="805"/>
    </row>
    <row r="1603" spans="1:16" x14ac:dyDescent="0.25">
      <c r="A1603" s="813"/>
      <c r="B1603" s="841" t="s">
        <v>4700</v>
      </c>
      <c r="C1603" s="813">
        <v>92541</v>
      </c>
      <c r="H1603" s="805"/>
      <c r="K1603" s="805"/>
      <c r="P1603" s="805"/>
    </row>
    <row r="1604" spans="1:16" x14ac:dyDescent="0.25">
      <c r="A1604" s="813"/>
      <c r="B1604" s="841" t="s">
        <v>4701</v>
      </c>
      <c r="C1604" s="813">
        <v>94221</v>
      </c>
      <c r="H1604" s="805"/>
      <c r="K1604" s="805"/>
      <c r="P1604" s="805"/>
    </row>
    <row r="1605" spans="1:16" x14ac:dyDescent="0.25">
      <c r="A1605" s="813"/>
      <c r="B1605" s="841" t="s">
        <v>2942</v>
      </c>
      <c r="C1605" s="813">
        <v>94209</v>
      </c>
      <c r="H1605" s="805"/>
      <c r="K1605" s="805"/>
      <c r="P1605" s="805"/>
    </row>
    <row r="1606" spans="1:16" x14ac:dyDescent="0.25">
      <c r="A1606" s="813"/>
      <c r="B1606" s="841" t="s">
        <v>4702</v>
      </c>
      <c r="C1606" s="813">
        <v>96341</v>
      </c>
      <c r="H1606" s="805"/>
      <c r="K1606" s="805"/>
      <c r="P1606" s="805"/>
    </row>
    <row r="1607" spans="1:16" x14ac:dyDescent="0.25">
      <c r="A1607" s="813"/>
      <c r="B1607" s="841" t="s">
        <v>4703</v>
      </c>
      <c r="C1607" s="813">
        <v>93821</v>
      </c>
      <c r="H1607" s="805"/>
      <c r="K1607" s="805"/>
      <c r="P1607" s="805"/>
    </row>
    <row r="1608" spans="1:16" x14ac:dyDescent="0.25">
      <c r="A1608" s="813"/>
      <c r="B1608" s="841" t="s">
        <v>4704</v>
      </c>
      <c r="C1608" s="813">
        <v>95851</v>
      </c>
      <c r="H1608" s="805"/>
      <c r="K1608" s="805"/>
      <c r="P1608" s="805"/>
    </row>
    <row r="1609" spans="1:16" x14ac:dyDescent="0.25">
      <c r="A1609" s="813"/>
      <c r="B1609" s="841" t="s">
        <v>3066</v>
      </c>
      <c r="C1609" s="813">
        <v>95853</v>
      </c>
      <c r="H1609" s="805"/>
      <c r="K1609" s="805"/>
      <c r="P1609" s="805"/>
    </row>
    <row r="1610" spans="1:16" x14ac:dyDescent="0.25">
      <c r="A1610" s="813"/>
      <c r="B1610" s="841" t="s">
        <v>3560</v>
      </c>
      <c r="C1610" s="813">
        <v>97801</v>
      </c>
      <c r="H1610" s="805"/>
      <c r="K1610" s="805"/>
      <c r="P1610" s="805"/>
    </row>
    <row r="1611" spans="1:16" x14ac:dyDescent="0.25">
      <c r="A1611" s="813"/>
      <c r="B1611" s="841" t="s">
        <v>3234</v>
      </c>
      <c r="C1611" s="813">
        <v>97803</v>
      </c>
      <c r="H1611" s="805"/>
      <c r="K1611" s="805"/>
      <c r="P1611" s="805"/>
    </row>
    <row r="1612" spans="1:16" x14ac:dyDescent="0.25">
      <c r="A1612" s="813"/>
      <c r="B1612" s="841" t="s">
        <v>3235</v>
      </c>
      <c r="C1612" s="813">
        <v>97805</v>
      </c>
      <c r="H1612" s="805"/>
      <c r="K1612" s="805"/>
      <c r="P1612" s="805"/>
    </row>
    <row r="1613" spans="1:16" x14ac:dyDescent="0.25">
      <c r="A1613" s="813"/>
      <c r="B1613" s="841" t="s">
        <v>4705</v>
      </c>
      <c r="C1613" s="813">
        <v>97711</v>
      </c>
      <c r="H1613" s="805"/>
      <c r="K1613" s="805"/>
      <c r="P1613" s="805"/>
    </row>
    <row r="1614" spans="1:16" x14ac:dyDescent="0.25">
      <c r="A1614" s="813"/>
      <c r="B1614" s="841" t="s">
        <v>4706</v>
      </c>
      <c r="C1614" s="813">
        <v>97727</v>
      </c>
      <c r="H1614" s="805"/>
      <c r="K1614" s="805"/>
      <c r="P1614" s="805"/>
    </row>
    <row r="1615" spans="1:16" x14ac:dyDescent="0.25">
      <c r="A1615" s="813"/>
      <c r="B1615" s="841" t="s">
        <v>3251</v>
      </c>
      <c r="C1615" s="813">
        <v>97901</v>
      </c>
      <c r="H1615" s="805"/>
      <c r="K1615" s="805"/>
      <c r="P1615" s="805"/>
    </row>
    <row r="1616" spans="1:16" x14ac:dyDescent="0.25">
      <c r="A1616" s="813"/>
      <c r="B1616" s="841" t="s">
        <v>3227</v>
      </c>
      <c r="C1616" s="813">
        <v>97713</v>
      </c>
      <c r="H1616" s="805"/>
      <c r="K1616" s="805"/>
      <c r="P1616" s="805"/>
    </row>
    <row r="1617" spans="1:16" x14ac:dyDescent="0.25">
      <c r="A1617" s="813"/>
      <c r="B1617" s="841" t="s">
        <v>4707</v>
      </c>
      <c r="C1617" s="813">
        <v>98071</v>
      </c>
      <c r="H1617" s="805"/>
      <c r="K1617" s="805"/>
      <c r="P1617" s="805"/>
    </row>
    <row r="1618" spans="1:16" x14ac:dyDescent="0.25">
      <c r="A1618" s="813"/>
      <c r="B1618" s="841" t="s">
        <v>4708</v>
      </c>
      <c r="C1618" s="813">
        <v>93321</v>
      </c>
      <c r="H1618" s="805"/>
      <c r="K1618" s="805"/>
      <c r="P1618" s="805"/>
    </row>
    <row r="1619" spans="1:16" x14ac:dyDescent="0.25">
      <c r="A1619" s="813"/>
      <c r="B1619" s="841" t="s">
        <v>2855</v>
      </c>
      <c r="C1619" s="813">
        <v>93323</v>
      </c>
      <c r="H1619" s="805"/>
      <c r="K1619" s="805"/>
      <c r="P1619" s="805"/>
    </row>
    <row r="1620" spans="1:16" x14ac:dyDescent="0.25">
      <c r="A1620" s="813"/>
      <c r="B1620" s="841" t="s">
        <v>2857</v>
      </c>
      <c r="C1620" s="813">
        <v>93333</v>
      </c>
      <c r="H1620" s="805"/>
      <c r="K1620" s="805"/>
      <c r="P1620" s="805"/>
    </row>
    <row r="1621" spans="1:16" x14ac:dyDescent="0.25">
      <c r="A1621" s="813"/>
      <c r="B1621" s="841" t="s">
        <v>4709</v>
      </c>
      <c r="C1621" s="813">
        <v>99203</v>
      </c>
      <c r="H1621" s="805"/>
      <c r="K1621" s="805"/>
      <c r="P1621" s="805"/>
    </row>
    <row r="1622" spans="1:16" x14ac:dyDescent="0.25">
      <c r="A1622" s="813"/>
      <c r="B1622" s="841" t="s">
        <v>4710</v>
      </c>
      <c r="C1622" s="813">
        <v>99421</v>
      </c>
      <c r="H1622" s="805"/>
      <c r="K1622" s="805"/>
      <c r="P1622" s="805"/>
    </row>
    <row r="1623" spans="1:16" x14ac:dyDescent="0.25">
      <c r="A1623" s="813"/>
      <c r="B1623" s="841" t="s">
        <v>4711</v>
      </c>
      <c r="C1623" s="813">
        <v>93161</v>
      </c>
      <c r="H1623" s="805"/>
      <c r="K1623" s="805"/>
      <c r="P1623" s="805"/>
    </row>
    <row r="1624" spans="1:16" x14ac:dyDescent="0.25">
      <c r="A1624" s="813"/>
      <c r="B1624" s="841" t="s">
        <v>4712</v>
      </c>
      <c r="C1624" s="813">
        <v>98261</v>
      </c>
      <c r="H1624" s="805"/>
      <c r="K1624" s="805"/>
      <c r="P1624" s="805"/>
    </row>
    <row r="1625" spans="1:16" x14ac:dyDescent="0.25">
      <c r="A1625" s="813"/>
      <c r="B1625" s="841" t="s">
        <v>3296</v>
      </c>
      <c r="C1625" s="813">
        <v>98237</v>
      </c>
      <c r="H1625" s="805"/>
      <c r="K1625" s="805"/>
      <c r="P1625" s="805"/>
    </row>
    <row r="1626" spans="1:16" x14ac:dyDescent="0.25">
      <c r="A1626" s="813"/>
      <c r="B1626" s="841" t="s">
        <v>3264</v>
      </c>
      <c r="C1626" s="813">
        <v>98003</v>
      </c>
      <c r="H1626" s="805"/>
      <c r="K1626" s="805"/>
      <c r="P1626" s="805"/>
    </row>
    <row r="1627" spans="1:16" x14ac:dyDescent="0.25">
      <c r="A1627" s="813"/>
      <c r="B1627" s="841" t="s">
        <v>4713</v>
      </c>
      <c r="C1627" s="813">
        <v>98008</v>
      </c>
      <c r="H1627" s="805"/>
      <c r="K1627" s="805"/>
      <c r="P1627" s="805"/>
    </row>
    <row r="1628" spans="1:16" x14ac:dyDescent="0.25">
      <c r="A1628" s="813"/>
      <c r="B1628" s="841" t="s">
        <v>3263</v>
      </c>
      <c r="C1628" s="813">
        <v>98002</v>
      </c>
      <c r="H1628" s="805"/>
      <c r="K1628" s="805"/>
      <c r="P1628" s="805"/>
    </row>
    <row r="1629" spans="1:16" x14ac:dyDescent="0.25">
      <c r="A1629" s="813"/>
      <c r="B1629" s="841" t="s">
        <v>3262</v>
      </c>
      <c r="C1629" s="813">
        <v>98001</v>
      </c>
      <c r="H1629" s="805"/>
      <c r="K1629" s="805"/>
      <c r="P1629" s="805"/>
    </row>
    <row r="1630" spans="1:16" x14ac:dyDescent="0.25">
      <c r="A1630" s="813"/>
      <c r="B1630" s="841" t="s">
        <v>3265</v>
      </c>
      <c r="C1630" s="813">
        <v>98004</v>
      </c>
      <c r="H1630" s="805"/>
      <c r="K1630" s="805"/>
      <c r="P1630" s="805"/>
    </row>
    <row r="1631" spans="1:16" x14ac:dyDescent="0.25">
      <c r="A1631" s="813"/>
      <c r="B1631" s="841" t="s">
        <v>4714</v>
      </c>
      <c r="C1631" s="813">
        <v>97861</v>
      </c>
      <c r="H1631" s="805"/>
      <c r="K1631" s="805"/>
      <c r="P1631" s="805"/>
    </row>
    <row r="1632" spans="1:16" x14ac:dyDescent="0.25">
      <c r="A1632" s="813"/>
      <c r="B1632" s="841" t="s">
        <v>4715</v>
      </c>
      <c r="C1632" s="813">
        <v>97311</v>
      </c>
      <c r="H1632" s="805"/>
      <c r="K1632" s="805"/>
      <c r="P1632" s="805"/>
    </row>
    <row r="1633" spans="1:16" x14ac:dyDescent="0.25">
      <c r="A1633" s="813"/>
      <c r="B1633" s="841" t="s">
        <v>4716</v>
      </c>
      <c r="C1633" s="813">
        <v>93431</v>
      </c>
      <c r="H1633" s="805"/>
      <c r="K1633" s="805"/>
      <c r="P1633" s="805"/>
    </row>
    <row r="1634" spans="1:16" x14ac:dyDescent="0.25">
      <c r="A1634" s="813"/>
      <c r="B1634" s="841" t="s">
        <v>4717</v>
      </c>
      <c r="C1634" s="813">
        <v>91214</v>
      </c>
      <c r="H1634" s="805"/>
      <c r="K1634" s="805"/>
      <c r="P1634" s="805"/>
    </row>
    <row r="1635" spans="1:16" x14ac:dyDescent="0.25">
      <c r="A1635" s="813"/>
      <c r="B1635" s="841" t="s">
        <v>3278</v>
      </c>
      <c r="C1635" s="813">
        <v>98101</v>
      </c>
      <c r="H1635" s="805"/>
      <c r="K1635" s="805"/>
      <c r="P1635" s="805"/>
    </row>
    <row r="1636" spans="1:16" x14ac:dyDescent="0.25">
      <c r="A1636" s="813"/>
      <c r="B1636" s="841" t="s">
        <v>4718</v>
      </c>
      <c r="C1636" s="813">
        <v>98103</v>
      </c>
      <c r="H1636" s="805"/>
      <c r="K1636" s="805"/>
      <c r="P1636" s="805"/>
    </row>
    <row r="1637" spans="1:16" x14ac:dyDescent="0.25">
      <c r="A1637" s="813"/>
      <c r="B1637" s="841" t="s">
        <v>4719</v>
      </c>
      <c r="C1637" s="813">
        <v>98141</v>
      </c>
      <c r="H1637" s="805"/>
      <c r="K1637" s="805"/>
      <c r="P1637" s="805"/>
    </row>
    <row r="1638" spans="1:16" x14ac:dyDescent="0.25">
      <c r="A1638" s="813"/>
      <c r="B1638" s="841" t="s">
        <v>4720</v>
      </c>
      <c r="C1638" s="813">
        <v>98147</v>
      </c>
      <c r="H1638" s="805"/>
      <c r="K1638" s="805"/>
      <c r="P1638" s="805"/>
    </row>
    <row r="1639" spans="1:16" x14ac:dyDescent="0.25">
      <c r="A1639" s="813"/>
      <c r="B1639" s="841" t="s">
        <v>4721</v>
      </c>
      <c r="C1639" s="813">
        <v>91032</v>
      </c>
      <c r="H1639" s="805"/>
      <c r="K1639" s="805"/>
      <c r="P1639" s="805"/>
    </row>
    <row r="1640" spans="1:16" x14ac:dyDescent="0.25">
      <c r="A1640" s="813"/>
      <c r="B1640" s="841" t="s">
        <v>4722</v>
      </c>
      <c r="C1640" s="813">
        <v>97831</v>
      </c>
      <c r="H1640" s="805"/>
      <c r="K1640" s="805"/>
      <c r="P1640" s="805"/>
    </row>
    <row r="1641" spans="1:16" x14ac:dyDescent="0.25">
      <c r="A1641" s="813"/>
      <c r="B1641" s="841" t="s">
        <v>4723</v>
      </c>
      <c r="C1641" s="813">
        <v>97837</v>
      </c>
      <c r="H1641" s="805"/>
      <c r="K1641" s="805"/>
      <c r="P1641" s="805"/>
    </row>
    <row r="1642" spans="1:16" x14ac:dyDescent="0.25">
      <c r="A1642" s="813"/>
      <c r="B1642" s="841" t="s">
        <v>4724</v>
      </c>
      <c r="C1642" s="813">
        <v>98221</v>
      </c>
      <c r="H1642" s="805"/>
      <c r="K1642" s="805"/>
      <c r="P1642" s="805"/>
    </row>
    <row r="1643" spans="1:16" x14ac:dyDescent="0.25">
      <c r="A1643" s="813"/>
      <c r="B1643" s="841" t="s">
        <v>4725</v>
      </c>
      <c r="C1643" s="813">
        <v>98011</v>
      </c>
      <c r="H1643" s="805"/>
      <c r="K1643" s="805"/>
      <c r="P1643" s="805"/>
    </row>
    <row r="1644" spans="1:16" x14ac:dyDescent="0.25">
      <c r="A1644" s="813"/>
      <c r="B1644" s="841" t="s">
        <v>4726</v>
      </c>
      <c r="C1644" s="813">
        <v>98013</v>
      </c>
      <c r="H1644" s="805"/>
      <c r="K1644" s="805"/>
      <c r="P1644" s="805"/>
    </row>
    <row r="1645" spans="1:16" x14ac:dyDescent="0.25">
      <c r="A1645" s="813"/>
      <c r="B1645" s="841" t="s">
        <v>4727</v>
      </c>
      <c r="C1645" s="813">
        <v>97531</v>
      </c>
      <c r="H1645" s="805"/>
      <c r="K1645" s="805"/>
      <c r="P1645" s="805"/>
    </row>
    <row r="1646" spans="1:16" x14ac:dyDescent="0.25">
      <c r="A1646" s="813"/>
      <c r="B1646" s="841" t="s">
        <v>3290</v>
      </c>
      <c r="C1646" s="813">
        <v>98201</v>
      </c>
      <c r="H1646" s="805"/>
      <c r="K1646" s="805"/>
      <c r="P1646" s="805"/>
    </row>
    <row r="1647" spans="1:16" x14ac:dyDescent="0.25">
      <c r="A1647" s="813"/>
      <c r="B1647" s="841" t="s">
        <v>3225</v>
      </c>
      <c r="C1647" s="813">
        <v>97705</v>
      </c>
      <c r="H1647" s="805"/>
      <c r="K1647" s="805"/>
      <c r="P1647" s="805"/>
    </row>
    <row r="1648" spans="1:16" x14ac:dyDescent="0.25">
      <c r="A1648" s="813"/>
      <c r="B1648" s="841" t="s">
        <v>3106</v>
      </c>
      <c r="C1648" s="813">
        <v>96318</v>
      </c>
      <c r="H1648" s="805"/>
      <c r="K1648" s="805"/>
      <c r="P1648" s="805"/>
    </row>
    <row r="1649" spans="1:16" x14ac:dyDescent="0.25">
      <c r="A1649" s="813"/>
      <c r="B1649" s="841" t="s">
        <v>4728</v>
      </c>
      <c r="C1649" s="813">
        <v>95311</v>
      </c>
      <c r="H1649" s="805"/>
      <c r="K1649" s="805"/>
      <c r="P1649" s="805"/>
    </row>
    <row r="1650" spans="1:16" x14ac:dyDescent="0.25">
      <c r="A1650" s="813"/>
      <c r="B1650" s="841" t="s">
        <v>3033</v>
      </c>
      <c r="C1650" s="813">
        <v>95317</v>
      </c>
      <c r="H1650" s="805"/>
      <c r="K1650" s="805"/>
      <c r="P1650" s="805"/>
    </row>
    <row r="1651" spans="1:16" x14ac:dyDescent="0.25">
      <c r="A1651" s="813"/>
      <c r="B1651" s="841" t="s">
        <v>4729</v>
      </c>
      <c r="C1651" s="813">
        <v>91421</v>
      </c>
      <c r="H1651" s="805"/>
      <c r="K1651" s="805"/>
      <c r="P1651" s="805"/>
    </row>
    <row r="1652" spans="1:16" x14ac:dyDescent="0.25">
      <c r="A1652" s="813"/>
      <c r="B1652" s="841" t="s">
        <v>3301</v>
      </c>
      <c r="C1652" s="813">
        <v>98301</v>
      </c>
      <c r="H1652" s="805"/>
      <c r="K1652" s="805"/>
      <c r="P1652" s="805"/>
    </row>
    <row r="1653" spans="1:16" x14ac:dyDescent="0.25">
      <c r="A1653" s="813"/>
      <c r="B1653" s="841" t="s">
        <v>3302</v>
      </c>
      <c r="C1653" s="813">
        <v>98304</v>
      </c>
      <c r="H1653" s="805"/>
      <c r="K1653" s="805"/>
      <c r="P1653" s="805"/>
    </row>
    <row r="1654" spans="1:16" x14ac:dyDescent="0.25">
      <c r="A1654" s="813"/>
      <c r="B1654" s="841" t="s">
        <v>4730</v>
      </c>
      <c r="C1654" s="813">
        <v>94241</v>
      </c>
      <c r="H1654" s="805"/>
      <c r="K1654" s="805"/>
      <c r="P1654" s="805"/>
    </row>
    <row r="1655" spans="1:16" x14ac:dyDescent="0.25">
      <c r="A1655" s="813"/>
      <c r="B1655" s="841" t="s">
        <v>4731</v>
      </c>
      <c r="C1655" s="813">
        <v>96681</v>
      </c>
      <c r="H1655" s="805"/>
      <c r="K1655" s="805"/>
      <c r="P1655" s="805"/>
    </row>
    <row r="1656" spans="1:16" x14ac:dyDescent="0.25">
      <c r="A1656" s="813"/>
      <c r="B1656" s="841" t="s">
        <v>4732</v>
      </c>
      <c r="C1656" s="843">
        <v>72593</v>
      </c>
      <c r="H1656" s="805"/>
      <c r="K1656" s="805"/>
      <c r="P1656" s="805"/>
    </row>
    <row r="1657" spans="1:16" x14ac:dyDescent="0.25">
      <c r="A1657" s="813"/>
      <c r="B1657" s="841" t="s">
        <v>4733</v>
      </c>
      <c r="C1657" s="813">
        <v>95121</v>
      </c>
      <c r="H1657" s="805"/>
      <c r="K1657" s="805"/>
      <c r="P1657" s="805"/>
    </row>
    <row r="1658" spans="1:16" x14ac:dyDescent="0.25">
      <c r="A1658" s="813"/>
      <c r="B1658" s="841" t="s">
        <v>3018</v>
      </c>
      <c r="C1658" s="813">
        <v>95123</v>
      </c>
      <c r="H1658" s="805"/>
      <c r="K1658" s="805"/>
      <c r="P1658" s="805"/>
    </row>
    <row r="1659" spans="1:16" x14ac:dyDescent="0.25">
      <c r="A1659" s="813"/>
      <c r="B1659" s="841" t="s">
        <v>4734</v>
      </c>
      <c r="C1659" s="813">
        <v>99531</v>
      </c>
      <c r="H1659" s="805"/>
      <c r="K1659" s="805"/>
      <c r="P1659" s="805"/>
    </row>
    <row r="1660" spans="1:16" x14ac:dyDescent="0.25">
      <c r="A1660" s="813"/>
      <c r="B1660" s="841" t="s">
        <v>4735</v>
      </c>
      <c r="C1660" s="813">
        <v>96671</v>
      </c>
      <c r="H1660" s="805"/>
      <c r="K1660" s="805"/>
      <c r="P1660" s="805"/>
    </row>
    <row r="1661" spans="1:16" x14ac:dyDescent="0.25">
      <c r="A1661" s="813"/>
      <c r="B1661" s="841" t="s">
        <v>4736</v>
      </c>
      <c r="C1661" s="813">
        <v>91081</v>
      </c>
      <c r="H1661" s="805"/>
      <c r="K1661" s="805"/>
      <c r="P1661" s="805"/>
    </row>
    <row r="1662" spans="1:16" x14ac:dyDescent="0.25">
      <c r="A1662" s="813"/>
      <c r="B1662" s="841" t="s">
        <v>2642</v>
      </c>
      <c r="C1662" s="813">
        <v>91057</v>
      </c>
      <c r="H1662" s="805"/>
      <c r="K1662" s="805"/>
      <c r="P1662" s="805"/>
    </row>
    <row r="1663" spans="1:16" x14ac:dyDescent="0.25">
      <c r="A1663" s="813"/>
      <c r="B1663" s="841" t="s">
        <v>4737</v>
      </c>
      <c r="C1663" s="813">
        <v>96461</v>
      </c>
      <c r="H1663" s="805"/>
      <c r="K1663" s="805"/>
      <c r="P1663" s="805"/>
    </row>
    <row r="1664" spans="1:16" x14ac:dyDescent="0.25">
      <c r="A1664" s="813"/>
      <c r="B1664" s="841" t="s">
        <v>4738</v>
      </c>
      <c r="C1664" s="813">
        <v>92311</v>
      </c>
      <c r="H1664" s="805"/>
      <c r="K1664" s="805"/>
      <c r="P1664" s="805"/>
    </row>
    <row r="1665" spans="1:16" x14ac:dyDescent="0.25">
      <c r="A1665" s="813"/>
      <c r="B1665" s="841" t="s">
        <v>2756</v>
      </c>
      <c r="C1665" s="813">
        <v>92317</v>
      </c>
      <c r="H1665" s="805"/>
      <c r="K1665" s="805"/>
      <c r="P1665" s="805"/>
    </row>
    <row r="1666" spans="1:16" x14ac:dyDescent="0.25">
      <c r="A1666" s="813"/>
      <c r="B1666" s="841" t="s">
        <v>3193</v>
      </c>
      <c r="C1666" s="813">
        <v>97405</v>
      </c>
      <c r="H1666" s="805"/>
      <c r="K1666" s="805"/>
      <c r="P1666" s="805"/>
    </row>
    <row r="1667" spans="1:16" x14ac:dyDescent="0.25">
      <c r="A1667" s="813"/>
      <c r="B1667" s="841" t="s">
        <v>4739</v>
      </c>
      <c r="C1667" s="813">
        <v>91911</v>
      </c>
      <c r="H1667" s="805"/>
      <c r="K1667" s="805"/>
      <c r="P1667" s="805"/>
    </row>
    <row r="1668" spans="1:16" x14ac:dyDescent="0.25">
      <c r="A1668" s="813"/>
      <c r="B1668" s="841" t="s">
        <v>2740</v>
      </c>
      <c r="C1668" s="813">
        <v>91917</v>
      </c>
      <c r="H1668" s="805"/>
      <c r="K1668" s="805"/>
      <c r="P1668" s="805"/>
    </row>
    <row r="1669" spans="1:16" x14ac:dyDescent="0.25">
      <c r="A1669" s="813"/>
      <c r="B1669" s="841" t="s">
        <v>4740</v>
      </c>
      <c r="C1669" s="813">
        <v>97481</v>
      </c>
      <c r="H1669" s="805"/>
      <c r="K1669" s="805"/>
      <c r="P1669" s="805"/>
    </row>
    <row r="1670" spans="1:16" x14ac:dyDescent="0.25">
      <c r="A1670" s="813"/>
      <c r="B1670" s="841" t="s">
        <v>2660</v>
      </c>
      <c r="C1670" s="813">
        <v>91138</v>
      </c>
      <c r="H1670" s="805"/>
      <c r="K1670" s="805"/>
      <c r="P1670" s="805"/>
    </row>
    <row r="1671" spans="1:16" x14ac:dyDescent="0.25">
      <c r="A1671" s="813"/>
      <c r="B1671" s="841" t="s">
        <v>4741</v>
      </c>
      <c r="C1671" s="813">
        <v>95111</v>
      </c>
      <c r="H1671" s="805"/>
      <c r="K1671" s="805"/>
      <c r="P1671" s="805"/>
    </row>
    <row r="1672" spans="1:16" x14ac:dyDescent="0.25">
      <c r="A1672" s="813"/>
      <c r="B1672" s="841" t="s">
        <v>3015</v>
      </c>
      <c r="C1672" s="813">
        <v>95113</v>
      </c>
      <c r="H1672" s="805"/>
      <c r="K1672" s="805"/>
      <c r="P1672" s="805"/>
    </row>
    <row r="1673" spans="1:16" x14ac:dyDescent="0.25">
      <c r="A1673" s="813"/>
      <c r="B1673" s="841" t="s">
        <v>4742</v>
      </c>
      <c r="C1673" s="813">
        <v>94021</v>
      </c>
      <c r="H1673" s="805"/>
      <c r="K1673" s="805"/>
      <c r="P1673" s="805"/>
    </row>
    <row r="1674" spans="1:16" x14ac:dyDescent="0.25">
      <c r="A1674" s="813"/>
      <c r="B1674" s="841" t="s">
        <v>2615</v>
      </c>
      <c r="C1674" s="813">
        <v>90918</v>
      </c>
      <c r="H1674" s="805"/>
      <c r="K1674" s="805"/>
      <c r="P1674" s="805"/>
    </row>
    <row r="1675" spans="1:16" x14ac:dyDescent="0.25">
      <c r="A1675" s="813"/>
      <c r="B1675" s="841" t="s">
        <v>2909</v>
      </c>
      <c r="C1675" s="813">
        <v>93910</v>
      </c>
      <c r="H1675" s="805"/>
      <c r="K1675" s="805"/>
      <c r="P1675" s="805"/>
    </row>
    <row r="1676" spans="1:16" x14ac:dyDescent="0.25">
      <c r="A1676" s="813"/>
      <c r="B1676" s="841" t="s">
        <v>2630</v>
      </c>
      <c r="C1676" s="813">
        <v>91013</v>
      </c>
      <c r="H1676" s="805"/>
      <c r="K1676" s="805"/>
      <c r="P1676" s="805"/>
    </row>
    <row r="1677" spans="1:16" x14ac:dyDescent="0.25">
      <c r="A1677" s="813"/>
      <c r="B1677" s="841" t="s">
        <v>4743</v>
      </c>
      <c r="C1677" s="813">
        <v>96311</v>
      </c>
      <c r="H1677" s="805"/>
      <c r="K1677" s="805"/>
      <c r="P1677" s="805"/>
    </row>
    <row r="1678" spans="1:16" x14ac:dyDescent="0.25">
      <c r="A1678" s="813"/>
      <c r="B1678" s="841" t="s">
        <v>4744</v>
      </c>
      <c r="C1678" s="813">
        <v>92841</v>
      </c>
      <c r="H1678" s="805"/>
      <c r="K1678" s="805"/>
      <c r="P1678" s="805"/>
    </row>
    <row r="1679" spans="1:16" x14ac:dyDescent="0.25">
      <c r="A1679" s="813"/>
      <c r="B1679" s="841" t="s">
        <v>3405</v>
      </c>
      <c r="C1679" s="813">
        <v>99609</v>
      </c>
      <c r="H1679" s="805"/>
      <c r="K1679" s="805"/>
      <c r="P1679" s="805"/>
    </row>
    <row r="1680" spans="1:16" x14ac:dyDescent="0.25">
      <c r="A1680" s="813"/>
      <c r="B1680" s="841" t="s">
        <v>4745</v>
      </c>
      <c r="C1680" s="813">
        <v>91011</v>
      </c>
      <c r="H1680" s="805"/>
      <c r="K1680" s="805"/>
      <c r="P1680" s="805"/>
    </row>
    <row r="1681" spans="1:16" x14ac:dyDescent="0.25">
      <c r="A1681" s="813"/>
      <c r="B1681" s="841" t="s">
        <v>4746</v>
      </c>
      <c r="C1681" s="813">
        <v>91017</v>
      </c>
      <c r="H1681" s="805"/>
      <c r="K1681" s="805"/>
      <c r="P1681" s="805"/>
    </row>
    <row r="1682" spans="1:16" x14ac:dyDescent="0.25">
      <c r="A1682" s="813"/>
      <c r="B1682" s="841" t="s">
        <v>3004</v>
      </c>
      <c r="C1682" s="813">
        <v>95008</v>
      </c>
      <c r="H1682" s="805"/>
      <c r="K1682" s="805"/>
      <c r="P1682" s="805"/>
    </row>
    <row r="1683" spans="1:16" x14ac:dyDescent="0.25">
      <c r="A1683" s="813"/>
      <c r="B1683" s="841" t="s">
        <v>4747</v>
      </c>
      <c r="C1683" s="813">
        <v>72657</v>
      </c>
      <c r="H1683" s="805"/>
      <c r="K1683" s="805"/>
      <c r="P1683" s="805"/>
    </row>
    <row r="1684" spans="1:16" x14ac:dyDescent="0.25">
      <c r="A1684" s="813"/>
      <c r="B1684" s="841" t="s">
        <v>4748</v>
      </c>
      <c r="C1684" s="813">
        <v>90307</v>
      </c>
      <c r="H1684" s="805"/>
      <c r="K1684" s="805"/>
      <c r="P1684" s="805"/>
    </row>
    <row r="1685" spans="1:16" x14ac:dyDescent="0.25">
      <c r="A1685" s="813"/>
      <c r="B1685" s="841" t="s">
        <v>4749</v>
      </c>
      <c r="C1685" s="813">
        <v>98031</v>
      </c>
      <c r="H1685" s="805"/>
      <c r="K1685" s="805"/>
      <c r="P1685" s="805"/>
    </row>
    <row r="1686" spans="1:16" x14ac:dyDescent="0.25">
      <c r="A1686" s="813"/>
      <c r="B1686" s="841" t="s">
        <v>4750</v>
      </c>
      <c r="C1686" s="813">
        <v>98121</v>
      </c>
      <c r="H1686" s="805"/>
      <c r="K1686" s="805"/>
      <c r="P1686" s="805"/>
    </row>
    <row r="1687" spans="1:16" x14ac:dyDescent="0.25">
      <c r="A1687" s="813"/>
      <c r="B1687" s="841" t="s">
        <v>4751</v>
      </c>
      <c r="C1687" s="813">
        <v>96411</v>
      </c>
      <c r="H1687" s="805"/>
      <c r="K1687" s="805"/>
      <c r="P1687" s="805"/>
    </row>
    <row r="1688" spans="1:16" x14ac:dyDescent="0.25">
      <c r="A1688" s="813"/>
      <c r="B1688" s="841" t="s">
        <v>4752</v>
      </c>
      <c r="C1688" s="813">
        <v>92661</v>
      </c>
      <c r="H1688" s="805"/>
      <c r="K1688" s="805"/>
      <c r="P1688" s="805"/>
    </row>
    <row r="1689" spans="1:16" x14ac:dyDescent="0.25">
      <c r="A1689" s="813"/>
      <c r="B1689" s="841" t="s">
        <v>4753</v>
      </c>
      <c r="C1689" s="813">
        <v>96111</v>
      </c>
      <c r="H1689" s="805"/>
      <c r="K1689" s="805"/>
      <c r="P1689" s="805"/>
    </row>
    <row r="1690" spans="1:16" x14ac:dyDescent="0.25">
      <c r="A1690" s="813"/>
      <c r="B1690" s="841" t="s">
        <v>4754</v>
      </c>
      <c r="C1690" s="813">
        <v>96061</v>
      </c>
      <c r="H1690" s="805"/>
      <c r="K1690" s="805"/>
      <c r="P1690" s="805"/>
    </row>
    <row r="1691" spans="1:16" x14ac:dyDescent="0.25">
      <c r="A1691" s="813"/>
      <c r="B1691" s="841" t="s">
        <v>4755</v>
      </c>
      <c r="C1691" s="813">
        <v>98481</v>
      </c>
      <c r="H1691" s="805"/>
      <c r="K1691" s="805"/>
      <c r="P1691" s="805"/>
    </row>
    <row r="1692" spans="1:16" x14ac:dyDescent="0.25">
      <c r="A1692" s="813"/>
      <c r="B1692" s="841" t="s">
        <v>4098</v>
      </c>
      <c r="C1692" s="813">
        <v>93602</v>
      </c>
      <c r="H1692" s="805"/>
      <c r="K1692" s="805"/>
      <c r="P1692" s="805"/>
    </row>
    <row r="1693" spans="1:16" x14ac:dyDescent="0.25">
      <c r="A1693" s="813"/>
      <c r="B1693" s="841" t="s">
        <v>3308</v>
      </c>
      <c r="C1693" s="813">
        <v>98401</v>
      </c>
      <c r="H1693" s="805"/>
      <c r="K1693" s="805"/>
      <c r="P1693" s="805"/>
    </row>
    <row r="1694" spans="1:16" x14ac:dyDescent="0.25">
      <c r="A1694" s="813"/>
      <c r="B1694" s="841" t="s">
        <v>4756</v>
      </c>
      <c r="C1694" s="813">
        <v>99821</v>
      </c>
      <c r="H1694" s="805"/>
      <c r="K1694" s="805"/>
      <c r="P1694" s="805"/>
    </row>
    <row r="1695" spans="1:16" x14ac:dyDescent="0.25">
      <c r="A1695" s="813"/>
      <c r="B1695" s="841" t="s">
        <v>4757</v>
      </c>
      <c r="C1695" s="813">
        <v>96211</v>
      </c>
      <c r="H1695" s="805"/>
      <c r="K1695" s="805"/>
      <c r="P1695" s="805"/>
    </row>
    <row r="1696" spans="1:16" x14ac:dyDescent="0.25">
      <c r="A1696" s="813"/>
      <c r="B1696" s="841" t="s">
        <v>4758</v>
      </c>
      <c r="C1696" s="813">
        <v>94911</v>
      </c>
      <c r="H1696" s="805"/>
      <c r="K1696" s="805"/>
      <c r="P1696" s="805"/>
    </row>
    <row r="1697" spans="1:16" x14ac:dyDescent="0.25">
      <c r="A1697" s="813"/>
      <c r="B1697" s="841" t="s">
        <v>2995</v>
      </c>
      <c r="C1697" s="813">
        <v>94917</v>
      </c>
      <c r="H1697" s="805"/>
      <c r="K1697" s="805"/>
      <c r="P1697" s="805"/>
    </row>
    <row r="1698" spans="1:16" x14ac:dyDescent="0.25">
      <c r="A1698" s="813"/>
      <c r="B1698" s="841" t="s">
        <v>4759</v>
      </c>
      <c r="C1698" s="813">
        <v>92621</v>
      </c>
      <c r="H1698" s="805"/>
      <c r="K1698" s="805"/>
      <c r="P1698" s="805"/>
    </row>
    <row r="1699" spans="1:16" x14ac:dyDescent="0.25">
      <c r="A1699" s="813"/>
      <c r="B1699" s="841" t="s">
        <v>3317</v>
      </c>
      <c r="C1699" s="813">
        <v>98501</v>
      </c>
      <c r="H1699" s="805"/>
      <c r="K1699" s="805"/>
      <c r="P1699" s="805"/>
    </row>
    <row r="1700" spans="1:16" x14ac:dyDescent="0.25">
      <c r="A1700" s="813"/>
      <c r="B1700" s="841" t="s">
        <v>4760</v>
      </c>
      <c r="C1700" s="813">
        <v>97931</v>
      </c>
      <c r="H1700" s="805"/>
      <c r="K1700" s="805"/>
      <c r="P1700" s="805"/>
    </row>
    <row r="1701" spans="1:16" x14ac:dyDescent="0.25">
      <c r="A1701" s="813"/>
      <c r="B1701" s="841" t="s">
        <v>4761</v>
      </c>
      <c r="C1701" s="813">
        <v>93914</v>
      </c>
      <c r="H1701" s="805"/>
      <c r="K1701" s="805"/>
      <c r="P1701" s="805"/>
    </row>
    <row r="1702" spans="1:16" x14ac:dyDescent="0.25">
      <c r="A1702" s="813"/>
      <c r="B1702" s="841" t="s">
        <v>4762</v>
      </c>
      <c r="C1702" s="813">
        <v>90651</v>
      </c>
      <c r="H1702" s="805"/>
      <c r="K1702" s="805"/>
      <c r="P1702" s="805"/>
    </row>
    <row r="1703" spans="1:16" x14ac:dyDescent="0.25">
      <c r="A1703" s="813"/>
      <c r="B1703" s="841" t="s">
        <v>4763</v>
      </c>
      <c r="C1703" s="813">
        <v>94171</v>
      </c>
      <c r="H1703" s="805"/>
      <c r="K1703" s="805"/>
      <c r="P1703" s="805"/>
    </row>
    <row r="1704" spans="1:16" x14ac:dyDescent="0.25">
      <c r="A1704" s="813"/>
      <c r="B1704" s="841" t="s">
        <v>2938</v>
      </c>
      <c r="C1704" s="813">
        <v>94172</v>
      </c>
      <c r="H1704" s="805"/>
      <c r="K1704" s="805"/>
      <c r="P1704" s="805"/>
    </row>
    <row r="1705" spans="1:16" x14ac:dyDescent="0.25">
      <c r="A1705" s="813"/>
      <c r="B1705" s="841" t="s">
        <v>4764</v>
      </c>
      <c r="C1705" s="813">
        <v>91041</v>
      </c>
      <c r="H1705" s="805"/>
      <c r="K1705" s="805"/>
      <c r="P1705" s="805"/>
    </row>
    <row r="1706" spans="1:16" x14ac:dyDescent="0.25">
      <c r="A1706" s="813"/>
      <c r="B1706" s="841" t="s">
        <v>4765</v>
      </c>
      <c r="C1706" s="813">
        <v>91047</v>
      </c>
      <c r="H1706" s="805"/>
      <c r="K1706" s="805"/>
      <c r="P1706" s="805"/>
    </row>
    <row r="1707" spans="1:16" x14ac:dyDescent="0.25">
      <c r="A1707" s="813"/>
      <c r="B1707" s="841" t="s">
        <v>4766</v>
      </c>
      <c r="C1707" s="813">
        <v>97131</v>
      </c>
      <c r="H1707" s="805"/>
      <c r="K1707" s="805"/>
      <c r="P1707" s="805"/>
    </row>
    <row r="1708" spans="1:16" x14ac:dyDescent="0.25">
      <c r="A1708" s="813"/>
      <c r="B1708" s="841" t="s">
        <v>3321</v>
      </c>
      <c r="C1708" s="813">
        <v>98601</v>
      </c>
      <c r="H1708" s="805"/>
      <c r="K1708" s="805"/>
      <c r="P1708" s="805"/>
    </row>
    <row r="1709" spans="1:16" x14ac:dyDescent="0.25">
      <c r="A1709" s="813"/>
      <c r="B1709" s="841" t="s">
        <v>3332</v>
      </c>
      <c r="C1709" s="813">
        <v>98701</v>
      </c>
      <c r="H1709" s="805"/>
      <c r="K1709" s="805"/>
      <c r="P1709" s="805"/>
    </row>
    <row r="1710" spans="1:16" x14ac:dyDescent="0.25">
      <c r="A1710" s="813"/>
      <c r="B1710" s="841" t="s">
        <v>4767</v>
      </c>
      <c r="C1710" s="813">
        <v>96721</v>
      </c>
      <c r="H1710" s="805"/>
      <c r="K1710" s="805"/>
      <c r="P1710" s="805"/>
    </row>
    <row r="1711" spans="1:16" x14ac:dyDescent="0.25">
      <c r="A1711" s="813"/>
      <c r="B1711" s="841" t="s">
        <v>4768</v>
      </c>
      <c r="C1711" s="813">
        <v>95011</v>
      </c>
      <c r="H1711" s="805"/>
      <c r="K1711" s="805"/>
      <c r="P1711" s="805"/>
    </row>
    <row r="1712" spans="1:16" x14ac:dyDescent="0.25">
      <c r="A1712" s="813"/>
      <c r="B1712" s="841" t="s">
        <v>4769</v>
      </c>
      <c r="C1712" s="813">
        <v>92451</v>
      </c>
      <c r="H1712" s="805"/>
      <c r="K1712" s="805"/>
      <c r="P1712" s="805"/>
    </row>
    <row r="1713" spans="1:16" x14ac:dyDescent="0.25">
      <c r="A1713" s="813"/>
      <c r="B1713" s="841" t="s">
        <v>4770</v>
      </c>
      <c r="C1713" s="813">
        <v>93311</v>
      </c>
      <c r="H1713" s="805"/>
      <c r="K1713" s="805"/>
      <c r="P1713" s="805"/>
    </row>
    <row r="1714" spans="1:16" x14ac:dyDescent="0.25">
      <c r="A1714" s="813"/>
      <c r="B1714" s="841" t="s">
        <v>2853</v>
      </c>
      <c r="C1714" s="813">
        <v>93317</v>
      </c>
      <c r="H1714" s="805"/>
      <c r="K1714" s="805"/>
      <c r="P1714" s="805"/>
    </row>
    <row r="1715" spans="1:16" x14ac:dyDescent="0.25">
      <c r="A1715" s="813"/>
      <c r="B1715" s="841" t="s">
        <v>4771</v>
      </c>
      <c r="C1715" s="813">
        <v>90211</v>
      </c>
      <c r="H1715" s="805"/>
      <c r="K1715" s="805"/>
      <c r="P1715" s="805"/>
    </row>
    <row r="1716" spans="1:16" x14ac:dyDescent="0.25">
      <c r="A1716" s="813"/>
      <c r="B1716" s="841" t="s">
        <v>4772</v>
      </c>
      <c r="C1716" s="813">
        <v>96302</v>
      </c>
      <c r="H1716" s="805"/>
      <c r="K1716" s="805"/>
      <c r="P1716" s="805"/>
    </row>
    <row r="1717" spans="1:16" x14ac:dyDescent="0.25">
      <c r="A1717" s="813"/>
      <c r="B1717" s="841" t="s">
        <v>4773</v>
      </c>
      <c r="C1717" s="813">
        <v>93181</v>
      </c>
      <c r="H1717" s="805"/>
      <c r="K1717" s="805"/>
      <c r="P1717" s="805"/>
    </row>
    <row r="1718" spans="1:16" x14ac:dyDescent="0.25">
      <c r="A1718" s="813"/>
      <c r="B1718" s="841" t="s">
        <v>4774</v>
      </c>
      <c r="C1718" s="813">
        <v>92911</v>
      </c>
      <c r="H1718" s="805"/>
      <c r="K1718" s="805"/>
      <c r="P1718" s="805"/>
    </row>
    <row r="1719" spans="1:16" x14ac:dyDescent="0.25">
      <c r="A1719" s="813"/>
      <c r="B1719" s="841" t="s">
        <v>3553</v>
      </c>
      <c r="C1719" s="813">
        <v>92914</v>
      </c>
      <c r="H1719" s="805"/>
      <c r="K1719" s="805"/>
      <c r="P1719" s="805"/>
    </row>
    <row r="1720" spans="1:16" x14ac:dyDescent="0.25">
      <c r="A1720" s="813"/>
      <c r="B1720" s="841" t="s">
        <v>2817</v>
      </c>
      <c r="C1720" s="813">
        <v>92913</v>
      </c>
      <c r="H1720" s="805"/>
      <c r="K1720" s="805"/>
      <c r="P1720" s="805"/>
    </row>
    <row r="1721" spans="1:16" x14ac:dyDescent="0.25">
      <c r="A1721" s="813"/>
      <c r="B1721" s="841" t="s">
        <v>4092</v>
      </c>
      <c r="C1721" s="813">
        <v>93471</v>
      </c>
      <c r="H1721" s="805"/>
      <c r="K1721" s="805"/>
      <c r="P1721" s="805"/>
    </row>
    <row r="1722" spans="1:16" x14ac:dyDescent="0.25">
      <c r="A1722" s="813"/>
      <c r="B1722" s="841" t="s">
        <v>2556</v>
      </c>
      <c r="C1722" s="813">
        <v>90098</v>
      </c>
      <c r="H1722" s="805"/>
      <c r="K1722" s="805"/>
      <c r="P1722" s="805"/>
    </row>
    <row r="1723" spans="1:16" x14ac:dyDescent="0.25">
      <c r="A1723" s="813"/>
      <c r="B1723" s="841" t="s">
        <v>4775</v>
      </c>
      <c r="C1723" s="813">
        <v>97121</v>
      </c>
      <c r="H1723" s="805"/>
      <c r="K1723" s="805"/>
      <c r="P1723" s="805"/>
    </row>
    <row r="1724" spans="1:16" x14ac:dyDescent="0.25">
      <c r="A1724" s="813"/>
      <c r="B1724" s="841" t="s">
        <v>3335</v>
      </c>
      <c r="C1724" s="813">
        <v>98801</v>
      </c>
      <c r="H1724" s="805"/>
      <c r="K1724" s="805"/>
      <c r="P1724" s="805"/>
    </row>
    <row r="1725" spans="1:16" x14ac:dyDescent="0.25">
      <c r="A1725" s="813"/>
      <c r="B1725" s="841" t="s">
        <v>4776</v>
      </c>
      <c r="C1725" s="813">
        <v>92521</v>
      </c>
      <c r="H1725" s="805"/>
      <c r="K1725" s="805"/>
      <c r="P1725" s="805"/>
    </row>
    <row r="1726" spans="1:16" x14ac:dyDescent="0.25">
      <c r="A1726" s="813"/>
      <c r="B1726" s="841" t="s">
        <v>2866</v>
      </c>
      <c r="C1726" s="813">
        <v>93417</v>
      </c>
      <c r="H1726" s="805"/>
      <c r="K1726" s="805"/>
      <c r="P1726" s="805"/>
    </row>
    <row r="1727" spans="1:16" x14ac:dyDescent="0.25">
      <c r="A1727" s="813"/>
      <c r="B1727" s="841" t="s">
        <v>2847</v>
      </c>
      <c r="C1727" s="813">
        <v>93219</v>
      </c>
      <c r="H1727" s="805"/>
      <c r="K1727" s="805"/>
      <c r="P1727" s="805"/>
    </row>
    <row r="1728" spans="1:16" x14ac:dyDescent="0.25">
      <c r="A1728" s="813"/>
      <c r="B1728" s="841" t="s">
        <v>2782</v>
      </c>
      <c r="C1728" s="813">
        <v>92513</v>
      </c>
      <c r="H1728" s="805"/>
      <c r="K1728" s="805"/>
      <c r="P1728" s="805"/>
    </row>
    <row r="1729" spans="1:16" x14ac:dyDescent="0.25">
      <c r="A1729" s="813"/>
      <c r="B1729" s="841" t="s">
        <v>4777</v>
      </c>
      <c r="C1729" s="813">
        <v>97661</v>
      </c>
      <c r="H1729" s="805"/>
      <c r="K1729" s="805"/>
      <c r="P1729" s="805"/>
    </row>
    <row r="1730" spans="1:16" x14ac:dyDescent="0.25">
      <c r="A1730" s="813"/>
      <c r="B1730" s="841" t="s">
        <v>4778</v>
      </c>
      <c r="C1730" s="813">
        <v>94931</v>
      </c>
      <c r="H1730" s="805"/>
      <c r="K1730" s="805"/>
      <c r="P1730" s="805"/>
    </row>
    <row r="1731" spans="1:16" x14ac:dyDescent="0.25">
      <c r="A1731" s="813"/>
      <c r="B1731" s="845" t="s">
        <v>4779</v>
      </c>
      <c r="C1731" s="813">
        <v>94937</v>
      </c>
      <c r="H1731" s="805"/>
      <c r="K1731" s="805"/>
      <c r="P1731" s="805"/>
    </row>
    <row r="1732" spans="1:16" x14ac:dyDescent="0.25">
      <c r="A1732" s="813"/>
      <c r="B1732" s="841" t="s">
        <v>4780</v>
      </c>
      <c r="C1732" s="813">
        <v>96221</v>
      </c>
      <c r="H1732" s="805"/>
      <c r="K1732" s="805"/>
      <c r="P1732" s="805"/>
    </row>
    <row r="1733" spans="1:16" x14ac:dyDescent="0.25">
      <c r="A1733" s="813"/>
      <c r="B1733" s="841" t="s">
        <v>4781</v>
      </c>
      <c r="C1733" s="813">
        <v>97511</v>
      </c>
      <c r="H1733" s="805"/>
      <c r="K1733" s="805"/>
      <c r="P1733" s="805"/>
    </row>
    <row r="1734" spans="1:16" x14ac:dyDescent="0.25">
      <c r="A1734" s="813"/>
      <c r="B1734" s="841" t="s">
        <v>3002</v>
      </c>
      <c r="C1734" s="813">
        <v>95002</v>
      </c>
      <c r="H1734" s="805"/>
      <c r="K1734" s="805"/>
      <c r="P1734" s="805"/>
    </row>
    <row r="1735" spans="1:16" x14ac:dyDescent="0.25">
      <c r="A1735" s="813"/>
      <c r="B1735" s="841" t="s">
        <v>4782</v>
      </c>
      <c r="C1735" s="813">
        <v>98251</v>
      </c>
      <c r="H1735" s="805"/>
      <c r="K1735" s="805"/>
      <c r="P1735" s="805"/>
    </row>
    <row r="1736" spans="1:16" x14ac:dyDescent="0.25">
      <c r="A1736" s="813"/>
      <c r="B1736" s="841" t="s">
        <v>3338</v>
      </c>
      <c r="C1736" s="813">
        <v>98901</v>
      </c>
      <c r="H1736" s="805"/>
      <c r="K1736" s="805"/>
      <c r="P1736" s="805"/>
    </row>
    <row r="1737" spans="1:16" x14ac:dyDescent="0.25">
      <c r="A1737" s="813"/>
      <c r="B1737" s="841" t="s">
        <v>4783</v>
      </c>
      <c r="C1737" s="813">
        <v>98904</v>
      </c>
      <c r="H1737" s="805"/>
      <c r="K1737" s="805"/>
      <c r="P1737" s="805"/>
    </row>
    <row r="1738" spans="1:16" x14ac:dyDescent="0.25">
      <c r="A1738" s="813"/>
      <c r="B1738" s="841" t="s">
        <v>3341</v>
      </c>
      <c r="C1738" s="813">
        <v>99001</v>
      </c>
      <c r="H1738" s="805"/>
      <c r="K1738" s="805"/>
      <c r="P1738" s="805"/>
    </row>
    <row r="1739" spans="1:16" x14ac:dyDescent="0.25">
      <c r="A1739" s="813"/>
      <c r="B1739" s="841" t="s">
        <v>4784</v>
      </c>
      <c r="C1739" s="813">
        <v>99061</v>
      </c>
      <c r="H1739" s="805"/>
      <c r="K1739" s="805"/>
      <c r="P1739" s="805"/>
    </row>
    <row r="1740" spans="1:16" x14ac:dyDescent="0.25">
      <c r="A1740" s="813"/>
      <c r="B1740" s="841" t="s">
        <v>2851</v>
      </c>
      <c r="C1740" s="813">
        <v>93309</v>
      </c>
      <c r="H1740" s="805"/>
      <c r="K1740" s="805"/>
      <c r="P1740" s="805"/>
    </row>
    <row r="1741" spans="1:16" x14ac:dyDescent="0.25">
      <c r="A1741" s="813"/>
      <c r="B1741" s="841" t="s">
        <v>4785</v>
      </c>
      <c r="C1741" s="813">
        <v>91211</v>
      </c>
      <c r="H1741" s="805"/>
      <c r="K1741" s="805"/>
      <c r="P1741" s="805"/>
    </row>
    <row r="1742" spans="1:16" x14ac:dyDescent="0.25">
      <c r="A1742" s="813"/>
      <c r="B1742" s="842" t="s">
        <v>4139</v>
      </c>
      <c r="C1742" s="813">
        <v>94947</v>
      </c>
      <c r="H1742" s="805"/>
      <c r="K1742" s="805"/>
      <c r="P1742" s="805"/>
    </row>
    <row r="1743" spans="1:16" x14ac:dyDescent="0.25">
      <c r="A1743" s="813"/>
      <c r="B1743" s="841" t="s">
        <v>2673</v>
      </c>
      <c r="C1743" s="813">
        <v>91213</v>
      </c>
      <c r="H1743" s="805"/>
      <c r="K1743" s="805"/>
      <c r="P1743" s="805"/>
    </row>
    <row r="1744" spans="1:16" x14ac:dyDescent="0.25">
      <c r="A1744" s="813"/>
      <c r="B1744" s="841" t="s">
        <v>3355</v>
      </c>
      <c r="C1744" s="813">
        <v>99101</v>
      </c>
      <c r="H1744" s="805"/>
      <c r="K1744" s="805"/>
      <c r="P1744" s="805"/>
    </row>
    <row r="1745" spans="1:16" x14ac:dyDescent="0.25">
      <c r="A1745" s="813"/>
      <c r="B1745" s="841" t="s">
        <v>4786</v>
      </c>
      <c r="C1745" s="813">
        <v>99104</v>
      </c>
      <c r="H1745" s="805"/>
      <c r="K1745" s="805"/>
      <c r="P1745" s="805"/>
    </row>
    <row r="1746" spans="1:16" x14ac:dyDescent="0.25">
      <c r="A1746" s="813"/>
      <c r="B1746" s="841" t="s">
        <v>4787</v>
      </c>
      <c r="C1746" s="813">
        <v>92551</v>
      </c>
      <c r="H1746" s="805"/>
      <c r="K1746" s="805"/>
      <c r="P1746" s="805"/>
    </row>
    <row r="1747" spans="1:16" x14ac:dyDescent="0.25">
      <c r="A1747" s="813"/>
      <c r="B1747" s="841" t="s">
        <v>4788</v>
      </c>
      <c r="C1747" s="813">
        <v>96321</v>
      </c>
      <c r="H1747" s="805"/>
      <c r="K1747" s="805"/>
      <c r="P1747" s="805"/>
    </row>
    <row r="1748" spans="1:16" x14ac:dyDescent="0.25">
      <c r="A1748" s="813"/>
      <c r="B1748" s="841" t="s">
        <v>3558</v>
      </c>
      <c r="C1748" s="813">
        <v>95009</v>
      </c>
      <c r="H1748" s="805"/>
      <c r="K1748" s="805"/>
      <c r="P1748" s="805"/>
    </row>
    <row r="1749" spans="1:16" x14ac:dyDescent="0.25">
      <c r="A1749" s="813"/>
      <c r="B1749" s="841" t="s">
        <v>4789</v>
      </c>
      <c r="C1749" s="813">
        <v>92641</v>
      </c>
      <c r="H1749" s="805"/>
      <c r="K1749" s="805"/>
      <c r="P1749" s="805"/>
    </row>
    <row r="1750" spans="1:16" x14ac:dyDescent="0.25">
      <c r="A1750" s="813"/>
      <c r="B1750" s="841" t="s">
        <v>4790</v>
      </c>
      <c r="C1750" s="813">
        <v>90411</v>
      </c>
      <c r="H1750" s="805"/>
      <c r="K1750" s="805"/>
      <c r="P1750" s="805"/>
    </row>
    <row r="1751" spans="1:16" x14ac:dyDescent="0.25">
      <c r="A1751" s="813"/>
      <c r="B1751" s="841" t="s">
        <v>2578</v>
      </c>
      <c r="C1751" s="813">
        <v>90417</v>
      </c>
      <c r="H1751" s="805"/>
      <c r="K1751" s="805"/>
      <c r="P1751" s="805"/>
    </row>
    <row r="1752" spans="1:16" x14ac:dyDescent="0.25">
      <c r="A1752" s="813"/>
      <c r="B1752" s="841" t="s">
        <v>2577</v>
      </c>
      <c r="C1752" s="813">
        <v>90413</v>
      </c>
      <c r="H1752" s="805"/>
      <c r="K1752" s="805"/>
      <c r="P1752" s="805"/>
    </row>
    <row r="1753" spans="1:16" x14ac:dyDescent="0.25">
      <c r="A1753" s="813"/>
      <c r="B1753" s="841" t="s">
        <v>4791</v>
      </c>
      <c r="C1753" s="813">
        <v>98321</v>
      </c>
      <c r="H1753" s="805"/>
      <c r="K1753" s="805"/>
      <c r="P1753" s="805"/>
    </row>
    <row r="1754" spans="1:16" x14ac:dyDescent="0.25">
      <c r="A1754" s="813"/>
      <c r="B1754" s="841" t="s">
        <v>3360</v>
      </c>
      <c r="C1754" s="813">
        <v>99201</v>
      </c>
      <c r="H1754" s="805"/>
      <c r="K1754" s="805"/>
      <c r="P1754" s="805"/>
    </row>
    <row r="1755" spans="1:16" x14ac:dyDescent="0.25">
      <c r="A1755" s="813"/>
      <c r="B1755" s="841" t="s">
        <v>3363</v>
      </c>
      <c r="C1755" s="813">
        <v>99204</v>
      </c>
      <c r="H1755" s="805"/>
      <c r="K1755" s="805"/>
      <c r="P1755" s="805"/>
    </row>
    <row r="1756" spans="1:16" x14ac:dyDescent="0.25">
      <c r="A1756" s="813"/>
      <c r="B1756" s="841" t="s">
        <v>3562</v>
      </c>
      <c r="C1756" s="813">
        <v>99207</v>
      </c>
      <c r="H1756" s="805"/>
      <c r="K1756" s="805"/>
      <c r="P1756" s="805"/>
    </row>
    <row r="1757" spans="1:16" x14ac:dyDescent="0.25">
      <c r="A1757" s="813"/>
      <c r="B1757" s="841" t="s">
        <v>4792</v>
      </c>
      <c r="C1757" s="813">
        <v>99281</v>
      </c>
      <c r="H1757" s="805"/>
      <c r="K1757" s="805"/>
      <c r="P1757" s="805"/>
    </row>
    <row r="1758" spans="1:16" x14ac:dyDescent="0.25">
      <c r="A1758" s="813"/>
      <c r="B1758" s="841" t="s">
        <v>4091</v>
      </c>
      <c r="C1758" s="813">
        <v>93461</v>
      </c>
      <c r="H1758" s="805"/>
      <c r="K1758" s="805"/>
      <c r="P1758" s="805"/>
    </row>
    <row r="1759" spans="1:16" x14ac:dyDescent="0.25">
      <c r="A1759" s="813"/>
      <c r="B1759" s="841" t="s">
        <v>4793</v>
      </c>
      <c r="C1759" s="813">
        <v>93151</v>
      </c>
      <c r="H1759" s="805"/>
      <c r="K1759" s="805"/>
      <c r="P1759" s="805"/>
    </row>
    <row r="1760" spans="1:16" x14ac:dyDescent="0.25">
      <c r="A1760" s="813"/>
      <c r="B1760" s="841" t="s">
        <v>2836</v>
      </c>
      <c r="C1760" s="813">
        <v>93157</v>
      </c>
      <c r="H1760" s="805"/>
      <c r="K1760" s="805"/>
      <c r="P1760" s="805"/>
    </row>
    <row r="1761" spans="1:16" x14ac:dyDescent="0.25">
      <c r="A1761" s="813"/>
      <c r="B1761" s="841" t="s">
        <v>4794</v>
      </c>
      <c r="C1761" s="813">
        <v>98511</v>
      </c>
      <c r="H1761" s="805"/>
      <c r="K1761" s="805"/>
      <c r="P1761" s="805"/>
    </row>
    <row r="1762" spans="1:16" x14ac:dyDescent="0.25">
      <c r="A1762" s="813"/>
      <c r="B1762" s="841" t="s">
        <v>3319</v>
      </c>
      <c r="C1762" s="813">
        <v>98517</v>
      </c>
      <c r="H1762" s="805"/>
      <c r="K1762" s="805"/>
      <c r="P1762" s="805"/>
    </row>
    <row r="1763" spans="1:16" x14ac:dyDescent="0.25">
      <c r="A1763" s="813"/>
      <c r="B1763" s="841" t="s">
        <v>4795</v>
      </c>
      <c r="C1763" s="813">
        <v>99661</v>
      </c>
      <c r="H1763" s="805"/>
      <c r="K1763" s="805"/>
      <c r="P1763" s="805"/>
    </row>
    <row r="1764" spans="1:16" x14ac:dyDescent="0.25">
      <c r="A1764" s="813"/>
      <c r="B1764" s="841" t="s">
        <v>4796</v>
      </c>
      <c r="C1764" s="813">
        <v>94031</v>
      </c>
      <c r="H1764" s="805"/>
      <c r="K1764" s="805"/>
      <c r="P1764" s="805"/>
    </row>
    <row r="1765" spans="1:16" x14ac:dyDescent="0.25">
      <c r="A1765" s="813"/>
      <c r="B1765" s="841" t="s">
        <v>3382</v>
      </c>
      <c r="C1765" s="813">
        <v>99301</v>
      </c>
      <c r="H1765" s="805"/>
      <c r="K1765" s="805"/>
      <c r="P1765" s="805"/>
    </row>
    <row r="1766" spans="1:16" x14ac:dyDescent="0.25">
      <c r="A1766" s="813"/>
      <c r="B1766" s="841" t="s">
        <v>3383</v>
      </c>
      <c r="C1766" s="813">
        <v>99304</v>
      </c>
      <c r="H1766" s="805"/>
      <c r="K1766" s="805"/>
      <c r="P1766" s="805"/>
    </row>
    <row r="1767" spans="1:16" x14ac:dyDescent="0.25">
      <c r="A1767" s="813"/>
      <c r="B1767" s="841" t="s">
        <v>4797</v>
      </c>
      <c r="C1767" s="813">
        <v>99321</v>
      </c>
      <c r="H1767" s="805"/>
      <c r="K1767" s="805"/>
      <c r="P1767" s="805"/>
    </row>
    <row r="1768" spans="1:16" x14ac:dyDescent="0.25">
      <c r="A1768" s="813"/>
      <c r="B1768" s="841" t="s">
        <v>4798</v>
      </c>
      <c r="C1768" s="813">
        <v>93131</v>
      </c>
      <c r="H1768" s="805"/>
      <c r="K1768" s="805"/>
      <c r="P1768" s="805"/>
    </row>
    <row r="1769" spans="1:16" x14ac:dyDescent="0.25">
      <c r="A1769" s="813"/>
      <c r="B1769" s="841" t="s">
        <v>2833</v>
      </c>
      <c r="C1769" s="813">
        <v>93137</v>
      </c>
      <c r="H1769" s="805"/>
      <c r="K1769" s="805"/>
      <c r="P1769" s="805"/>
    </row>
    <row r="1770" spans="1:16" x14ac:dyDescent="0.25">
      <c r="A1770" s="813"/>
      <c r="B1770" s="841" t="s">
        <v>4799</v>
      </c>
      <c r="C1770" s="813">
        <v>90711</v>
      </c>
      <c r="H1770" s="805"/>
      <c r="K1770" s="805"/>
      <c r="P1770" s="805"/>
    </row>
    <row r="1771" spans="1:16" x14ac:dyDescent="0.25">
      <c r="A1771" s="813"/>
      <c r="B1771" s="841" t="s">
        <v>3386</v>
      </c>
      <c r="C1771" s="813">
        <v>99401</v>
      </c>
      <c r="H1771" s="805"/>
      <c r="K1771" s="805"/>
      <c r="P1771" s="805"/>
    </row>
    <row r="1772" spans="1:16" x14ac:dyDescent="0.25">
      <c r="A1772" s="813"/>
      <c r="B1772" s="841" t="s">
        <v>3387</v>
      </c>
      <c r="C1772" s="813">
        <v>99404</v>
      </c>
      <c r="H1772" s="805"/>
      <c r="K1772" s="805"/>
      <c r="P1772" s="805"/>
    </row>
    <row r="1773" spans="1:16" x14ac:dyDescent="0.25">
      <c r="A1773" s="813"/>
      <c r="B1773" s="841" t="s">
        <v>4800</v>
      </c>
      <c r="C1773" s="813">
        <v>90741</v>
      </c>
      <c r="H1773" s="805"/>
      <c r="K1773" s="805"/>
      <c r="P1773" s="805"/>
    </row>
    <row r="1774" spans="1:16" x14ac:dyDescent="0.25">
      <c r="A1774" s="813"/>
      <c r="B1774" s="841" t="s">
        <v>3393</v>
      </c>
      <c r="C1774" s="813">
        <v>99501</v>
      </c>
      <c r="H1774" s="805"/>
      <c r="K1774" s="805"/>
      <c r="P1774" s="805"/>
    </row>
    <row r="1775" spans="1:16" x14ac:dyDescent="0.25">
      <c r="A1775" s="813"/>
      <c r="B1775" s="841" t="s">
        <v>3396</v>
      </c>
      <c r="C1775" s="813">
        <v>99509</v>
      </c>
      <c r="H1775" s="805"/>
      <c r="K1775" s="805"/>
      <c r="P1775" s="805"/>
    </row>
    <row r="1776" spans="1:16" x14ac:dyDescent="0.25">
      <c r="A1776" s="813"/>
      <c r="B1776" s="841" t="s">
        <v>4801</v>
      </c>
      <c r="C1776" s="813">
        <v>91302</v>
      </c>
      <c r="H1776" s="805"/>
      <c r="K1776" s="805"/>
      <c r="P1776" s="805"/>
    </row>
    <row r="1777" spans="1:16" x14ac:dyDescent="0.25">
      <c r="A1777" s="813"/>
      <c r="B1777" s="841" t="s">
        <v>4802</v>
      </c>
      <c r="C1777" s="813">
        <v>99041</v>
      </c>
      <c r="H1777" s="805"/>
      <c r="K1777" s="805"/>
      <c r="P1777" s="805"/>
    </row>
    <row r="1778" spans="1:16" x14ac:dyDescent="0.25">
      <c r="A1778" s="813"/>
      <c r="B1778" s="841" t="s">
        <v>3349</v>
      </c>
      <c r="C1778" s="813">
        <v>99047</v>
      </c>
      <c r="H1778" s="805"/>
      <c r="K1778" s="805"/>
      <c r="P1778" s="805"/>
    </row>
    <row r="1779" spans="1:16" x14ac:dyDescent="0.25">
      <c r="A1779" s="813"/>
      <c r="B1779" s="841" t="s">
        <v>3401</v>
      </c>
      <c r="C1779" s="813">
        <v>99601</v>
      </c>
      <c r="H1779" s="805"/>
      <c r="K1779" s="805"/>
      <c r="P1779" s="805"/>
    </row>
    <row r="1780" spans="1:16" x14ac:dyDescent="0.25">
      <c r="A1780" s="813"/>
      <c r="B1780" s="841" t="s">
        <v>3404</v>
      </c>
      <c r="C1780" s="813">
        <v>99604</v>
      </c>
      <c r="H1780" s="805"/>
      <c r="K1780" s="805"/>
      <c r="P1780" s="805"/>
    </row>
    <row r="1781" spans="1:16" x14ac:dyDescent="0.25">
      <c r="A1781" s="813"/>
      <c r="B1781" s="841" t="s">
        <v>4803</v>
      </c>
      <c r="C1781" s="813">
        <v>94411</v>
      </c>
      <c r="H1781" s="805"/>
      <c r="K1781" s="805"/>
      <c r="P1781" s="805"/>
    </row>
    <row r="1782" spans="1:16" x14ac:dyDescent="0.25">
      <c r="A1782" s="813"/>
      <c r="B1782" s="841" t="s">
        <v>2962</v>
      </c>
      <c r="C1782" s="813">
        <v>94412</v>
      </c>
      <c r="H1782" s="805"/>
      <c r="K1782" s="805"/>
      <c r="P1782" s="805"/>
    </row>
    <row r="1783" spans="1:16" x14ac:dyDescent="0.25">
      <c r="A1783" s="813"/>
      <c r="B1783" s="841" t="s">
        <v>4804</v>
      </c>
      <c r="C1783" s="813">
        <v>91141</v>
      </c>
      <c r="H1783" s="805"/>
      <c r="K1783" s="805"/>
      <c r="P1783" s="805"/>
    </row>
    <row r="1784" spans="1:16" x14ac:dyDescent="0.25">
      <c r="A1784" s="813"/>
      <c r="B1784" s="841" t="s">
        <v>2662</v>
      </c>
      <c r="C1784" s="813">
        <v>91147</v>
      </c>
      <c r="H1784" s="805"/>
      <c r="K1784" s="805"/>
      <c r="P1784" s="805"/>
    </row>
    <row r="1785" spans="1:16" x14ac:dyDescent="0.25">
      <c r="A1785" s="813"/>
      <c r="B1785" s="841" t="s">
        <v>4805</v>
      </c>
      <c r="C1785" s="813">
        <v>99071</v>
      </c>
      <c r="H1785" s="805"/>
      <c r="K1785" s="805"/>
      <c r="P1785" s="805"/>
    </row>
    <row r="1786" spans="1:16" x14ac:dyDescent="0.25">
      <c r="A1786" s="813"/>
      <c r="B1786" s="841" t="s">
        <v>4806</v>
      </c>
      <c r="C1786" s="813">
        <v>94231</v>
      </c>
      <c r="H1786" s="805"/>
      <c r="K1786" s="805"/>
      <c r="P1786" s="805"/>
    </row>
    <row r="1787" spans="1:16" x14ac:dyDescent="0.25">
      <c r="A1787" s="813"/>
      <c r="B1787" s="841" t="s">
        <v>4807</v>
      </c>
      <c r="C1787" s="813">
        <v>99231</v>
      </c>
      <c r="H1787" s="805"/>
      <c r="K1787" s="805"/>
      <c r="P1787" s="805"/>
    </row>
    <row r="1788" spans="1:16" x14ac:dyDescent="0.25">
      <c r="A1788" s="813"/>
      <c r="B1788" s="841" t="s">
        <v>4808</v>
      </c>
      <c r="C1788" s="813">
        <v>99091</v>
      </c>
      <c r="H1788" s="805"/>
      <c r="K1788" s="805"/>
      <c r="P1788" s="805"/>
    </row>
    <row r="1789" spans="1:16" x14ac:dyDescent="0.25">
      <c r="A1789" s="813"/>
      <c r="B1789" s="841" t="s">
        <v>2656</v>
      </c>
      <c r="C1789" s="813">
        <v>91120</v>
      </c>
      <c r="H1789" s="805"/>
      <c r="K1789" s="805"/>
      <c r="P1789" s="805"/>
    </row>
    <row r="1790" spans="1:16" x14ac:dyDescent="0.25">
      <c r="A1790" s="813"/>
      <c r="B1790" s="841" t="s">
        <v>2770</v>
      </c>
      <c r="C1790" s="813">
        <v>92444</v>
      </c>
      <c r="H1790" s="805"/>
      <c r="K1790" s="805"/>
      <c r="P1790" s="805"/>
    </row>
    <row r="1791" spans="1:16" x14ac:dyDescent="0.25">
      <c r="A1791" s="813"/>
      <c r="B1791" s="841" t="s">
        <v>4809</v>
      </c>
      <c r="C1791" s="813">
        <v>90521</v>
      </c>
      <c r="H1791" s="805"/>
      <c r="K1791" s="805"/>
      <c r="P1791" s="805"/>
    </row>
    <row r="1792" spans="1:16" x14ac:dyDescent="0.25">
      <c r="A1792" s="813"/>
      <c r="B1792" s="841" t="s">
        <v>1182</v>
      </c>
      <c r="C1792" s="813">
        <v>90507</v>
      </c>
      <c r="H1792" s="805"/>
      <c r="K1792" s="805"/>
      <c r="P1792" s="805"/>
    </row>
    <row r="1793" spans="1:16" x14ac:dyDescent="0.25">
      <c r="A1793" s="813"/>
      <c r="B1793" s="841" t="s">
        <v>2790</v>
      </c>
      <c r="C1793" s="813">
        <v>92602</v>
      </c>
      <c r="H1793" s="805"/>
      <c r="K1793" s="805"/>
      <c r="P1793" s="805"/>
    </row>
    <row r="1794" spans="1:16" x14ac:dyDescent="0.25">
      <c r="A1794" s="813"/>
      <c r="B1794" s="841" t="s">
        <v>2706</v>
      </c>
      <c r="C1794" s="813">
        <v>91608</v>
      </c>
      <c r="H1794" s="805"/>
      <c r="K1794" s="805"/>
      <c r="P1794" s="805"/>
    </row>
    <row r="1795" spans="1:16" x14ac:dyDescent="0.25">
      <c r="A1795" s="813"/>
      <c r="B1795" s="841" t="s">
        <v>1254</v>
      </c>
      <c r="C1795" s="813">
        <v>91119</v>
      </c>
      <c r="H1795" s="805"/>
      <c r="K1795" s="805"/>
      <c r="P1795" s="805"/>
    </row>
    <row r="1796" spans="1:16" x14ac:dyDescent="0.25">
      <c r="A1796" s="813"/>
      <c r="B1796" s="841" t="s">
        <v>3550</v>
      </c>
      <c r="C1796" s="813">
        <v>91107</v>
      </c>
      <c r="H1796" s="805"/>
      <c r="K1796" s="805"/>
      <c r="P1796" s="805"/>
    </row>
    <row r="1797" spans="1:16" x14ac:dyDescent="0.25">
      <c r="A1797" s="813"/>
      <c r="B1797" s="841" t="s">
        <v>4810</v>
      </c>
      <c r="C1797" s="813">
        <v>91818</v>
      </c>
      <c r="H1797" s="805"/>
      <c r="K1797" s="805"/>
      <c r="P1797" s="805"/>
    </row>
    <row r="1798" spans="1:16" x14ac:dyDescent="0.25">
      <c r="A1798" s="813"/>
      <c r="B1798" s="841" t="s">
        <v>2727</v>
      </c>
      <c r="C1798" s="813">
        <v>91819</v>
      </c>
      <c r="H1798" s="805"/>
      <c r="K1798" s="805"/>
      <c r="P1798" s="805"/>
    </row>
    <row r="1799" spans="1:16" x14ac:dyDescent="0.25">
      <c r="A1799" s="813"/>
      <c r="B1799" s="841" t="s">
        <v>4811</v>
      </c>
      <c r="C1799" s="813">
        <v>96371</v>
      </c>
      <c r="H1799" s="805"/>
      <c r="K1799" s="805"/>
      <c r="P1799" s="805"/>
    </row>
    <row r="1800" spans="1:16" x14ac:dyDescent="0.25">
      <c r="A1800" s="813"/>
      <c r="B1800" s="841" t="s">
        <v>4812</v>
      </c>
      <c r="C1800" s="813">
        <v>96441</v>
      </c>
      <c r="H1800" s="805"/>
      <c r="K1800" s="805"/>
      <c r="P1800" s="805"/>
    </row>
    <row r="1801" spans="1:16" x14ac:dyDescent="0.25">
      <c r="A1801" s="813"/>
      <c r="B1801" s="841" t="s">
        <v>4813</v>
      </c>
      <c r="C1801" s="813">
        <v>90921</v>
      </c>
      <c r="H1801" s="805"/>
      <c r="K1801" s="805"/>
      <c r="P1801" s="805"/>
    </row>
    <row r="1802" spans="1:16" x14ac:dyDescent="0.25">
      <c r="A1802" s="813"/>
      <c r="B1802" s="841" t="s">
        <v>4814</v>
      </c>
      <c r="C1802" s="813">
        <v>92411</v>
      </c>
      <c r="H1802" s="805"/>
      <c r="K1802" s="805"/>
      <c r="P1802" s="805"/>
    </row>
    <row r="1803" spans="1:16" x14ac:dyDescent="0.25">
      <c r="A1803" s="813"/>
      <c r="B1803" s="841" t="s">
        <v>2765</v>
      </c>
      <c r="C1803" s="813">
        <v>92417</v>
      </c>
      <c r="H1803" s="805"/>
      <c r="K1803" s="805"/>
      <c r="P1803" s="805"/>
    </row>
    <row r="1804" spans="1:16" x14ac:dyDescent="0.25">
      <c r="A1804" s="813"/>
      <c r="B1804" s="841" t="s">
        <v>2763</v>
      </c>
      <c r="C1804" s="813">
        <v>92403</v>
      </c>
      <c r="H1804" s="805"/>
      <c r="K1804" s="805"/>
      <c r="P1804" s="805"/>
    </row>
    <row r="1805" spans="1:16" x14ac:dyDescent="0.25">
      <c r="A1805" s="813"/>
      <c r="B1805" s="841" t="s">
        <v>3414</v>
      </c>
      <c r="C1805" s="813">
        <v>99701</v>
      </c>
      <c r="H1805" s="805"/>
      <c r="K1805" s="805"/>
      <c r="P1805" s="805"/>
    </row>
    <row r="1806" spans="1:16" x14ac:dyDescent="0.25">
      <c r="A1806" s="813"/>
      <c r="B1806" s="841" t="s">
        <v>4815</v>
      </c>
      <c r="C1806" s="813">
        <v>99721</v>
      </c>
      <c r="H1806" s="805"/>
      <c r="K1806" s="805"/>
      <c r="P1806" s="805"/>
    </row>
    <row r="1807" spans="1:16" x14ac:dyDescent="0.25">
      <c r="A1807" s="813"/>
      <c r="B1807" s="841" t="s">
        <v>3419</v>
      </c>
      <c r="C1807" s="813">
        <v>99727</v>
      </c>
      <c r="H1807" s="805"/>
      <c r="K1807" s="805"/>
      <c r="P1807" s="805"/>
    </row>
    <row r="1808" spans="1:16" x14ac:dyDescent="0.25">
      <c r="A1808" s="813"/>
      <c r="B1808" s="841" t="s">
        <v>4816</v>
      </c>
      <c r="C1808" s="813">
        <v>95811</v>
      </c>
      <c r="H1808" s="805"/>
      <c r="K1808" s="805"/>
      <c r="P1808" s="805"/>
    </row>
    <row r="1809" spans="1:16" x14ac:dyDescent="0.25">
      <c r="A1809" s="813"/>
      <c r="B1809" s="841" t="s">
        <v>3061</v>
      </c>
      <c r="C1809" s="813">
        <v>95813</v>
      </c>
      <c r="H1809" s="805"/>
      <c r="K1809" s="805"/>
      <c r="P1809" s="805"/>
    </row>
    <row r="1810" spans="1:16" x14ac:dyDescent="0.25">
      <c r="A1810" s="813"/>
      <c r="B1810" s="841" t="s">
        <v>4817</v>
      </c>
      <c r="C1810" s="813">
        <v>96531</v>
      </c>
      <c r="H1810" s="805"/>
      <c r="K1810" s="805"/>
      <c r="P1810" s="805"/>
    </row>
    <row r="1811" spans="1:16" x14ac:dyDescent="0.25">
      <c r="A1811" s="813"/>
      <c r="B1811" s="841" t="s">
        <v>3559</v>
      </c>
      <c r="C1811" s="813">
        <v>96503</v>
      </c>
      <c r="H1811" s="805"/>
      <c r="K1811" s="805"/>
      <c r="P1811" s="805"/>
    </row>
    <row r="1812" spans="1:16" x14ac:dyDescent="0.25">
      <c r="A1812" s="813"/>
      <c r="B1812" s="841" t="s">
        <v>4338</v>
      </c>
      <c r="C1812" s="813">
        <v>99811</v>
      </c>
      <c r="H1812" s="805"/>
      <c r="K1812" s="805"/>
      <c r="P1812" s="805"/>
    </row>
    <row r="1813" spans="1:16" x14ac:dyDescent="0.25">
      <c r="A1813" s="813"/>
      <c r="B1813" s="841" t="s">
        <v>4339</v>
      </c>
      <c r="C1813" s="813">
        <v>99818</v>
      </c>
      <c r="H1813" s="805"/>
      <c r="K1813" s="805"/>
      <c r="P1813" s="805"/>
    </row>
    <row r="1814" spans="1:16" x14ac:dyDescent="0.25">
      <c r="A1814" s="813"/>
      <c r="B1814" s="841" t="s">
        <v>3420</v>
      </c>
      <c r="C1814" s="813">
        <v>99801</v>
      </c>
      <c r="H1814" s="805"/>
      <c r="K1814" s="805"/>
      <c r="P1814" s="805"/>
    </row>
    <row r="1815" spans="1:16" x14ac:dyDescent="0.25">
      <c r="A1815" s="813"/>
      <c r="B1815" s="841" t="s">
        <v>3422</v>
      </c>
      <c r="C1815" s="813">
        <v>99804</v>
      </c>
      <c r="H1815" s="805"/>
      <c r="K1815" s="805"/>
      <c r="P1815" s="805"/>
    </row>
    <row r="1816" spans="1:16" x14ac:dyDescent="0.25">
      <c r="A1816" s="813"/>
      <c r="B1816" s="841" t="s">
        <v>4337</v>
      </c>
      <c r="C1816" s="813">
        <v>99802</v>
      </c>
      <c r="H1816" s="805"/>
      <c r="K1816" s="805"/>
      <c r="P1816" s="805"/>
    </row>
    <row r="1817" spans="1:16" x14ac:dyDescent="0.25">
      <c r="A1817" s="813"/>
      <c r="B1817" s="841" t="s">
        <v>3424</v>
      </c>
      <c r="C1817" s="813">
        <v>99812</v>
      </c>
      <c r="H1817" s="805"/>
      <c r="K1817" s="805"/>
      <c r="P1817" s="805"/>
    </row>
    <row r="1818" spans="1:16" x14ac:dyDescent="0.25">
      <c r="A1818" s="813"/>
      <c r="B1818" s="841" t="s">
        <v>4818</v>
      </c>
      <c r="C1818" s="813">
        <v>95191</v>
      </c>
      <c r="H1818" s="805"/>
      <c r="K1818" s="805"/>
      <c r="P1818" s="805"/>
    </row>
    <row r="1819" spans="1:16" x14ac:dyDescent="0.25">
      <c r="A1819" s="813"/>
      <c r="B1819" s="841" t="s">
        <v>4819</v>
      </c>
      <c r="C1819" s="813">
        <v>90812</v>
      </c>
      <c r="H1819" s="805"/>
      <c r="K1819" s="805"/>
      <c r="P1819" s="805"/>
    </row>
    <row r="1820" spans="1:16" x14ac:dyDescent="0.25">
      <c r="A1820" s="813"/>
      <c r="B1820" s="841" t="s">
        <v>4820</v>
      </c>
      <c r="C1820" s="813">
        <v>97221</v>
      </c>
      <c r="H1820" s="805"/>
      <c r="K1820" s="805"/>
      <c r="P1820" s="805"/>
    </row>
    <row r="1821" spans="1:16" x14ac:dyDescent="0.25">
      <c r="A1821" s="813"/>
      <c r="B1821" s="841" t="s">
        <v>4821</v>
      </c>
      <c r="C1821" s="813">
        <v>99031</v>
      </c>
      <c r="H1821" s="805"/>
      <c r="K1821" s="805"/>
      <c r="P1821" s="805"/>
    </row>
    <row r="1822" spans="1:16" x14ac:dyDescent="0.25">
      <c r="A1822" s="813"/>
      <c r="B1822" s="841" t="s">
        <v>4822</v>
      </c>
      <c r="C1822" s="813">
        <v>93411</v>
      </c>
      <c r="H1822" s="805"/>
      <c r="K1822" s="805"/>
      <c r="P1822" s="805"/>
    </row>
    <row r="1823" spans="1:16" x14ac:dyDescent="0.25">
      <c r="A1823" s="813"/>
      <c r="B1823" s="841" t="s">
        <v>2865</v>
      </c>
      <c r="C1823" s="813">
        <v>93413</v>
      </c>
      <c r="H1823" s="805"/>
      <c r="K1823" s="805"/>
      <c r="P1823" s="805"/>
    </row>
    <row r="1824" spans="1:16" x14ac:dyDescent="0.25">
      <c r="A1824" s="813"/>
      <c r="B1824" s="841" t="s">
        <v>4823</v>
      </c>
      <c r="C1824" s="813">
        <v>97451</v>
      </c>
      <c r="H1824" s="805"/>
      <c r="K1824" s="805"/>
      <c r="P1824" s="805"/>
    </row>
    <row r="1825" spans="1:16" x14ac:dyDescent="0.25">
      <c r="A1825" s="813"/>
      <c r="B1825" s="841" t="s">
        <v>4824</v>
      </c>
      <c r="C1825" s="813">
        <v>94631</v>
      </c>
      <c r="H1825" s="805"/>
      <c r="K1825" s="805"/>
      <c r="P1825" s="805"/>
    </row>
    <row r="1826" spans="1:16" x14ac:dyDescent="0.25">
      <c r="A1826" s="813"/>
      <c r="B1826" s="841" t="s">
        <v>4825</v>
      </c>
      <c r="C1826" s="813">
        <v>91171</v>
      </c>
      <c r="H1826" s="805"/>
      <c r="K1826" s="805"/>
      <c r="P1826" s="805"/>
    </row>
    <row r="1827" spans="1:16" x14ac:dyDescent="0.25">
      <c r="A1827" s="813"/>
      <c r="B1827" s="841" t="s">
        <v>2651</v>
      </c>
      <c r="C1827" s="813">
        <v>91104</v>
      </c>
      <c r="H1827" s="805"/>
      <c r="K1827" s="805"/>
      <c r="P1827" s="805"/>
    </row>
    <row r="1828" spans="1:16" x14ac:dyDescent="0.25">
      <c r="A1828" s="813"/>
      <c r="B1828" s="841" t="s">
        <v>4826</v>
      </c>
      <c r="C1828" s="813">
        <v>91109</v>
      </c>
      <c r="H1828" s="805"/>
      <c r="K1828" s="805"/>
      <c r="P1828" s="805"/>
    </row>
    <row r="1829" spans="1:16" x14ac:dyDescent="0.25">
      <c r="A1829" s="813"/>
      <c r="B1829" s="841" t="s">
        <v>4827</v>
      </c>
      <c r="C1829" s="813">
        <v>96621</v>
      </c>
      <c r="H1829" s="805"/>
      <c r="K1829" s="805"/>
      <c r="P1829" s="805"/>
    </row>
    <row r="1830" spans="1:16" x14ac:dyDescent="0.25">
      <c r="A1830" s="813"/>
      <c r="B1830" s="841" t="s">
        <v>4828</v>
      </c>
      <c r="C1830" s="813">
        <v>96511</v>
      </c>
      <c r="H1830" s="805"/>
      <c r="K1830" s="805"/>
      <c r="P1830" s="805"/>
    </row>
    <row r="1831" spans="1:16" x14ac:dyDescent="0.25">
      <c r="A1831" s="813"/>
      <c r="B1831" s="841" t="s">
        <v>3430</v>
      </c>
      <c r="C1831" s="813">
        <v>99901</v>
      </c>
      <c r="H1831" s="805"/>
      <c r="K1831" s="805"/>
      <c r="P1831" s="805"/>
    </row>
    <row r="1832" spans="1:16" x14ac:dyDescent="0.25">
      <c r="A1832" s="813"/>
      <c r="B1832" s="841" t="s">
        <v>4829</v>
      </c>
      <c r="C1832" s="813">
        <v>98604</v>
      </c>
      <c r="H1832" s="805"/>
      <c r="K1832" s="805"/>
      <c r="P1832" s="805"/>
    </row>
    <row r="1833" spans="1:16" x14ac:dyDescent="0.25">
      <c r="A1833" s="813"/>
      <c r="B1833" s="841" t="s">
        <v>3324</v>
      </c>
      <c r="C1833" s="813">
        <v>98608</v>
      </c>
      <c r="H1833" s="805"/>
      <c r="K1833" s="805"/>
      <c r="P1833" s="805"/>
    </row>
    <row r="1834" spans="1:16" x14ac:dyDescent="0.25">
      <c r="A1834" s="813"/>
      <c r="B1834" s="841" t="s">
        <v>4830</v>
      </c>
      <c r="C1834" s="813">
        <v>99911</v>
      </c>
      <c r="H1834" s="805"/>
      <c r="K1834" s="805"/>
      <c r="P1834" s="805"/>
    </row>
    <row r="1835" spans="1:16" x14ac:dyDescent="0.25">
      <c r="A1835" s="813"/>
      <c r="B1835" s="841" t="s">
        <v>2551</v>
      </c>
      <c r="C1835" s="813">
        <v>90001</v>
      </c>
      <c r="H1835" s="805"/>
      <c r="K1835" s="805"/>
      <c r="P1835" s="805"/>
    </row>
    <row r="1836" spans="1:16" x14ac:dyDescent="0.25">
      <c r="A1836" s="813"/>
      <c r="B1836" s="841" t="s">
        <v>4831</v>
      </c>
      <c r="C1836" s="813">
        <v>90002</v>
      </c>
      <c r="H1836" s="805"/>
      <c r="K1836" s="805"/>
      <c r="P1836" s="805"/>
    </row>
    <row r="1837" spans="1:16" x14ac:dyDescent="0.25">
      <c r="A1837" s="813"/>
      <c r="B1837" s="841" t="s">
        <v>4832</v>
      </c>
      <c r="C1837" s="813">
        <v>91719</v>
      </c>
      <c r="H1837" s="805"/>
      <c r="K1837" s="805"/>
      <c r="P1837" s="805"/>
    </row>
    <row r="1838" spans="1:16" x14ac:dyDescent="0.25">
      <c r="A1838" s="813"/>
      <c r="B1838" s="841" t="s">
        <v>4833</v>
      </c>
      <c r="C1838" s="813">
        <v>93541</v>
      </c>
      <c r="H1838" s="805"/>
      <c r="K1838" s="805"/>
      <c r="P1838" s="805"/>
    </row>
    <row r="1839" spans="1:16" x14ac:dyDescent="0.25">
      <c r="A1839" s="813"/>
      <c r="B1839" s="841" t="s">
        <v>4834</v>
      </c>
      <c r="C1839" s="813">
        <v>99241</v>
      </c>
      <c r="H1839" s="805"/>
      <c r="K1839" s="805"/>
      <c r="P1839" s="805"/>
    </row>
    <row r="1840" spans="1:16" x14ac:dyDescent="0.25">
      <c r="A1840" s="813"/>
      <c r="B1840" s="846"/>
      <c r="H1840" s="805"/>
      <c r="K1840" s="805"/>
      <c r="P1840" s="805"/>
    </row>
    <row r="1841" spans="2:16" x14ac:dyDescent="0.25">
      <c r="B1841" s="846"/>
      <c r="H1841" s="805"/>
      <c r="K1841" s="805"/>
      <c r="P1841" s="805"/>
    </row>
    <row r="1842" spans="2:16" x14ac:dyDescent="0.25">
      <c r="B1842" s="846"/>
      <c r="H1842" s="805"/>
      <c r="K1842" s="805"/>
      <c r="P1842" s="805"/>
    </row>
    <row r="1843" spans="2:16" x14ac:dyDescent="0.25">
      <c r="B1843" s="846"/>
      <c r="H1843" s="805"/>
      <c r="K1843" s="805"/>
      <c r="P1843" s="805"/>
    </row>
    <row r="1844" spans="2:16" x14ac:dyDescent="0.25">
      <c r="B1844" s="846"/>
      <c r="H1844" s="805"/>
      <c r="K1844" s="805"/>
      <c r="P1844" s="805"/>
    </row>
    <row r="1845" spans="2:16" x14ac:dyDescent="0.25">
      <c r="B1845" s="846"/>
      <c r="H1845" s="805"/>
      <c r="K1845" s="805"/>
      <c r="P1845" s="805"/>
    </row>
    <row r="1846" spans="2:16" x14ac:dyDescent="0.25">
      <c r="B1846" s="846"/>
      <c r="H1846" s="805"/>
      <c r="K1846" s="805"/>
      <c r="P1846" s="805"/>
    </row>
    <row r="1847" spans="2:16" x14ac:dyDescent="0.25">
      <c r="B1847" s="846"/>
      <c r="H1847" s="805"/>
      <c r="K1847" s="805"/>
      <c r="P1847" s="805"/>
    </row>
    <row r="1848" spans="2:16" x14ac:dyDescent="0.25">
      <c r="B1848" s="846"/>
      <c r="H1848" s="805"/>
      <c r="K1848" s="805"/>
      <c r="P1848" s="805"/>
    </row>
    <row r="1849" spans="2:16" x14ac:dyDescent="0.25">
      <c r="B1849" s="846"/>
      <c r="H1849" s="805"/>
      <c r="K1849" s="805"/>
      <c r="P1849" s="805"/>
    </row>
    <row r="1850" spans="2:16" x14ac:dyDescent="0.25">
      <c r="B1850" s="846"/>
      <c r="H1850" s="805"/>
      <c r="K1850" s="805"/>
      <c r="P1850" s="805"/>
    </row>
    <row r="1851" spans="2:16" x14ac:dyDescent="0.25">
      <c r="B1851" s="846"/>
      <c r="H1851" s="805"/>
      <c r="K1851" s="805"/>
      <c r="P1851" s="805"/>
    </row>
    <row r="1852" spans="2:16" x14ac:dyDescent="0.25">
      <c r="B1852" s="846"/>
      <c r="H1852" s="805"/>
      <c r="K1852" s="805"/>
      <c r="P1852" s="805"/>
    </row>
    <row r="1853" spans="2:16" x14ac:dyDescent="0.25">
      <c r="B1853" s="846"/>
      <c r="H1853" s="805"/>
      <c r="K1853" s="805"/>
      <c r="P1853" s="805"/>
    </row>
    <row r="1854" spans="2:16" x14ac:dyDescent="0.25">
      <c r="B1854" s="846"/>
      <c r="H1854" s="805"/>
      <c r="K1854" s="805"/>
      <c r="P1854" s="805"/>
    </row>
    <row r="1855" spans="2:16" x14ac:dyDescent="0.25">
      <c r="B1855" s="846"/>
      <c r="H1855" s="805"/>
      <c r="K1855" s="805"/>
      <c r="P1855" s="805"/>
    </row>
    <row r="1856" spans="2:16" x14ac:dyDescent="0.25">
      <c r="B1856" s="846"/>
      <c r="H1856" s="805"/>
      <c r="K1856" s="805"/>
      <c r="P1856" s="805"/>
    </row>
    <row r="1857" spans="2:16" x14ac:dyDescent="0.25">
      <c r="B1857" s="846"/>
      <c r="H1857" s="805"/>
      <c r="K1857" s="805"/>
      <c r="P1857" s="805"/>
    </row>
    <row r="1858" spans="2:16" x14ac:dyDescent="0.25">
      <c r="B1858" s="846"/>
      <c r="H1858" s="805"/>
      <c r="K1858" s="805"/>
      <c r="P1858" s="805"/>
    </row>
    <row r="1859" spans="2:16" x14ac:dyDescent="0.25">
      <c r="B1859" s="846"/>
      <c r="H1859" s="805"/>
      <c r="K1859" s="805"/>
      <c r="P1859" s="805"/>
    </row>
    <row r="1860" spans="2:16" x14ac:dyDescent="0.25">
      <c r="B1860" s="846"/>
      <c r="H1860" s="805"/>
      <c r="K1860" s="805"/>
      <c r="P1860" s="805"/>
    </row>
    <row r="1861" spans="2:16" x14ac:dyDescent="0.25">
      <c r="B1861" s="846"/>
      <c r="H1861" s="805"/>
      <c r="K1861" s="805"/>
      <c r="P1861" s="805"/>
    </row>
    <row r="1862" spans="2:16" x14ac:dyDescent="0.25">
      <c r="B1862" s="846"/>
      <c r="H1862" s="805"/>
      <c r="K1862" s="805"/>
      <c r="P1862" s="805"/>
    </row>
    <row r="1863" spans="2:16" x14ac:dyDescent="0.25">
      <c r="B1863" s="846"/>
      <c r="H1863" s="805"/>
      <c r="K1863" s="805"/>
      <c r="P1863" s="805"/>
    </row>
    <row r="1864" spans="2:16" x14ac:dyDescent="0.25">
      <c r="B1864" s="846"/>
      <c r="H1864" s="805"/>
      <c r="K1864" s="805"/>
      <c r="P1864" s="805"/>
    </row>
    <row r="1865" spans="2:16" x14ac:dyDescent="0.25">
      <c r="B1865" s="846"/>
      <c r="H1865" s="805"/>
      <c r="K1865" s="805"/>
      <c r="P1865" s="805"/>
    </row>
    <row r="1866" spans="2:16" x14ac:dyDescent="0.25">
      <c r="B1866" s="846"/>
      <c r="H1866" s="805"/>
      <c r="K1866" s="805"/>
      <c r="P1866" s="805"/>
    </row>
    <row r="1867" spans="2:16" x14ac:dyDescent="0.25">
      <c r="B1867" s="846"/>
      <c r="H1867" s="805"/>
      <c r="K1867" s="805"/>
      <c r="P1867" s="805"/>
    </row>
    <row r="1868" spans="2:16" x14ac:dyDescent="0.25">
      <c r="B1868" s="846"/>
      <c r="H1868" s="805"/>
      <c r="K1868" s="805"/>
      <c r="P1868" s="805"/>
    </row>
    <row r="1869" spans="2:16" x14ac:dyDescent="0.25">
      <c r="B1869" s="846"/>
      <c r="H1869" s="805"/>
      <c r="K1869" s="805"/>
      <c r="P1869" s="805"/>
    </row>
    <row r="1870" spans="2:16" x14ac:dyDescent="0.25">
      <c r="B1870" s="846"/>
      <c r="H1870" s="805"/>
      <c r="K1870" s="805"/>
      <c r="P1870" s="805"/>
    </row>
    <row r="1871" spans="2:16" x14ac:dyDescent="0.25">
      <c r="B1871" s="846"/>
      <c r="H1871" s="805"/>
      <c r="K1871" s="805"/>
      <c r="P1871" s="805"/>
    </row>
    <row r="1872" spans="2:16" x14ac:dyDescent="0.25">
      <c r="B1872" s="846"/>
      <c r="H1872" s="805"/>
      <c r="K1872" s="805"/>
      <c r="P1872" s="805"/>
    </row>
    <row r="1873" spans="2:16" x14ac:dyDescent="0.25">
      <c r="B1873" s="846"/>
      <c r="H1873" s="805"/>
      <c r="K1873" s="805"/>
      <c r="P1873" s="805"/>
    </row>
    <row r="1874" spans="2:16" x14ac:dyDescent="0.25">
      <c r="B1874" s="846"/>
      <c r="H1874" s="805"/>
      <c r="K1874" s="805"/>
      <c r="P1874" s="805"/>
    </row>
    <row r="1875" spans="2:16" x14ac:dyDescent="0.25">
      <c r="B1875" s="846"/>
      <c r="H1875" s="805"/>
      <c r="K1875" s="805"/>
      <c r="P1875" s="805"/>
    </row>
    <row r="1876" spans="2:16" x14ac:dyDescent="0.25">
      <c r="B1876" s="846"/>
      <c r="H1876" s="805"/>
      <c r="K1876" s="805"/>
      <c r="P1876" s="805"/>
    </row>
    <row r="1877" spans="2:16" x14ac:dyDescent="0.25">
      <c r="B1877" s="846"/>
      <c r="H1877" s="805"/>
      <c r="K1877" s="805"/>
      <c r="P1877" s="805"/>
    </row>
    <row r="1878" spans="2:16" x14ac:dyDescent="0.25">
      <c r="B1878" s="846"/>
      <c r="H1878" s="805"/>
      <c r="K1878" s="805"/>
      <c r="P1878" s="805"/>
    </row>
    <row r="1879" spans="2:16" x14ac:dyDescent="0.25">
      <c r="B1879" s="846"/>
      <c r="H1879" s="805"/>
      <c r="K1879" s="805"/>
      <c r="P1879" s="805"/>
    </row>
    <row r="1880" spans="2:16" x14ac:dyDescent="0.25">
      <c r="B1880" s="846"/>
      <c r="H1880" s="805"/>
      <c r="K1880" s="805"/>
      <c r="P1880" s="805"/>
    </row>
    <row r="1881" spans="2:16" x14ac:dyDescent="0.25">
      <c r="B1881" s="846"/>
      <c r="H1881" s="805"/>
      <c r="K1881" s="805"/>
      <c r="P1881" s="805"/>
    </row>
    <row r="1882" spans="2:16" x14ac:dyDescent="0.25">
      <c r="B1882" s="846"/>
      <c r="H1882" s="805"/>
      <c r="K1882" s="805"/>
      <c r="P1882" s="805"/>
    </row>
    <row r="1883" spans="2:16" x14ac:dyDescent="0.25">
      <c r="B1883" s="846"/>
      <c r="H1883" s="805"/>
      <c r="K1883" s="805"/>
      <c r="P1883" s="805"/>
    </row>
    <row r="1884" spans="2:16" x14ac:dyDescent="0.25">
      <c r="B1884" s="846"/>
      <c r="H1884" s="805"/>
      <c r="K1884" s="805"/>
      <c r="P1884" s="805"/>
    </row>
    <row r="1885" spans="2:16" x14ac:dyDescent="0.25">
      <c r="B1885" s="846"/>
      <c r="H1885" s="805"/>
      <c r="K1885" s="805"/>
      <c r="P1885" s="805"/>
    </row>
    <row r="1886" spans="2:16" x14ac:dyDescent="0.25">
      <c r="B1886" s="846"/>
      <c r="H1886" s="805"/>
      <c r="K1886" s="805"/>
      <c r="P1886" s="805"/>
    </row>
    <row r="1887" spans="2:16" x14ac:dyDescent="0.25">
      <c r="B1887" s="846"/>
      <c r="H1887" s="805"/>
      <c r="K1887" s="805"/>
      <c r="P1887" s="805"/>
    </row>
    <row r="1888" spans="2:16" x14ac:dyDescent="0.25">
      <c r="B1888" s="846"/>
      <c r="H1888" s="805"/>
      <c r="K1888" s="805"/>
      <c r="P1888" s="805"/>
    </row>
    <row r="1889" spans="2:16" x14ac:dyDescent="0.25">
      <c r="B1889" s="846"/>
      <c r="H1889" s="805"/>
      <c r="K1889" s="805"/>
      <c r="P1889" s="805"/>
    </row>
    <row r="1890" spans="2:16" x14ac:dyDescent="0.25">
      <c r="B1890" s="846"/>
      <c r="H1890" s="805"/>
      <c r="K1890" s="805"/>
      <c r="P1890" s="805"/>
    </row>
    <row r="1891" spans="2:16" x14ac:dyDescent="0.25">
      <c r="B1891" s="846"/>
      <c r="H1891" s="805"/>
      <c r="K1891" s="805"/>
      <c r="P1891" s="805"/>
    </row>
    <row r="1892" spans="2:16" x14ac:dyDescent="0.25">
      <c r="B1892" s="846"/>
      <c r="H1892" s="805"/>
      <c r="K1892" s="805"/>
      <c r="P1892" s="805"/>
    </row>
    <row r="1893" spans="2:16" x14ac:dyDescent="0.25">
      <c r="B1893" s="846"/>
      <c r="H1893" s="805"/>
      <c r="K1893" s="805"/>
      <c r="P1893" s="805"/>
    </row>
    <row r="1894" spans="2:16" x14ac:dyDescent="0.25">
      <c r="B1894" s="846"/>
      <c r="H1894" s="805"/>
      <c r="K1894" s="805"/>
      <c r="P1894" s="805"/>
    </row>
    <row r="1895" spans="2:16" x14ac:dyDescent="0.25">
      <c r="B1895" s="846"/>
      <c r="H1895" s="805"/>
      <c r="K1895" s="805"/>
      <c r="P1895" s="805"/>
    </row>
    <row r="1896" spans="2:16" x14ac:dyDescent="0.25">
      <c r="B1896" s="846"/>
      <c r="H1896" s="805"/>
      <c r="K1896" s="805"/>
      <c r="P1896" s="805"/>
    </row>
    <row r="1897" spans="2:16" x14ac:dyDescent="0.25">
      <c r="B1897" s="846"/>
      <c r="H1897" s="805"/>
      <c r="K1897" s="805"/>
      <c r="P1897" s="805"/>
    </row>
    <row r="1898" spans="2:16" x14ac:dyDescent="0.25">
      <c r="B1898" s="846"/>
      <c r="H1898" s="805"/>
      <c r="K1898" s="805"/>
      <c r="P1898" s="805"/>
    </row>
    <row r="1899" spans="2:16" x14ac:dyDescent="0.25">
      <c r="B1899" s="846"/>
      <c r="H1899" s="805"/>
      <c r="K1899" s="805"/>
      <c r="P1899" s="805"/>
    </row>
    <row r="1900" spans="2:16" x14ac:dyDescent="0.25">
      <c r="B1900" s="846"/>
      <c r="H1900" s="805"/>
      <c r="K1900" s="805"/>
      <c r="P1900" s="805"/>
    </row>
    <row r="1901" spans="2:16" x14ac:dyDescent="0.25">
      <c r="B1901" s="846"/>
      <c r="H1901" s="805"/>
      <c r="K1901" s="805"/>
      <c r="P1901" s="805"/>
    </row>
    <row r="1902" spans="2:16" x14ac:dyDescent="0.25">
      <c r="B1902" s="846"/>
      <c r="H1902" s="805"/>
      <c r="K1902" s="805"/>
      <c r="P1902" s="805"/>
    </row>
    <row r="1903" spans="2:16" x14ac:dyDescent="0.25">
      <c r="B1903" s="846"/>
      <c r="H1903" s="805"/>
      <c r="K1903" s="805"/>
      <c r="P1903" s="805"/>
    </row>
    <row r="1904" spans="2:16" x14ac:dyDescent="0.25">
      <c r="B1904" s="846"/>
      <c r="H1904" s="805"/>
      <c r="K1904" s="805"/>
      <c r="P1904" s="805"/>
    </row>
    <row r="1905" spans="2:16" x14ac:dyDescent="0.25">
      <c r="B1905" s="846"/>
      <c r="H1905" s="805"/>
      <c r="K1905" s="805"/>
      <c r="P1905" s="805"/>
    </row>
    <row r="1906" spans="2:16" x14ac:dyDescent="0.25">
      <c r="B1906" s="846"/>
      <c r="H1906" s="805"/>
      <c r="K1906" s="805"/>
      <c r="P1906" s="805"/>
    </row>
    <row r="1907" spans="2:16" x14ac:dyDescent="0.25">
      <c r="B1907" s="846"/>
      <c r="H1907" s="805"/>
      <c r="K1907" s="805"/>
      <c r="P1907" s="805"/>
    </row>
    <row r="1908" spans="2:16" x14ac:dyDescent="0.25">
      <c r="B1908" s="846"/>
      <c r="H1908" s="805"/>
      <c r="K1908" s="805"/>
      <c r="P1908" s="805"/>
    </row>
    <row r="1909" spans="2:16" x14ac:dyDescent="0.25">
      <c r="B1909" s="846"/>
      <c r="H1909" s="805"/>
      <c r="K1909" s="805"/>
      <c r="P1909" s="805"/>
    </row>
  </sheetData>
  <pageMargins left="0.7" right="0.7" top="0.75" bottom="0.75" header="0.3" footer="0.3"/>
  <pageSetup paperSize="5" scale="40" fitToHeight="0"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T1813"/>
  <sheetViews>
    <sheetView workbookViewId="0"/>
  </sheetViews>
  <sheetFormatPr defaultColWidth="9.140625" defaultRowHeight="15" x14ac:dyDescent="0.25"/>
  <cols>
    <col min="1" max="1" width="10.5703125" style="707" customWidth="1"/>
    <col min="2" max="2" width="43.7109375" style="707" customWidth="1"/>
    <col min="3" max="4" width="13.85546875" style="707" customWidth="1"/>
    <col min="5" max="5" width="18.28515625" style="707" customWidth="1"/>
    <col min="6" max="6" width="3.85546875" style="707" customWidth="1"/>
    <col min="7" max="7" width="18.28515625" style="707" customWidth="1"/>
    <col min="8" max="8" width="20" style="708" customWidth="1"/>
    <col min="9" max="9" width="14.42578125" style="707" customWidth="1"/>
    <col min="10" max="10" width="19.42578125" style="707" customWidth="1"/>
    <col min="11" max="11" width="20" style="708" customWidth="1"/>
    <col min="12" max="12" width="3.85546875" style="707" customWidth="1"/>
    <col min="13" max="13" width="18.28515625" style="707" customWidth="1"/>
    <col min="14" max="14" width="11.85546875" style="707" customWidth="1"/>
    <col min="15" max="15" width="19.42578125" style="707" customWidth="1"/>
    <col min="16" max="16" width="20" style="708" customWidth="1"/>
    <col min="17" max="17" width="3.85546875" style="707" customWidth="1"/>
    <col min="18" max="18" width="13.85546875" style="707" customWidth="1"/>
    <col min="19" max="19" width="22.42578125" style="707" customWidth="1"/>
    <col min="20" max="20" width="14.85546875" style="707" bestFit="1" customWidth="1"/>
    <col min="21" max="16384" width="9.140625" style="707"/>
  </cols>
  <sheetData>
    <row r="1" spans="1:20" x14ac:dyDescent="0.25">
      <c r="A1" s="707" t="s">
        <v>3544</v>
      </c>
      <c r="H1" s="707"/>
    </row>
    <row r="2" spans="1:20" x14ac:dyDescent="0.25">
      <c r="A2" s="707" t="s">
        <v>3545</v>
      </c>
      <c r="H2" s="707"/>
    </row>
    <row r="3" spans="1:20" x14ac:dyDescent="0.25">
      <c r="H3" s="707"/>
    </row>
    <row r="4" spans="1:20" x14ac:dyDescent="0.25">
      <c r="G4" s="709" t="s">
        <v>1131</v>
      </c>
      <c r="H4" s="709"/>
      <c r="I4" s="709"/>
      <c r="J4" s="709"/>
      <c r="K4" s="710"/>
      <c r="M4" s="709" t="s">
        <v>1132</v>
      </c>
      <c r="N4" s="709"/>
      <c r="O4" s="709"/>
      <c r="P4" s="710"/>
      <c r="R4" s="709" t="s">
        <v>1133</v>
      </c>
      <c r="S4" s="709"/>
      <c r="T4" s="709"/>
    </row>
    <row r="5" spans="1:20" ht="120" x14ac:dyDescent="0.25">
      <c r="A5" s="711" t="s">
        <v>1130</v>
      </c>
      <c r="B5" s="711" t="s">
        <v>1134</v>
      </c>
      <c r="C5" s="711" t="s">
        <v>2090</v>
      </c>
      <c r="D5" s="711" t="s">
        <v>2091</v>
      </c>
      <c r="E5" s="711" t="s">
        <v>1143</v>
      </c>
      <c r="F5" s="711"/>
      <c r="G5" s="711" t="s">
        <v>1136</v>
      </c>
      <c r="H5" s="712" t="s">
        <v>1137</v>
      </c>
      <c r="I5" s="711" t="s">
        <v>1138</v>
      </c>
      <c r="J5" s="711" t="s">
        <v>1139</v>
      </c>
      <c r="K5" s="712" t="s">
        <v>3546</v>
      </c>
      <c r="L5" s="711"/>
      <c r="M5" s="711" t="s">
        <v>1136</v>
      </c>
      <c r="N5" s="711" t="s">
        <v>1138</v>
      </c>
      <c r="O5" s="711" t="s">
        <v>1139</v>
      </c>
      <c r="P5" s="712" t="s">
        <v>3547</v>
      </c>
      <c r="Q5" s="711"/>
      <c r="R5" s="711" t="s">
        <v>1140</v>
      </c>
      <c r="S5" s="711" t="s">
        <v>1141</v>
      </c>
      <c r="T5" s="711" t="s">
        <v>1142</v>
      </c>
    </row>
    <row r="6" spans="1:20" x14ac:dyDescent="0.25">
      <c r="A6" s="713" t="s">
        <v>480</v>
      </c>
      <c r="B6" s="714" t="s">
        <v>2094</v>
      </c>
      <c r="C6" s="711"/>
      <c r="D6" s="711"/>
      <c r="E6" s="711"/>
      <c r="F6" s="711"/>
      <c r="G6" s="711"/>
      <c r="H6" s="712"/>
      <c r="I6" s="711"/>
      <c r="J6" s="711"/>
      <c r="K6" s="712"/>
      <c r="L6" s="711"/>
      <c r="M6" s="711"/>
      <c r="N6" s="711"/>
      <c r="O6" s="711"/>
      <c r="P6" s="712"/>
      <c r="Q6" s="711"/>
      <c r="R6" s="711"/>
      <c r="S6" s="711"/>
      <c r="T6" s="711"/>
    </row>
    <row r="7" spans="1:20" x14ac:dyDescent="0.25">
      <c r="A7" s="715">
        <v>70505</v>
      </c>
      <c r="B7" s="716" t="s">
        <v>2547</v>
      </c>
      <c r="C7" s="717">
        <v>4.147E-4</v>
      </c>
      <c r="D7" s="717">
        <v>4.6880000000000001E-4</v>
      </c>
      <c r="E7" s="718">
        <v>633547</v>
      </c>
      <c r="F7" s="718"/>
      <c r="G7" s="719">
        <v>36498</v>
      </c>
      <c r="H7" s="720">
        <v>153826</v>
      </c>
      <c r="I7" s="719">
        <v>90479</v>
      </c>
      <c r="J7" s="718">
        <v>0</v>
      </c>
      <c r="K7" s="720">
        <f t="shared" ref="K7:K70" si="0">G7+H7+I7+J7</f>
        <v>280803</v>
      </c>
      <c r="L7" s="718"/>
      <c r="M7" s="719">
        <v>17934</v>
      </c>
      <c r="N7" s="719">
        <v>0</v>
      </c>
      <c r="O7" s="718">
        <v>53472</v>
      </c>
      <c r="P7" s="720">
        <f t="shared" ref="P7:P70" si="1">M7+N7+O7</f>
        <v>71406</v>
      </c>
      <c r="Q7" s="718"/>
      <c r="R7" s="719">
        <v>213506</v>
      </c>
      <c r="S7" s="721">
        <v>-18259</v>
      </c>
      <c r="T7" s="721">
        <v>195247</v>
      </c>
    </row>
    <row r="8" spans="1:20" x14ac:dyDescent="0.25">
      <c r="A8" s="715">
        <v>72265</v>
      </c>
      <c r="B8" s="716" t="s">
        <v>2549</v>
      </c>
      <c r="C8" s="717">
        <v>1.4009999999999999E-4</v>
      </c>
      <c r="D8" s="717">
        <v>1.327E-4</v>
      </c>
      <c r="E8" s="718">
        <v>214034</v>
      </c>
      <c r="F8" s="718"/>
      <c r="G8" s="719">
        <v>12330</v>
      </c>
      <c r="H8" s="720">
        <v>51967</v>
      </c>
      <c r="I8" s="719">
        <v>30567</v>
      </c>
      <c r="J8" s="718">
        <v>6550</v>
      </c>
      <c r="K8" s="720">
        <f t="shared" si="0"/>
        <v>101414</v>
      </c>
      <c r="L8" s="718"/>
      <c r="M8" s="719">
        <v>6059</v>
      </c>
      <c r="N8" s="719">
        <v>0</v>
      </c>
      <c r="O8" s="718">
        <v>3729</v>
      </c>
      <c r="P8" s="720">
        <f t="shared" si="1"/>
        <v>9788</v>
      </c>
      <c r="Q8" s="718"/>
      <c r="R8" s="719">
        <v>72130</v>
      </c>
      <c r="S8" s="721">
        <v>3031</v>
      </c>
      <c r="T8" s="721">
        <v>75161</v>
      </c>
    </row>
    <row r="9" spans="1:20" x14ac:dyDescent="0.25">
      <c r="A9" s="715">
        <v>72593</v>
      </c>
      <c r="B9" s="716" t="s">
        <v>3548</v>
      </c>
      <c r="C9" s="717">
        <v>5.9000000000000003E-6</v>
      </c>
      <c r="D9" s="717">
        <v>0</v>
      </c>
      <c r="E9" s="718">
        <v>9014</v>
      </c>
      <c r="F9" s="718"/>
      <c r="G9" s="719">
        <v>519</v>
      </c>
      <c r="H9" s="720">
        <v>2188</v>
      </c>
      <c r="I9" s="719">
        <v>1287</v>
      </c>
      <c r="J9" s="718">
        <v>3014</v>
      </c>
      <c r="K9" s="720">
        <f t="shared" si="0"/>
        <v>7008</v>
      </c>
      <c r="L9" s="718"/>
      <c r="M9" s="719">
        <v>255</v>
      </c>
      <c r="N9" s="719">
        <v>0</v>
      </c>
      <c r="O9" s="718">
        <v>0</v>
      </c>
      <c r="P9" s="720">
        <f t="shared" si="1"/>
        <v>255</v>
      </c>
      <c r="Q9" s="718"/>
      <c r="R9" s="719">
        <v>3038</v>
      </c>
      <c r="S9" s="721">
        <v>753</v>
      </c>
      <c r="T9" s="721">
        <v>3791</v>
      </c>
    </row>
    <row r="10" spans="1:20" x14ac:dyDescent="0.25">
      <c r="A10" s="715">
        <v>72657</v>
      </c>
      <c r="B10" s="716" t="s">
        <v>2550</v>
      </c>
      <c r="C10" s="717">
        <v>3.9900000000000001E-5</v>
      </c>
      <c r="D10" s="717">
        <v>4.2799999999999997E-5</v>
      </c>
      <c r="E10" s="718">
        <v>60956</v>
      </c>
      <c r="F10" s="718"/>
      <c r="G10" s="719">
        <v>3512</v>
      </c>
      <c r="H10" s="720">
        <v>14801</v>
      </c>
      <c r="I10" s="719">
        <v>8705</v>
      </c>
      <c r="J10" s="718">
        <v>3272</v>
      </c>
      <c r="K10" s="720">
        <f t="shared" si="0"/>
        <v>30290</v>
      </c>
      <c r="L10" s="718"/>
      <c r="M10" s="719">
        <v>1725</v>
      </c>
      <c r="N10" s="719">
        <v>0</v>
      </c>
      <c r="O10" s="718">
        <v>6366</v>
      </c>
      <c r="P10" s="720">
        <f t="shared" si="1"/>
        <v>8091</v>
      </c>
      <c r="Q10" s="718"/>
      <c r="R10" s="719">
        <v>20542</v>
      </c>
      <c r="S10" s="721">
        <v>900</v>
      </c>
      <c r="T10" s="721">
        <v>21442</v>
      </c>
    </row>
    <row r="11" spans="1:20" x14ac:dyDescent="0.25">
      <c r="A11" s="715">
        <v>90001</v>
      </c>
      <c r="B11" s="716" t="s">
        <v>2551</v>
      </c>
      <c r="C11" s="717">
        <v>8.6030000000000004E-4</v>
      </c>
      <c r="D11" s="717">
        <v>8.6910000000000004E-4</v>
      </c>
      <c r="E11" s="718">
        <v>1314300</v>
      </c>
      <c r="F11" s="718"/>
      <c r="G11" s="719">
        <v>75716</v>
      </c>
      <c r="H11" s="720">
        <v>319114</v>
      </c>
      <c r="I11" s="719">
        <v>187700</v>
      </c>
      <c r="J11" s="718">
        <v>11972</v>
      </c>
      <c r="K11" s="720">
        <f t="shared" si="0"/>
        <v>594502</v>
      </c>
      <c r="L11" s="718"/>
      <c r="M11" s="719">
        <v>37204</v>
      </c>
      <c r="N11" s="719">
        <v>0</v>
      </c>
      <c r="O11" s="718">
        <v>15474</v>
      </c>
      <c r="P11" s="720">
        <f t="shared" si="1"/>
        <v>52678</v>
      </c>
      <c r="Q11" s="718"/>
      <c r="R11" s="719">
        <v>442920</v>
      </c>
      <c r="S11" s="721">
        <v>891</v>
      </c>
      <c r="T11" s="721">
        <f>443812-1</f>
        <v>443811</v>
      </c>
    </row>
    <row r="12" spans="1:20" x14ac:dyDescent="0.25">
      <c r="A12" s="715">
        <v>90002</v>
      </c>
      <c r="B12" s="716" t="s">
        <v>2552</v>
      </c>
      <c r="C12" s="717">
        <v>1.06E-5</v>
      </c>
      <c r="D12" s="717">
        <v>1.15E-5</v>
      </c>
      <c r="E12" s="718">
        <v>16194</v>
      </c>
      <c r="F12" s="718"/>
      <c r="G12" s="719">
        <v>933</v>
      </c>
      <c r="H12" s="720">
        <v>3932</v>
      </c>
      <c r="I12" s="719">
        <v>2313</v>
      </c>
      <c r="J12" s="718">
        <v>1497</v>
      </c>
      <c r="K12" s="720">
        <f t="shared" si="0"/>
        <v>8675</v>
      </c>
      <c r="L12" s="718"/>
      <c r="M12" s="719">
        <v>458</v>
      </c>
      <c r="N12" s="719">
        <v>0</v>
      </c>
      <c r="O12" s="718">
        <v>0</v>
      </c>
      <c r="P12" s="720">
        <f t="shared" si="1"/>
        <v>458</v>
      </c>
      <c r="Q12" s="718"/>
      <c r="R12" s="719">
        <v>5457</v>
      </c>
      <c r="S12" s="721">
        <v>563</v>
      </c>
      <c r="T12" s="721">
        <v>6020</v>
      </c>
    </row>
    <row r="13" spans="1:20" x14ac:dyDescent="0.25">
      <c r="A13" s="715">
        <v>90011</v>
      </c>
      <c r="B13" s="716" t="s">
        <v>2553</v>
      </c>
      <c r="C13" s="717">
        <v>1.974E-4</v>
      </c>
      <c r="D13" s="717">
        <v>2.0819999999999999E-4</v>
      </c>
      <c r="E13" s="718">
        <v>301573</v>
      </c>
      <c r="F13" s="718"/>
      <c r="G13" s="719">
        <v>17373</v>
      </c>
      <c r="H13" s="720">
        <v>73222</v>
      </c>
      <c r="I13" s="719">
        <v>43069</v>
      </c>
      <c r="J13" s="718">
        <v>2300</v>
      </c>
      <c r="K13" s="720">
        <f t="shared" si="0"/>
        <v>135964</v>
      </c>
      <c r="L13" s="718"/>
      <c r="M13" s="719">
        <v>8537</v>
      </c>
      <c r="N13" s="719">
        <v>0</v>
      </c>
      <c r="O13" s="718">
        <v>30094</v>
      </c>
      <c r="P13" s="720">
        <f t="shared" si="1"/>
        <v>38631</v>
      </c>
      <c r="Q13" s="718"/>
      <c r="R13" s="719">
        <v>101630</v>
      </c>
      <c r="S13" s="721">
        <v>-7615</v>
      </c>
      <c r="T13" s="721">
        <v>94015</v>
      </c>
    </row>
    <row r="14" spans="1:20" x14ac:dyDescent="0.25">
      <c r="A14" s="715">
        <v>90092</v>
      </c>
      <c r="B14" s="716" t="s">
        <v>2554</v>
      </c>
      <c r="C14" s="717">
        <v>3.5349999999999997E-4</v>
      </c>
      <c r="D14" s="717">
        <v>3.946E-4</v>
      </c>
      <c r="E14" s="718">
        <v>540050</v>
      </c>
      <c r="F14" s="718"/>
      <c r="G14" s="719">
        <v>31112</v>
      </c>
      <c r="H14" s="720">
        <v>131125</v>
      </c>
      <c r="I14" s="719">
        <v>77127</v>
      </c>
      <c r="J14" s="718">
        <v>0</v>
      </c>
      <c r="K14" s="720">
        <f t="shared" si="0"/>
        <v>239364</v>
      </c>
      <c r="L14" s="718"/>
      <c r="M14" s="719">
        <v>15287</v>
      </c>
      <c r="N14" s="719">
        <v>0</v>
      </c>
      <c r="O14" s="718">
        <v>83168</v>
      </c>
      <c r="P14" s="720">
        <f t="shared" si="1"/>
        <v>98455</v>
      </c>
      <c r="Q14" s="718"/>
      <c r="R14" s="719">
        <v>181997</v>
      </c>
      <c r="S14" s="721">
        <v>-42793</v>
      </c>
      <c r="T14" s="721">
        <f>139205-1</f>
        <v>139204</v>
      </c>
    </row>
    <row r="15" spans="1:20" x14ac:dyDescent="0.25">
      <c r="A15" s="715">
        <v>90096</v>
      </c>
      <c r="B15" s="716" t="s">
        <v>2555</v>
      </c>
      <c r="C15" s="717">
        <v>9.7559999999999997E-4</v>
      </c>
      <c r="D15" s="717">
        <v>1.3860999999999999E-3</v>
      </c>
      <c r="E15" s="718">
        <v>1490447</v>
      </c>
      <c r="F15" s="718"/>
      <c r="G15" s="719">
        <v>85864</v>
      </c>
      <c r="H15" s="720">
        <v>361882</v>
      </c>
      <c r="I15" s="719">
        <v>212856</v>
      </c>
      <c r="J15" s="718">
        <v>43597</v>
      </c>
      <c r="K15" s="720">
        <f t="shared" si="0"/>
        <v>704199</v>
      </c>
      <c r="L15" s="718"/>
      <c r="M15" s="719">
        <v>42190</v>
      </c>
      <c r="N15" s="719">
        <v>0</v>
      </c>
      <c r="O15" s="718">
        <v>238564</v>
      </c>
      <c r="P15" s="720">
        <f t="shared" si="1"/>
        <v>280754</v>
      </c>
      <c r="Q15" s="718"/>
      <c r="R15" s="719">
        <v>502282</v>
      </c>
      <c r="S15" s="721">
        <v>-27538</v>
      </c>
      <c r="T15" s="721">
        <v>474744</v>
      </c>
    </row>
    <row r="16" spans="1:20" x14ac:dyDescent="0.25">
      <c r="A16" s="715">
        <v>90098</v>
      </c>
      <c r="B16" s="716" t="s">
        <v>2556</v>
      </c>
      <c r="C16" s="717">
        <v>2.9599999999999998E-4</v>
      </c>
      <c r="D16" s="717">
        <v>2.9280000000000002E-4</v>
      </c>
      <c r="E16" s="718">
        <v>452206</v>
      </c>
      <c r="F16" s="718"/>
      <c r="G16" s="719">
        <v>26051</v>
      </c>
      <c r="H16" s="720">
        <v>109796</v>
      </c>
      <c r="I16" s="719">
        <v>64581</v>
      </c>
      <c r="J16" s="718">
        <v>5581</v>
      </c>
      <c r="K16" s="720">
        <f t="shared" si="0"/>
        <v>206009</v>
      </c>
      <c r="L16" s="718"/>
      <c r="M16" s="719">
        <v>12801</v>
      </c>
      <c r="N16" s="719">
        <v>0</v>
      </c>
      <c r="O16" s="718">
        <v>110893</v>
      </c>
      <c r="P16" s="720">
        <f t="shared" si="1"/>
        <v>123694</v>
      </c>
      <c r="Q16" s="718"/>
      <c r="R16" s="719">
        <v>152394</v>
      </c>
      <c r="S16" s="721">
        <v>-51374</v>
      </c>
      <c r="T16" s="721">
        <v>101020</v>
      </c>
    </row>
    <row r="17" spans="1:20" x14ac:dyDescent="0.25">
      <c r="A17" s="715">
        <v>90099</v>
      </c>
      <c r="B17" s="716" t="s">
        <v>2557</v>
      </c>
      <c r="C17" s="717">
        <v>6.6330000000000002E-4</v>
      </c>
      <c r="D17" s="717">
        <v>4.9330000000000001E-4</v>
      </c>
      <c r="E17" s="718">
        <v>1013339</v>
      </c>
      <c r="F17" s="718"/>
      <c r="G17" s="719">
        <v>58378</v>
      </c>
      <c r="H17" s="720">
        <v>246040</v>
      </c>
      <c r="I17" s="719">
        <v>144719</v>
      </c>
      <c r="J17" s="718">
        <v>89744</v>
      </c>
      <c r="K17" s="720">
        <f t="shared" si="0"/>
        <v>538881</v>
      </c>
      <c r="L17" s="718"/>
      <c r="M17" s="719">
        <v>28684</v>
      </c>
      <c r="N17" s="719">
        <v>0</v>
      </c>
      <c r="O17" s="718">
        <v>44006</v>
      </c>
      <c r="P17" s="720">
        <f t="shared" si="1"/>
        <v>72690</v>
      </c>
      <c r="Q17" s="718"/>
      <c r="R17" s="719">
        <v>341496</v>
      </c>
      <c r="S17" s="721">
        <v>7780</v>
      </c>
      <c r="T17" s="721">
        <v>349276</v>
      </c>
    </row>
    <row r="18" spans="1:20" x14ac:dyDescent="0.25">
      <c r="A18" s="715">
        <v>90101</v>
      </c>
      <c r="B18" s="716" t="s">
        <v>2558</v>
      </c>
      <c r="C18" s="717">
        <v>6.6312000000000003E-3</v>
      </c>
      <c r="D18" s="717">
        <v>6.3996000000000001E-3</v>
      </c>
      <c r="E18" s="718">
        <v>10130637</v>
      </c>
      <c r="F18" s="718"/>
      <c r="G18" s="719">
        <v>583619</v>
      </c>
      <c r="H18" s="720">
        <v>2459731</v>
      </c>
      <c r="I18" s="719">
        <v>1446795</v>
      </c>
      <c r="J18" s="718">
        <v>245836</v>
      </c>
      <c r="K18" s="720">
        <f t="shared" si="0"/>
        <v>4735981</v>
      </c>
      <c r="L18" s="718"/>
      <c r="M18" s="719">
        <v>286766</v>
      </c>
      <c r="N18" s="719">
        <v>0</v>
      </c>
      <c r="O18" s="718">
        <v>25616</v>
      </c>
      <c r="P18" s="720">
        <f t="shared" si="1"/>
        <v>312382</v>
      </c>
      <c r="Q18" s="718"/>
      <c r="R18" s="719">
        <v>3414034</v>
      </c>
      <c r="S18" s="721">
        <v>67895</v>
      </c>
      <c r="T18" s="721">
        <f>3481928+1</f>
        <v>3481929</v>
      </c>
    </row>
    <row r="19" spans="1:20" x14ac:dyDescent="0.25">
      <c r="A19" s="715">
        <v>90111</v>
      </c>
      <c r="B19" s="716" t="s">
        <v>2559</v>
      </c>
      <c r="C19" s="717">
        <v>4.9740000000000001E-3</v>
      </c>
      <c r="D19" s="717">
        <v>4.8874000000000001E-3</v>
      </c>
      <c r="E19" s="718">
        <v>7598894</v>
      </c>
      <c r="F19" s="718"/>
      <c r="G19" s="719">
        <v>437767</v>
      </c>
      <c r="H19" s="720">
        <v>1845021</v>
      </c>
      <c r="I19" s="719">
        <v>1085227</v>
      </c>
      <c r="J19" s="718">
        <v>15088</v>
      </c>
      <c r="K19" s="720">
        <f t="shared" si="0"/>
        <v>3383103</v>
      </c>
      <c r="L19" s="718"/>
      <c r="M19" s="719">
        <v>215101</v>
      </c>
      <c r="N19" s="719">
        <v>0</v>
      </c>
      <c r="O19" s="718">
        <v>106602</v>
      </c>
      <c r="P19" s="720">
        <f t="shared" si="1"/>
        <v>321703</v>
      </c>
      <c r="Q19" s="718"/>
      <c r="R19" s="719">
        <v>2560834</v>
      </c>
      <c r="S19" s="721">
        <v>-53609</v>
      </c>
      <c r="T19" s="721">
        <v>2507225</v>
      </c>
    </row>
    <row r="20" spans="1:20" x14ac:dyDescent="0.25">
      <c r="A20" s="715">
        <v>90114</v>
      </c>
      <c r="B20" s="716" t="s">
        <v>2560</v>
      </c>
      <c r="C20" s="717">
        <v>1.0919E-3</v>
      </c>
      <c r="D20" s="717">
        <v>1.0681E-3</v>
      </c>
      <c r="E20" s="718">
        <v>1668121</v>
      </c>
      <c r="F20" s="718"/>
      <c r="G20" s="719">
        <v>96099</v>
      </c>
      <c r="H20" s="720">
        <v>405022</v>
      </c>
      <c r="I20" s="719">
        <v>238231</v>
      </c>
      <c r="J20" s="718">
        <v>1077044</v>
      </c>
      <c r="K20" s="720">
        <f t="shared" si="0"/>
        <v>1816396</v>
      </c>
      <c r="L20" s="718"/>
      <c r="M20" s="719">
        <v>47219</v>
      </c>
      <c r="N20" s="719">
        <v>0</v>
      </c>
      <c r="O20" s="718">
        <v>0</v>
      </c>
      <c r="P20" s="720">
        <f t="shared" si="1"/>
        <v>47219</v>
      </c>
      <c r="Q20" s="718"/>
      <c r="R20" s="719">
        <v>562158</v>
      </c>
      <c r="S20" s="721">
        <v>371192</v>
      </c>
      <c r="T20" s="721">
        <v>933350</v>
      </c>
    </row>
    <row r="21" spans="1:20" x14ac:dyDescent="0.25">
      <c r="A21" s="715">
        <v>90117</v>
      </c>
      <c r="B21" s="716" t="s">
        <v>2561</v>
      </c>
      <c r="C21" s="717">
        <v>1.407E-4</v>
      </c>
      <c r="D21" s="717">
        <v>1.35E-4</v>
      </c>
      <c r="E21" s="718">
        <v>214951</v>
      </c>
      <c r="F21" s="718"/>
      <c r="G21" s="719">
        <v>12383</v>
      </c>
      <c r="H21" s="720">
        <v>52190</v>
      </c>
      <c r="I21" s="719">
        <v>30698</v>
      </c>
      <c r="J21" s="718">
        <v>44526</v>
      </c>
      <c r="K21" s="720">
        <f t="shared" si="0"/>
        <v>139797</v>
      </c>
      <c r="L21" s="718"/>
      <c r="M21" s="719">
        <v>6085</v>
      </c>
      <c r="N21" s="719">
        <v>0</v>
      </c>
      <c r="O21" s="718">
        <v>0</v>
      </c>
      <c r="P21" s="720">
        <f t="shared" si="1"/>
        <v>6085</v>
      </c>
      <c r="Q21" s="718"/>
      <c r="R21" s="719">
        <v>72439</v>
      </c>
      <c r="S21" s="721">
        <v>18359</v>
      </c>
      <c r="T21" s="721">
        <f>90797+1</f>
        <v>90798</v>
      </c>
    </row>
    <row r="22" spans="1:20" x14ac:dyDescent="0.25">
      <c r="A22" s="715">
        <v>90121</v>
      </c>
      <c r="B22" s="716" t="s">
        <v>2562</v>
      </c>
      <c r="C22" s="717">
        <v>1.0991E-3</v>
      </c>
      <c r="D22" s="717">
        <v>1.0789E-3</v>
      </c>
      <c r="E22" s="718">
        <v>1679120</v>
      </c>
      <c r="F22" s="718"/>
      <c r="G22" s="719">
        <v>96733</v>
      </c>
      <c r="H22" s="720">
        <v>407692</v>
      </c>
      <c r="I22" s="719">
        <v>239802</v>
      </c>
      <c r="J22" s="718">
        <v>3244</v>
      </c>
      <c r="K22" s="720">
        <f t="shared" si="0"/>
        <v>747471</v>
      </c>
      <c r="L22" s="718"/>
      <c r="M22" s="719">
        <v>47531</v>
      </c>
      <c r="N22" s="719">
        <v>0</v>
      </c>
      <c r="O22" s="718">
        <v>81552</v>
      </c>
      <c r="P22" s="720">
        <f t="shared" si="1"/>
        <v>129083</v>
      </c>
      <c r="Q22" s="718"/>
      <c r="R22" s="719">
        <v>565865</v>
      </c>
      <c r="S22" s="721">
        <v>-25049</v>
      </c>
      <c r="T22" s="721">
        <v>540816</v>
      </c>
    </row>
    <row r="23" spans="1:20" x14ac:dyDescent="0.25">
      <c r="A23" s="715">
        <v>90131</v>
      </c>
      <c r="B23" s="716" t="s">
        <v>2563</v>
      </c>
      <c r="C23" s="717">
        <v>4.7639999999999998E-4</v>
      </c>
      <c r="D23" s="717">
        <v>5.0440000000000001E-4</v>
      </c>
      <c r="E23" s="718">
        <v>727807</v>
      </c>
      <c r="F23" s="718"/>
      <c r="G23" s="719">
        <v>41928</v>
      </c>
      <c r="H23" s="720">
        <v>176712</v>
      </c>
      <c r="I23" s="719">
        <v>103941</v>
      </c>
      <c r="J23" s="718">
        <v>0</v>
      </c>
      <c r="K23" s="720">
        <f t="shared" si="0"/>
        <v>322581</v>
      </c>
      <c r="L23" s="718"/>
      <c r="M23" s="719">
        <v>20602</v>
      </c>
      <c r="N23" s="719">
        <v>0</v>
      </c>
      <c r="O23" s="718">
        <v>42066</v>
      </c>
      <c r="P23" s="720">
        <f t="shared" si="1"/>
        <v>62668</v>
      </c>
      <c r="Q23" s="718"/>
      <c r="R23" s="719">
        <v>245272</v>
      </c>
      <c r="S23" s="721">
        <v>-15937</v>
      </c>
      <c r="T23" s="721">
        <v>229335</v>
      </c>
    </row>
    <row r="24" spans="1:20" x14ac:dyDescent="0.25">
      <c r="A24" s="715">
        <v>90141</v>
      </c>
      <c r="B24" s="716" t="s">
        <v>2564</v>
      </c>
      <c r="C24" s="717">
        <v>1.4779999999999999E-4</v>
      </c>
      <c r="D24" s="717">
        <v>1.306E-4</v>
      </c>
      <c r="E24" s="718">
        <v>225797</v>
      </c>
      <c r="F24" s="718"/>
      <c r="G24" s="719">
        <v>13008</v>
      </c>
      <c r="H24" s="720">
        <v>54824</v>
      </c>
      <c r="I24" s="719">
        <v>32247</v>
      </c>
      <c r="J24" s="718">
        <v>8660</v>
      </c>
      <c r="K24" s="720">
        <f t="shared" si="0"/>
        <v>108739</v>
      </c>
      <c r="L24" s="718"/>
      <c r="M24" s="719">
        <v>6392</v>
      </c>
      <c r="N24" s="719">
        <v>0</v>
      </c>
      <c r="O24" s="718">
        <v>10174</v>
      </c>
      <c r="P24" s="720">
        <f t="shared" si="1"/>
        <v>16566</v>
      </c>
      <c r="Q24" s="718"/>
      <c r="R24" s="719">
        <v>76094</v>
      </c>
      <c r="S24" s="721">
        <v>-857</v>
      </c>
      <c r="T24" s="721">
        <v>75237</v>
      </c>
    </row>
    <row r="25" spans="1:20" x14ac:dyDescent="0.25">
      <c r="A25" s="715">
        <v>90151</v>
      </c>
      <c r="B25" s="716" t="s">
        <v>2565</v>
      </c>
      <c r="C25" s="717">
        <v>9.9000000000000001E-6</v>
      </c>
      <c r="D25" s="717">
        <v>1.0000000000000001E-5</v>
      </c>
      <c r="E25" s="718">
        <v>15124</v>
      </c>
      <c r="F25" s="718"/>
      <c r="G25" s="719">
        <v>871</v>
      </c>
      <c r="H25" s="720">
        <v>3672</v>
      </c>
      <c r="I25" s="719">
        <v>2160</v>
      </c>
      <c r="J25" s="718">
        <v>0</v>
      </c>
      <c r="K25" s="720">
        <f t="shared" si="0"/>
        <v>6703</v>
      </c>
      <c r="L25" s="718"/>
      <c r="M25" s="719">
        <v>428</v>
      </c>
      <c r="N25" s="719">
        <v>0</v>
      </c>
      <c r="O25" s="718">
        <v>2719</v>
      </c>
      <c r="P25" s="720">
        <f t="shared" si="1"/>
        <v>3147</v>
      </c>
      <c r="Q25" s="718"/>
      <c r="R25" s="719">
        <v>5097</v>
      </c>
      <c r="S25" s="721">
        <v>-1090</v>
      </c>
      <c r="T25" s="721">
        <v>4007</v>
      </c>
    </row>
    <row r="26" spans="1:20" x14ac:dyDescent="0.25">
      <c r="A26" s="715">
        <v>90161</v>
      </c>
      <c r="B26" s="716" t="s">
        <v>2566</v>
      </c>
      <c r="C26" s="717">
        <v>3.4199999999999998E-5</v>
      </c>
      <c r="D26" s="717">
        <v>3.4799999999999999E-5</v>
      </c>
      <c r="E26" s="718">
        <v>52248</v>
      </c>
      <c r="F26" s="718"/>
      <c r="G26" s="719">
        <v>3010</v>
      </c>
      <c r="H26" s="720">
        <v>12686</v>
      </c>
      <c r="I26" s="719">
        <v>7462</v>
      </c>
      <c r="J26" s="718">
        <v>4022</v>
      </c>
      <c r="K26" s="720">
        <f t="shared" si="0"/>
        <v>27180</v>
      </c>
      <c r="L26" s="718"/>
      <c r="M26" s="719">
        <v>1479</v>
      </c>
      <c r="N26" s="719">
        <v>0</v>
      </c>
      <c r="O26" s="718">
        <v>462</v>
      </c>
      <c r="P26" s="720">
        <f t="shared" si="1"/>
        <v>1941</v>
      </c>
      <c r="Q26" s="718"/>
      <c r="R26" s="719">
        <v>17608</v>
      </c>
      <c r="S26" s="721">
        <v>1591</v>
      </c>
      <c r="T26" s="721">
        <v>19199</v>
      </c>
    </row>
    <row r="27" spans="1:20" x14ac:dyDescent="0.25">
      <c r="A27" s="715">
        <v>90201</v>
      </c>
      <c r="B27" s="716" t="s">
        <v>2567</v>
      </c>
      <c r="C27" s="717">
        <v>1.2126999999999999E-3</v>
      </c>
      <c r="D27" s="717">
        <v>1.2419E-3</v>
      </c>
      <c r="E27" s="718">
        <v>1852670</v>
      </c>
      <c r="F27" s="718"/>
      <c r="G27" s="719">
        <v>106731</v>
      </c>
      <c r="H27" s="720">
        <v>449830</v>
      </c>
      <c r="I27" s="719">
        <v>264587</v>
      </c>
      <c r="J27" s="718">
        <v>36621</v>
      </c>
      <c r="K27" s="720">
        <f t="shared" si="0"/>
        <v>857769</v>
      </c>
      <c r="L27" s="718"/>
      <c r="M27" s="719">
        <v>52443</v>
      </c>
      <c r="N27" s="719">
        <v>0</v>
      </c>
      <c r="O27" s="718">
        <v>36396</v>
      </c>
      <c r="P27" s="720">
        <f t="shared" si="1"/>
        <v>88839</v>
      </c>
      <c r="Q27" s="718"/>
      <c r="R27" s="719">
        <v>624351</v>
      </c>
      <c r="S27" s="721">
        <v>24941</v>
      </c>
      <c r="T27" s="721">
        <v>649292</v>
      </c>
    </row>
    <row r="28" spans="1:20" x14ac:dyDescent="0.25">
      <c r="A28" s="715">
        <v>90203</v>
      </c>
      <c r="B28" s="716" t="s">
        <v>2568</v>
      </c>
      <c r="C28" s="717">
        <v>1.994E-4</v>
      </c>
      <c r="D28" s="717">
        <v>2.3680000000000001E-4</v>
      </c>
      <c r="E28" s="718">
        <v>304628</v>
      </c>
      <c r="F28" s="718"/>
      <c r="G28" s="719">
        <v>17549</v>
      </c>
      <c r="H28" s="720">
        <v>73964</v>
      </c>
      <c r="I28" s="719">
        <v>43505</v>
      </c>
      <c r="J28" s="718">
        <v>2154</v>
      </c>
      <c r="K28" s="720">
        <f t="shared" si="0"/>
        <v>137172</v>
      </c>
      <c r="L28" s="718"/>
      <c r="M28" s="719">
        <v>8623</v>
      </c>
      <c r="N28" s="719">
        <v>0</v>
      </c>
      <c r="O28" s="718">
        <v>49077</v>
      </c>
      <c r="P28" s="720">
        <f t="shared" si="1"/>
        <v>57700</v>
      </c>
      <c r="Q28" s="718"/>
      <c r="R28" s="719">
        <v>102660</v>
      </c>
      <c r="S28" s="721">
        <v>-18026</v>
      </c>
      <c r="T28" s="721">
        <v>84634</v>
      </c>
    </row>
    <row r="29" spans="1:20" x14ac:dyDescent="0.25">
      <c r="A29" s="715">
        <v>90205</v>
      </c>
      <c r="B29" s="716" t="s">
        <v>2569</v>
      </c>
      <c r="C29" s="717">
        <v>3.0000000000000001E-5</v>
      </c>
      <c r="D29" s="717">
        <v>3.3599999999999997E-5</v>
      </c>
      <c r="E29" s="718">
        <v>45832</v>
      </c>
      <c r="F29" s="718"/>
      <c r="G29" s="719">
        <v>2640</v>
      </c>
      <c r="H29" s="720">
        <v>11128</v>
      </c>
      <c r="I29" s="719">
        <v>6545</v>
      </c>
      <c r="J29" s="718">
        <v>769</v>
      </c>
      <c r="K29" s="720">
        <f t="shared" si="0"/>
        <v>21082</v>
      </c>
      <c r="L29" s="718"/>
      <c r="M29" s="719">
        <v>1297</v>
      </c>
      <c r="N29" s="719">
        <v>0</v>
      </c>
      <c r="O29" s="718">
        <v>2625</v>
      </c>
      <c r="P29" s="720">
        <f t="shared" si="1"/>
        <v>3922</v>
      </c>
      <c r="Q29" s="718"/>
      <c r="R29" s="719">
        <v>15445</v>
      </c>
      <c r="S29" s="721">
        <v>-105</v>
      </c>
      <c r="T29" s="721">
        <v>15340</v>
      </c>
    </row>
    <row r="30" spans="1:20" x14ac:dyDescent="0.25">
      <c r="A30" s="715">
        <v>90206</v>
      </c>
      <c r="B30" s="716" t="s">
        <v>2570</v>
      </c>
      <c r="C30" s="717">
        <v>4.2069999999999998E-4</v>
      </c>
      <c r="D30" s="717">
        <v>4.347E-4</v>
      </c>
      <c r="E30" s="718">
        <v>642713</v>
      </c>
      <c r="F30" s="718"/>
      <c r="G30" s="719">
        <v>37026</v>
      </c>
      <c r="H30" s="720">
        <v>156051</v>
      </c>
      <c r="I30" s="719">
        <v>91788</v>
      </c>
      <c r="J30" s="718">
        <v>8978</v>
      </c>
      <c r="K30" s="720">
        <f t="shared" si="0"/>
        <v>293843</v>
      </c>
      <c r="L30" s="718"/>
      <c r="M30" s="719">
        <v>18193</v>
      </c>
      <c r="N30" s="719">
        <v>0</v>
      </c>
      <c r="O30" s="718">
        <v>25382</v>
      </c>
      <c r="P30" s="720">
        <f t="shared" si="1"/>
        <v>43575</v>
      </c>
      <c r="Q30" s="718"/>
      <c r="R30" s="719">
        <v>216595</v>
      </c>
      <c r="S30" s="721">
        <v>1315</v>
      </c>
      <c r="T30" s="721">
        <v>217910</v>
      </c>
    </row>
    <row r="31" spans="1:20" x14ac:dyDescent="0.25">
      <c r="A31" s="715">
        <v>90211</v>
      </c>
      <c r="B31" s="716" t="s">
        <v>2571</v>
      </c>
      <c r="C31" s="717">
        <v>1.4799999999999999E-4</v>
      </c>
      <c r="D31" s="717">
        <v>1.5689999999999999E-4</v>
      </c>
      <c r="E31" s="718">
        <v>226103</v>
      </c>
      <c r="F31" s="718"/>
      <c r="G31" s="719">
        <v>13026</v>
      </c>
      <c r="H31" s="720">
        <v>54898</v>
      </c>
      <c r="I31" s="719">
        <v>32291</v>
      </c>
      <c r="J31" s="718">
        <v>0</v>
      </c>
      <c r="K31" s="720">
        <f t="shared" si="0"/>
        <v>100215</v>
      </c>
      <c r="L31" s="718"/>
      <c r="M31" s="719">
        <v>6400</v>
      </c>
      <c r="N31" s="719">
        <v>0</v>
      </c>
      <c r="O31" s="718">
        <v>15344</v>
      </c>
      <c r="P31" s="720">
        <f t="shared" si="1"/>
        <v>21744</v>
      </c>
      <c r="Q31" s="718"/>
      <c r="R31" s="719">
        <v>76197</v>
      </c>
      <c r="S31" s="721">
        <v>-6134</v>
      </c>
      <c r="T31" s="721">
        <v>70063</v>
      </c>
    </row>
    <row r="32" spans="1:20" x14ac:dyDescent="0.25">
      <c r="A32" s="715">
        <v>90301</v>
      </c>
      <c r="B32" s="716" t="s">
        <v>2572</v>
      </c>
      <c r="C32" s="717">
        <v>6.7040000000000003E-4</v>
      </c>
      <c r="D32" s="717">
        <v>6.4000000000000005E-4</v>
      </c>
      <c r="E32" s="718">
        <v>1024185</v>
      </c>
      <c r="F32" s="718"/>
      <c r="G32" s="719">
        <v>59003</v>
      </c>
      <c r="H32" s="720">
        <v>248673</v>
      </c>
      <c r="I32" s="719">
        <v>146268</v>
      </c>
      <c r="J32" s="718">
        <v>4314</v>
      </c>
      <c r="K32" s="720">
        <f t="shared" si="0"/>
        <v>458258</v>
      </c>
      <c r="L32" s="718"/>
      <c r="M32" s="719">
        <v>28991</v>
      </c>
      <c r="N32" s="719">
        <v>0</v>
      </c>
      <c r="O32" s="718">
        <v>13341</v>
      </c>
      <c r="P32" s="720">
        <f t="shared" si="1"/>
        <v>42332</v>
      </c>
      <c r="Q32" s="718"/>
      <c r="R32" s="719">
        <v>345151</v>
      </c>
      <c r="S32" s="721">
        <v>-5567</v>
      </c>
      <c r="T32" s="721">
        <v>339584</v>
      </c>
    </row>
    <row r="33" spans="1:20" x14ac:dyDescent="0.25">
      <c r="A33" s="715">
        <v>90305</v>
      </c>
      <c r="B33" s="716" t="s">
        <v>2573</v>
      </c>
      <c r="C33" s="717">
        <v>1.617E-4</v>
      </c>
      <c r="D33" s="717">
        <v>1.7009999999999999E-4</v>
      </c>
      <c r="E33" s="718">
        <v>247033</v>
      </c>
      <c r="F33" s="718"/>
      <c r="G33" s="719">
        <v>14231</v>
      </c>
      <c r="H33" s="720">
        <v>59980</v>
      </c>
      <c r="I33" s="719">
        <v>35280</v>
      </c>
      <c r="J33" s="718">
        <v>20715</v>
      </c>
      <c r="K33" s="720">
        <f t="shared" si="0"/>
        <v>130206</v>
      </c>
      <c r="L33" s="718"/>
      <c r="M33" s="719">
        <v>6993</v>
      </c>
      <c r="N33" s="719">
        <v>0</v>
      </c>
      <c r="O33" s="718">
        <v>0</v>
      </c>
      <c r="P33" s="720">
        <f t="shared" si="1"/>
        <v>6993</v>
      </c>
      <c r="Q33" s="718"/>
      <c r="R33" s="719">
        <v>83250</v>
      </c>
      <c r="S33" s="721">
        <v>10025</v>
      </c>
      <c r="T33" s="721">
        <v>93275</v>
      </c>
    </row>
    <row r="34" spans="1:20" x14ac:dyDescent="0.25">
      <c r="A34" s="715">
        <v>90307</v>
      </c>
      <c r="B34" s="716" t="s">
        <v>2574</v>
      </c>
      <c r="C34" s="717">
        <v>7.7999999999999999E-6</v>
      </c>
      <c r="D34" s="717">
        <v>7.7000000000000008E-6</v>
      </c>
      <c r="E34" s="718">
        <v>11916</v>
      </c>
      <c r="F34" s="718"/>
      <c r="G34" s="719">
        <v>686</v>
      </c>
      <c r="H34" s="720">
        <v>2893</v>
      </c>
      <c r="I34" s="719">
        <v>1702</v>
      </c>
      <c r="J34" s="718">
        <v>647</v>
      </c>
      <c r="K34" s="720">
        <f t="shared" si="0"/>
        <v>5928</v>
      </c>
      <c r="L34" s="718"/>
      <c r="M34" s="719">
        <v>337</v>
      </c>
      <c r="N34" s="719">
        <v>0</v>
      </c>
      <c r="O34" s="718">
        <v>40</v>
      </c>
      <c r="P34" s="720">
        <f t="shared" si="1"/>
        <v>377</v>
      </c>
      <c r="Q34" s="718"/>
      <c r="R34" s="719">
        <v>4016</v>
      </c>
      <c r="S34" s="721">
        <v>160</v>
      </c>
      <c r="T34" s="721">
        <v>4176</v>
      </c>
    </row>
    <row r="35" spans="1:20" x14ac:dyDescent="0.25">
      <c r="A35" s="715">
        <v>90401</v>
      </c>
      <c r="B35" s="716" t="s">
        <v>2575</v>
      </c>
      <c r="C35" s="717">
        <v>1.3270999999999999E-3</v>
      </c>
      <c r="D35" s="717">
        <v>1.3626999999999999E-3</v>
      </c>
      <c r="E35" s="718">
        <v>2027441</v>
      </c>
      <c r="F35" s="718"/>
      <c r="G35" s="719">
        <v>116799</v>
      </c>
      <c r="H35" s="720">
        <v>492266</v>
      </c>
      <c r="I35" s="719">
        <v>289547</v>
      </c>
      <c r="J35" s="718">
        <v>44019</v>
      </c>
      <c r="K35" s="720">
        <f t="shared" si="0"/>
        <v>942631</v>
      </c>
      <c r="L35" s="718"/>
      <c r="M35" s="719">
        <v>57390</v>
      </c>
      <c r="N35" s="719">
        <v>0</v>
      </c>
      <c r="O35" s="718">
        <v>11305</v>
      </c>
      <c r="P35" s="720">
        <f t="shared" si="1"/>
        <v>68695</v>
      </c>
      <c r="Q35" s="718"/>
      <c r="R35" s="719">
        <v>683249</v>
      </c>
      <c r="S35" s="721">
        <v>23981</v>
      </c>
      <c r="T35" s="721">
        <v>707230</v>
      </c>
    </row>
    <row r="36" spans="1:20" x14ac:dyDescent="0.25">
      <c r="A36" s="715">
        <v>90411</v>
      </c>
      <c r="B36" s="716" t="s">
        <v>2576</v>
      </c>
      <c r="C36" s="717">
        <v>3.5100000000000002E-4</v>
      </c>
      <c r="D36" s="717">
        <v>3.5490000000000001E-4</v>
      </c>
      <c r="E36" s="718">
        <v>536231</v>
      </c>
      <c r="F36" s="718"/>
      <c r="G36" s="719">
        <v>30892</v>
      </c>
      <c r="H36" s="720">
        <v>130197</v>
      </c>
      <c r="I36" s="719">
        <v>76581</v>
      </c>
      <c r="J36" s="718">
        <v>0</v>
      </c>
      <c r="K36" s="720">
        <f t="shared" si="0"/>
        <v>237670</v>
      </c>
      <c r="L36" s="718"/>
      <c r="M36" s="719">
        <v>15179</v>
      </c>
      <c r="N36" s="719">
        <v>0</v>
      </c>
      <c r="O36" s="718">
        <v>41985</v>
      </c>
      <c r="P36" s="720">
        <f t="shared" si="1"/>
        <v>57164</v>
      </c>
      <c r="Q36" s="718"/>
      <c r="R36" s="719">
        <v>180710</v>
      </c>
      <c r="S36" s="721">
        <v>-15971</v>
      </c>
      <c r="T36" s="721">
        <v>164739</v>
      </c>
    </row>
    <row r="37" spans="1:20" x14ac:dyDescent="0.25">
      <c r="A37" s="715">
        <v>90413</v>
      </c>
      <c r="B37" s="716" t="s">
        <v>2577</v>
      </c>
      <c r="C37" s="717">
        <v>3.4600000000000001E-5</v>
      </c>
      <c r="D37" s="717">
        <v>3.7299999999999999E-5</v>
      </c>
      <c r="E37" s="718">
        <v>52859</v>
      </c>
      <c r="F37" s="718"/>
      <c r="G37" s="719">
        <v>3045</v>
      </c>
      <c r="H37" s="720">
        <v>12834</v>
      </c>
      <c r="I37" s="719">
        <v>7549</v>
      </c>
      <c r="J37" s="718">
        <v>5923</v>
      </c>
      <c r="K37" s="720">
        <f t="shared" si="0"/>
        <v>29351</v>
      </c>
      <c r="L37" s="718"/>
      <c r="M37" s="719">
        <v>1496</v>
      </c>
      <c r="N37" s="719">
        <v>0</v>
      </c>
      <c r="O37" s="718">
        <v>916</v>
      </c>
      <c r="P37" s="720">
        <f t="shared" si="1"/>
        <v>2412</v>
      </c>
      <c r="Q37" s="718"/>
      <c r="R37" s="719">
        <v>17814</v>
      </c>
      <c r="S37" s="721">
        <v>3416</v>
      </c>
      <c r="T37" s="721">
        <v>21230</v>
      </c>
    </row>
    <row r="38" spans="1:20" x14ac:dyDescent="0.25">
      <c r="A38" s="715">
        <v>90417</v>
      </c>
      <c r="B38" s="716" t="s">
        <v>2578</v>
      </c>
      <c r="C38" s="717">
        <v>1.17E-5</v>
      </c>
      <c r="D38" s="717">
        <v>1.2099999999999999E-5</v>
      </c>
      <c r="E38" s="718">
        <v>17874</v>
      </c>
      <c r="F38" s="718"/>
      <c r="G38" s="719">
        <v>1030</v>
      </c>
      <c r="H38" s="720">
        <v>4340</v>
      </c>
      <c r="I38" s="719">
        <v>2553</v>
      </c>
      <c r="J38" s="718">
        <v>3477</v>
      </c>
      <c r="K38" s="720">
        <f t="shared" si="0"/>
        <v>11400</v>
      </c>
      <c r="L38" s="718"/>
      <c r="M38" s="719">
        <v>506</v>
      </c>
      <c r="N38" s="719">
        <v>0</v>
      </c>
      <c r="O38" s="718">
        <v>0</v>
      </c>
      <c r="P38" s="720">
        <f t="shared" si="1"/>
        <v>506</v>
      </c>
      <c r="Q38" s="718"/>
      <c r="R38" s="719">
        <v>6024</v>
      </c>
      <c r="S38" s="721">
        <v>1221</v>
      </c>
      <c r="T38" s="721">
        <f>7244+1</f>
        <v>7245</v>
      </c>
    </row>
    <row r="39" spans="1:20" x14ac:dyDescent="0.25">
      <c r="A39" s="715">
        <v>90421</v>
      </c>
      <c r="B39" s="716" t="s">
        <v>2579</v>
      </c>
      <c r="C39" s="717">
        <v>2.19E-5</v>
      </c>
      <c r="D39" s="717">
        <v>2.3600000000000001E-5</v>
      </c>
      <c r="E39" s="718">
        <v>33457</v>
      </c>
      <c r="F39" s="718"/>
      <c r="G39" s="719">
        <v>1927</v>
      </c>
      <c r="H39" s="720">
        <v>8123</v>
      </c>
      <c r="I39" s="719">
        <v>4778</v>
      </c>
      <c r="J39" s="718">
        <v>0</v>
      </c>
      <c r="K39" s="720">
        <f t="shared" si="0"/>
        <v>14828</v>
      </c>
      <c r="L39" s="718"/>
      <c r="M39" s="719">
        <v>947</v>
      </c>
      <c r="N39" s="719">
        <v>0</v>
      </c>
      <c r="O39" s="718">
        <v>4721</v>
      </c>
      <c r="P39" s="720">
        <f t="shared" si="1"/>
        <v>5668</v>
      </c>
      <c r="Q39" s="718"/>
      <c r="R39" s="719">
        <v>11275</v>
      </c>
      <c r="S39" s="721">
        <v>-1814</v>
      </c>
      <c r="T39" s="721">
        <v>9461</v>
      </c>
    </row>
    <row r="40" spans="1:20" x14ac:dyDescent="0.25">
      <c r="A40" s="715">
        <v>90431</v>
      </c>
      <c r="B40" s="716" t="s">
        <v>2580</v>
      </c>
      <c r="C40" s="717">
        <v>4.8300000000000002E-5</v>
      </c>
      <c r="D40" s="717">
        <v>4.2799999999999997E-5</v>
      </c>
      <c r="E40" s="718">
        <v>73789</v>
      </c>
      <c r="F40" s="718"/>
      <c r="G40" s="719">
        <v>4251</v>
      </c>
      <c r="H40" s="720">
        <v>17916</v>
      </c>
      <c r="I40" s="719">
        <v>10538</v>
      </c>
      <c r="J40" s="718">
        <v>8663</v>
      </c>
      <c r="K40" s="720">
        <f t="shared" si="0"/>
        <v>41368</v>
      </c>
      <c r="L40" s="718"/>
      <c r="M40" s="719">
        <v>2089</v>
      </c>
      <c r="N40" s="719">
        <v>0</v>
      </c>
      <c r="O40" s="718">
        <v>1273</v>
      </c>
      <c r="P40" s="720">
        <f t="shared" si="1"/>
        <v>3362</v>
      </c>
      <c r="Q40" s="718"/>
      <c r="R40" s="719">
        <v>24867</v>
      </c>
      <c r="S40" s="721">
        <v>3649</v>
      </c>
      <c r="T40" s="721">
        <v>28516</v>
      </c>
    </row>
    <row r="41" spans="1:20" x14ac:dyDescent="0.25">
      <c r="A41" s="715">
        <v>90441</v>
      </c>
      <c r="B41" s="716" t="s">
        <v>2581</v>
      </c>
      <c r="C41" s="717">
        <v>8.3999999999999992E-6</v>
      </c>
      <c r="D41" s="717">
        <v>9.3999999999999998E-6</v>
      </c>
      <c r="E41" s="718">
        <v>12833</v>
      </c>
      <c r="F41" s="718"/>
      <c r="G41" s="719">
        <v>739</v>
      </c>
      <c r="H41" s="720">
        <v>3115</v>
      </c>
      <c r="I41" s="719">
        <v>1833</v>
      </c>
      <c r="J41" s="718">
        <v>890</v>
      </c>
      <c r="K41" s="720">
        <f t="shared" si="0"/>
        <v>6577</v>
      </c>
      <c r="L41" s="718"/>
      <c r="M41" s="719">
        <v>363</v>
      </c>
      <c r="N41" s="719">
        <v>0</v>
      </c>
      <c r="O41" s="718">
        <v>129</v>
      </c>
      <c r="P41" s="720">
        <f t="shared" si="1"/>
        <v>492</v>
      </c>
      <c r="Q41" s="718"/>
      <c r="R41" s="719">
        <v>4325</v>
      </c>
      <c r="S41" s="721">
        <v>621</v>
      </c>
      <c r="T41" s="721">
        <v>4946</v>
      </c>
    </row>
    <row r="42" spans="1:20" x14ac:dyDescent="0.25">
      <c r="A42" s="715">
        <v>90451</v>
      </c>
      <c r="B42" s="716" t="s">
        <v>2582</v>
      </c>
      <c r="C42" s="717">
        <v>1.6699999999999999E-5</v>
      </c>
      <c r="D42" s="717">
        <v>1.7900000000000001E-5</v>
      </c>
      <c r="E42" s="718">
        <v>25513</v>
      </c>
      <c r="F42" s="718"/>
      <c r="G42" s="719">
        <v>1470</v>
      </c>
      <c r="H42" s="720">
        <v>6194</v>
      </c>
      <c r="I42" s="719">
        <v>3644</v>
      </c>
      <c r="J42" s="718">
        <v>2202</v>
      </c>
      <c r="K42" s="720">
        <f t="shared" si="0"/>
        <v>13510</v>
      </c>
      <c r="L42" s="718"/>
      <c r="M42" s="719">
        <v>722</v>
      </c>
      <c r="N42" s="719">
        <v>0</v>
      </c>
      <c r="O42" s="718">
        <v>903</v>
      </c>
      <c r="P42" s="720">
        <f t="shared" si="1"/>
        <v>1625</v>
      </c>
      <c r="Q42" s="718"/>
      <c r="R42" s="719">
        <v>8598</v>
      </c>
      <c r="S42" s="721">
        <v>635</v>
      </c>
      <c r="T42" s="721">
        <f>9232+1</f>
        <v>9233</v>
      </c>
    </row>
    <row r="43" spans="1:20" x14ac:dyDescent="0.25">
      <c r="A43" s="715">
        <v>90461</v>
      </c>
      <c r="B43" s="716" t="s">
        <v>2583</v>
      </c>
      <c r="C43" s="717">
        <v>7.4000000000000003E-6</v>
      </c>
      <c r="D43" s="717">
        <v>1.7200000000000001E-5</v>
      </c>
      <c r="E43" s="718">
        <v>11305</v>
      </c>
      <c r="F43" s="718"/>
      <c r="G43" s="719">
        <v>651</v>
      </c>
      <c r="H43" s="720">
        <v>2745</v>
      </c>
      <c r="I43" s="719">
        <v>1615</v>
      </c>
      <c r="J43" s="718">
        <v>3066</v>
      </c>
      <c r="K43" s="720">
        <f t="shared" si="0"/>
        <v>8077</v>
      </c>
      <c r="L43" s="718"/>
      <c r="M43" s="719">
        <v>320</v>
      </c>
      <c r="N43" s="719">
        <v>0</v>
      </c>
      <c r="O43" s="718">
        <v>7660</v>
      </c>
      <c r="P43" s="720">
        <f t="shared" si="1"/>
        <v>7980</v>
      </c>
      <c r="Q43" s="718"/>
      <c r="R43" s="719">
        <v>3810</v>
      </c>
      <c r="S43" s="721">
        <v>-1001</v>
      </c>
      <c r="T43" s="721">
        <f>2808+1</f>
        <v>2809</v>
      </c>
    </row>
    <row r="44" spans="1:20" x14ac:dyDescent="0.25">
      <c r="A44" s="715">
        <v>90501</v>
      </c>
      <c r="B44" s="716" t="s">
        <v>2584</v>
      </c>
      <c r="C44" s="717">
        <v>1.4176E-3</v>
      </c>
      <c r="D44" s="717">
        <v>1.4001E-3</v>
      </c>
      <c r="E44" s="718">
        <v>2165700</v>
      </c>
      <c r="F44" s="718"/>
      <c r="G44" s="719">
        <v>124764</v>
      </c>
      <c r="H44" s="720">
        <v>525835</v>
      </c>
      <c r="I44" s="719">
        <v>309292</v>
      </c>
      <c r="J44" s="718">
        <v>53925</v>
      </c>
      <c r="K44" s="720">
        <f t="shared" si="0"/>
        <v>1013816</v>
      </c>
      <c r="L44" s="718"/>
      <c r="M44" s="719">
        <v>61304</v>
      </c>
      <c r="N44" s="719">
        <v>0</v>
      </c>
      <c r="O44" s="718">
        <v>0</v>
      </c>
      <c r="P44" s="720">
        <f t="shared" si="1"/>
        <v>61304</v>
      </c>
      <c r="Q44" s="718"/>
      <c r="R44" s="719">
        <v>729843</v>
      </c>
      <c r="S44" s="721">
        <v>27148</v>
      </c>
      <c r="T44" s="721">
        <v>756991</v>
      </c>
    </row>
    <row r="45" spans="1:20" x14ac:dyDescent="0.25">
      <c r="A45" s="715">
        <v>90507</v>
      </c>
      <c r="B45" s="716" t="s">
        <v>1182</v>
      </c>
      <c r="C45" s="717">
        <v>6.6000000000000003E-6</v>
      </c>
      <c r="D45" s="717">
        <v>7.3000000000000004E-6</v>
      </c>
      <c r="E45" s="718">
        <v>10083</v>
      </c>
      <c r="F45" s="718"/>
      <c r="G45" s="719">
        <v>581</v>
      </c>
      <c r="H45" s="720">
        <v>2448</v>
      </c>
      <c r="I45" s="719">
        <v>1440</v>
      </c>
      <c r="J45" s="718">
        <v>11545</v>
      </c>
      <c r="K45" s="720">
        <f t="shared" si="0"/>
        <v>16014</v>
      </c>
      <c r="L45" s="718"/>
      <c r="M45" s="719">
        <v>285</v>
      </c>
      <c r="N45" s="719">
        <v>0</v>
      </c>
      <c r="O45" s="718">
        <v>0</v>
      </c>
      <c r="P45" s="720">
        <f t="shared" si="1"/>
        <v>285</v>
      </c>
      <c r="Q45" s="718"/>
      <c r="R45" s="719">
        <v>3398</v>
      </c>
      <c r="S45" s="721">
        <v>4117</v>
      </c>
      <c r="T45" s="721">
        <v>7515</v>
      </c>
    </row>
    <row r="46" spans="1:20" x14ac:dyDescent="0.25">
      <c r="A46" s="715">
        <v>90511</v>
      </c>
      <c r="B46" s="716" t="s">
        <v>2585</v>
      </c>
      <c r="C46" s="717">
        <v>8.7000000000000001E-5</v>
      </c>
      <c r="D46" s="717">
        <v>9.5500000000000004E-5</v>
      </c>
      <c r="E46" s="718">
        <v>132912</v>
      </c>
      <c r="F46" s="718"/>
      <c r="G46" s="719">
        <v>7657</v>
      </c>
      <c r="H46" s="720">
        <v>32271</v>
      </c>
      <c r="I46" s="719">
        <v>18982</v>
      </c>
      <c r="J46" s="718">
        <v>14433</v>
      </c>
      <c r="K46" s="720">
        <f t="shared" si="0"/>
        <v>73343</v>
      </c>
      <c r="L46" s="718"/>
      <c r="M46" s="719">
        <v>3762</v>
      </c>
      <c r="N46" s="719">
        <v>0</v>
      </c>
      <c r="O46" s="718">
        <v>0</v>
      </c>
      <c r="P46" s="720">
        <f t="shared" si="1"/>
        <v>3762</v>
      </c>
      <c r="Q46" s="718"/>
      <c r="R46" s="719">
        <v>44791</v>
      </c>
      <c r="S46" s="721">
        <v>6485</v>
      </c>
      <c r="T46" s="721">
        <f>51277-1</f>
        <v>51276</v>
      </c>
    </row>
    <row r="47" spans="1:20" x14ac:dyDescent="0.25">
      <c r="A47" s="715">
        <v>90521</v>
      </c>
      <c r="B47" s="716" t="s">
        <v>2586</v>
      </c>
      <c r="C47" s="717">
        <v>1.3880000000000001E-4</v>
      </c>
      <c r="D47" s="717">
        <v>1.395E-4</v>
      </c>
      <c r="E47" s="718">
        <v>212048</v>
      </c>
      <c r="F47" s="718"/>
      <c r="G47" s="719">
        <v>12216</v>
      </c>
      <c r="H47" s="720">
        <v>51485</v>
      </c>
      <c r="I47" s="719">
        <v>30283</v>
      </c>
      <c r="J47" s="718">
        <v>0</v>
      </c>
      <c r="K47" s="720">
        <f t="shared" si="0"/>
        <v>93984</v>
      </c>
      <c r="L47" s="718"/>
      <c r="M47" s="719">
        <v>6002</v>
      </c>
      <c r="N47" s="719">
        <v>0</v>
      </c>
      <c r="O47" s="718">
        <v>18446</v>
      </c>
      <c r="P47" s="720">
        <f t="shared" si="1"/>
        <v>24448</v>
      </c>
      <c r="Q47" s="718"/>
      <c r="R47" s="719">
        <v>71460</v>
      </c>
      <c r="S47" s="721">
        <v>-7131</v>
      </c>
      <c r="T47" s="721">
        <v>64329</v>
      </c>
    </row>
    <row r="48" spans="1:20" x14ac:dyDescent="0.25">
      <c r="A48" s="715">
        <v>90601</v>
      </c>
      <c r="B48" s="716" t="s">
        <v>2587</v>
      </c>
      <c r="C48" s="717">
        <v>1.1888000000000001E-3</v>
      </c>
      <c r="D48" s="717">
        <v>1.1785999999999999E-3</v>
      </c>
      <c r="E48" s="718">
        <v>1816157</v>
      </c>
      <c r="F48" s="718"/>
      <c r="G48" s="719">
        <v>104627</v>
      </c>
      <c r="H48" s="720">
        <v>440965</v>
      </c>
      <c r="I48" s="719">
        <v>259372</v>
      </c>
      <c r="J48" s="718">
        <v>20795</v>
      </c>
      <c r="K48" s="720">
        <f t="shared" si="0"/>
        <v>825759</v>
      </c>
      <c r="L48" s="718"/>
      <c r="M48" s="719">
        <v>51410</v>
      </c>
      <c r="N48" s="719">
        <v>0</v>
      </c>
      <c r="O48" s="718">
        <v>19784</v>
      </c>
      <c r="P48" s="720">
        <f t="shared" si="1"/>
        <v>71194</v>
      </c>
      <c r="Q48" s="718"/>
      <c r="R48" s="719">
        <v>612047</v>
      </c>
      <c r="S48" s="721">
        <v>8359</v>
      </c>
      <c r="T48" s="721">
        <v>620406</v>
      </c>
    </row>
    <row r="49" spans="1:20" x14ac:dyDescent="0.25">
      <c r="A49" s="715">
        <v>90602</v>
      </c>
      <c r="B49" s="716" t="s">
        <v>2095</v>
      </c>
      <c r="C49" s="717">
        <v>6.3899999999999995E-5</v>
      </c>
      <c r="D49" s="717">
        <v>6.3299999999999994E-5</v>
      </c>
      <c r="E49" s="718">
        <v>97621</v>
      </c>
      <c r="F49" s="718"/>
      <c r="G49" s="719">
        <v>5624</v>
      </c>
      <c r="H49" s="720">
        <v>23703</v>
      </c>
      <c r="I49" s="719">
        <v>13942</v>
      </c>
      <c r="J49" s="718">
        <v>38810</v>
      </c>
      <c r="K49" s="720">
        <f t="shared" si="0"/>
        <v>82079</v>
      </c>
      <c r="L49" s="718"/>
      <c r="M49" s="719">
        <v>2763</v>
      </c>
      <c r="N49" s="719">
        <v>0</v>
      </c>
      <c r="O49" s="718">
        <v>0</v>
      </c>
      <c r="P49" s="720">
        <f t="shared" si="1"/>
        <v>2763</v>
      </c>
      <c r="Q49" s="718"/>
      <c r="R49" s="719">
        <v>32899</v>
      </c>
      <c r="S49" s="721">
        <v>14161</v>
      </c>
      <c r="T49" s="721">
        <f>47059+1</f>
        <v>47060</v>
      </c>
    </row>
    <row r="50" spans="1:20" x14ac:dyDescent="0.25">
      <c r="A50" s="715">
        <v>90605</v>
      </c>
      <c r="B50" s="716" t="s">
        <v>2588</v>
      </c>
      <c r="C50" s="717">
        <v>4.1999999999999998E-5</v>
      </c>
      <c r="D50" s="717">
        <v>3.8399999999999998E-5</v>
      </c>
      <c r="E50" s="718">
        <v>64164</v>
      </c>
      <c r="F50" s="718"/>
      <c r="G50" s="719">
        <v>3696</v>
      </c>
      <c r="H50" s="720">
        <v>15579</v>
      </c>
      <c r="I50" s="719">
        <v>9164</v>
      </c>
      <c r="J50" s="718">
        <v>15425</v>
      </c>
      <c r="K50" s="720">
        <f t="shared" si="0"/>
        <v>43864</v>
      </c>
      <c r="L50" s="718"/>
      <c r="M50" s="719">
        <v>1816</v>
      </c>
      <c r="N50" s="719">
        <v>0</v>
      </c>
      <c r="O50" s="718">
        <v>0</v>
      </c>
      <c r="P50" s="720">
        <f t="shared" si="1"/>
        <v>1816</v>
      </c>
      <c r="Q50" s="718"/>
      <c r="R50" s="719">
        <v>21623</v>
      </c>
      <c r="S50" s="721">
        <v>5623</v>
      </c>
      <c r="T50" s="721">
        <f>27247-1</f>
        <v>27246</v>
      </c>
    </row>
    <row r="51" spans="1:20" x14ac:dyDescent="0.25">
      <c r="A51" s="715">
        <v>90611</v>
      </c>
      <c r="B51" s="716" t="s">
        <v>2589</v>
      </c>
      <c r="C51" s="717">
        <v>1.4880000000000001E-4</v>
      </c>
      <c r="D51" s="717">
        <v>1.5669999999999999E-4</v>
      </c>
      <c r="E51" s="718">
        <v>227325</v>
      </c>
      <c r="F51" s="718"/>
      <c r="G51" s="719">
        <v>13096</v>
      </c>
      <c r="H51" s="720">
        <v>55195</v>
      </c>
      <c r="I51" s="719">
        <v>32465</v>
      </c>
      <c r="J51" s="718">
        <v>2524</v>
      </c>
      <c r="K51" s="720">
        <f t="shared" si="0"/>
        <v>103280</v>
      </c>
      <c r="L51" s="718"/>
      <c r="M51" s="719">
        <v>6435</v>
      </c>
      <c r="N51" s="719">
        <v>0</v>
      </c>
      <c r="O51" s="718">
        <v>18006</v>
      </c>
      <c r="P51" s="720">
        <f t="shared" si="1"/>
        <v>24441</v>
      </c>
      <c r="Q51" s="718"/>
      <c r="R51" s="719">
        <v>76609</v>
      </c>
      <c r="S51" s="721">
        <v>-3082</v>
      </c>
      <c r="T51" s="721">
        <v>73527</v>
      </c>
    </row>
    <row r="52" spans="1:20" x14ac:dyDescent="0.25">
      <c r="A52" s="715">
        <v>90617</v>
      </c>
      <c r="B52" s="716" t="s">
        <v>2590</v>
      </c>
      <c r="C52" s="717">
        <v>2.5999999999999998E-5</v>
      </c>
      <c r="D52" s="717">
        <v>2.6800000000000001E-5</v>
      </c>
      <c r="E52" s="718">
        <v>39721</v>
      </c>
      <c r="F52" s="718"/>
      <c r="G52" s="719">
        <v>2288</v>
      </c>
      <c r="H52" s="720">
        <v>9644</v>
      </c>
      <c r="I52" s="719">
        <v>5673</v>
      </c>
      <c r="J52" s="718">
        <v>7632</v>
      </c>
      <c r="K52" s="720">
        <f t="shared" si="0"/>
        <v>25237</v>
      </c>
      <c r="L52" s="718"/>
      <c r="M52" s="719">
        <v>1124</v>
      </c>
      <c r="N52" s="719">
        <v>0</v>
      </c>
      <c r="O52" s="718">
        <v>0</v>
      </c>
      <c r="P52" s="720">
        <f t="shared" si="1"/>
        <v>1124</v>
      </c>
      <c r="Q52" s="718"/>
      <c r="R52" s="719">
        <v>13386</v>
      </c>
      <c r="S52" s="721">
        <v>4087</v>
      </c>
      <c r="T52" s="721">
        <v>17473</v>
      </c>
    </row>
    <row r="53" spans="1:20" x14ac:dyDescent="0.25">
      <c r="A53" s="715">
        <v>90621</v>
      </c>
      <c r="B53" s="716" t="s">
        <v>2591</v>
      </c>
      <c r="C53" s="717">
        <v>6.3999999999999997E-5</v>
      </c>
      <c r="D53" s="717">
        <v>8.2100000000000003E-5</v>
      </c>
      <c r="E53" s="718">
        <v>97774</v>
      </c>
      <c r="F53" s="718"/>
      <c r="G53" s="719">
        <v>5633</v>
      </c>
      <c r="H53" s="720">
        <v>23740</v>
      </c>
      <c r="I53" s="719">
        <v>13964</v>
      </c>
      <c r="J53" s="718">
        <v>588</v>
      </c>
      <c r="K53" s="720">
        <f t="shared" si="0"/>
        <v>43925</v>
      </c>
      <c r="L53" s="718"/>
      <c r="M53" s="719">
        <v>2768</v>
      </c>
      <c r="N53" s="719">
        <v>0</v>
      </c>
      <c r="O53" s="718">
        <v>19000</v>
      </c>
      <c r="P53" s="720">
        <f t="shared" si="1"/>
        <v>21768</v>
      </c>
      <c r="Q53" s="718"/>
      <c r="R53" s="719">
        <v>32950</v>
      </c>
      <c r="S53" s="721">
        <v>-5337</v>
      </c>
      <c r="T53" s="721">
        <v>27613</v>
      </c>
    </row>
    <row r="54" spans="1:20" x14ac:dyDescent="0.25">
      <c r="A54" s="715">
        <v>90631</v>
      </c>
      <c r="B54" s="716" t="s">
        <v>2592</v>
      </c>
      <c r="C54" s="717">
        <v>3.9560000000000002E-4</v>
      </c>
      <c r="D54" s="717">
        <v>3.8000000000000002E-4</v>
      </c>
      <c r="E54" s="718">
        <v>604367</v>
      </c>
      <c r="F54" s="718"/>
      <c r="G54" s="719">
        <v>34817</v>
      </c>
      <c r="H54" s="720">
        <v>146742</v>
      </c>
      <c r="I54" s="719">
        <v>86312</v>
      </c>
      <c r="J54" s="718">
        <v>17764</v>
      </c>
      <c r="K54" s="720">
        <f t="shared" si="0"/>
        <v>285635</v>
      </c>
      <c r="L54" s="718"/>
      <c r="M54" s="719">
        <v>17108</v>
      </c>
      <c r="N54" s="719">
        <v>0</v>
      </c>
      <c r="O54" s="718">
        <v>8233</v>
      </c>
      <c r="P54" s="720">
        <f t="shared" si="1"/>
        <v>25341</v>
      </c>
      <c r="Q54" s="718"/>
      <c r="R54" s="719">
        <v>203672</v>
      </c>
      <c r="S54" s="721">
        <v>-484</v>
      </c>
      <c r="T54" s="721">
        <f>203189-1</f>
        <v>203188</v>
      </c>
    </row>
    <row r="55" spans="1:20" x14ac:dyDescent="0.25">
      <c r="A55" s="715">
        <v>90641</v>
      </c>
      <c r="B55" s="716" t="s">
        <v>2593</v>
      </c>
      <c r="C55" s="717">
        <v>1.38E-5</v>
      </c>
      <c r="D55" s="717">
        <v>1.4399999999999999E-5</v>
      </c>
      <c r="E55" s="718">
        <v>21083</v>
      </c>
      <c r="F55" s="718"/>
      <c r="G55" s="719">
        <v>1215</v>
      </c>
      <c r="H55" s="720">
        <v>5118</v>
      </c>
      <c r="I55" s="719">
        <v>3011</v>
      </c>
      <c r="J55" s="718">
        <v>304</v>
      </c>
      <c r="K55" s="720">
        <f t="shared" si="0"/>
        <v>9648</v>
      </c>
      <c r="L55" s="718"/>
      <c r="M55" s="719">
        <v>597</v>
      </c>
      <c r="N55" s="719">
        <v>0</v>
      </c>
      <c r="O55" s="718">
        <v>517</v>
      </c>
      <c r="P55" s="720">
        <f t="shared" si="1"/>
        <v>1114</v>
      </c>
      <c r="Q55" s="718"/>
      <c r="R55" s="719">
        <v>7105</v>
      </c>
      <c r="S55" s="721">
        <v>-123</v>
      </c>
      <c r="T55" s="721">
        <v>6982</v>
      </c>
    </row>
    <row r="56" spans="1:20" x14ac:dyDescent="0.25">
      <c r="A56" s="715">
        <v>90651</v>
      </c>
      <c r="B56" s="716" t="s">
        <v>2594</v>
      </c>
      <c r="C56" s="717">
        <v>1E-4</v>
      </c>
      <c r="D56" s="717">
        <v>1.108E-4</v>
      </c>
      <c r="E56" s="718">
        <v>152772</v>
      </c>
      <c r="F56" s="718"/>
      <c r="G56" s="719">
        <v>8801</v>
      </c>
      <c r="H56" s="720">
        <v>37093</v>
      </c>
      <c r="I56" s="719">
        <v>21818</v>
      </c>
      <c r="J56" s="718">
        <v>85885</v>
      </c>
      <c r="K56" s="720">
        <f t="shared" si="0"/>
        <v>153597</v>
      </c>
      <c r="L56" s="718"/>
      <c r="M56" s="719">
        <v>4325</v>
      </c>
      <c r="N56" s="719">
        <v>0</v>
      </c>
      <c r="O56" s="718">
        <v>4659</v>
      </c>
      <c r="P56" s="720">
        <f t="shared" si="1"/>
        <v>8984</v>
      </c>
      <c r="Q56" s="718"/>
      <c r="R56" s="719">
        <v>51484</v>
      </c>
      <c r="S56" s="721">
        <v>25671</v>
      </c>
      <c r="T56" s="721">
        <f>77156-1</f>
        <v>77155</v>
      </c>
    </row>
    <row r="57" spans="1:20" x14ac:dyDescent="0.25">
      <c r="A57" s="715">
        <v>90701</v>
      </c>
      <c r="B57" s="716" t="s">
        <v>3549</v>
      </c>
      <c r="C57" s="717">
        <v>2.6581E-3</v>
      </c>
      <c r="D57" s="717">
        <v>2.3587E-3</v>
      </c>
      <c r="E57" s="718">
        <v>4060841</v>
      </c>
      <c r="F57" s="718"/>
      <c r="G57" s="719">
        <v>233942</v>
      </c>
      <c r="H57" s="720">
        <v>985977</v>
      </c>
      <c r="I57" s="719">
        <v>579944</v>
      </c>
      <c r="J57" s="718">
        <v>130818</v>
      </c>
      <c r="K57" s="720">
        <f t="shared" si="0"/>
        <v>1930681</v>
      </c>
      <c r="L57" s="718"/>
      <c r="M57" s="719">
        <v>114950</v>
      </c>
      <c r="N57" s="719">
        <v>0</v>
      </c>
      <c r="O57" s="718">
        <v>31847</v>
      </c>
      <c r="P57" s="720">
        <f t="shared" si="1"/>
        <v>146797</v>
      </c>
      <c r="Q57" s="718"/>
      <c r="R57" s="719">
        <v>1368507</v>
      </c>
      <c r="S57" s="721">
        <v>33872</v>
      </c>
      <c r="T57" s="721">
        <v>1402379</v>
      </c>
    </row>
    <row r="58" spans="1:20" x14ac:dyDescent="0.25">
      <c r="A58" s="715">
        <v>90704</v>
      </c>
      <c r="B58" s="716" t="s">
        <v>2596</v>
      </c>
      <c r="C58" s="717">
        <v>3.3300000000000003E-5</v>
      </c>
      <c r="D58" s="717">
        <v>3.4900000000000001E-5</v>
      </c>
      <c r="E58" s="718">
        <v>50873</v>
      </c>
      <c r="F58" s="718"/>
      <c r="G58" s="719">
        <v>2931</v>
      </c>
      <c r="H58" s="720">
        <v>12352</v>
      </c>
      <c r="I58" s="719">
        <v>7265</v>
      </c>
      <c r="J58" s="718">
        <v>14629</v>
      </c>
      <c r="K58" s="720">
        <f t="shared" si="0"/>
        <v>37177</v>
      </c>
      <c r="L58" s="718"/>
      <c r="M58" s="719">
        <v>1440</v>
      </c>
      <c r="N58" s="719">
        <v>0</v>
      </c>
      <c r="O58" s="718">
        <v>0</v>
      </c>
      <c r="P58" s="720">
        <f t="shared" si="1"/>
        <v>1440</v>
      </c>
      <c r="Q58" s="718"/>
      <c r="R58" s="719">
        <v>17144</v>
      </c>
      <c r="S58" s="721">
        <v>5643</v>
      </c>
      <c r="T58" s="721">
        <f>22788-1</f>
        <v>22787</v>
      </c>
    </row>
    <row r="59" spans="1:20" x14ac:dyDescent="0.25">
      <c r="A59" s="715">
        <v>90705</v>
      </c>
      <c r="B59" s="716" t="s">
        <v>2597</v>
      </c>
      <c r="C59" s="717">
        <v>5.3000000000000001E-5</v>
      </c>
      <c r="D59" s="717">
        <v>3.3899999999999997E-5</v>
      </c>
      <c r="E59" s="718">
        <v>80969</v>
      </c>
      <c r="F59" s="718"/>
      <c r="G59" s="719">
        <v>4665</v>
      </c>
      <c r="H59" s="720">
        <v>19659</v>
      </c>
      <c r="I59" s="719">
        <v>11564</v>
      </c>
      <c r="J59" s="718">
        <v>18366</v>
      </c>
      <c r="K59" s="720">
        <f t="shared" si="0"/>
        <v>54254</v>
      </c>
      <c r="L59" s="718"/>
      <c r="M59" s="719">
        <v>2292</v>
      </c>
      <c r="N59" s="719">
        <v>0</v>
      </c>
      <c r="O59" s="718">
        <v>0</v>
      </c>
      <c r="P59" s="720">
        <f t="shared" si="1"/>
        <v>2292</v>
      </c>
      <c r="Q59" s="718"/>
      <c r="R59" s="719">
        <v>27287</v>
      </c>
      <c r="S59" s="721">
        <v>6194</v>
      </c>
      <c r="T59" s="721">
        <v>33481</v>
      </c>
    </row>
    <row r="60" spans="1:20" x14ac:dyDescent="0.25">
      <c r="A60" s="715">
        <v>90709</v>
      </c>
      <c r="B60" s="716" t="s">
        <v>2598</v>
      </c>
      <c r="C60" s="717">
        <v>1.2650000000000001E-4</v>
      </c>
      <c r="D60" s="717">
        <v>1.4569999999999999E-4</v>
      </c>
      <c r="E60" s="718">
        <v>193257</v>
      </c>
      <c r="F60" s="718"/>
      <c r="G60" s="719">
        <v>11133</v>
      </c>
      <c r="H60" s="720">
        <v>46924</v>
      </c>
      <c r="I60" s="719">
        <v>27600</v>
      </c>
      <c r="J60" s="718">
        <v>5085</v>
      </c>
      <c r="K60" s="720">
        <f t="shared" si="0"/>
        <v>90742</v>
      </c>
      <c r="L60" s="718"/>
      <c r="M60" s="719">
        <v>5470</v>
      </c>
      <c r="N60" s="719">
        <v>0</v>
      </c>
      <c r="O60" s="718">
        <v>42511</v>
      </c>
      <c r="P60" s="720">
        <f t="shared" si="1"/>
        <v>47981</v>
      </c>
      <c r="Q60" s="718"/>
      <c r="R60" s="719">
        <v>65128</v>
      </c>
      <c r="S60" s="721">
        <v>-9374</v>
      </c>
      <c r="T60" s="721">
        <v>55754</v>
      </c>
    </row>
    <row r="61" spans="1:20" x14ac:dyDescent="0.25">
      <c r="A61" s="715">
        <v>90711</v>
      </c>
      <c r="B61" s="716" t="s">
        <v>2599</v>
      </c>
      <c r="C61" s="717">
        <v>1.6877000000000001E-3</v>
      </c>
      <c r="D61" s="717">
        <v>1.7302000000000001E-3</v>
      </c>
      <c r="E61" s="718">
        <v>2578338</v>
      </c>
      <c r="F61" s="718"/>
      <c r="G61" s="719">
        <v>148536</v>
      </c>
      <c r="H61" s="720">
        <v>626023</v>
      </c>
      <c r="I61" s="719">
        <v>368222</v>
      </c>
      <c r="J61" s="718">
        <v>0</v>
      </c>
      <c r="K61" s="720">
        <f t="shared" si="0"/>
        <v>1142781</v>
      </c>
      <c r="L61" s="718"/>
      <c r="M61" s="719">
        <v>72985</v>
      </c>
      <c r="N61" s="719">
        <v>0</v>
      </c>
      <c r="O61" s="718">
        <v>160849</v>
      </c>
      <c r="P61" s="720">
        <f t="shared" si="1"/>
        <v>233834</v>
      </c>
      <c r="Q61" s="718"/>
      <c r="R61" s="719">
        <v>868902</v>
      </c>
      <c r="S61" s="721">
        <v>-68798</v>
      </c>
      <c r="T61" s="721">
        <v>800104</v>
      </c>
    </row>
    <row r="62" spans="1:20" x14ac:dyDescent="0.25">
      <c r="A62" s="715">
        <v>90721</v>
      </c>
      <c r="B62" s="716" t="s">
        <v>2600</v>
      </c>
      <c r="C62" s="717">
        <v>2.8600000000000001E-5</v>
      </c>
      <c r="D62" s="717">
        <v>3.7299999999999999E-5</v>
      </c>
      <c r="E62" s="718">
        <v>43693</v>
      </c>
      <c r="F62" s="718"/>
      <c r="G62" s="719">
        <v>2517</v>
      </c>
      <c r="H62" s="720">
        <v>10608</v>
      </c>
      <c r="I62" s="719">
        <v>6240</v>
      </c>
      <c r="J62" s="718">
        <v>2956</v>
      </c>
      <c r="K62" s="720">
        <f t="shared" si="0"/>
        <v>22321</v>
      </c>
      <c r="L62" s="718"/>
      <c r="M62" s="719">
        <v>1237</v>
      </c>
      <c r="N62" s="719">
        <v>0</v>
      </c>
      <c r="O62" s="718">
        <v>4943</v>
      </c>
      <c r="P62" s="720">
        <f t="shared" si="1"/>
        <v>6180</v>
      </c>
      <c r="Q62" s="718"/>
      <c r="R62" s="719">
        <v>14725</v>
      </c>
      <c r="S62" s="721">
        <v>1072</v>
      </c>
      <c r="T62" s="721">
        <f>15796+1</f>
        <v>15797</v>
      </c>
    </row>
    <row r="63" spans="1:20" x14ac:dyDescent="0.25">
      <c r="A63" s="715">
        <v>90731</v>
      </c>
      <c r="B63" s="716" t="s">
        <v>2601</v>
      </c>
      <c r="C63" s="717">
        <v>1.741E-4</v>
      </c>
      <c r="D63" s="717">
        <v>1.917E-4</v>
      </c>
      <c r="E63" s="718">
        <v>265977</v>
      </c>
      <c r="F63" s="718"/>
      <c r="G63" s="719">
        <v>15323</v>
      </c>
      <c r="H63" s="720">
        <v>64580</v>
      </c>
      <c r="I63" s="719">
        <v>37985</v>
      </c>
      <c r="J63" s="718">
        <v>0</v>
      </c>
      <c r="K63" s="720">
        <f t="shared" si="0"/>
        <v>117888</v>
      </c>
      <c r="L63" s="718"/>
      <c r="M63" s="719">
        <v>7529</v>
      </c>
      <c r="N63" s="719">
        <v>0</v>
      </c>
      <c r="O63" s="718">
        <v>18148</v>
      </c>
      <c r="P63" s="720">
        <f t="shared" si="1"/>
        <v>25677</v>
      </c>
      <c r="Q63" s="718"/>
      <c r="R63" s="719">
        <v>89634</v>
      </c>
      <c r="S63" s="721">
        <v>-7025</v>
      </c>
      <c r="T63" s="721">
        <v>82609</v>
      </c>
    </row>
    <row r="64" spans="1:20" x14ac:dyDescent="0.25">
      <c r="A64" s="715">
        <v>90741</v>
      </c>
      <c r="B64" s="716" t="s">
        <v>2602</v>
      </c>
      <c r="C64" s="717">
        <v>9.0999999999999993E-6</v>
      </c>
      <c r="D64" s="717">
        <v>1.2099999999999999E-5</v>
      </c>
      <c r="E64" s="718">
        <v>13902</v>
      </c>
      <c r="F64" s="718"/>
      <c r="G64" s="719">
        <v>801</v>
      </c>
      <c r="H64" s="720">
        <v>3375</v>
      </c>
      <c r="I64" s="719">
        <v>1985</v>
      </c>
      <c r="J64" s="718">
        <v>2169</v>
      </c>
      <c r="K64" s="720">
        <f t="shared" si="0"/>
        <v>8330</v>
      </c>
      <c r="L64" s="718"/>
      <c r="M64" s="719">
        <v>394</v>
      </c>
      <c r="N64" s="719">
        <v>0</v>
      </c>
      <c r="O64" s="718">
        <v>952</v>
      </c>
      <c r="P64" s="720">
        <f t="shared" si="1"/>
        <v>1346</v>
      </c>
      <c r="Q64" s="718"/>
      <c r="R64" s="719">
        <v>4685</v>
      </c>
      <c r="S64" s="721">
        <v>235</v>
      </c>
      <c r="T64" s="721">
        <v>4920</v>
      </c>
    </row>
    <row r="65" spans="1:20" x14ac:dyDescent="0.25">
      <c r="A65" s="715">
        <v>90751</v>
      </c>
      <c r="B65" s="716" t="s">
        <v>2603</v>
      </c>
      <c r="C65" s="717">
        <v>6.8700000000000003E-5</v>
      </c>
      <c r="D65" s="717">
        <v>6.5599999999999995E-5</v>
      </c>
      <c r="E65" s="718">
        <v>104955</v>
      </c>
      <c r="F65" s="718"/>
      <c r="G65" s="719">
        <v>6046</v>
      </c>
      <c r="H65" s="720">
        <v>25483</v>
      </c>
      <c r="I65" s="719">
        <v>14989</v>
      </c>
      <c r="J65" s="718">
        <v>4940</v>
      </c>
      <c r="K65" s="720">
        <f t="shared" si="0"/>
        <v>51458</v>
      </c>
      <c r="L65" s="718"/>
      <c r="M65" s="719">
        <v>2971</v>
      </c>
      <c r="N65" s="719">
        <v>0</v>
      </c>
      <c r="O65" s="718">
        <v>1080</v>
      </c>
      <c r="P65" s="720">
        <f t="shared" si="1"/>
        <v>4051</v>
      </c>
      <c r="Q65" s="718"/>
      <c r="R65" s="719">
        <v>35370</v>
      </c>
      <c r="S65" s="721">
        <v>3400</v>
      </c>
      <c r="T65" s="721">
        <v>38770</v>
      </c>
    </row>
    <row r="66" spans="1:20" x14ac:dyDescent="0.25">
      <c r="A66" s="715">
        <v>90801</v>
      </c>
      <c r="B66" s="716" t="s">
        <v>2604</v>
      </c>
      <c r="C66" s="717">
        <v>1.3064000000000001E-3</v>
      </c>
      <c r="D66" s="717">
        <v>1.1404E-3</v>
      </c>
      <c r="E66" s="718">
        <v>1995817</v>
      </c>
      <c r="F66" s="718"/>
      <c r="G66" s="719">
        <v>114978</v>
      </c>
      <c r="H66" s="720">
        <v>484586</v>
      </c>
      <c r="I66" s="719">
        <v>285030</v>
      </c>
      <c r="J66" s="718">
        <v>151641</v>
      </c>
      <c r="K66" s="720">
        <f t="shared" si="0"/>
        <v>1036235</v>
      </c>
      <c r="L66" s="718"/>
      <c r="M66" s="719">
        <v>56495</v>
      </c>
      <c r="N66" s="719">
        <v>0</v>
      </c>
      <c r="O66" s="718">
        <v>0</v>
      </c>
      <c r="P66" s="720">
        <f t="shared" si="1"/>
        <v>56495</v>
      </c>
      <c r="Q66" s="718"/>
      <c r="R66" s="719">
        <v>672592</v>
      </c>
      <c r="S66" s="721">
        <v>65370</v>
      </c>
      <c r="T66" s="721">
        <v>737962</v>
      </c>
    </row>
    <row r="67" spans="1:20" x14ac:dyDescent="0.25">
      <c r="A67" s="715">
        <v>90804</v>
      </c>
      <c r="B67" s="716" t="s">
        <v>2605</v>
      </c>
      <c r="C67" s="717">
        <v>6.1999999999999999E-6</v>
      </c>
      <c r="D67" s="717">
        <v>6.0000000000000002E-6</v>
      </c>
      <c r="E67" s="718">
        <v>9472</v>
      </c>
      <c r="F67" s="718"/>
      <c r="G67" s="719">
        <v>546</v>
      </c>
      <c r="H67" s="720">
        <v>2300</v>
      </c>
      <c r="I67" s="719">
        <v>1353</v>
      </c>
      <c r="J67" s="718">
        <v>1462</v>
      </c>
      <c r="K67" s="720">
        <f t="shared" si="0"/>
        <v>5661</v>
      </c>
      <c r="L67" s="718"/>
      <c r="M67" s="719">
        <v>268</v>
      </c>
      <c r="N67" s="719">
        <v>0</v>
      </c>
      <c r="O67" s="718">
        <v>0</v>
      </c>
      <c r="P67" s="720">
        <f t="shared" si="1"/>
        <v>268</v>
      </c>
      <c r="Q67" s="718"/>
      <c r="R67" s="719">
        <v>3192</v>
      </c>
      <c r="S67" s="721">
        <v>893</v>
      </c>
      <c r="T67" s="721">
        <v>4085</v>
      </c>
    </row>
    <row r="68" spans="1:20" x14ac:dyDescent="0.25">
      <c r="A68" s="715">
        <v>90805</v>
      </c>
      <c r="B68" s="716" t="s">
        <v>2606</v>
      </c>
      <c r="C68" s="717">
        <v>5.1900000000000001E-5</v>
      </c>
      <c r="D68" s="717">
        <v>5.5099999999999998E-5</v>
      </c>
      <c r="E68" s="718">
        <v>79289</v>
      </c>
      <c r="F68" s="718"/>
      <c r="G68" s="719">
        <v>4568</v>
      </c>
      <c r="H68" s="720">
        <v>19252</v>
      </c>
      <c r="I68" s="719">
        <v>11324</v>
      </c>
      <c r="J68" s="718">
        <v>22022</v>
      </c>
      <c r="K68" s="720">
        <f t="shared" si="0"/>
        <v>57166</v>
      </c>
      <c r="L68" s="718"/>
      <c r="M68" s="719">
        <v>2244</v>
      </c>
      <c r="N68" s="719">
        <v>0</v>
      </c>
      <c r="O68" s="718">
        <v>0</v>
      </c>
      <c r="P68" s="720">
        <f t="shared" si="1"/>
        <v>2244</v>
      </c>
      <c r="Q68" s="718"/>
      <c r="R68" s="719">
        <v>26720</v>
      </c>
      <c r="S68" s="721">
        <v>9443</v>
      </c>
      <c r="T68" s="721">
        <v>36163</v>
      </c>
    </row>
    <row r="69" spans="1:20" x14ac:dyDescent="0.25">
      <c r="A69" s="715">
        <v>90808</v>
      </c>
      <c r="B69" s="716" t="s">
        <v>2607</v>
      </c>
      <c r="C69" s="717">
        <v>1.131E-4</v>
      </c>
      <c r="D69" s="717">
        <v>1.109E-4</v>
      </c>
      <c r="E69" s="718">
        <v>172785</v>
      </c>
      <c r="F69" s="718"/>
      <c r="G69" s="719">
        <v>9954</v>
      </c>
      <c r="H69" s="720">
        <v>41952</v>
      </c>
      <c r="I69" s="719">
        <v>24676</v>
      </c>
      <c r="J69" s="718">
        <v>5678</v>
      </c>
      <c r="K69" s="720">
        <f t="shared" si="0"/>
        <v>82260</v>
      </c>
      <c r="L69" s="718"/>
      <c r="M69" s="719">
        <v>4891</v>
      </c>
      <c r="N69" s="719">
        <v>0</v>
      </c>
      <c r="O69" s="718">
        <v>2008</v>
      </c>
      <c r="P69" s="720">
        <f t="shared" si="1"/>
        <v>6899</v>
      </c>
      <c r="Q69" s="718"/>
      <c r="R69" s="719">
        <v>58229</v>
      </c>
      <c r="S69" s="721">
        <v>731</v>
      </c>
      <c r="T69" s="721">
        <f>58959+1</f>
        <v>58960</v>
      </c>
    </row>
    <row r="70" spans="1:20" x14ac:dyDescent="0.25">
      <c r="A70" s="715">
        <v>90811</v>
      </c>
      <c r="B70" s="716" t="s">
        <v>2608</v>
      </c>
      <c r="C70" s="717">
        <v>3.3599999999999997E-5</v>
      </c>
      <c r="D70" s="717">
        <v>4.0000000000000003E-5</v>
      </c>
      <c r="E70" s="718">
        <v>51331</v>
      </c>
      <c r="F70" s="718"/>
      <c r="G70" s="719">
        <v>2957</v>
      </c>
      <c r="H70" s="720">
        <v>12463</v>
      </c>
      <c r="I70" s="719">
        <v>7331</v>
      </c>
      <c r="J70" s="718">
        <v>471</v>
      </c>
      <c r="K70" s="720">
        <f t="shared" si="0"/>
        <v>23222</v>
      </c>
      <c r="L70" s="718"/>
      <c r="M70" s="719">
        <v>1453</v>
      </c>
      <c r="N70" s="719">
        <v>0</v>
      </c>
      <c r="O70" s="718">
        <v>8846</v>
      </c>
      <c r="P70" s="720">
        <f t="shared" si="1"/>
        <v>10299</v>
      </c>
      <c r="Q70" s="718"/>
      <c r="R70" s="719">
        <v>17299</v>
      </c>
      <c r="S70" s="721">
        <v>-1986</v>
      </c>
      <c r="T70" s="721">
        <v>15313</v>
      </c>
    </row>
    <row r="71" spans="1:20" x14ac:dyDescent="0.25">
      <c r="A71" s="715">
        <v>90812</v>
      </c>
      <c r="B71" s="716" t="s">
        <v>2609</v>
      </c>
      <c r="C71" s="717">
        <v>2.2900000000000001E-4</v>
      </c>
      <c r="D71" s="717">
        <v>2.13E-4</v>
      </c>
      <c r="E71" s="718">
        <v>349849</v>
      </c>
      <c r="F71" s="718"/>
      <c r="G71" s="719">
        <v>20155</v>
      </c>
      <c r="H71" s="720">
        <v>84944</v>
      </c>
      <c r="I71" s="719">
        <v>49963</v>
      </c>
      <c r="J71" s="718">
        <v>15087</v>
      </c>
      <c r="K71" s="720">
        <f t="shared" ref="K71:K134" si="2">G71+H71+I71+J71</f>
        <v>170149</v>
      </c>
      <c r="L71" s="718"/>
      <c r="M71" s="719">
        <v>9903</v>
      </c>
      <c r="N71" s="719">
        <v>0</v>
      </c>
      <c r="O71" s="718">
        <v>10549</v>
      </c>
      <c r="P71" s="720">
        <f t="shared" ref="P71:P134" si="3">M71+N71+O71</f>
        <v>20452</v>
      </c>
      <c r="Q71" s="718"/>
      <c r="R71" s="719">
        <v>117899</v>
      </c>
      <c r="S71" s="721">
        <v>3117</v>
      </c>
      <c r="T71" s="721">
        <v>121016</v>
      </c>
    </row>
    <row r="72" spans="1:20" x14ac:dyDescent="0.25">
      <c r="A72" s="715">
        <v>90813</v>
      </c>
      <c r="B72" s="716" t="s">
        <v>2610</v>
      </c>
      <c r="C72" s="717">
        <v>5.3000000000000001E-6</v>
      </c>
      <c r="D72" s="717">
        <v>5.4999999999999999E-6</v>
      </c>
      <c r="E72" s="718">
        <v>8097</v>
      </c>
      <c r="F72" s="718"/>
      <c r="G72" s="719">
        <v>466</v>
      </c>
      <c r="H72" s="720">
        <v>1966</v>
      </c>
      <c r="I72" s="719">
        <v>1156</v>
      </c>
      <c r="J72" s="718">
        <v>0</v>
      </c>
      <c r="K72" s="720">
        <f t="shared" si="2"/>
        <v>3588</v>
      </c>
      <c r="L72" s="718"/>
      <c r="M72" s="719">
        <v>229</v>
      </c>
      <c r="N72" s="719">
        <v>0</v>
      </c>
      <c r="O72" s="718">
        <v>1124</v>
      </c>
      <c r="P72" s="720">
        <f t="shared" si="3"/>
        <v>1353</v>
      </c>
      <c r="Q72" s="718"/>
      <c r="R72" s="719">
        <v>2729</v>
      </c>
      <c r="S72" s="721">
        <v>-505</v>
      </c>
      <c r="T72" s="721">
        <f>2223+1</f>
        <v>2224</v>
      </c>
    </row>
    <row r="73" spans="1:20" x14ac:dyDescent="0.25">
      <c r="A73" s="715">
        <v>90861</v>
      </c>
      <c r="B73" s="716" t="s">
        <v>2611</v>
      </c>
      <c r="C73" s="717">
        <v>4.1999999999999996E-6</v>
      </c>
      <c r="D73" s="717">
        <v>4.7999999999999998E-6</v>
      </c>
      <c r="E73" s="718">
        <v>6416</v>
      </c>
      <c r="F73" s="718"/>
      <c r="G73" s="719">
        <v>370</v>
      </c>
      <c r="H73" s="720">
        <v>1558</v>
      </c>
      <c r="I73" s="719">
        <v>916</v>
      </c>
      <c r="J73" s="718">
        <v>3211</v>
      </c>
      <c r="K73" s="720">
        <f t="shared" si="2"/>
        <v>6055</v>
      </c>
      <c r="L73" s="718"/>
      <c r="M73" s="719">
        <v>182</v>
      </c>
      <c r="N73" s="719">
        <v>0</v>
      </c>
      <c r="O73" s="718">
        <v>1117</v>
      </c>
      <c r="P73" s="720">
        <f t="shared" si="3"/>
        <v>1299</v>
      </c>
      <c r="Q73" s="718"/>
      <c r="R73" s="719">
        <v>2162</v>
      </c>
      <c r="S73" s="721">
        <v>191</v>
      </c>
      <c r="T73" s="721">
        <v>2353</v>
      </c>
    </row>
    <row r="74" spans="1:20" x14ac:dyDescent="0.25">
      <c r="A74" s="715">
        <v>90901</v>
      </c>
      <c r="B74" s="716" t="s">
        <v>2612</v>
      </c>
      <c r="C74" s="717">
        <v>2.1814999999999998E-3</v>
      </c>
      <c r="D74" s="717">
        <v>2.1302999999999999E-3</v>
      </c>
      <c r="E74" s="718">
        <v>3332728</v>
      </c>
      <c r="F74" s="718"/>
      <c r="G74" s="719">
        <v>191996</v>
      </c>
      <c r="H74" s="720">
        <v>809191</v>
      </c>
      <c r="I74" s="719">
        <v>475960</v>
      </c>
      <c r="J74" s="718">
        <v>22389</v>
      </c>
      <c r="K74" s="720">
        <f t="shared" si="2"/>
        <v>1499536</v>
      </c>
      <c r="L74" s="718"/>
      <c r="M74" s="719">
        <v>94339</v>
      </c>
      <c r="N74" s="719">
        <v>0</v>
      </c>
      <c r="O74" s="718">
        <v>38005</v>
      </c>
      <c r="P74" s="720">
        <f t="shared" si="3"/>
        <v>132344</v>
      </c>
      <c r="Q74" s="718"/>
      <c r="R74" s="719">
        <v>1123132</v>
      </c>
      <c r="S74" s="721">
        <v>-5969</v>
      </c>
      <c r="T74" s="721">
        <v>1117163</v>
      </c>
    </row>
    <row r="75" spans="1:20" x14ac:dyDescent="0.25">
      <c r="A75" s="715">
        <v>90911</v>
      </c>
      <c r="B75" s="716" t="s">
        <v>2613</v>
      </c>
      <c r="C75" s="717">
        <v>3.9780000000000002E-4</v>
      </c>
      <c r="D75" s="717">
        <v>3.6010000000000003E-4</v>
      </c>
      <c r="E75" s="718">
        <v>607728</v>
      </c>
      <c r="F75" s="718"/>
      <c r="G75" s="719">
        <v>35011</v>
      </c>
      <c r="H75" s="720">
        <v>147557</v>
      </c>
      <c r="I75" s="719">
        <v>86792</v>
      </c>
      <c r="J75" s="718">
        <v>6806</v>
      </c>
      <c r="K75" s="720">
        <f t="shared" si="2"/>
        <v>276166</v>
      </c>
      <c r="L75" s="718"/>
      <c r="M75" s="719">
        <v>17203</v>
      </c>
      <c r="N75" s="719">
        <v>0</v>
      </c>
      <c r="O75" s="718">
        <v>31482</v>
      </c>
      <c r="P75" s="720">
        <f t="shared" si="3"/>
        <v>48685</v>
      </c>
      <c r="Q75" s="718"/>
      <c r="R75" s="719">
        <v>204805</v>
      </c>
      <c r="S75" s="721">
        <v>-18326</v>
      </c>
      <c r="T75" s="721">
        <v>186479</v>
      </c>
    </row>
    <row r="76" spans="1:20" x14ac:dyDescent="0.25">
      <c r="A76" s="715">
        <v>90917</v>
      </c>
      <c r="B76" s="716" t="s">
        <v>2614</v>
      </c>
      <c r="C76" s="717">
        <v>1.4399999999999999E-5</v>
      </c>
      <c r="D76" s="717">
        <v>1.42E-5</v>
      </c>
      <c r="E76" s="718">
        <v>21999</v>
      </c>
      <c r="F76" s="718"/>
      <c r="G76" s="719">
        <v>1267</v>
      </c>
      <c r="H76" s="720">
        <v>5342</v>
      </c>
      <c r="I76" s="719">
        <v>3142</v>
      </c>
      <c r="J76" s="718">
        <v>1461</v>
      </c>
      <c r="K76" s="720">
        <f t="shared" si="2"/>
        <v>11212</v>
      </c>
      <c r="L76" s="718"/>
      <c r="M76" s="719">
        <v>623</v>
      </c>
      <c r="N76" s="719">
        <v>0</v>
      </c>
      <c r="O76" s="718">
        <v>966</v>
      </c>
      <c r="P76" s="720">
        <f t="shared" si="3"/>
        <v>1589</v>
      </c>
      <c r="Q76" s="718"/>
      <c r="R76" s="719">
        <v>7414</v>
      </c>
      <c r="S76" s="721">
        <v>-22</v>
      </c>
      <c r="T76" s="721">
        <v>7392</v>
      </c>
    </row>
    <row r="77" spans="1:20" x14ac:dyDescent="0.25">
      <c r="A77" s="715">
        <v>90918</v>
      </c>
      <c r="B77" s="716" t="s">
        <v>2615</v>
      </c>
      <c r="C77" s="717">
        <v>1.19E-5</v>
      </c>
      <c r="D77" s="717">
        <v>1.24E-5</v>
      </c>
      <c r="E77" s="718">
        <v>18180</v>
      </c>
      <c r="F77" s="718"/>
      <c r="G77" s="719">
        <v>1047</v>
      </c>
      <c r="H77" s="720">
        <v>4414</v>
      </c>
      <c r="I77" s="719">
        <v>2596</v>
      </c>
      <c r="J77" s="718">
        <v>0</v>
      </c>
      <c r="K77" s="720">
        <f t="shared" si="2"/>
        <v>8057</v>
      </c>
      <c r="L77" s="718"/>
      <c r="M77" s="719">
        <v>515</v>
      </c>
      <c r="N77" s="719">
        <v>0</v>
      </c>
      <c r="O77" s="718">
        <v>2553</v>
      </c>
      <c r="P77" s="720">
        <f t="shared" si="3"/>
        <v>3068</v>
      </c>
      <c r="Q77" s="718"/>
      <c r="R77" s="719">
        <v>6127</v>
      </c>
      <c r="S77" s="721">
        <v>-1087</v>
      </c>
      <c r="T77" s="721">
        <f>5039+1</f>
        <v>5040</v>
      </c>
    </row>
    <row r="78" spans="1:20" x14ac:dyDescent="0.25">
      <c r="A78" s="715">
        <v>90921</v>
      </c>
      <c r="B78" s="716" t="s">
        <v>2616</v>
      </c>
      <c r="C78" s="717">
        <v>1.2970000000000001E-4</v>
      </c>
      <c r="D78" s="717">
        <v>8.7399999999999997E-5</v>
      </c>
      <c r="E78" s="718">
        <v>198146</v>
      </c>
      <c r="F78" s="718"/>
      <c r="G78" s="719">
        <v>11415</v>
      </c>
      <c r="H78" s="720">
        <v>48110</v>
      </c>
      <c r="I78" s="719">
        <v>28298</v>
      </c>
      <c r="J78" s="718">
        <v>31212</v>
      </c>
      <c r="K78" s="720">
        <f t="shared" si="2"/>
        <v>119035</v>
      </c>
      <c r="L78" s="718"/>
      <c r="M78" s="719">
        <v>5609</v>
      </c>
      <c r="N78" s="719">
        <v>0</v>
      </c>
      <c r="O78" s="718">
        <v>7007</v>
      </c>
      <c r="P78" s="720">
        <f t="shared" si="3"/>
        <v>12616</v>
      </c>
      <c r="Q78" s="718"/>
      <c r="R78" s="719">
        <v>66775</v>
      </c>
      <c r="S78" s="721">
        <v>5102</v>
      </c>
      <c r="T78" s="721">
        <v>71877</v>
      </c>
    </row>
    <row r="79" spans="1:20" x14ac:dyDescent="0.25">
      <c r="A79" s="715">
        <v>90931</v>
      </c>
      <c r="B79" s="716" t="s">
        <v>2617</v>
      </c>
      <c r="C79" s="717">
        <v>4.07E-5</v>
      </c>
      <c r="D79" s="717">
        <v>5.1900000000000001E-5</v>
      </c>
      <c r="E79" s="718">
        <v>62178</v>
      </c>
      <c r="F79" s="718"/>
      <c r="G79" s="719">
        <v>3582</v>
      </c>
      <c r="H79" s="720">
        <v>15097</v>
      </c>
      <c r="I79" s="719">
        <v>8880</v>
      </c>
      <c r="J79" s="718">
        <v>3743</v>
      </c>
      <c r="K79" s="720">
        <f t="shared" si="2"/>
        <v>31302</v>
      </c>
      <c r="L79" s="718"/>
      <c r="M79" s="719">
        <v>1760</v>
      </c>
      <c r="N79" s="719">
        <v>0</v>
      </c>
      <c r="O79" s="718">
        <v>14137</v>
      </c>
      <c r="P79" s="720">
        <f t="shared" si="3"/>
        <v>15897</v>
      </c>
      <c r="Q79" s="718"/>
      <c r="R79" s="719">
        <v>20954</v>
      </c>
      <c r="S79" s="721">
        <v>-1298</v>
      </c>
      <c r="T79" s="721">
        <v>19656</v>
      </c>
    </row>
    <row r="80" spans="1:20" x14ac:dyDescent="0.25">
      <c r="A80" s="715">
        <v>90941</v>
      </c>
      <c r="B80" s="716" t="s">
        <v>2618</v>
      </c>
      <c r="C80" s="717">
        <v>7.0300000000000001E-5</v>
      </c>
      <c r="D80" s="717">
        <v>9.0799999999999998E-5</v>
      </c>
      <c r="E80" s="718">
        <v>107399</v>
      </c>
      <c r="F80" s="718"/>
      <c r="G80" s="719">
        <v>6187</v>
      </c>
      <c r="H80" s="720">
        <v>26076</v>
      </c>
      <c r="I80" s="719">
        <v>15338</v>
      </c>
      <c r="J80" s="718">
        <v>1686</v>
      </c>
      <c r="K80" s="720">
        <f t="shared" si="2"/>
        <v>49287</v>
      </c>
      <c r="L80" s="718"/>
      <c r="M80" s="719">
        <v>3040</v>
      </c>
      <c r="N80" s="719">
        <v>0</v>
      </c>
      <c r="O80" s="718">
        <v>16031</v>
      </c>
      <c r="P80" s="720">
        <f t="shared" si="3"/>
        <v>19071</v>
      </c>
      <c r="Q80" s="718"/>
      <c r="R80" s="719">
        <v>36194</v>
      </c>
      <c r="S80" s="721">
        <v>-4988</v>
      </c>
      <c r="T80" s="721">
        <f>31205+1</f>
        <v>31206</v>
      </c>
    </row>
    <row r="81" spans="1:20" x14ac:dyDescent="0.25">
      <c r="A81" s="715">
        <v>91001</v>
      </c>
      <c r="B81" s="716" t="s">
        <v>2619</v>
      </c>
      <c r="C81" s="717">
        <v>6.6703999999999999E-3</v>
      </c>
      <c r="D81" s="717">
        <v>6.6189999999999999E-3</v>
      </c>
      <c r="E81" s="718">
        <v>10190523</v>
      </c>
      <c r="F81" s="718"/>
      <c r="G81" s="719">
        <v>587069</v>
      </c>
      <c r="H81" s="720">
        <v>2474271</v>
      </c>
      <c r="I81" s="719">
        <v>1455348</v>
      </c>
      <c r="J81" s="718">
        <v>35831</v>
      </c>
      <c r="K81" s="720">
        <f t="shared" si="2"/>
        <v>4552519</v>
      </c>
      <c r="L81" s="718"/>
      <c r="M81" s="719">
        <v>288461</v>
      </c>
      <c r="N81" s="719">
        <v>0</v>
      </c>
      <c r="O81" s="718">
        <v>269013</v>
      </c>
      <c r="P81" s="720">
        <f t="shared" si="3"/>
        <v>557474</v>
      </c>
      <c r="Q81" s="718"/>
      <c r="R81" s="719">
        <v>3434215</v>
      </c>
      <c r="S81" s="721">
        <v>-50061</v>
      </c>
      <c r="T81" s="721">
        <v>3384154</v>
      </c>
    </row>
    <row r="82" spans="1:20" x14ac:dyDescent="0.25">
      <c r="A82" s="715">
        <v>91002</v>
      </c>
      <c r="B82" s="716" t="s">
        <v>2620</v>
      </c>
      <c r="C82" s="717">
        <v>6.8860000000000004E-4</v>
      </c>
      <c r="D82" s="717">
        <v>5.6360000000000004E-4</v>
      </c>
      <c r="E82" s="718">
        <v>1051990</v>
      </c>
      <c r="F82" s="718"/>
      <c r="G82" s="719">
        <v>60604</v>
      </c>
      <c r="H82" s="720">
        <v>255424</v>
      </c>
      <c r="I82" s="719">
        <v>150239</v>
      </c>
      <c r="J82" s="718">
        <v>39390</v>
      </c>
      <c r="K82" s="720">
        <f t="shared" si="2"/>
        <v>505657</v>
      </c>
      <c r="L82" s="718"/>
      <c r="M82" s="719">
        <v>29779</v>
      </c>
      <c r="N82" s="719">
        <v>0</v>
      </c>
      <c r="O82" s="718">
        <v>48600</v>
      </c>
      <c r="P82" s="720">
        <f t="shared" si="3"/>
        <v>78379</v>
      </c>
      <c r="Q82" s="718"/>
      <c r="R82" s="719">
        <v>354522</v>
      </c>
      <c r="S82" s="721">
        <v>-8849</v>
      </c>
      <c r="T82" s="721">
        <v>345673</v>
      </c>
    </row>
    <row r="83" spans="1:20" x14ac:dyDescent="0.25">
      <c r="A83" s="715">
        <v>91003</v>
      </c>
      <c r="B83" s="716" t="s">
        <v>2621</v>
      </c>
      <c r="C83" s="717">
        <v>5.7260000000000004E-4</v>
      </c>
      <c r="D83" s="717">
        <v>5.6550000000000003E-4</v>
      </c>
      <c r="E83" s="718">
        <v>874774</v>
      </c>
      <c r="F83" s="718"/>
      <c r="G83" s="719">
        <v>50395</v>
      </c>
      <c r="H83" s="720">
        <v>212396</v>
      </c>
      <c r="I83" s="719">
        <v>124930</v>
      </c>
      <c r="J83" s="718">
        <v>27734</v>
      </c>
      <c r="K83" s="720">
        <f t="shared" si="2"/>
        <v>415455</v>
      </c>
      <c r="L83" s="718"/>
      <c r="M83" s="719">
        <v>24762</v>
      </c>
      <c r="N83" s="719">
        <v>0</v>
      </c>
      <c r="O83" s="718">
        <v>28524</v>
      </c>
      <c r="P83" s="720">
        <f t="shared" si="3"/>
        <v>53286</v>
      </c>
      <c r="Q83" s="718"/>
      <c r="R83" s="719">
        <v>294800</v>
      </c>
      <c r="S83" s="721">
        <v>7266</v>
      </c>
      <c r="T83" s="721">
        <v>302066</v>
      </c>
    </row>
    <row r="84" spans="1:20" x14ac:dyDescent="0.25">
      <c r="A84" s="715">
        <v>91004</v>
      </c>
      <c r="B84" s="716" t="s">
        <v>2622</v>
      </c>
      <c r="C84" s="717">
        <v>2.58E-5</v>
      </c>
      <c r="D84" s="717">
        <v>1.7499999999999998E-5</v>
      </c>
      <c r="E84" s="718">
        <v>39415</v>
      </c>
      <c r="F84" s="718"/>
      <c r="G84" s="719">
        <v>2271</v>
      </c>
      <c r="H84" s="720">
        <v>9571</v>
      </c>
      <c r="I84" s="719">
        <v>5629</v>
      </c>
      <c r="J84" s="718">
        <v>12153</v>
      </c>
      <c r="K84" s="720">
        <f t="shared" si="2"/>
        <v>29624</v>
      </c>
      <c r="L84" s="718"/>
      <c r="M84" s="719">
        <v>1116</v>
      </c>
      <c r="N84" s="719">
        <v>0</v>
      </c>
      <c r="O84" s="718">
        <v>108</v>
      </c>
      <c r="P84" s="720">
        <f t="shared" si="3"/>
        <v>1224</v>
      </c>
      <c r="Q84" s="718"/>
      <c r="R84" s="719">
        <v>13283</v>
      </c>
      <c r="S84" s="721">
        <v>4277</v>
      </c>
      <c r="T84" s="721">
        <v>17560</v>
      </c>
    </row>
    <row r="85" spans="1:20" x14ac:dyDescent="0.25">
      <c r="A85" s="715">
        <v>91006</v>
      </c>
      <c r="B85" s="716" t="s">
        <v>2623</v>
      </c>
      <c r="C85" s="717">
        <v>1.0317E-3</v>
      </c>
      <c r="D85" s="717">
        <v>1.0096E-3</v>
      </c>
      <c r="E85" s="718">
        <v>1576152</v>
      </c>
      <c r="F85" s="718"/>
      <c r="G85" s="719">
        <v>90801</v>
      </c>
      <c r="H85" s="720">
        <v>382692</v>
      </c>
      <c r="I85" s="719">
        <v>225096</v>
      </c>
      <c r="J85" s="718">
        <v>18199</v>
      </c>
      <c r="K85" s="720">
        <f t="shared" si="2"/>
        <v>716788</v>
      </c>
      <c r="L85" s="718"/>
      <c r="M85" s="719">
        <v>44616</v>
      </c>
      <c r="N85" s="719">
        <v>0</v>
      </c>
      <c r="O85" s="718">
        <v>22958</v>
      </c>
      <c r="P85" s="720">
        <f t="shared" si="3"/>
        <v>67574</v>
      </c>
      <c r="Q85" s="718"/>
      <c r="R85" s="719">
        <v>531165</v>
      </c>
      <c r="S85" s="721">
        <v>3230</v>
      </c>
      <c r="T85" s="721">
        <v>534395</v>
      </c>
    </row>
    <row r="86" spans="1:20" x14ac:dyDescent="0.25">
      <c r="A86" s="715">
        <v>91007</v>
      </c>
      <c r="B86" s="716" t="s">
        <v>2624</v>
      </c>
      <c r="C86" s="717">
        <v>9.5000000000000005E-6</v>
      </c>
      <c r="D86" s="717">
        <v>1.2500000000000001E-5</v>
      </c>
      <c r="E86" s="718">
        <v>14513</v>
      </c>
      <c r="F86" s="718"/>
      <c r="G86" s="719">
        <v>836</v>
      </c>
      <c r="H86" s="720">
        <v>3524</v>
      </c>
      <c r="I86" s="719">
        <v>2073</v>
      </c>
      <c r="J86" s="718">
        <v>7476</v>
      </c>
      <c r="K86" s="720">
        <f t="shared" si="2"/>
        <v>13909</v>
      </c>
      <c r="L86" s="718"/>
      <c r="M86" s="719">
        <v>411</v>
      </c>
      <c r="N86" s="719">
        <v>0</v>
      </c>
      <c r="O86" s="718">
        <v>507</v>
      </c>
      <c r="P86" s="720">
        <f t="shared" si="3"/>
        <v>918</v>
      </c>
      <c r="Q86" s="718"/>
      <c r="R86" s="719">
        <v>4891</v>
      </c>
      <c r="S86" s="721">
        <v>2150</v>
      </c>
      <c r="T86" s="721">
        <v>7041</v>
      </c>
    </row>
    <row r="87" spans="1:20" x14ac:dyDescent="0.25">
      <c r="A87" s="715">
        <v>91008</v>
      </c>
      <c r="B87" s="716" t="s">
        <v>2625</v>
      </c>
      <c r="C87" s="717">
        <v>1.236E-4</v>
      </c>
      <c r="D87" s="717">
        <v>1.273E-4</v>
      </c>
      <c r="E87" s="718">
        <v>188827</v>
      </c>
      <c r="F87" s="718"/>
      <c r="G87" s="719">
        <v>10878</v>
      </c>
      <c r="H87" s="720">
        <v>45847</v>
      </c>
      <c r="I87" s="719">
        <v>26967</v>
      </c>
      <c r="J87" s="718">
        <v>37042</v>
      </c>
      <c r="K87" s="720">
        <f t="shared" si="2"/>
        <v>120734</v>
      </c>
      <c r="L87" s="718"/>
      <c r="M87" s="719">
        <v>5345</v>
      </c>
      <c r="N87" s="719">
        <v>0</v>
      </c>
      <c r="O87" s="718">
        <v>0</v>
      </c>
      <c r="P87" s="720">
        <f t="shared" si="3"/>
        <v>5345</v>
      </c>
      <c r="Q87" s="718"/>
      <c r="R87" s="719">
        <v>63635</v>
      </c>
      <c r="S87" s="721">
        <v>17548</v>
      </c>
      <c r="T87" s="721">
        <v>81183</v>
      </c>
    </row>
    <row r="88" spans="1:20" x14ac:dyDescent="0.25">
      <c r="A88" s="715">
        <v>91009</v>
      </c>
      <c r="B88" s="716" t="s">
        <v>2626</v>
      </c>
      <c r="C88" s="717">
        <v>1.7499999999999998E-5</v>
      </c>
      <c r="D88" s="717">
        <v>1.8700000000000001E-5</v>
      </c>
      <c r="E88" s="718">
        <v>26735</v>
      </c>
      <c r="F88" s="718"/>
      <c r="G88" s="719">
        <v>1540</v>
      </c>
      <c r="H88" s="720">
        <v>6491</v>
      </c>
      <c r="I88" s="719">
        <v>3818</v>
      </c>
      <c r="J88" s="718">
        <v>4951</v>
      </c>
      <c r="K88" s="720">
        <f t="shared" si="2"/>
        <v>16800</v>
      </c>
      <c r="L88" s="718"/>
      <c r="M88" s="719">
        <v>757</v>
      </c>
      <c r="N88" s="719">
        <v>0</v>
      </c>
      <c r="O88" s="718">
        <v>2458</v>
      </c>
      <c r="P88" s="720">
        <f t="shared" si="3"/>
        <v>3215</v>
      </c>
      <c r="Q88" s="718"/>
      <c r="R88" s="719">
        <v>9010</v>
      </c>
      <c r="S88" s="721">
        <v>187</v>
      </c>
      <c r="T88" s="721">
        <v>9197</v>
      </c>
    </row>
    <row r="89" spans="1:20" x14ac:dyDescent="0.25">
      <c r="A89" s="715">
        <v>91010</v>
      </c>
      <c r="B89" s="716" t="s">
        <v>2627</v>
      </c>
      <c r="C89" s="717">
        <v>7.0099999999999996E-5</v>
      </c>
      <c r="D89" s="717">
        <v>6.8399999999999996E-5</v>
      </c>
      <c r="E89" s="718">
        <v>107093</v>
      </c>
      <c r="F89" s="718"/>
      <c r="G89" s="719">
        <v>6170</v>
      </c>
      <c r="H89" s="720">
        <v>26003</v>
      </c>
      <c r="I89" s="719">
        <v>15294</v>
      </c>
      <c r="J89" s="718">
        <v>7603</v>
      </c>
      <c r="K89" s="720">
        <f t="shared" si="2"/>
        <v>55070</v>
      </c>
      <c r="L89" s="718"/>
      <c r="M89" s="719">
        <v>3031</v>
      </c>
      <c r="N89" s="719">
        <v>0</v>
      </c>
      <c r="O89" s="718">
        <v>296</v>
      </c>
      <c r="P89" s="720">
        <f t="shared" si="3"/>
        <v>3327</v>
      </c>
      <c r="Q89" s="718"/>
      <c r="R89" s="719">
        <v>36091</v>
      </c>
      <c r="S89" s="721">
        <v>4736</v>
      </c>
      <c r="T89" s="721">
        <v>40827</v>
      </c>
    </row>
    <row r="90" spans="1:20" x14ac:dyDescent="0.25">
      <c r="A90" s="715">
        <v>91011</v>
      </c>
      <c r="B90" s="716" t="s">
        <v>2628</v>
      </c>
      <c r="C90" s="717">
        <v>3.5760000000000002E-4</v>
      </c>
      <c r="D90" s="717">
        <v>3.1789999999999998E-4</v>
      </c>
      <c r="E90" s="718">
        <v>546314</v>
      </c>
      <c r="F90" s="718"/>
      <c r="G90" s="719">
        <v>31473</v>
      </c>
      <c r="H90" s="720">
        <v>132645</v>
      </c>
      <c r="I90" s="719">
        <v>78021</v>
      </c>
      <c r="J90" s="718">
        <v>43643</v>
      </c>
      <c r="K90" s="720">
        <f t="shared" si="2"/>
        <v>285782</v>
      </c>
      <c r="L90" s="718"/>
      <c r="M90" s="719">
        <v>15464</v>
      </c>
      <c r="N90" s="719">
        <v>0</v>
      </c>
      <c r="O90" s="718">
        <v>0</v>
      </c>
      <c r="P90" s="720">
        <f t="shared" si="3"/>
        <v>15464</v>
      </c>
      <c r="Q90" s="718"/>
      <c r="R90" s="719">
        <v>184108</v>
      </c>
      <c r="S90" s="721">
        <v>16126</v>
      </c>
      <c r="T90" s="721">
        <v>200234</v>
      </c>
    </row>
    <row r="91" spans="1:20" x14ac:dyDescent="0.25">
      <c r="A91" s="715">
        <v>91012</v>
      </c>
      <c r="B91" s="716" t="s">
        <v>2629</v>
      </c>
      <c r="C91" s="717">
        <v>1.9300000000000002E-5</v>
      </c>
      <c r="D91" s="717">
        <v>1.49E-5</v>
      </c>
      <c r="E91" s="718">
        <v>29485</v>
      </c>
      <c r="F91" s="718"/>
      <c r="G91" s="719">
        <v>1699</v>
      </c>
      <c r="H91" s="720">
        <v>7159</v>
      </c>
      <c r="I91" s="719">
        <v>4211</v>
      </c>
      <c r="J91" s="718">
        <v>5400</v>
      </c>
      <c r="K91" s="720">
        <f t="shared" si="2"/>
        <v>18469</v>
      </c>
      <c r="L91" s="718"/>
      <c r="M91" s="719">
        <v>835</v>
      </c>
      <c r="N91" s="719">
        <v>0</v>
      </c>
      <c r="O91" s="718">
        <v>2458</v>
      </c>
      <c r="P91" s="720">
        <f t="shared" si="3"/>
        <v>3293</v>
      </c>
      <c r="Q91" s="718"/>
      <c r="R91" s="719">
        <v>9936</v>
      </c>
      <c r="S91" s="721">
        <v>-662</v>
      </c>
      <c r="T91" s="721">
        <f>9275-1</f>
        <v>9274</v>
      </c>
    </row>
    <row r="92" spans="1:20" x14ac:dyDescent="0.25">
      <c r="A92" s="715">
        <v>91013</v>
      </c>
      <c r="B92" s="716" t="s">
        <v>2630</v>
      </c>
      <c r="C92" s="717">
        <v>2.34E-5</v>
      </c>
      <c r="D92" s="717">
        <v>2.1800000000000001E-5</v>
      </c>
      <c r="E92" s="718">
        <v>35749</v>
      </c>
      <c r="F92" s="718"/>
      <c r="G92" s="719">
        <v>2059</v>
      </c>
      <c r="H92" s="720">
        <v>8680</v>
      </c>
      <c r="I92" s="719">
        <v>5105</v>
      </c>
      <c r="J92" s="718">
        <v>31764</v>
      </c>
      <c r="K92" s="720">
        <f t="shared" si="2"/>
        <v>47608</v>
      </c>
      <c r="L92" s="718"/>
      <c r="M92" s="719">
        <v>1012</v>
      </c>
      <c r="N92" s="719">
        <v>0</v>
      </c>
      <c r="O92" s="718">
        <v>0</v>
      </c>
      <c r="P92" s="720">
        <f t="shared" si="3"/>
        <v>1012</v>
      </c>
      <c r="Q92" s="718"/>
      <c r="R92" s="719">
        <v>12047</v>
      </c>
      <c r="S92" s="721">
        <v>9518</v>
      </c>
      <c r="T92" s="721">
        <v>21565</v>
      </c>
    </row>
    <row r="93" spans="1:20" x14ac:dyDescent="0.25">
      <c r="A93" s="715">
        <v>91014</v>
      </c>
      <c r="B93" s="716" t="s">
        <v>2631</v>
      </c>
      <c r="C93" s="717">
        <v>2.22E-4</v>
      </c>
      <c r="D93" s="717">
        <v>2.1499999999999999E-4</v>
      </c>
      <c r="E93" s="718">
        <v>339155</v>
      </c>
      <c r="F93" s="718"/>
      <c r="G93" s="719">
        <v>19538</v>
      </c>
      <c r="H93" s="720">
        <v>82347</v>
      </c>
      <c r="I93" s="719">
        <v>48436</v>
      </c>
      <c r="J93" s="718">
        <v>1313</v>
      </c>
      <c r="K93" s="720">
        <f t="shared" si="2"/>
        <v>151634</v>
      </c>
      <c r="L93" s="718"/>
      <c r="M93" s="719">
        <v>9600</v>
      </c>
      <c r="N93" s="719">
        <v>0</v>
      </c>
      <c r="O93" s="718">
        <v>11287</v>
      </c>
      <c r="P93" s="720">
        <f t="shared" si="3"/>
        <v>20887</v>
      </c>
      <c r="Q93" s="718"/>
      <c r="R93" s="719">
        <v>114295</v>
      </c>
      <c r="S93" s="721">
        <v>-6129</v>
      </c>
      <c r="T93" s="721">
        <f>108167-1</f>
        <v>108166</v>
      </c>
    </row>
    <row r="94" spans="1:20" x14ac:dyDescent="0.25">
      <c r="A94" s="715">
        <v>91017</v>
      </c>
      <c r="B94" s="716" t="s">
        <v>2632</v>
      </c>
      <c r="C94" s="717">
        <v>2.4300000000000001E-5</v>
      </c>
      <c r="D94" s="717">
        <v>2.3E-5</v>
      </c>
      <c r="E94" s="718">
        <v>37124</v>
      </c>
      <c r="F94" s="718"/>
      <c r="G94" s="719">
        <v>2139</v>
      </c>
      <c r="H94" s="720">
        <v>9014</v>
      </c>
      <c r="I94" s="719">
        <v>5302</v>
      </c>
      <c r="J94" s="718">
        <v>10242</v>
      </c>
      <c r="K94" s="720">
        <f t="shared" si="2"/>
        <v>26697</v>
      </c>
      <c r="L94" s="718"/>
      <c r="M94" s="719">
        <v>1051</v>
      </c>
      <c r="N94" s="719">
        <v>0</v>
      </c>
      <c r="O94" s="718">
        <v>0</v>
      </c>
      <c r="P94" s="720">
        <f t="shared" si="3"/>
        <v>1051</v>
      </c>
      <c r="Q94" s="718"/>
      <c r="R94" s="719">
        <v>12511</v>
      </c>
      <c r="S94" s="721">
        <v>4025</v>
      </c>
      <c r="T94" s="721">
        <v>16536</v>
      </c>
    </row>
    <row r="95" spans="1:20" x14ac:dyDescent="0.25">
      <c r="A95" s="715">
        <v>91020</v>
      </c>
      <c r="B95" s="716" t="s">
        <v>2633</v>
      </c>
      <c r="C95" s="717">
        <v>2.27E-5</v>
      </c>
      <c r="D95" s="717">
        <v>1.9899999999999999E-5</v>
      </c>
      <c r="E95" s="718">
        <v>34679</v>
      </c>
      <c r="F95" s="718"/>
      <c r="G95" s="719">
        <v>1998</v>
      </c>
      <c r="H95" s="720">
        <v>8420</v>
      </c>
      <c r="I95" s="719">
        <v>4953</v>
      </c>
      <c r="J95" s="718">
        <v>4064</v>
      </c>
      <c r="K95" s="720">
        <f t="shared" si="2"/>
        <v>19435</v>
      </c>
      <c r="L95" s="718"/>
      <c r="M95" s="719">
        <v>982</v>
      </c>
      <c r="N95" s="719">
        <v>0</v>
      </c>
      <c r="O95" s="718">
        <v>376</v>
      </c>
      <c r="P95" s="720">
        <f t="shared" si="3"/>
        <v>1358</v>
      </c>
      <c r="Q95" s="718"/>
      <c r="R95" s="719">
        <v>11687</v>
      </c>
      <c r="S95" s="721">
        <v>1259</v>
      </c>
      <c r="T95" s="721">
        <v>12946</v>
      </c>
    </row>
    <row r="96" spans="1:20" x14ac:dyDescent="0.25">
      <c r="A96" s="715">
        <v>91021</v>
      </c>
      <c r="B96" s="716" t="s">
        <v>2634</v>
      </c>
      <c r="C96" s="717">
        <v>8.6450000000000003E-4</v>
      </c>
      <c r="D96" s="717">
        <v>8.6989999999999995E-4</v>
      </c>
      <c r="E96" s="718">
        <v>1320717</v>
      </c>
      <c r="F96" s="718"/>
      <c r="G96" s="719">
        <v>76086</v>
      </c>
      <c r="H96" s="720">
        <v>320672</v>
      </c>
      <c r="I96" s="719">
        <v>188617</v>
      </c>
      <c r="J96" s="718">
        <v>0</v>
      </c>
      <c r="K96" s="720">
        <f t="shared" si="2"/>
        <v>585375</v>
      </c>
      <c r="L96" s="718"/>
      <c r="M96" s="719">
        <v>37385</v>
      </c>
      <c r="N96" s="719">
        <v>0</v>
      </c>
      <c r="O96" s="718">
        <v>82677</v>
      </c>
      <c r="P96" s="720">
        <f t="shared" si="3"/>
        <v>120062</v>
      </c>
      <c r="Q96" s="718"/>
      <c r="R96" s="719">
        <v>445083</v>
      </c>
      <c r="S96" s="721">
        <v>-48679</v>
      </c>
      <c r="T96" s="721">
        <v>396404</v>
      </c>
    </row>
    <row r="97" spans="1:20" x14ac:dyDescent="0.25">
      <c r="A97" s="715">
        <v>91024</v>
      </c>
      <c r="B97" s="716" t="s">
        <v>2635</v>
      </c>
      <c r="C97" s="717">
        <v>7.2999999999999999E-5</v>
      </c>
      <c r="D97" s="717">
        <v>6.6299999999999999E-5</v>
      </c>
      <c r="E97" s="718">
        <v>111524</v>
      </c>
      <c r="F97" s="718"/>
      <c r="G97" s="719">
        <v>6425</v>
      </c>
      <c r="H97" s="720">
        <v>27078</v>
      </c>
      <c r="I97" s="719">
        <v>15927</v>
      </c>
      <c r="J97" s="718">
        <v>24081</v>
      </c>
      <c r="K97" s="720">
        <f t="shared" si="2"/>
        <v>73511</v>
      </c>
      <c r="L97" s="718"/>
      <c r="M97" s="719">
        <v>3157</v>
      </c>
      <c r="N97" s="719">
        <v>0</v>
      </c>
      <c r="O97" s="718">
        <v>0</v>
      </c>
      <c r="P97" s="720">
        <f t="shared" si="3"/>
        <v>3157</v>
      </c>
      <c r="Q97" s="718"/>
      <c r="R97" s="719">
        <v>37584</v>
      </c>
      <c r="S97" s="721">
        <v>10843</v>
      </c>
      <c r="T97" s="721">
        <f>48426+1</f>
        <v>48427</v>
      </c>
    </row>
    <row r="98" spans="1:20" x14ac:dyDescent="0.25">
      <c r="A98" s="715">
        <v>91026</v>
      </c>
      <c r="B98" s="716" t="s">
        <v>1233</v>
      </c>
      <c r="C98" s="717">
        <v>4.18E-5</v>
      </c>
      <c r="D98" s="717">
        <v>6.0900000000000003E-5</v>
      </c>
      <c r="E98" s="718">
        <v>63859</v>
      </c>
      <c r="F98" s="718"/>
      <c r="G98" s="719">
        <v>3679</v>
      </c>
      <c r="H98" s="720">
        <v>15505</v>
      </c>
      <c r="I98" s="719">
        <v>9120</v>
      </c>
      <c r="J98" s="718">
        <v>34468</v>
      </c>
      <c r="K98" s="720">
        <f t="shared" si="2"/>
        <v>62772</v>
      </c>
      <c r="L98" s="718"/>
      <c r="M98" s="719">
        <v>1808</v>
      </c>
      <c r="N98" s="719">
        <v>0</v>
      </c>
      <c r="O98" s="718">
        <v>3103</v>
      </c>
      <c r="P98" s="720">
        <f t="shared" si="3"/>
        <v>4911</v>
      </c>
      <c r="Q98" s="718"/>
      <c r="R98" s="719">
        <v>21520</v>
      </c>
      <c r="S98" s="721">
        <v>11546</v>
      </c>
      <c r="T98" s="721">
        <v>33066</v>
      </c>
    </row>
    <row r="99" spans="1:20" x14ac:dyDescent="0.25">
      <c r="A99" s="715">
        <v>91027</v>
      </c>
      <c r="B99" s="716" t="s">
        <v>2636</v>
      </c>
      <c r="C99" s="717">
        <v>1.4E-5</v>
      </c>
      <c r="D99" s="717">
        <v>1.6099999999999998E-5</v>
      </c>
      <c r="E99" s="718">
        <v>21388</v>
      </c>
      <c r="F99" s="718"/>
      <c r="G99" s="719">
        <v>1232</v>
      </c>
      <c r="H99" s="720">
        <v>5193</v>
      </c>
      <c r="I99" s="719">
        <v>3055</v>
      </c>
      <c r="J99" s="718">
        <v>16343</v>
      </c>
      <c r="K99" s="720">
        <f t="shared" si="2"/>
        <v>25823</v>
      </c>
      <c r="L99" s="718"/>
      <c r="M99" s="719">
        <v>605</v>
      </c>
      <c r="N99" s="719">
        <v>0</v>
      </c>
      <c r="O99" s="718">
        <v>0</v>
      </c>
      <c r="P99" s="720">
        <f t="shared" si="3"/>
        <v>605</v>
      </c>
      <c r="Q99" s="718"/>
      <c r="R99" s="719">
        <v>7208</v>
      </c>
      <c r="S99" s="721">
        <v>6601</v>
      </c>
      <c r="T99" s="721">
        <f>13808+1</f>
        <v>13809</v>
      </c>
    </row>
    <row r="100" spans="1:20" x14ac:dyDescent="0.25">
      <c r="A100" s="715">
        <v>91032</v>
      </c>
      <c r="B100" s="716" t="s">
        <v>2637</v>
      </c>
      <c r="C100" s="717">
        <v>1.8E-5</v>
      </c>
      <c r="D100" s="717">
        <v>1.8600000000000001E-5</v>
      </c>
      <c r="E100" s="718">
        <v>27499</v>
      </c>
      <c r="F100" s="718"/>
      <c r="G100" s="719">
        <v>1584</v>
      </c>
      <c r="H100" s="720">
        <v>6677</v>
      </c>
      <c r="I100" s="719">
        <v>3927</v>
      </c>
      <c r="J100" s="718">
        <v>14996</v>
      </c>
      <c r="K100" s="720">
        <f t="shared" si="2"/>
        <v>27184</v>
      </c>
      <c r="L100" s="718"/>
      <c r="M100" s="719">
        <v>778</v>
      </c>
      <c r="N100" s="719">
        <v>0</v>
      </c>
      <c r="O100" s="718">
        <v>0</v>
      </c>
      <c r="P100" s="720">
        <f t="shared" si="3"/>
        <v>778</v>
      </c>
      <c r="Q100" s="718"/>
      <c r="R100" s="719">
        <v>9267</v>
      </c>
      <c r="S100" s="721">
        <v>6458</v>
      </c>
      <c r="T100" s="721">
        <v>15725</v>
      </c>
    </row>
    <row r="101" spans="1:20" x14ac:dyDescent="0.25">
      <c r="A101" s="715">
        <v>91041</v>
      </c>
      <c r="B101" s="716" t="s">
        <v>2638</v>
      </c>
      <c r="C101" s="717">
        <v>4.0400000000000001E-4</v>
      </c>
      <c r="D101" s="717">
        <v>4.3609999999999998E-4</v>
      </c>
      <c r="E101" s="718">
        <v>617200</v>
      </c>
      <c r="F101" s="718"/>
      <c r="G101" s="719">
        <v>35556</v>
      </c>
      <c r="H101" s="720">
        <v>149857</v>
      </c>
      <c r="I101" s="719">
        <v>88145</v>
      </c>
      <c r="J101" s="718">
        <v>0</v>
      </c>
      <c r="K101" s="720">
        <f t="shared" si="2"/>
        <v>273558</v>
      </c>
      <c r="L101" s="718"/>
      <c r="M101" s="719">
        <v>17471</v>
      </c>
      <c r="N101" s="719">
        <v>0</v>
      </c>
      <c r="O101" s="718">
        <v>109443</v>
      </c>
      <c r="P101" s="720">
        <f t="shared" si="3"/>
        <v>126914</v>
      </c>
      <c r="Q101" s="718"/>
      <c r="R101" s="719">
        <v>207997</v>
      </c>
      <c r="S101" s="721">
        <v>-39088</v>
      </c>
      <c r="T101" s="721">
        <v>168909</v>
      </c>
    </row>
    <row r="102" spans="1:20" x14ac:dyDescent="0.25">
      <c r="A102" s="715">
        <v>91042</v>
      </c>
      <c r="B102" s="716" t="s">
        <v>2639</v>
      </c>
      <c r="C102" s="717">
        <v>2.3360000000000001E-4</v>
      </c>
      <c r="D102" s="717">
        <v>2.062E-4</v>
      </c>
      <c r="E102" s="718">
        <v>356876</v>
      </c>
      <c r="F102" s="718"/>
      <c r="G102" s="719">
        <v>20559</v>
      </c>
      <c r="H102" s="720">
        <v>86650</v>
      </c>
      <c r="I102" s="719">
        <v>50967</v>
      </c>
      <c r="J102" s="718">
        <v>12354</v>
      </c>
      <c r="K102" s="720">
        <f t="shared" si="2"/>
        <v>170530</v>
      </c>
      <c r="L102" s="718"/>
      <c r="M102" s="719">
        <v>10102</v>
      </c>
      <c r="N102" s="719">
        <v>0</v>
      </c>
      <c r="O102" s="718">
        <v>6985</v>
      </c>
      <c r="P102" s="720">
        <f t="shared" si="3"/>
        <v>17087</v>
      </c>
      <c r="Q102" s="718"/>
      <c r="R102" s="719">
        <v>120268</v>
      </c>
      <c r="S102" s="721">
        <v>717</v>
      </c>
      <c r="T102" s="721">
        <f>120984+1</f>
        <v>120985</v>
      </c>
    </row>
    <row r="103" spans="1:20" x14ac:dyDescent="0.25">
      <c r="A103" s="715">
        <v>91047</v>
      </c>
      <c r="B103" s="716" t="s">
        <v>2640</v>
      </c>
      <c r="C103" s="717">
        <v>1.31E-5</v>
      </c>
      <c r="D103" s="717">
        <v>1.3200000000000001E-5</v>
      </c>
      <c r="E103" s="718">
        <v>20013</v>
      </c>
      <c r="F103" s="718"/>
      <c r="G103" s="719">
        <v>1153</v>
      </c>
      <c r="H103" s="720">
        <v>4859</v>
      </c>
      <c r="I103" s="719">
        <v>2858</v>
      </c>
      <c r="J103" s="718">
        <v>20507</v>
      </c>
      <c r="K103" s="720">
        <f t="shared" si="2"/>
        <v>29377</v>
      </c>
      <c r="L103" s="718"/>
      <c r="M103" s="719">
        <v>567</v>
      </c>
      <c r="N103" s="719">
        <v>0</v>
      </c>
      <c r="O103" s="718">
        <v>0</v>
      </c>
      <c r="P103" s="720">
        <f t="shared" si="3"/>
        <v>567</v>
      </c>
      <c r="Q103" s="718"/>
      <c r="R103" s="719">
        <v>6744</v>
      </c>
      <c r="S103" s="721">
        <v>7559</v>
      </c>
      <c r="T103" s="721">
        <v>14303</v>
      </c>
    </row>
    <row r="104" spans="1:20" x14ac:dyDescent="0.25">
      <c r="A104" s="715">
        <v>91051</v>
      </c>
      <c r="B104" s="716" t="s">
        <v>2641</v>
      </c>
      <c r="C104" s="717">
        <v>6.6400000000000001E-5</v>
      </c>
      <c r="D104" s="717">
        <v>7.6600000000000005E-5</v>
      </c>
      <c r="E104" s="718">
        <v>101441</v>
      </c>
      <c r="F104" s="718"/>
      <c r="G104" s="719">
        <v>5844</v>
      </c>
      <c r="H104" s="720">
        <v>24630</v>
      </c>
      <c r="I104" s="719">
        <v>14487</v>
      </c>
      <c r="J104" s="718">
        <v>1619</v>
      </c>
      <c r="K104" s="720">
        <f t="shared" si="2"/>
        <v>46580</v>
      </c>
      <c r="L104" s="718"/>
      <c r="M104" s="719">
        <v>2871</v>
      </c>
      <c r="N104" s="719">
        <v>0</v>
      </c>
      <c r="O104" s="718">
        <v>8430</v>
      </c>
      <c r="P104" s="720">
        <f t="shared" si="3"/>
        <v>11301</v>
      </c>
      <c r="Q104" s="718"/>
      <c r="R104" s="719">
        <v>34186</v>
      </c>
      <c r="S104" s="721">
        <v>-1576</v>
      </c>
      <c r="T104" s="721">
        <f>32609+1</f>
        <v>32610</v>
      </c>
    </row>
    <row r="105" spans="1:20" x14ac:dyDescent="0.25">
      <c r="A105" s="715">
        <v>91057</v>
      </c>
      <c r="B105" s="716" t="s">
        <v>2642</v>
      </c>
      <c r="C105" s="717">
        <v>1.4399999999999999E-5</v>
      </c>
      <c r="D105" s="717">
        <v>1.5E-5</v>
      </c>
      <c r="E105" s="718">
        <v>21999</v>
      </c>
      <c r="F105" s="718"/>
      <c r="G105" s="719">
        <v>1267</v>
      </c>
      <c r="H105" s="720">
        <v>5342</v>
      </c>
      <c r="I105" s="719">
        <v>3142</v>
      </c>
      <c r="J105" s="718">
        <v>5805</v>
      </c>
      <c r="K105" s="720">
        <f t="shared" si="2"/>
        <v>15556</v>
      </c>
      <c r="L105" s="718"/>
      <c r="M105" s="719">
        <v>623</v>
      </c>
      <c r="N105" s="719">
        <v>0</v>
      </c>
      <c r="O105" s="718">
        <v>0</v>
      </c>
      <c r="P105" s="720">
        <f t="shared" si="3"/>
        <v>623</v>
      </c>
      <c r="Q105" s="718"/>
      <c r="R105" s="719">
        <v>7414</v>
      </c>
      <c r="S105" s="721">
        <v>2191</v>
      </c>
      <c r="T105" s="721">
        <v>9605</v>
      </c>
    </row>
    <row r="106" spans="1:20" x14ac:dyDescent="0.25">
      <c r="A106" s="715">
        <v>91061</v>
      </c>
      <c r="B106" s="716" t="s">
        <v>2643</v>
      </c>
      <c r="C106" s="717">
        <v>4.104E-4</v>
      </c>
      <c r="D106" s="717">
        <v>3.7730000000000001E-4</v>
      </c>
      <c r="E106" s="718">
        <v>626978</v>
      </c>
      <c r="F106" s="718"/>
      <c r="G106" s="719">
        <v>36120</v>
      </c>
      <c r="H106" s="720">
        <v>152231</v>
      </c>
      <c r="I106" s="719">
        <v>89541</v>
      </c>
      <c r="J106" s="718">
        <v>19267</v>
      </c>
      <c r="K106" s="720">
        <f t="shared" si="2"/>
        <v>297159</v>
      </c>
      <c r="L106" s="718"/>
      <c r="M106" s="719">
        <v>17748</v>
      </c>
      <c r="N106" s="719">
        <v>0</v>
      </c>
      <c r="O106" s="718">
        <v>27800</v>
      </c>
      <c r="P106" s="720">
        <f t="shared" si="3"/>
        <v>45548</v>
      </c>
      <c r="Q106" s="718"/>
      <c r="R106" s="719">
        <v>211292</v>
      </c>
      <c r="S106" s="721">
        <v>-13384</v>
      </c>
      <c r="T106" s="721">
        <v>197908</v>
      </c>
    </row>
    <row r="107" spans="1:20" x14ac:dyDescent="0.25">
      <c r="A107" s="715">
        <v>91067</v>
      </c>
      <c r="B107" s="716" t="s">
        <v>2644</v>
      </c>
      <c r="C107" s="717">
        <v>1.5699999999999999E-5</v>
      </c>
      <c r="D107" s="717">
        <v>1.8499999999999999E-5</v>
      </c>
      <c r="E107" s="718">
        <v>23985</v>
      </c>
      <c r="F107" s="718"/>
      <c r="G107" s="719">
        <v>1382</v>
      </c>
      <c r="H107" s="720">
        <v>5824</v>
      </c>
      <c r="I107" s="719">
        <v>3425</v>
      </c>
      <c r="J107" s="718">
        <v>2413</v>
      </c>
      <c r="K107" s="720">
        <f t="shared" si="2"/>
        <v>13044</v>
      </c>
      <c r="L107" s="718"/>
      <c r="M107" s="719">
        <v>679</v>
      </c>
      <c r="N107" s="719">
        <v>0</v>
      </c>
      <c r="O107" s="718">
        <v>406</v>
      </c>
      <c r="P107" s="720">
        <f t="shared" si="3"/>
        <v>1085</v>
      </c>
      <c r="Q107" s="718"/>
      <c r="R107" s="719">
        <v>8083</v>
      </c>
      <c r="S107" s="721">
        <v>1156</v>
      </c>
      <c r="T107" s="721">
        <v>9239</v>
      </c>
    </row>
    <row r="108" spans="1:20" x14ac:dyDescent="0.25">
      <c r="A108" s="715">
        <v>91071</v>
      </c>
      <c r="B108" s="716" t="s">
        <v>2645</v>
      </c>
      <c r="C108" s="717">
        <v>2.2770000000000001E-4</v>
      </c>
      <c r="D108" s="717">
        <v>2.4379999999999999E-4</v>
      </c>
      <c r="E108" s="718">
        <v>347863</v>
      </c>
      <c r="F108" s="718"/>
      <c r="G108" s="719">
        <v>20040</v>
      </c>
      <c r="H108" s="720">
        <v>84462</v>
      </c>
      <c r="I108" s="719">
        <v>49680</v>
      </c>
      <c r="J108" s="718">
        <v>8372</v>
      </c>
      <c r="K108" s="720">
        <f t="shared" si="2"/>
        <v>162554</v>
      </c>
      <c r="L108" s="718"/>
      <c r="M108" s="719">
        <v>9847</v>
      </c>
      <c r="N108" s="719">
        <v>0</v>
      </c>
      <c r="O108" s="718">
        <v>22478</v>
      </c>
      <c r="P108" s="720">
        <f t="shared" si="3"/>
        <v>32325</v>
      </c>
      <c r="Q108" s="718"/>
      <c r="R108" s="719">
        <v>117230</v>
      </c>
      <c r="S108" s="721">
        <v>2353</v>
      </c>
      <c r="T108" s="721">
        <v>119583</v>
      </c>
    </row>
    <row r="109" spans="1:20" x14ac:dyDescent="0.25">
      <c r="A109" s="715">
        <v>91077</v>
      </c>
      <c r="B109" s="716" t="s">
        <v>2646</v>
      </c>
      <c r="C109" s="717">
        <v>3.5999999999999998E-6</v>
      </c>
      <c r="D109" s="717">
        <v>3.9999999999999998E-6</v>
      </c>
      <c r="E109" s="718">
        <v>5500</v>
      </c>
      <c r="F109" s="718"/>
      <c r="G109" s="719">
        <v>317</v>
      </c>
      <c r="H109" s="720">
        <v>1336</v>
      </c>
      <c r="I109" s="719">
        <v>785</v>
      </c>
      <c r="J109" s="718">
        <v>1826</v>
      </c>
      <c r="K109" s="720">
        <f t="shared" si="2"/>
        <v>4264</v>
      </c>
      <c r="L109" s="718"/>
      <c r="M109" s="719">
        <v>156</v>
      </c>
      <c r="N109" s="719">
        <v>0</v>
      </c>
      <c r="O109" s="718">
        <v>51</v>
      </c>
      <c r="P109" s="720">
        <f t="shared" si="3"/>
        <v>207</v>
      </c>
      <c r="Q109" s="718"/>
      <c r="R109" s="719">
        <v>1853</v>
      </c>
      <c r="S109" s="721">
        <v>551</v>
      </c>
      <c r="T109" s="721">
        <f>2405-1</f>
        <v>2404</v>
      </c>
    </row>
    <row r="110" spans="1:20" x14ac:dyDescent="0.25">
      <c r="A110" s="715">
        <v>91081</v>
      </c>
      <c r="B110" s="716" t="s">
        <v>2647</v>
      </c>
      <c r="C110" s="717">
        <v>3.6240000000000003E-4</v>
      </c>
      <c r="D110" s="717">
        <v>3.6499999999999998E-4</v>
      </c>
      <c r="E110" s="718">
        <v>553647</v>
      </c>
      <c r="F110" s="718"/>
      <c r="G110" s="719">
        <v>31895</v>
      </c>
      <c r="H110" s="720">
        <v>134426</v>
      </c>
      <c r="I110" s="719">
        <v>79068</v>
      </c>
      <c r="J110" s="718">
        <v>1618</v>
      </c>
      <c r="K110" s="720">
        <f t="shared" si="2"/>
        <v>247007</v>
      </c>
      <c r="L110" s="718"/>
      <c r="M110" s="719">
        <v>15672</v>
      </c>
      <c r="N110" s="719">
        <v>0</v>
      </c>
      <c r="O110" s="718">
        <v>13549</v>
      </c>
      <c r="P110" s="720">
        <f t="shared" si="3"/>
        <v>29221</v>
      </c>
      <c r="Q110" s="718"/>
      <c r="R110" s="719">
        <v>186579</v>
      </c>
      <c r="S110" s="721">
        <v>-13101</v>
      </c>
      <c r="T110" s="721">
        <v>173478</v>
      </c>
    </row>
    <row r="111" spans="1:20" x14ac:dyDescent="0.25">
      <c r="A111" s="715">
        <v>91091</v>
      </c>
      <c r="B111" s="716" t="s">
        <v>2648</v>
      </c>
      <c r="C111" s="717">
        <v>5.3790000000000001E-4</v>
      </c>
      <c r="D111" s="717">
        <v>5.6380000000000004E-4</v>
      </c>
      <c r="E111" s="718">
        <v>821762</v>
      </c>
      <c r="F111" s="718"/>
      <c r="G111" s="719">
        <v>47341</v>
      </c>
      <c r="H111" s="720">
        <v>199525</v>
      </c>
      <c r="I111" s="719">
        <v>117359</v>
      </c>
      <c r="J111" s="718">
        <v>0</v>
      </c>
      <c r="K111" s="720">
        <f t="shared" si="2"/>
        <v>364225</v>
      </c>
      <c r="L111" s="718"/>
      <c r="M111" s="719">
        <v>23261</v>
      </c>
      <c r="N111" s="719">
        <v>0</v>
      </c>
      <c r="O111" s="718">
        <v>66212</v>
      </c>
      <c r="P111" s="720">
        <f t="shared" si="3"/>
        <v>89473</v>
      </c>
      <c r="Q111" s="718"/>
      <c r="R111" s="719">
        <v>276935</v>
      </c>
      <c r="S111" s="721">
        <v>-30835</v>
      </c>
      <c r="T111" s="721">
        <f>246099+1</f>
        <v>246100</v>
      </c>
    </row>
    <row r="112" spans="1:20" x14ac:dyDescent="0.25">
      <c r="A112" s="715">
        <v>91101</v>
      </c>
      <c r="B112" s="716" t="s">
        <v>2649</v>
      </c>
      <c r="C112" s="717">
        <v>1.35581E-2</v>
      </c>
      <c r="D112" s="717">
        <v>1.36685E-2</v>
      </c>
      <c r="E112" s="718">
        <v>20713021</v>
      </c>
      <c r="F112" s="718"/>
      <c r="G112" s="719">
        <v>1193262</v>
      </c>
      <c r="H112" s="720">
        <v>5029146</v>
      </c>
      <c r="I112" s="719">
        <v>2958106</v>
      </c>
      <c r="J112" s="718">
        <v>471609</v>
      </c>
      <c r="K112" s="720">
        <f t="shared" si="2"/>
        <v>9652123</v>
      </c>
      <c r="L112" s="718"/>
      <c r="M112" s="719">
        <v>586320</v>
      </c>
      <c r="N112" s="719">
        <v>0</v>
      </c>
      <c r="O112" s="718">
        <v>587664</v>
      </c>
      <c r="P112" s="720">
        <f t="shared" si="3"/>
        <v>1173984</v>
      </c>
      <c r="Q112" s="718"/>
      <c r="R112" s="719">
        <v>6980306</v>
      </c>
      <c r="S112" s="721">
        <v>147859</v>
      </c>
      <c r="T112" s="721">
        <v>7128165</v>
      </c>
    </row>
    <row r="113" spans="1:20" x14ac:dyDescent="0.25">
      <c r="A113" s="715">
        <v>91102</v>
      </c>
      <c r="B113" s="716" t="s">
        <v>2650</v>
      </c>
      <c r="C113" s="717">
        <v>3.2919999999999998E-4</v>
      </c>
      <c r="D113" s="717">
        <v>3.034E-4</v>
      </c>
      <c r="E113" s="718">
        <v>502926</v>
      </c>
      <c r="F113" s="718"/>
      <c r="G113" s="719">
        <v>28973</v>
      </c>
      <c r="H113" s="720">
        <v>122111</v>
      </c>
      <c r="I113" s="719">
        <v>71825</v>
      </c>
      <c r="J113" s="718">
        <v>35240</v>
      </c>
      <c r="K113" s="720">
        <f t="shared" si="2"/>
        <v>258149</v>
      </c>
      <c r="L113" s="718"/>
      <c r="M113" s="719">
        <v>14236</v>
      </c>
      <c r="N113" s="719">
        <v>0</v>
      </c>
      <c r="O113" s="718">
        <v>33978</v>
      </c>
      <c r="P113" s="720">
        <f t="shared" si="3"/>
        <v>48214</v>
      </c>
      <c r="Q113" s="718"/>
      <c r="R113" s="719">
        <v>169487</v>
      </c>
      <c r="S113" s="721">
        <v>-8323</v>
      </c>
      <c r="T113" s="721">
        <f>161163+1</f>
        <v>161164</v>
      </c>
    </row>
    <row r="114" spans="1:20" x14ac:dyDescent="0.25">
      <c r="A114" s="715">
        <v>91104</v>
      </c>
      <c r="B114" s="716" t="s">
        <v>2651</v>
      </c>
      <c r="C114" s="717">
        <v>7.9000000000000006E-6</v>
      </c>
      <c r="D114" s="717">
        <v>8.1999999999999994E-6</v>
      </c>
      <c r="E114" s="718">
        <v>12069</v>
      </c>
      <c r="F114" s="718"/>
      <c r="G114" s="719">
        <v>695</v>
      </c>
      <c r="H114" s="720">
        <v>2930</v>
      </c>
      <c r="I114" s="719">
        <v>1724</v>
      </c>
      <c r="J114" s="718">
        <v>2115</v>
      </c>
      <c r="K114" s="720">
        <f t="shared" si="2"/>
        <v>7464</v>
      </c>
      <c r="L114" s="718"/>
      <c r="M114" s="719">
        <v>342</v>
      </c>
      <c r="N114" s="719">
        <v>0</v>
      </c>
      <c r="O114" s="718">
        <v>39</v>
      </c>
      <c r="P114" s="720">
        <f t="shared" si="3"/>
        <v>381</v>
      </c>
      <c r="Q114" s="718"/>
      <c r="R114" s="719">
        <v>4067</v>
      </c>
      <c r="S114" s="721">
        <v>589</v>
      </c>
      <c r="T114" s="721">
        <v>4656</v>
      </c>
    </row>
    <row r="115" spans="1:20" x14ac:dyDescent="0.25">
      <c r="A115" s="715">
        <v>91107</v>
      </c>
      <c r="B115" s="716" t="s">
        <v>3550</v>
      </c>
      <c r="C115" s="717">
        <v>7.08E-5</v>
      </c>
      <c r="D115" s="717">
        <v>6.7899999999999997E-5</v>
      </c>
      <c r="E115" s="718">
        <v>108163</v>
      </c>
      <c r="F115" s="718"/>
      <c r="G115" s="719">
        <v>6231</v>
      </c>
      <c r="H115" s="720">
        <v>26263</v>
      </c>
      <c r="I115" s="719">
        <v>15447</v>
      </c>
      <c r="J115" s="718">
        <v>13143</v>
      </c>
      <c r="K115" s="720">
        <f t="shared" si="2"/>
        <v>61084</v>
      </c>
      <c r="L115" s="718"/>
      <c r="M115" s="719">
        <v>3062</v>
      </c>
      <c r="N115" s="719">
        <v>0</v>
      </c>
      <c r="O115" s="718">
        <v>0</v>
      </c>
      <c r="P115" s="720">
        <f t="shared" si="3"/>
        <v>3062</v>
      </c>
      <c r="Q115" s="718"/>
      <c r="R115" s="719">
        <v>36451</v>
      </c>
      <c r="S115" s="721">
        <v>5162</v>
      </c>
      <c r="T115" s="721">
        <v>41613</v>
      </c>
    </row>
    <row r="116" spans="1:20" x14ac:dyDescent="0.25">
      <c r="A116" s="715">
        <v>91108</v>
      </c>
      <c r="B116" s="716" t="s">
        <v>2653</v>
      </c>
      <c r="C116" s="717">
        <v>1.2413999999999999E-3</v>
      </c>
      <c r="D116" s="717">
        <v>1.2622E-3</v>
      </c>
      <c r="E116" s="718">
        <v>1896515</v>
      </c>
      <c r="F116" s="718"/>
      <c r="G116" s="719">
        <v>109257</v>
      </c>
      <c r="H116" s="720">
        <v>460476</v>
      </c>
      <c r="I116" s="719">
        <v>270849</v>
      </c>
      <c r="J116" s="718">
        <v>74887</v>
      </c>
      <c r="K116" s="720">
        <f t="shared" si="2"/>
        <v>915469</v>
      </c>
      <c r="L116" s="718"/>
      <c r="M116" s="719">
        <v>53684</v>
      </c>
      <c r="N116" s="719">
        <v>0</v>
      </c>
      <c r="O116" s="718">
        <v>0</v>
      </c>
      <c r="P116" s="720">
        <f t="shared" si="3"/>
        <v>53684</v>
      </c>
      <c r="Q116" s="718"/>
      <c r="R116" s="719">
        <v>639127</v>
      </c>
      <c r="S116" s="721">
        <v>34876</v>
      </c>
      <c r="T116" s="721">
        <v>674003</v>
      </c>
    </row>
    <row r="117" spans="1:20" x14ac:dyDescent="0.25">
      <c r="A117" s="715">
        <v>91109</v>
      </c>
      <c r="B117" s="716" t="s">
        <v>2654</v>
      </c>
      <c r="C117" s="717">
        <v>9.9599999999999995E-5</v>
      </c>
      <c r="D117" s="717">
        <v>9.2100000000000003E-5</v>
      </c>
      <c r="E117" s="718">
        <v>152161</v>
      </c>
      <c r="F117" s="718"/>
      <c r="G117" s="719">
        <v>8766</v>
      </c>
      <c r="H117" s="720">
        <v>36945</v>
      </c>
      <c r="I117" s="719">
        <v>21731</v>
      </c>
      <c r="J117" s="718">
        <v>5921</v>
      </c>
      <c r="K117" s="720">
        <f t="shared" si="2"/>
        <v>73363</v>
      </c>
      <c r="L117" s="718"/>
      <c r="M117" s="719">
        <v>4307</v>
      </c>
      <c r="N117" s="719">
        <v>0</v>
      </c>
      <c r="O117" s="718">
        <v>920</v>
      </c>
      <c r="P117" s="720">
        <f t="shared" si="3"/>
        <v>5227</v>
      </c>
      <c r="Q117" s="718"/>
      <c r="R117" s="719">
        <v>51278</v>
      </c>
      <c r="S117" s="721">
        <v>1215</v>
      </c>
      <c r="T117" s="721">
        <v>52493</v>
      </c>
    </row>
    <row r="118" spans="1:20" x14ac:dyDescent="0.25">
      <c r="A118" s="715">
        <v>91111</v>
      </c>
      <c r="B118" s="716" t="s">
        <v>2655</v>
      </c>
      <c r="C118" s="717">
        <v>2.2719999999999999E-4</v>
      </c>
      <c r="D118" s="717">
        <v>2.2359999999999999E-4</v>
      </c>
      <c r="E118" s="718">
        <v>347099</v>
      </c>
      <c r="F118" s="718"/>
      <c r="G118" s="719">
        <v>19996</v>
      </c>
      <c r="H118" s="720">
        <v>84276</v>
      </c>
      <c r="I118" s="719">
        <v>49570</v>
      </c>
      <c r="J118" s="718">
        <v>25492</v>
      </c>
      <c r="K118" s="720">
        <f t="shared" si="2"/>
        <v>179334</v>
      </c>
      <c r="L118" s="718"/>
      <c r="M118" s="719">
        <v>9825</v>
      </c>
      <c r="N118" s="719">
        <v>0</v>
      </c>
      <c r="O118" s="718">
        <v>0</v>
      </c>
      <c r="P118" s="720">
        <f t="shared" si="3"/>
        <v>9825</v>
      </c>
      <c r="Q118" s="718"/>
      <c r="R118" s="719">
        <v>116973</v>
      </c>
      <c r="S118" s="721">
        <v>10793</v>
      </c>
      <c r="T118" s="721">
        <v>127766</v>
      </c>
    </row>
    <row r="119" spans="1:20" x14ac:dyDescent="0.25">
      <c r="A119" s="715">
        <v>91119</v>
      </c>
      <c r="B119" s="716" t="s">
        <v>1254</v>
      </c>
      <c r="C119" s="717">
        <v>0</v>
      </c>
      <c r="D119" s="717">
        <v>0</v>
      </c>
      <c r="E119" s="718">
        <v>0</v>
      </c>
      <c r="F119" s="718"/>
      <c r="G119" s="719">
        <v>0</v>
      </c>
      <c r="H119" s="720">
        <v>0</v>
      </c>
      <c r="I119" s="719">
        <v>0</v>
      </c>
      <c r="J119" s="718">
        <v>0</v>
      </c>
      <c r="K119" s="720">
        <f t="shared" si="2"/>
        <v>0</v>
      </c>
      <c r="L119" s="718"/>
      <c r="M119" s="719">
        <v>0</v>
      </c>
      <c r="N119" s="719">
        <v>0</v>
      </c>
      <c r="O119" s="718">
        <v>321091</v>
      </c>
      <c r="P119" s="720">
        <f t="shared" si="3"/>
        <v>321091</v>
      </c>
      <c r="Q119" s="718"/>
      <c r="R119" s="719">
        <v>0</v>
      </c>
      <c r="S119" s="721">
        <v>-324334</v>
      </c>
      <c r="T119" s="721">
        <v>-324334</v>
      </c>
    </row>
    <row r="120" spans="1:20" x14ac:dyDescent="0.25">
      <c r="A120" s="715">
        <v>91120</v>
      </c>
      <c r="B120" s="716" t="s">
        <v>2656</v>
      </c>
      <c r="C120" s="717">
        <v>1.3019999999999999E-4</v>
      </c>
      <c r="D120" s="717">
        <v>1.184E-4</v>
      </c>
      <c r="E120" s="718">
        <v>198910</v>
      </c>
      <c r="F120" s="718"/>
      <c r="G120" s="719">
        <v>11459</v>
      </c>
      <c r="H120" s="720">
        <v>48295</v>
      </c>
      <c r="I120" s="719">
        <v>28407</v>
      </c>
      <c r="J120" s="718">
        <v>0</v>
      </c>
      <c r="K120" s="720">
        <f t="shared" si="2"/>
        <v>88161</v>
      </c>
      <c r="L120" s="718"/>
      <c r="M120" s="719">
        <v>5630</v>
      </c>
      <c r="N120" s="719">
        <v>0</v>
      </c>
      <c r="O120" s="718">
        <v>21939</v>
      </c>
      <c r="P120" s="720">
        <f t="shared" si="3"/>
        <v>27569</v>
      </c>
      <c r="Q120" s="718"/>
      <c r="R120" s="719">
        <v>67033</v>
      </c>
      <c r="S120" s="721">
        <v>-12131</v>
      </c>
      <c r="T120" s="721">
        <v>54902</v>
      </c>
    </row>
    <row r="121" spans="1:20" x14ac:dyDescent="0.25">
      <c r="A121" s="715">
        <v>91121</v>
      </c>
      <c r="B121" s="716" t="s">
        <v>2657</v>
      </c>
      <c r="C121" s="717">
        <v>9.9927999999999996E-3</v>
      </c>
      <c r="D121" s="717">
        <v>9.7842999999999992E-3</v>
      </c>
      <c r="E121" s="718">
        <v>15266230</v>
      </c>
      <c r="F121" s="718"/>
      <c r="G121" s="719">
        <v>879476</v>
      </c>
      <c r="H121" s="720">
        <v>3706660</v>
      </c>
      <c r="I121" s="719">
        <v>2180229</v>
      </c>
      <c r="J121" s="718">
        <v>0</v>
      </c>
      <c r="K121" s="720">
        <f t="shared" si="2"/>
        <v>6766365</v>
      </c>
      <c r="L121" s="718"/>
      <c r="M121" s="719">
        <v>432139</v>
      </c>
      <c r="N121" s="719">
        <v>0</v>
      </c>
      <c r="O121" s="718">
        <v>650994</v>
      </c>
      <c r="P121" s="720">
        <f t="shared" si="3"/>
        <v>1083133</v>
      </c>
      <c r="Q121" s="718"/>
      <c r="R121" s="719">
        <v>5144733</v>
      </c>
      <c r="S121" s="721">
        <v>-324255</v>
      </c>
      <c r="T121" s="721">
        <f>4820479-1</f>
        <v>4820478</v>
      </c>
    </row>
    <row r="122" spans="1:20" x14ac:dyDescent="0.25">
      <c r="A122" s="715">
        <v>91127</v>
      </c>
      <c r="B122" s="716" t="s">
        <v>2658</v>
      </c>
      <c r="C122" s="717">
        <v>2.6879999999999997E-4</v>
      </c>
      <c r="D122" s="717">
        <v>2.8229999999999998E-4</v>
      </c>
      <c r="E122" s="718">
        <v>410652</v>
      </c>
      <c r="F122" s="718"/>
      <c r="G122" s="719">
        <v>23657</v>
      </c>
      <c r="H122" s="720">
        <v>99706</v>
      </c>
      <c r="I122" s="719">
        <v>58647</v>
      </c>
      <c r="J122" s="718">
        <v>46863</v>
      </c>
      <c r="K122" s="720">
        <f t="shared" si="2"/>
        <v>228873</v>
      </c>
      <c r="L122" s="718"/>
      <c r="M122" s="719">
        <v>11624</v>
      </c>
      <c r="N122" s="719">
        <v>0</v>
      </c>
      <c r="O122" s="718">
        <v>0</v>
      </c>
      <c r="P122" s="720">
        <f t="shared" si="3"/>
        <v>11624</v>
      </c>
      <c r="Q122" s="718"/>
      <c r="R122" s="719">
        <v>138390</v>
      </c>
      <c r="S122" s="721">
        <v>25061</v>
      </c>
      <c r="T122" s="721">
        <v>163451</v>
      </c>
    </row>
    <row r="123" spans="1:20" x14ac:dyDescent="0.25">
      <c r="A123" s="715">
        <v>91128</v>
      </c>
      <c r="B123" s="716" t="s">
        <v>2659</v>
      </c>
      <c r="C123" s="717">
        <v>5.2380000000000005E-4</v>
      </c>
      <c r="D123" s="717">
        <v>5.0929999999999997E-4</v>
      </c>
      <c r="E123" s="718">
        <v>800221</v>
      </c>
      <c r="F123" s="718"/>
      <c r="G123" s="719">
        <v>46100</v>
      </c>
      <c r="H123" s="720">
        <v>194295</v>
      </c>
      <c r="I123" s="719">
        <v>114283</v>
      </c>
      <c r="J123" s="718">
        <v>15169</v>
      </c>
      <c r="K123" s="720">
        <f t="shared" si="2"/>
        <v>369847</v>
      </c>
      <c r="L123" s="718"/>
      <c r="M123" s="719">
        <v>22652</v>
      </c>
      <c r="N123" s="719">
        <v>0</v>
      </c>
      <c r="O123" s="718">
        <v>6263</v>
      </c>
      <c r="P123" s="720">
        <f t="shared" si="3"/>
        <v>28915</v>
      </c>
      <c r="Q123" s="718"/>
      <c r="R123" s="719">
        <v>269675</v>
      </c>
      <c r="S123" s="721">
        <v>-679</v>
      </c>
      <c r="T123" s="721">
        <v>268996</v>
      </c>
    </row>
    <row r="124" spans="1:20" x14ac:dyDescent="0.25">
      <c r="A124" s="715">
        <v>91138</v>
      </c>
      <c r="B124" s="716" t="s">
        <v>2660</v>
      </c>
      <c r="C124" s="717">
        <v>6.2629999999999999E-4</v>
      </c>
      <c r="D124" s="717">
        <v>6.2350000000000003E-4</v>
      </c>
      <c r="E124" s="718">
        <v>956813</v>
      </c>
      <c r="F124" s="718"/>
      <c r="G124" s="719">
        <v>55121</v>
      </c>
      <c r="H124" s="720">
        <v>232316</v>
      </c>
      <c r="I124" s="719">
        <v>136646</v>
      </c>
      <c r="J124" s="718">
        <v>0</v>
      </c>
      <c r="K124" s="720">
        <f t="shared" si="2"/>
        <v>424083</v>
      </c>
      <c r="L124" s="718"/>
      <c r="M124" s="719">
        <v>27084</v>
      </c>
      <c r="N124" s="719">
        <v>0</v>
      </c>
      <c r="O124" s="718">
        <v>127984</v>
      </c>
      <c r="P124" s="720">
        <f t="shared" si="3"/>
        <v>155068</v>
      </c>
      <c r="Q124" s="718"/>
      <c r="R124" s="719">
        <v>322447</v>
      </c>
      <c r="S124" s="721">
        <v>-48531</v>
      </c>
      <c r="T124" s="721">
        <v>273916</v>
      </c>
    </row>
    <row r="125" spans="1:20" x14ac:dyDescent="0.25">
      <c r="A125" s="715">
        <v>91141</v>
      </c>
      <c r="B125" s="716" t="s">
        <v>2661</v>
      </c>
      <c r="C125" s="717">
        <v>5.7569999999999995E-4</v>
      </c>
      <c r="D125" s="717">
        <v>5.5679999999999998E-4</v>
      </c>
      <c r="E125" s="718">
        <v>879510</v>
      </c>
      <c r="F125" s="718"/>
      <c r="G125" s="719">
        <v>50668</v>
      </c>
      <c r="H125" s="720">
        <v>213546</v>
      </c>
      <c r="I125" s="719">
        <v>125606</v>
      </c>
      <c r="J125" s="718">
        <v>0</v>
      </c>
      <c r="K125" s="720">
        <f t="shared" si="2"/>
        <v>389820</v>
      </c>
      <c r="L125" s="718"/>
      <c r="M125" s="719">
        <v>24896</v>
      </c>
      <c r="N125" s="719">
        <v>0</v>
      </c>
      <c r="O125" s="718">
        <v>80393</v>
      </c>
      <c r="P125" s="720">
        <f t="shared" si="3"/>
        <v>105289</v>
      </c>
      <c r="Q125" s="718"/>
      <c r="R125" s="719">
        <v>296396</v>
      </c>
      <c r="S125" s="721">
        <v>-38126</v>
      </c>
      <c r="T125" s="721">
        <v>258270</v>
      </c>
    </row>
    <row r="126" spans="1:20" x14ac:dyDescent="0.25">
      <c r="A126" s="715">
        <v>91147</v>
      </c>
      <c r="B126" s="716" t="s">
        <v>2662</v>
      </c>
      <c r="C126" s="717">
        <v>2.6699999999999998E-5</v>
      </c>
      <c r="D126" s="717">
        <v>2.4199999999999999E-5</v>
      </c>
      <c r="E126" s="718">
        <v>40790</v>
      </c>
      <c r="F126" s="718"/>
      <c r="G126" s="719">
        <v>2350</v>
      </c>
      <c r="H126" s="720">
        <v>9904</v>
      </c>
      <c r="I126" s="719">
        <v>5825</v>
      </c>
      <c r="J126" s="718">
        <v>8489</v>
      </c>
      <c r="K126" s="720">
        <f t="shared" si="2"/>
        <v>26568</v>
      </c>
      <c r="L126" s="718"/>
      <c r="M126" s="719">
        <v>1155</v>
      </c>
      <c r="N126" s="719">
        <v>0</v>
      </c>
      <c r="O126" s="718">
        <v>0</v>
      </c>
      <c r="P126" s="720">
        <f t="shared" si="3"/>
        <v>1155</v>
      </c>
      <c r="Q126" s="718"/>
      <c r="R126" s="719">
        <v>13746</v>
      </c>
      <c r="S126" s="721">
        <v>4333</v>
      </c>
      <c r="T126" s="721">
        <f>18080-1</f>
        <v>18079</v>
      </c>
    </row>
    <row r="127" spans="1:20" x14ac:dyDescent="0.25">
      <c r="A127" s="715">
        <v>91151</v>
      </c>
      <c r="B127" s="716" t="s">
        <v>2663</v>
      </c>
      <c r="C127" s="717">
        <v>6.3409999999999996E-4</v>
      </c>
      <c r="D127" s="717">
        <v>6.1180000000000002E-4</v>
      </c>
      <c r="E127" s="718">
        <v>968729</v>
      </c>
      <c r="F127" s="718"/>
      <c r="G127" s="719">
        <v>55808</v>
      </c>
      <c r="H127" s="720">
        <v>235208</v>
      </c>
      <c r="I127" s="719">
        <v>138348</v>
      </c>
      <c r="J127" s="718">
        <v>6907</v>
      </c>
      <c r="K127" s="720">
        <f t="shared" si="2"/>
        <v>436271</v>
      </c>
      <c r="L127" s="718"/>
      <c r="M127" s="719">
        <v>27422</v>
      </c>
      <c r="N127" s="719">
        <v>0</v>
      </c>
      <c r="O127" s="718">
        <v>49311</v>
      </c>
      <c r="P127" s="720">
        <f t="shared" si="3"/>
        <v>76733</v>
      </c>
      <c r="Q127" s="718"/>
      <c r="R127" s="719">
        <v>326463</v>
      </c>
      <c r="S127" s="721">
        <v>-15290</v>
      </c>
      <c r="T127" s="721">
        <f>311172+1</f>
        <v>311173</v>
      </c>
    </row>
    <row r="128" spans="1:20" x14ac:dyDescent="0.25">
      <c r="A128" s="715">
        <v>91154</v>
      </c>
      <c r="B128" s="716" t="s">
        <v>2664</v>
      </c>
      <c r="C128" s="717">
        <v>2.6299999999999999E-5</v>
      </c>
      <c r="D128" s="717">
        <v>1.9599999999999999E-5</v>
      </c>
      <c r="E128" s="718">
        <v>40179</v>
      </c>
      <c r="F128" s="718"/>
      <c r="G128" s="719">
        <v>2315</v>
      </c>
      <c r="H128" s="720">
        <v>9756</v>
      </c>
      <c r="I128" s="719">
        <v>5738</v>
      </c>
      <c r="J128" s="718">
        <v>7326</v>
      </c>
      <c r="K128" s="720">
        <f t="shared" si="2"/>
        <v>25135</v>
      </c>
      <c r="L128" s="718"/>
      <c r="M128" s="719">
        <v>1137</v>
      </c>
      <c r="N128" s="719">
        <v>0</v>
      </c>
      <c r="O128" s="718">
        <v>0</v>
      </c>
      <c r="P128" s="720">
        <f t="shared" si="3"/>
        <v>1137</v>
      </c>
      <c r="Q128" s="718"/>
      <c r="R128" s="719">
        <v>13540</v>
      </c>
      <c r="S128" s="721">
        <v>2962</v>
      </c>
      <c r="T128" s="721">
        <f>16503-1</f>
        <v>16502</v>
      </c>
    </row>
    <row r="129" spans="1:20" x14ac:dyDescent="0.25">
      <c r="A129" s="715">
        <v>91161</v>
      </c>
      <c r="B129" s="716" t="s">
        <v>2665</v>
      </c>
      <c r="C129" s="717">
        <v>9.2600000000000001E-5</v>
      </c>
      <c r="D129" s="717">
        <v>9.4599999999999996E-5</v>
      </c>
      <c r="E129" s="718">
        <v>141467</v>
      </c>
      <c r="F129" s="718"/>
      <c r="G129" s="719">
        <v>8150</v>
      </c>
      <c r="H129" s="720">
        <v>34348</v>
      </c>
      <c r="I129" s="719">
        <v>20203</v>
      </c>
      <c r="J129" s="718">
        <v>5327</v>
      </c>
      <c r="K129" s="720">
        <f t="shared" si="2"/>
        <v>68028</v>
      </c>
      <c r="L129" s="718"/>
      <c r="M129" s="719">
        <v>4004</v>
      </c>
      <c r="N129" s="719">
        <v>0</v>
      </c>
      <c r="O129" s="718">
        <v>3079</v>
      </c>
      <c r="P129" s="720">
        <f t="shared" si="3"/>
        <v>7083</v>
      </c>
      <c r="Q129" s="718"/>
      <c r="R129" s="719">
        <v>47675</v>
      </c>
      <c r="S129" s="721">
        <v>935</v>
      </c>
      <c r="T129" s="721">
        <v>48610</v>
      </c>
    </row>
    <row r="130" spans="1:20" x14ac:dyDescent="0.25">
      <c r="A130" s="715">
        <v>91171</v>
      </c>
      <c r="B130" s="716" t="s">
        <v>2666</v>
      </c>
      <c r="C130" s="717">
        <v>1.95E-4</v>
      </c>
      <c r="D130" s="717">
        <v>2.5589999999999999E-4</v>
      </c>
      <c r="E130" s="718">
        <v>297906</v>
      </c>
      <c r="F130" s="718"/>
      <c r="G130" s="719">
        <v>17162</v>
      </c>
      <c r="H130" s="720">
        <v>72331</v>
      </c>
      <c r="I130" s="719">
        <v>42545</v>
      </c>
      <c r="J130" s="718">
        <v>0</v>
      </c>
      <c r="K130" s="720">
        <f t="shared" si="2"/>
        <v>132038</v>
      </c>
      <c r="L130" s="718"/>
      <c r="M130" s="719">
        <v>8433</v>
      </c>
      <c r="N130" s="719">
        <v>0</v>
      </c>
      <c r="O130" s="718">
        <v>58020</v>
      </c>
      <c r="P130" s="720">
        <f t="shared" si="3"/>
        <v>66453</v>
      </c>
      <c r="Q130" s="718"/>
      <c r="R130" s="719">
        <v>100395</v>
      </c>
      <c r="S130" s="721">
        <v>-21400</v>
      </c>
      <c r="T130" s="721">
        <f>78994+1</f>
        <v>78995</v>
      </c>
    </row>
    <row r="131" spans="1:20" x14ac:dyDescent="0.25">
      <c r="A131" s="715">
        <v>91201</v>
      </c>
      <c r="B131" s="716" t="s">
        <v>2667</v>
      </c>
      <c r="C131" s="717">
        <v>2.2878E-3</v>
      </c>
      <c r="D131" s="717">
        <v>2.3127999999999998E-3</v>
      </c>
      <c r="E131" s="718">
        <v>3495125</v>
      </c>
      <c r="F131" s="718"/>
      <c r="G131" s="719">
        <v>201352</v>
      </c>
      <c r="H131" s="720">
        <v>848620</v>
      </c>
      <c r="I131" s="719">
        <v>499152</v>
      </c>
      <c r="J131" s="718">
        <v>40348</v>
      </c>
      <c r="K131" s="720">
        <f t="shared" si="2"/>
        <v>1589472</v>
      </c>
      <c r="L131" s="718"/>
      <c r="M131" s="719">
        <v>98936</v>
      </c>
      <c r="N131" s="719">
        <v>0</v>
      </c>
      <c r="O131" s="718">
        <v>96428</v>
      </c>
      <c r="P131" s="720">
        <f t="shared" si="3"/>
        <v>195364</v>
      </c>
      <c r="Q131" s="718"/>
      <c r="R131" s="719">
        <v>1177860</v>
      </c>
      <c r="S131" s="721">
        <v>-568</v>
      </c>
      <c r="T131" s="721">
        <v>1177292</v>
      </c>
    </row>
    <row r="132" spans="1:20" x14ac:dyDescent="0.25">
      <c r="A132" s="715">
        <v>91202</v>
      </c>
      <c r="B132" s="716" t="s">
        <v>2668</v>
      </c>
      <c r="C132" s="717">
        <v>1.9330000000000001E-4</v>
      </c>
      <c r="D132" s="717">
        <v>1.897E-4</v>
      </c>
      <c r="E132" s="718">
        <v>295309</v>
      </c>
      <c r="F132" s="718"/>
      <c r="G132" s="719">
        <v>17013</v>
      </c>
      <c r="H132" s="720">
        <v>71701</v>
      </c>
      <c r="I132" s="719">
        <v>42174</v>
      </c>
      <c r="J132" s="718">
        <v>27893</v>
      </c>
      <c r="K132" s="720">
        <f t="shared" si="2"/>
        <v>158781</v>
      </c>
      <c r="L132" s="718"/>
      <c r="M132" s="719">
        <v>8359</v>
      </c>
      <c r="N132" s="719">
        <v>0</v>
      </c>
      <c r="O132" s="718">
        <v>0</v>
      </c>
      <c r="P132" s="720">
        <f t="shared" si="3"/>
        <v>8359</v>
      </c>
      <c r="Q132" s="718"/>
      <c r="R132" s="719">
        <v>99519</v>
      </c>
      <c r="S132" s="721">
        <v>12367</v>
      </c>
      <c r="T132" s="721">
        <v>111886</v>
      </c>
    </row>
    <row r="133" spans="1:20" x14ac:dyDescent="0.25">
      <c r="A133" s="715">
        <v>91203</v>
      </c>
      <c r="B133" s="716" t="s">
        <v>2669</v>
      </c>
      <c r="C133" s="717">
        <v>2.1939999999999999E-4</v>
      </c>
      <c r="D133" s="717">
        <v>2.4479999999999999E-4</v>
      </c>
      <c r="E133" s="718">
        <v>335182</v>
      </c>
      <c r="F133" s="718"/>
      <c r="G133" s="719">
        <v>19310</v>
      </c>
      <c r="H133" s="720">
        <v>81383</v>
      </c>
      <c r="I133" s="719">
        <v>47869</v>
      </c>
      <c r="J133" s="718">
        <v>25236</v>
      </c>
      <c r="K133" s="720">
        <f t="shared" si="2"/>
        <v>173798</v>
      </c>
      <c r="L133" s="718"/>
      <c r="M133" s="719">
        <v>9488</v>
      </c>
      <c r="N133" s="719">
        <v>0</v>
      </c>
      <c r="O133" s="718">
        <v>0</v>
      </c>
      <c r="P133" s="720">
        <f t="shared" si="3"/>
        <v>9488</v>
      </c>
      <c r="Q133" s="718"/>
      <c r="R133" s="719">
        <v>112957</v>
      </c>
      <c r="S133" s="721">
        <v>12508</v>
      </c>
      <c r="T133" s="721">
        <f>125464+1</f>
        <v>125465</v>
      </c>
    </row>
    <row r="134" spans="1:20" x14ac:dyDescent="0.25">
      <c r="A134" s="715">
        <v>91206</v>
      </c>
      <c r="B134" s="716" t="s">
        <v>2670</v>
      </c>
      <c r="C134" s="717">
        <v>8.6450000000000003E-4</v>
      </c>
      <c r="D134" s="717">
        <v>8.2129999999999996E-4</v>
      </c>
      <c r="E134" s="718">
        <v>1320717</v>
      </c>
      <c r="F134" s="718"/>
      <c r="G134" s="719">
        <v>76086</v>
      </c>
      <c r="H134" s="720">
        <v>320672</v>
      </c>
      <c r="I134" s="719">
        <v>188617</v>
      </c>
      <c r="J134" s="718">
        <v>32943</v>
      </c>
      <c r="K134" s="720">
        <f t="shared" si="2"/>
        <v>618318</v>
      </c>
      <c r="L134" s="718"/>
      <c r="M134" s="719">
        <v>37385</v>
      </c>
      <c r="N134" s="719">
        <v>0</v>
      </c>
      <c r="O134" s="718">
        <v>1131</v>
      </c>
      <c r="P134" s="720">
        <f t="shared" si="3"/>
        <v>38516</v>
      </c>
      <c r="Q134" s="718"/>
      <c r="R134" s="719">
        <v>445083</v>
      </c>
      <c r="S134" s="721">
        <v>15708</v>
      </c>
      <c r="T134" s="721">
        <v>460791</v>
      </c>
    </row>
    <row r="135" spans="1:20" x14ac:dyDescent="0.25">
      <c r="A135" s="715">
        <v>91208</v>
      </c>
      <c r="B135" s="716" t="s">
        <v>2671</v>
      </c>
      <c r="C135" s="717">
        <v>1.42E-5</v>
      </c>
      <c r="D135" s="717">
        <v>1.3699999999999999E-5</v>
      </c>
      <c r="E135" s="718">
        <v>21694</v>
      </c>
      <c r="F135" s="718"/>
      <c r="G135" s="719">
        <v>1250</v>
      </c>
      <c r="H135" s="720">
        <v>5267</v>
      </c>
      <c r="I135" s="719">
        <v>3098</v>
      </c>
      <c r="J135" s="718">
        <v>3961</v>
      </c>
      <c r="K135" s="720">
        <f t="shared" ref="K135:K198" si="4">G135+H135+I135+J135</f>
        <v>13576</v>
      </c>
      <c r="L135" s="718"/>
      <c r="M135" s="719">
        <v>614</v>
      </c>
      <c r="N135" s="719">
        <v>0</v>
      </c>
      <c r="O135" s="718">
        <v>0</v>
      </c>
      <c r="P135" s="720">
        <f t="shared" ref="P135:P198" si="5">M135+N135+O135</f>
        <v>614</v>
      </c>
      <c r="Q135" s="718"/>
      <c r="R135" s="719">
        <v>7311</v>
      </c>
      <c r="S135" s="721">
        <v>3460</v>
      </c>
      <c r="T135" s="721">
        <v>10771</v>
      </c>
    </row>
    <row r="136" spans="1:20" x14ac:dyDescent="0.25">
      <c r="A136" s="715">
        <v>91211</v>
      </c>
      <c r="B136" s="716" t="s">
        <v>2672</v>
      </c>
      <c r="C136" s="717">
        <v>4.5530000000000001E-4</v>
      </c>
      <c r="D136" s="717">
        <v>4.6789999999999999E-4</v>
      </c>
      <c r="E136" s="718">
        <v>695572</v>
      </c>
      <c r="F136" s="718"/>
      <c r="G136" s="719">
        <v>40071</v>
      </c>
      <c r="H136" s="720">
        <v>168886</v>
      </c>
      <c r="I136" s="719">
        <v>99337</v>
      </c>
      <c r="J136" s="718">
        <v>6745</v>
      </c>
      <c r="K136" s="720">
        <f t="shared" si="4"/>
        <v>315039</v>
      </c>
      <c r="L136" s="718"/>
      <c r="M136" s="719">
        <v>19689</v>
      </c>
      <c r="N136" s="719">
        <v>0</v>
      </c>
      <c r="O136" s="718">
        <v>3315</v>
      </c>
      <c r="P136" s="720">
        <f t="shared" si="5"/>
        <v>23004</v>
      </c>
      <c r="Q136" s="718"/>
      <c r="R136" s="719">
        <v>234408</v>
      </c>
      <c r="S136" s="721">
        <v>1355</v>
      </c>
      <c r="T136" s="721">
        <v>235763</v>
      </c>
    </row>
    <row r="137" spans="1:20" x14ac:dyDescent="0.25">
      <c r="A137" s="715">
        <v>91213</v>
      </c>
      <c r="B137" s="716" t="s">
        <v>2673</v>
      </c>
      <c r="C137" s="717">
        <v>3.2499999999999997E-5</v>
      </c>
      <c r="D137" s="717">
        <v>3.57E-5</v>
      </c>
      <c r="E137" s="718">
        <v>49651</v>
      </c>
      <c r="F137" s="718"/>
      <c r="G137" s="719">
        <v>2860</v>
      </c>
      <c r="H137" s="720">
        <v>12056</v>
      </c>
      <c r="I137" s="719">
        <v>7091</v>
      </c>
      <c r="J137" s="718">
        <v>0</v>
      </c>
      <c r="K137" s="720">
        <f t="shared" si="4"/>
        <v>22007</v>
      </c>
      <c r="L137" s="718"/>
      <c r="M137" s="719">
        <v>1405</v>
      </c>
      <c r="N137" s="719">
        <v>0</v>
      </c>
      <c r="O137" s="718">
        <v>7680</v>
      </c>
      <c r="P137" s="720">
        <f t="shared" si="5"/>
        <v>9085</v>
      </c>
      <c r="Q137" s="718"/>
      <c r="R137" s="719">
        <v>16732</v>
      </c>
      <c r="S137" s="721">
        <v>-2660</v>
      </c>
      <c r="T137" s="721">
        <v>14072</v>
      </c>
    </row>
    <row r="138" spans="1:20" x14ac:dyDescent="0.25">
      <c r="A138" s="715">
        <v>91214</v>
      </c>
      <c r="B138" s="716" t="s">
        <v>2674</v>
      </c>
      <c r="C138" s="717">
        <v>2.9300000000000001E-5</v>
      </c>
      <c r="D138" s="717">
        <v>2.8200000000000001E-5</v>
      </c>
      <c r="E138" s="718">
        <v>44762</v>
      </c>
      <c r="F138" s="718"/>
      <c r="G138" s="719">
        <v>2579</v>
      </c>
      <c r="H138" s="720">
        <v>10868</v>
      </c>
      <c r="I138" s="719">
        <v>6393</v>
      </c>
      <c r="J138" s="718">
        <v>1300</v>
      </c>
      <c r="K138" s="720">
        <f t="shared" si="4"/>
        <v>21140</v>
      </c>
      <c r="L138" s="718"/>
      <c r="M138" s="719">
        <v>1267</v>
      </c>
      <c r="N138" s="719">
        <v>0</v>
      </c>
      <c r="O138" s="718">
        <v>3669</v>
      </c>
      <c r="P138" s="720">
        <f t="shared" si="5"/>
        <v>4936</v>
      </c>
      <c r="Q138" s="718"/>
      <c r="R138" s="719">
        <v>15085</v>
      </c>
      <c r="S138" s="721">
        <v>-283</v>
      </c>
      <c r="T138" s="721">
        <v>14802</v>
      </c>
    </row>
    <row r="139" spans="1:20" x14ac:dyDescent="0.25">
      <c r="A139" s="715">
        <v>91217</v>
      </c>
      <c r="B139" s="716" t="s">
        <v>2675</v>
      </c>
      <c r="C139" s="717">
        <v>2.8799999999999999E-5</v>
      </c>
      <c r="D139" s="717">
        <v>2.6699999999999998E-5</v>
      </c>
      <c r="E139" s="718">
        <v>43998</v>
      </c>
      <c r="F139" s="718"/>
      <c r="G139" s="719">
        <v>2535</v>
      </c>
      <c r="H139" s="720">
        <v>10683</v>
      </c>
      <c r="I139" s="719">
        <v>6284</v>
      </c>
      <c r="J139" s="718">
        <v>10784</v>
      </c>
      <c r="K139" s="720">
        <f t="shared" si="4"/>
        <v>30286</v>
      </c>
      <c r="L139" s="718"/>
      <c r="M139" s="719">
        <v>1245</v>
      </c>
      <c r="N139" s="719">
        <v>0</v>
      </c>
      <c r="O139" s="718">
        <v>0</v>
      </c>
      <c r="P139" s="720">
        <f t="shared" si="5"/>
        <v>1245</v>
      </c>
      <c r="Q139" s="718"/>
      <c r="R139" s="719">
        <v>14828</v>
      </c>
      <c r="S139" s="721">
        <v>4311</v>
      </c>
      <c r="T139" s="721">
        <v>19139</v>
      </c>
    </row>
    <row r="140" spans="1:20" x14ac:dyDescent="0.25">
      <c r="A140" s="715">
        <v>91221</v>
      </c>
      <c r="B140" s="716" t="s">
        <v>2676</v>
      </c>
      <c r="C140" s="717">
        <v>1.3359999999999999E-4</v>
      </c>
      <c r="D140" s="717">
        <v>1.294E-4</v>
      </c>
      <c r="E140" s="718">
        <v>204104</v>
      </c>
      <c r="F140" s="718"/>
      <c r="G140" s="719">
        <v>11758</v>
      </c>
      <c r="H140" s="720">
        <v>49557</v>
      </c>
      <c r="I140" s="719">
        <v>29149</v>
      </c>
      <c r="J140" s="718">
        <v>5038</v>
      </c>
      <c r="K140" s="720">
        <f t="shared" si="4"/>
        <v>95502</v>
      </c>
      <c r="L140" s="718"/>
      <c r="M140" s="719">
        <v>5778</v>
      </c>
      <c r="N140" s="719">
        <v>0</v>
      </c>
      <c r="O140" s="718">
        <v>7113</v>
      </c>
      <c r="P140" s="720">
        <f t="shared" si="5"/>
        <v>12891</v>
      </c>
      <c r="Q140" s="718"/>
      <c r="R140" s="719">
        <v>68783</v>
      </c>
      <c r="S140" s="721">
        <v>1397</v>
      </c>
      <c r="T140" s="721">
        <v>70180</v>
      </c>
    </row>
    <row r="141" spans="1:20" x14ac:dyDescent="0.25">
      <c r="A141" s="715">
        <v>91231</v>
      </c>
      <c r="B141" s="716" t="s">
        <v>2677</v>
      </c>
      <c r="C141" s="717">
        <v>1.8856000000000001E-3</v>
      </c>
      <c r="D141" s="717">
        <v>1.9957E-3</v>
      </c>
      <c r="E141" s="718">
        <v>2880674</v>
      </c>
      <c r="F141" s="718"/>
      <c r="G141" s="719">
        <v>165954</v>
      </c>
      <c r="H141" s="720">
        <v>699431</v>
      </c>
      <c r="I141" s="719">
        <v>411400</v>
      </c>
      <c r="J141" s="718">
        <v>10587</v>
      </c>
      <c r="K141" s="720">
        <f t="shared" si="4"/>
        <v>1287372</v>
      </c>
      <c r="L141" s="718"/>
      <c r="M141" s="719">
        <v>81543</v>
      </c>
      <c r="N141" s="719">
        <v>0</v>
      </c>
      <c r="O141" s="718">
        <v>132995</v>
      </c>
      <c r="P141" s="720">
        <f t="shared" si="5"/>
        <v>214538</v>
      </c>
      <c r="Q141" s="718"/>
      <c r="R141" s="719">
        <v>970790</v>
      </c>
      <c r="S141" s="721">
        <v>-32073</v>
      </c>
      <c r="T141" s="721">
        <v>938717</v>
      </c>
    </row>
    <row r="142" spans="1:20" x14ac:dyDescent="0.25">
      <c r="A142" s="715">
        <v>91233</v>
      </c>
      <c r="B142" s="716" t="s">
        <v>2678</v>
      </c>
      <c r="C142" s="717">
        <v>5.8100000000000003E-5</v>
      </c>
      <c r="D142" s="717">
        <v>4.5599999999999997E-5</v>
      </c>
      <c r="E142" s="718">
        <v>88761</v>
      </c>
      <c r="F142" s="718"/>
      <c r="G142" s="719">
        <v>5113</v>
      </c>
      <c r="H142" s="720">
        <v>21551</v>
      </c>
      <c r="I142" s="719">
        <v>12676</v>
      </c>
      <c r="J142" s="718">
        <v>9544</v>
      </c>
      <c r="K142" s="720">
        <f t="shared" si="4"/>
        <v>48884</v>
      </c>
      <c r="L142" s="718"/>
      <c r="M142" s="719">
        <v>2513</v>
      </c>
      <c r="N142" s="719">
        <v>0</v>
      </c>
      <c r="O142" s="718">
        <v>117</v>
      </c>
      <c r="P142" s="720">
        <f t="shared" si="5"/>
        <v>2630</v>
      </c>
      <c r="Q142" s="718"/>
      <c r="R142" s="719">
        <v>29912</v>
      </c>
      <c r="S142" s="721">
        <v>4289</v>
      </c>
      <c r="T142" s="721">
        <f>34202-1</f>
        <v>34201</v>
      </c>
    </row>
    <row r="143" spans="1:20" x14ac:dyDescent="0.25">
      <c r="A143" s="715">
        <v>91241</v>
      </c>
      <c r="B143" s="716" t="s">
        <v>2679</v>
      </c>
      <c r="C143" s="717">
        <v>3.5500000000000002E-5</v>
      </c>
      <c r="D143" s="717">
        <v>3.68E-5</v>
      </c>
      <c r="E143" s="718">
        <v>54234</v>
      </c>
      <c r="F143" s="718"/>
      <c r="G143" s="719">
        <v>3124</v>
      </c>
      <c r="H143" s="720">
        <v>13168</v>
      </c>
      <c r="I143" s="719">
        <v>7745</v>
      </c>
      <c r="J143" s="718">
        <v>0</v>
      </c>
      <c r="K143" s="720">
        <f t="shared" si="4"/>
        <v>24037</v>
      </c>
      <c r="L143" s="718"/>
      <c r="M143" s="719">
        <v>1535</v>
      </c>
      <c r="N143" s="719">
        <v>0</v>
      </c>
      <c r="O143" s="718">
        <v>4391</v>
      </c>
      <c r="P143" s="720">
        <f t="shared" si="5"/>
        <v>5926</v>
      </c>
      <c r="Q143" s="718"/>
      <c r="R143" s="719">
        <v>18277</v>
      </c>
      <c r="S143" s="721">
        <v>-2564</v>
      </c>
      <c r="T143" s="721">
        <v>15713</v>
      </c>
    </row>
    <row r="144" spans="1:20" x14ac:dyDescent="0.25">
      <c r="A144" s="715">
        <v>91251</v>
      </c>
      <c r="B144" s="716" t="s">
        <v>2680</v>
      </c>
      <c r="C144" s="717">
        <v>1.9899999999999999E-5</v>
      </c>
      <c r="D144" s="717">
        <v>2.65E-5</v>
      </c>
      <c r="E144" s="718">
        <v>30402</v>
      </c>
      <c r="F144" s="718"/>
      <c r="G144" s="719">
        <v>1751</v>
      </c>
      <c r="H144" s="720">
        <v>7381</v>
      </c>
      <c r="I144" s="719">
        <v>4342</v>
      </c>
      <c r="J144" s="718">
        <v>2341</v>
      </c>
      <c r="K144" s="720">
        <f t="shared" si="4"/>
        <v>15815</v>
      </c>
      <c r="L144" s="718"/>
      <c r="M144" s="719">
        <v>861</v>
      </c>
      <c r="N144" s="719">
        <v>0</v>
      </c>
      <c r="O144" s="718">
        <v>3540</v>
      </c>
      <c r="P144" s="720">
        <f t="shared" si="5"/>
        <v>4401</v>
      </c>
      <c r="Q144" s="718"/>
      <c r="R144" s="719">
        <v>10245</v>
      </c>
      <c r="S144" s="721">
        <v>1340</v>
      </c>
      <c r="T144" s="721">
        <f>11586-1</f>
        <v>11585</v>
      </c>
    </row>
    <row r="145" spans="1:20" x14ac:dyDescent="0.25">
      <c r="A145" s="715">
        <v>91261</v>
      </c>
      <c r="B145" s="716" t="s">
        <v>2681</v>
      </c>
      <c r="C145" s="717">
        <v>1.03E-5</v>
      </c>
      <c r="D145" s="717">
        <v>9.5000000000000005E-6</v>
      </c>
      <c r="E145" s="718">
        <v>15736</v>
      </c>
      <c r="F145" s="718"/>
      <c r="G145" s="719">
        <v>907</v>
      </c>
      <c r="H145" s="720">
        <v>3821</v>
      </c>
      <c r="I145" s="719">
        <v>2247</v>
      </c>
      <c r="J145" s="718">
        <v>1784</v>
      </c>
      <c r="K145" s="720">
        <f t="shared" si="4"/>
        <v>8759</v>
      </c>
      <c r="L145" s="718"/>
      <c r="M145" s="719">
        <v>445</v>
      </c>
      <c r="N145" s="719">
        <v>0</v>
      </c>
      <c r="O145" s="718">
        <v>0</v>
      </c>
      <c r="P145" s="720">
        <f t="shared" si="5"/>
        <v>445</v>
      </c>
      <c r="Q145" s="718"/>
      <c r="R145" s="719">
        <v>5303</v>
      </c>
      <c r="S145" s="721">
        <v>850</v>
      </c>
      <c r="T145" s="721">
        <v>6153</v>
      </c>
    </row>
    <row r="146" spans="1:20" x14ac:dyDescent="0.25">
      <c r="A146" s="715">
        <v>91301</v>
      </c>
      <c r="B146" s="716" t="s">
        <v>2682</v>
      </c>
      <c r="C146" s="717">
        <v>7.6985999999999999E-3</v>
      </c>
      <c r="D146" s="717">
        <v>7.7765000000000004E-3</v>
      </c>
      <c r="E146" s="718">
        <v>11761328</v>
      </c>
      <c r="F146" s="718"/>
      <c r="G146" s="719">
        <v>677561</v>
      </c>
      <c r="H146" s="720">
        <v>2855665</v>
      </c>
      <c r="I146" s="719">
        <v>1679681</v>
      </c>
      <c r="J146" s="718">
        <v>19915</v>
      </c>
      <c r="K146" s="720">
        <f t="shared" si="4"/>
        <v>5232822</v>
      </c>
      <c r="L146" s="718"/>
      <c r="M146" s="719">
        <v>332926</v>
      </c>
      <c r="N146" s="719">
        <v>0</v>
      </c>
      <c r="O146" s="718">
        <v>249856</v>
      </c>
      <c r="P146" s="720">
        <f t="shared" si="5"/>
        <v>582782</v>
      </c>
      <c r="Q146" s="718"/>
      <c r="R146" s="719">
        <v>3963578</v>
      </c>
      <c r="S146" s="721">
        <v>-98741</v>
      </c>
      <c r="T146" s="721">
        <v>3864837</v>
      </c>
    </row>
    <row r="147" spans="1:20" x14ac:dyDescent="0.25">
      <c r="A147" s="715">
        <v>91302</v>
      </c>
      <c r="B147" s="716" t="s">
        <v>3551</v>
      </c>
      <c r="C147" s="717">
        <v>6.0300000000000002E-4</v>
      </c>
      <c r="D147" s="717">
        <v>5.9190000000000002E-4</v>
      </c>
      <c r="E147" s="718">
        <v>921217</v>
      </c>
      <c r="F147" s="718"/>
      <c r="G147" s="719">
        <v>53071</v>
      </c>
      <c r="H147" s="720">
        <v>223673</v>
      </c>
      <c r="I147" s="719">
        <v>131563</v>
      </c>
      <c r="J147" s="718">
        <v>32897</v>
      </c>
      <c r="K147" s="720">
        <f t="shared" si="4"/>
        <v>441204</v>
      </c>
      <c r="L147" s="718"/>
      <c r="M147" s="719">
        <v>26077</v>
      </c>
      <c r="N147" s="719">
        <v>0</v>
      </c>
      <c r="O147" s="718">
        <v>6670</v>
      </c>
      <c r="P147" s="720">
        <f t="shared" si="5"/>
        <v>32747</v>
      </c>
      <c r="Q147" s="718"/>
      <c r="R147" s="719">
        <v>310451</v>
      </c>
      <c r="S147" s="721">
        <v>18435</v>
      </c>
      <c r="T147" s="721">
        <v>328886</v>
      </c>
    </row>
    <row r="148" spans="1:20" x14ac:dyDescent="0.25">
      <c r="A148" s="715">
        <v>91306</v>
      </c>
      <c r="B148" s="716" t="s">
        <v>2684</v>
      </c>
      <c r="C148" s="717">
        <v>1.6412E-3</v>
      </c>
      <c r="D148" s="717">
        <v>1.6676E-3</v>
      </c>
      <c r="E148" s="718">
        <v>2507299</v>
      </c>
      <c r="F148" s="718"/>
      <c r="G148" s="719">
        <v>144444</v>
      </c>
      <c r="H148" s="720">
        <v>608776</v>
      </c>
      <c r="I148" s="719">
        <v>358077</v>
      </c>
      <c r="J148" s="718">
        <v>113707</v>
      </c>
      <c r="K148" s="720">
        <f t="shared" si="4"/>
        <v>1225004</v>
      </c>
      <c r="L148" s="718"/>
      <c r="M148" s="719">
        <v>70974</v>
      </c>
      <c r="N148" s="719">
        <v>0</v>
      </c>
      <c r="O148" s="718">
        <v>7101</v>
      </c>
      <c r="P148" s="720">
        <f t="shared" si="5"/>
        <v>78075</v>
      </c>
      <c r="Q148" s="718"/>
      <c r="R148" s="719">
        <v>844962</v>
      </c>
      <c r="S148" s="721">
        <v>59215</v>
      </c>
      <c r="T148" s="721">
        <v>904177</v>
      </c>
    </row>
    <row r="149" spans="1:20" x14ac:dyDescent="0.25">
      <c r="A149" s="715">
        <v>91308</v>
      </c>
      <c r="B149" s="716" t="s">
        <v>2685</v>
      </c>
      <c r="C149" s="717">
        <v>1.8009999999999999E-4</v>
      </c>
      <c r="D149" s="717">
        <v>2.05E-4</v>
      </c>
      <c r="E149" s="718">
        <v>275143</v>
      </c>
      <c r="F149" s="718"/>
      <c r="G149" s="719">
        <v>15851</v>
      </c>
      <c r="H149" s="720">
        <v>66805</v>
      </c>
      <c r="I149" s="719">
        <v>39294</v>
      </c>
      <c r="J149" s="718">
        <v>2442</v>
      </c>
      <c r="K149" s="720">
        <f t="shared" si="4"/>
        <v>124392</v>
      </c>
      <c r="L149" s="718"/>
      <c r="M149" s="719">
        <v>7788</v>
      </c>
      <c r="N149" s="719">
        <v>0</v>
      </c>
      <c r="O149" s="718">
        <v>21144</v>
      </c>
      <c r="P149" s="720">
        <f t="shared" si="5"/>
        <v>28932</v>
      </c>
      <c r="Q149" s="718"/>
      <c r="R149" s="719">
        <v>92723</v>
      </c>
      <c r="S149" s="721">
        <v>-3684</v>
      </c>
      <c r="T149" s="721">
        <f>89040-1</f>
        <v>89039</v>
      </c>
    </row>
    <row r="150" spans="1:20" x14ac:dyDescent="0.25">
      <c r="A150" s="715">
        <v>91311</v>
      </c>
      <c r="B150" s="716" t="s">
        <v>2686</v>
      </c>
      <c r="C150" s="717">
        <v>7.6685E-3</v>
      </c>
      <c r="D150" s="717">
        <v>7.6649999999999999E-3</v>
      </c>
      <c r="E150" s="718">
        <v>11715344</v>
      </c>
      <c r="F150" s="718"/>
      <c r="G150" s="719">
        <v>674912</v>
      </c>
      <c r="H150" s="720">
        <v>2844500</v>
      </c>
      <c r="I150" s="719">
        <v>1673113</v>
      </c>
      <c r="J150" s="718">
        <v>78345</v>
      </c>
      <c r="K150" s="720">
        <f t="shared" si="4"/>
        <v>5270870</v>
      </c>
      <c r="L150" s="718"/>
      <c r="M150" s="719">
        <v>331624</v>
      </c>
      <c r="N150" s="719">
        <v>0</v>
      </c>
      <c r="O150" s="718">
        <v>516736</v>
      </c>
      <c r="P150" s="720">
        <f t="shared" si="5"/>
        <v>848360</v>
      </c>
      <c r="Q150" s="718"/>
      <c r="R150" s="719">
        <v>3948081</v>
      </c>
      <c r="S150" s="721">
        <v>-187514</v>
      </c>
      <c r="T150" s="721">
        <v>3760567</v>
      </c>
    </row>
    <row r="151" spans="1:20" x14ac:dyDescent="0.25">
      <c r="A151" s="715">
        <v>91317</v>
      </c>
      <c r="B151" s="716" t="s">
        <v>2687</v>
      </c>
      <c r="C151" s="717">
        <v>1.016E-4</v>
      </c>
      <c r="D151" s="717">
        <v>9.0500000000000004E-5</v>
      </c>
      <c r="E151" s="718">
        <v>155217</v>
      </c>
      <c r="F151" s="718"/>
      <c r="G151" s="719">
        <v>8942</v>
      </c>
      <c r="H151" s="720">
        <v>37687</v>
      </c>
      <c r="I151" s="719">
        <v>22167</v>
      </c>
      <c r="J151" s="718">
        <v>13159</v>
      </c>
      <c r="K151" s="720">
        <f t="shared" si="4"/>
        <v>81955</v>
      </c>
      <c r="L151" s="718"/>
      <c r="M151" s="719">
        <v>4394</v>
      </c>
      <c r="N151" s="719">
        <v>0</v>
      </c>
      <c r="O151" s="718">
        <v>1760</v>
      </c>
      <c r="P151" s="720">
        <f t="shared" si="5"/>
        <v>6154</v>
      </c>
      <c r="Q151" s="718"/>
      <c r="R151" s="719">
        <v>52308</v>
      </c>
      <c r="S151" s="721">
        <v>2823</v>
      </c>
      <c r="T151" s="721">
        <f>55132-1</f>
        <v>55131</v>
      </c>
    </row>
    <row r="152" spans="1:20" x14ac:dyDescent="0.25">
      <c r="A152" s="715">
        <v>91321</v>
      </c>
      <c r="B152" s="716" t="s">
        <v>2688</v>
      </c>
      <c r="C152" s="717">
        <v>4.2799999999999997E-5</v>
      </c>
      <c r="D152" s="717">
        <v>4.1999999999999998E-5</v>
      </c>
      <c r="E152" s="718">
        <v>65387</v>
      </c>
      <c r="F152" s="718"/>
      <c r="G152" s="719">
        <v>3767</v>
      </c>
      <c r="H152" s="720">
        <v>15876</v>
      </c>
      <c r="I152" s="719">
        <v>9338</v>
      </c>
      <c r="J152" s="718">
        <v>18992</v>
      </c>
      <c r="K152" s="720">
        <f t="shared" si="4"/>
        <v>47973</v>
      </c>
      <c r="L152" s="718"/>
      <c r="M152" s="719">
        <v>1851</v>
      </c>
      <c r="N152" s="719">
        <v>0</v>
      </c>
      <c r="O152" s="718">
        <v>3760</v>
      </c>
      <c r="P152" s="720">
        <f t="shared" si="5"/>
        <v>5611</v>
      </c>
      <c r="Q152" s="718"/>
      <c r="R152" s="719">
        <v>22035</v>
      </c>
      <c r="S152" s="721">
        <v>3437</v>
      </c>
      <c r="T152" s="721">
        <v>25472</v>
      </c>
    </row>
    <row r="153" spans="1:20" x14ac:dyDescent="0.25">
      <c r="A153" s="715">
        <v>91327</v>
      </c>
      <c r="B153" s="716" t="s">
        <v>2689</v>
      </c>
      <c r="C153" s="717">
        <v>8.1999999999999994E-6</v>
      </c>
      <c r="D153" s="717">
        <v>1.03E-5</v>
      </c>
      <c r="E153" s="718">
        <v>12527</v>
      </c>
      <c r="F153" s="718"/>
      <c r="G153" s="719">
        <v>722</v>
      </c>
      <c r="H153" s="720">
        <v>3042</v>
      </c>
      <c r="I153" s="719">
        <v>1789</v>
      </c>
      <c r="J153" s="718">
        <v>36</v>
      </c>
      <c r="K153" s="720">
        <f t="shared" si="4"/>
        <v>5589</v>
      </c>
      <c r="L153" s="718"/>
      <c r="M153" s="719">
        <v>355</v>
      </c>
      <c r="N153" s="719">
        <v>0</v>
      </c>
      <c r="O153" s="718">
        <v>1563</v>
      </c>
      <c r="P153" s="720">
        <f t="shared" si="5"/>
        <v>1918</v>
      </c>
      <c r="Q153" s="718"/>
      <c r="R153" s="719">
        <v>4222</v>
      </c>
      <c r="S153" s="721">
        <v>-481</v>
      </c>
      <c r="T153" s="721">
        <v>3741</v>
      </c>
    </row>
    <row r="154" spans="1:20" x14ac:dyDescent="0.25">
      <c r="A154" s="715">
        <v>91331</v>
      </c>
      <c r="B154" s="716" t="s">
        <v>2690</v>
      </c>
      <c r="C154" s="717">
        <v>3.0033E-3</v>
      </c>
      <c r="D154" s="717">
        <v>2.8509999999999998E-3</v>
      </c>
      <c r="E154" s="718">
        <v>4588210</v>
      </c>
      <c r="F154" s="718"/>
      <c r="G154" s="719">
        <v>264323</v>
      </c>
      <c r="H154" s="720">
        <v>1114023</v>
      </c>
      <c r="I154" s="719">
        <v>655260</v>
      </c>
      <c r="J154" s="718">
        <v>0</v>
      </c>
      <c r="K154" s="720">
        <f t="shared" si="4"/>
        <v>2033606</v>
      </c>
      <c r="L154" s="718"/>
      <c r="M154" s="719">
        <v>129878</v>
      </c>
      <c r="N154" s="719">
        <v>0</v>
      </c>
      <c r="O154" s="718">
        <v>342951</v>
      </c>
      <c r="P154" s="720">
        <f t="shared" si="5"/>
        <v>472829</v>
      </c>
      <c r="Q154" s="718"/>
      <c r="R154" s="719">
        <v>1546231</v>
      </c>
      <c r="S154" s="721">
        <v>-176510</v>
      </c>
      <c r="T154" s="721">
        <v>1369721</v>
      </c>
    </row>
    <row r="155" spans="1:20" x14ac:dyDescent="0.25">
      <c r="A155" s="715">
        <v>91341</v>
      </c>
      <c r="B155" s="716" t="s">
        <v>2691</v>
      </c>
      <c r="C155" s="717">
        <v>2.51E-5</v>
      </c>
      <c r="D155" s="717">
        <v>1.4399999999999999E-5</v>
      </c>
      <c r="E155" s="718">
        <v>38346</v>
      </c>
      <c r="F155" s="718"/>
      <c r="G155" s="719">
        <v>2209</v>
      </c>
      <c r="H155" s="720">
        <v>9311</v>
      </c>
      <c r="I155" s="719">
        <v>5476</v>
      </c>
      <c r="J155" s="718">
        <v>5566</v>
      </c>
      <c r="K155" s="720">
        <f t="shared" si="4"/>
        <v>22562</v>
      </c>
      <c r="L155" s="718"/>
      <c r="M155" s="719">
        <v>1085</v>
      </c>
      <c r="N155" s="719">
        <v>0</v>
      </c>
      <c r="O155" s="718">
        <v>1759</v>
      </c>
      <c r="P155" s="720">
        <f t="shared" si="5"/>
        <v>2844</v>
      </c>
      <c r="Q155" s="718"/>
      <c r="R155" s="719">
        <v>12923</v>
      </c>
      <c r="S155" s="721">
        <v>939</v>
      </c>
      <c r="T155" s="721">
        <f>13861+1</f>
        <v>13862</v>
      </c>
    </row>
    <row r="156" spans="1:20" x14ac:dyDescent="0.25">
      <c r="A156" s="715">
        <v>91401</v>
      </c>
      <c r="B156" s="716" t="s">
        <v>2692</v>
      </c>
      <c r="C156" s="717">
        <v>3.5885000000000001E-3</v>
      </c>
      <c r="D156" s="717">
        <v>3.6841E-3</v>
      </c>
      <c r="E156" s="718">
        <v>5482234</v>
      </c>
      <c r="F156" s="718"/>
      <c r="G156" s="719">
        <v>315827</v>
      </c>
      <c r="H156" s="720">
        <v>1331093</v>
      </c>
      <c r="I156" s="719">
        <v>782939</v>
      </c>
      <c r="J156" s="718">
        <v>17446</v>
      </c>
      <c r="K156" s="720">
        <f t="shared" si="4"/>
        <v>2447305</v>
      </c>
      <c r="L156" s="718"/>
      <c r="M156" s="719">
        <v>155185</v>
      </c>
      <c r="N156" s="719">
        <v>0</v>
      </c>
      <c r="O156" s="718">
        <v>142927</v>
      </c>
      <c r="P156" s="720">
        <f t="shared" si="5"/>
        <v>298112</v>
      </c>
      <c r="Q156" s="718"/>
      <c r="R156" s="719">
        <v>1847518</v>
      </c>
      <c r="S156" s="721">
        <v>-23160</v>
      </c>
      <c r="T156" s="721">
        <v>1824358</v>
      </c>
    </row>
    <row r="157" spans="1:20" x14ac:dyDescent="0.25">
      <c r="A157" s="715">
        <v>91411</v>
      </c>
      <c r="B157" s="716" t="s">
        <v>2693</v>
      </c>
      <c r="C157" s="717">
        <v>3.7829999999999998E-4</v>
      </c>
      <c r="D157" s="717">
        <v>3.5379999999999998E-4</v>
      </c>
      <c r="E157" s="718">
        <v>577938</v>
      </c>
      <c r="F157" s="718"/>
      <c r="G157" s="719">
        <v>33295</v>
      </c>
      <c r="H157" s="720">
        <v>140324</v>
      </c>
      <c r="I157" s="719">
        <v>82537</v>
      </c>
      <c r="J157" s="718">
        <v>28581</v>
      </c>
      <c r="K157" s="720">
        <f t="shared" si="4"/>
        <v>284737</v>
      </c>
      <c r="L157" s="718"/>
      <c r="M157" s="719">
        <v>16360</v>
      </c>
      <c r="N157" s="719">
        <v>0</v>
      </c>
      <c r="O157" s="718">
        <v>1394</v>
      </c>
      <c r="P157" s="720">
        <f t="shared" si="5"/>
        <v>17754</v>
      </c>
      <c r="Q157" s="718"/>
      <c r="R157" s="719">
        <v>194765</v>
      </c>
      <c r="S157" s="721">
        <v>7766</v>
      </c>
      <c r="T157" s="721">
        <v>202531</v>
      </c>
    </row>
    <row r="158" spans="1:20" x14ac:dyDescent="0.25">
      <c r="A158" s="715">
        <v>91417</v>
      </c>
      <c r="B158" s="716" t="s">
        <v>2694</v>
      </c>
      <c r="C158" s="717">
        <v>9.3000000000000007E-6</v>
      </c>
      <c r="D158" s="717">
        <v>9.9000000000000001E-6</v>
      </c>
      <c r="E158" s="718">
        <v>14208</v>
      </c>
      <c r="F158" s="718"/>
      <c r="G158" s="719">
        <v>819</v>
      </c>
      <c r="H158" s="720">
        <v>3450</v>
      </c>
      <c r="I158" s="719">
        <v>2029</v>
      </c>
      <c r="J158" s="718">
        <v>2388</v>
      </c>
      <c r="K158" s="720">
        <f t="shared" si="4"/>
        <v>8686</v>
      </c>
      <c r="L158" s="718"/>
      <c r="M158" s="719">
        <v>402</v>
      </c>
      <c r="N158" s="719">
        <v>0</v>
      </c>
      <c r="O158" s="718">
        <v>0</v>
      </c>
      <c r="P158" s="720">
        <f t="shared" si="5"/>
        <v>402</v>
      </c>
      <c r="Q158" s="718"/>
      <c r="R158" s="719">
        <v>4788</v>
      </c>
      <c r="S158" s="721">
        <v>1814</v>
      </c>
      <c r="T158" s="721">
        <v>6602</v>
      </c>
    </row>
    <row r="159" spans="1:20" x14ac:dyDescent="0.25">
      <c r="A159" s="715">
        <v>91421</v>
      </c>
      <c r="B159" s="716" t="s">
        <v>2695</v>
      </c>
      <c r="C159" s="717">
        <v>6.9499999999999995E-5</v>
      </c>
      <c r="D159" s="717">
        <v>7.0400000000000004E-5</v>
      </c>
      <c r="E159" s="718">
        <v>106177</v>
      </c>
      <c r="F159" s="718"/>
      <c r="G159" s="719">
        <v>6117</v>
      </c>
      <c r="H159" s="720">
        <v>25779</v>
      </c>
      <c r="I159" s="719">
        <v>15164</v>
      </c>
      <c r="J159" s="718">
        <v>4339</v>
      </c>
      <c r="K159" s="720">
        <f t="shared" si="4"/>
        <v>51399</v>
      </c>
      <c r="L159" s="718"/>
      <c r="M159" s="719">
        <v>3006</v>
      </c>
      <c r="N159" s="719">
        <v>0</v>
      </c>
      <c r="O159" s="718">
        <v>3143</v>
      </c>
      <c r="P159" s="720">
        <f t="shared" si="5"/>
        <v>6149</v>
      </c>
      <c r="Q159" s="718"/>
      <c r="R159" s="719">
        <v>35782</v>
      </c>
      <c r="S159" s="721">
        <v>365</v>
      </c>
      <c r="T159" s="721">
        <v>36147</v>
      </c>
    </row>
    <row r="160" spans="1:20" x14ac:dyDescent="0.25">
      <c r="A160" s="715">
        <v>91423</v>
      </c>
      <c r="B160" s="716" t="s">
        <v>2696</v>
      </c>
      <c r="C160" s="717">
        <v>5.38E-5</v>
      </c>
      <c r="D160" s="717">
        <v>3.8699999999999999E-5</v>
      </c>
      <c r="E160" s="718">
        <v>82191</v>
      </c>
      <c r="F160" s="718"/>
      <c r="G160" s="719">
        <v>4735</v>
      </c>
      <c r="H160" s="720">
        <v>19956</v>
      </c>
      <c r="I160" s="719">
        <v>11738</v>
      </c>
      <c r="J160" s="718">
        <v>13454</v>
      </c>
      <c r="K160" s="720">
        <f t="shared" si="4"/>
        <v>49883</v>
      </c>
      <c r="L160" s="718"/>
      <c r="M160" s="719">
        <v>2327</v>
      </c>
      <c r="N160" s="719">
        <v>0</v>
      </c>
      <c r="O160" s="718">
        <v>2026</v>
      </c>
      <c r="P160" s="720">
        <f t="shared" si="5"/>
        <v>4353</v>
      </c>
      <c r="Q160" s="718"/>
      <c r="R160" s="719">
        <v>27699</v>
      </c>
      <c r="S160" s="721">
        <v>3208</v>
      </c>
      <c r="T160" s="721">
        <f>30906+1</f>
        <v>30907</v>
      </c>
    </row>
    <row r="161" spans="1:20" x14ac:dyDescent="0.25">
      <c r="A161" s="715">
        <v>91431</v>
      </c>
      <c r="B161" s="716" t="s">
        <v>2697</v>
      </c>
      <c r="C161" s="717">
        <v>1.562E-4</v>
      </c>
      <c r="D161" s="717">
        <v>1.417E-4</v>
      </c>
      <c r="E161" s="718">
        <v>238630</v>
      </c>
      <c r="F161" s="718"/>
      <c r="G161" s="719">
        <v>13747</v>
      </c>
      <c r="H161" s="720">
        <v>57939</v>
      </c>
      <c r="I161" s="719">
        <v>34080</v>
      </c>
      <c r="J161" s="718">
        <v>17694</v>
      </c>
      <c r="K161" s="720">
        <f t="shared" si="4"/>
        <v>123460</v>
      </c>
      <c r="L161" s="718"/>
      <c r="M161" s="719">
        <v>6755</v>
      </c>
      <c r="N161" s="719">
        <v>0</v>
      </c>
      <c r="O161" s="718">
        <v>1767</v>
      </c>
      <c r="P161" s="720">
        <f t="shared" si="5"/>
        <v>8522</v>
      </c>
      <c r="Q161" s="718"/>
      <c r="R161" s="719">
        <v>80419</v>
      </c>
      <c r="S161" s="721">
        <v>4026</v>
      </c>
      <c r="T161" s="721">
        <v>84445</v>
      </c>
    </row>
    <row r="162" spans="1:20" x14ac:dyDescent="0.25">
      <c r="A162" s="715">
        <v>91441</v>
      </c>
      <c r="B162" s="716" t="s">
        <v>2698</v>
      </c>
      <c r="C162" s="717">
        <v>9.5140000000000003E-4</v>
      </c>
      <c r="D162" s="717">
        <v>7.3800000000000005E-4</v>
      </c>
      <c r="E162" s="718">
        <v>1453476</v>
      </c>
      <c r="F162" s="718"/>
      <c r="G162" s="719">
        <v>83734</v>
      </c>
      <c r="H162" s="720">
        <v>352905</v>
      </c>
      <c r="I162" s="719">
        <v>207576</v>
      </c>
      <c r="J162" s="718">
        <v>46954</v>
      </c>
      <c r="K162" s="720">
        <f t="shared" si="4"/>
        <v>691169</v>
      </c>
      <c r="L162" s="718"/>
      <c r="M162" s="719">
        <v>41143</v>
      </c>
      <c r="N162" s="719">
        <v>0</v>
      </c>
      <c r="O162" s="718">
        <v>103301</v>
      </c>
      <c r="P162" s="720">
        <f t="shared" si="5"/>
        <v>144444</v>
      </c>
      <c r="Q162" s="718"/>
      <c r="R162" s="719">
        <v>489823</v>
      </c>
      <c r="S162" s="721">
        <v>-39929</v>
      </c>
      <c r="T162" s="721">
        <v>449894</v>
      </c>
    </row>
    <row r="163" spans="1:20" x14ac:dyDescent="0.25">
      <c r="A163" s="715">
        <v>91451</v>
      </c>
      <c r="B163" s="716" t="s">
        <v>2699</v>
      </c>
      <c r="C163" s="717">
        <v>1.4760000000000001E-3</v>
      </c>
      <c r="D163" s="717">
        <v>1.5629000000000001E-3</v>
      </c>
      <c r="E163" s="718">
        <v>2254919</v>
      </c>
      <c r="F163" s="718"/>
      <c r="G163" s="719">
        <v>129904</v>
      </c>
      <c r="H163" s="720">
        <v>547497</v>
      </c>
      <c r="I163" s="719">
        <v>322034</v>
      </c>
      <c r="J163" s="718">
        <v>0</v>
      </c>
      <c r="K163" s="720">
        <f t="shared" si="4"/>
        <v>999435</v>
      </c>
      <c r="L163" s="718"/>
      <c r="M163" s="719">
        <v>63830</v>
      </c>
      <c r="N163" s="719">
        <v>0</v>
      </c>
      <c r="O163" s="718">
        <v>199933</v>
      </c>
      <c r="P163" s="720">
        <f t="shared" si="5"/>
        <v>263763</v>
      </c>
      <c r="Q163" s="718"/>
      <c r="R163" s="719">
        <v>759910</v>
      </c>
      <c r="S163" s="721">
        <v>-85072</v>
      </c>
      <c r="T163" s="721">
        <v>674838</v>
      </c>
    </row>
    <row r="164" spans="1:20" x14ac:dyDescent="0.25">
      <c r="A164" s="715">
        <v>91457</v>
      </c>
      <c r="B164" s="716" t="s">
        <v>2700</v>
      </c>
      <c r="C164" s="717">
        <v>2.23E-5</v>
      </c>
      <c r="D164" s="717">
        <v>2.58E-5</v>
      </c>
      <c r="E164" s="718">
        <v>34068</v>
      </c>
      <c r="F164" s="718"/>
      <c r="G164" s="719">
        <v>1963</v>
      </c>
      <c r="H164" s="720">
        <v>8272</v>
      </c>
      <c r="I164" s="719">
        <v>4865</v>
      </c>
      <c r="J164" s="718">
        <v>30858</v>
      </c>
      <c r="K164" s="720">
        <f t="shared" si="4"/>
        <v>45958</v>
      </c>
      <c r="L164" s="718"/>
      <c r="M164" s="719">
        <v>964</v>
      </c>
      <c r="N164" s="719">
        <v>0</v>
      </c>
      <c r="O164" s="718">
        <v>0</v>
      </c>
      <c r="P164" s="720">
        <f t="shared" si="5"/>
        <v>964</v>
      </c>
      <c r="Q164" s="718"/>
      <c r="R164" s="719">
        <v>11481</v>
      </c>
      <c r="S164" s="721">
        <v>10929</v>
      </c>
      <c r="T164" s="721">
        <v>22410</v>
      </c>
    </row>
    <row r="165" spans="1:20" x14ac:dyDescent="0.25">
      <c r="A165" s="715">
        <v>91461</v>
      </c>
      <c r="B165" s="716" t="s">
        <v>2701</v>
      </c>
      <c r="C165" s="717">
        <v>9.3999999999999998E-6</v>
      </c>
      <c r="D165" s="717">
        <v>8.6999999999999997E-6</v>
      </c>
      <c r="E165" s="718">
        <v>14361</v>
      </c>
      <c r="F165" s="718"/>
      <c r="G165" s="719">
        <v>827</v>
      </c>
      <c r="H165" s="720">
        <v>3487</v>
      </c>
      <c r="I165" s="719">
        <v>2051</v>
      </c>
      <c r="J165" s="718">
        <v>2052</v>
      </c>
      <c r="K165" s="720">
        <f t="shared" si="4"/>
        <v>8417</v>
      </c>
      <c r="L165" s="718"/>
      <c r="M165" s="719">
        <v>407</v>
      </c>
      <c r="N165" s="719">
        <v>0</v>
      </c>
      <c r="O165" s="718">
        <v>637</v>
      </c>
      <c r="P165" s="720">
        <f t="shared" si="5"/>
        <v>1044</v>
      </c>
      <c r="Q165" s="718"/>
      <c r="R165" s="719">
        <v>4840</v>
      </c>
      <c r="S165" s="721">
        <v>945</v>
      </c>
      <c r="T165" s="721">
        <f>5784+1</f>
        <v>5785</v>
      </c>
    </row>
    <row r="166" spans="1:20" x14ac:dyDescent="0.25">
      <c r="A166" s="715">
        <v>91501</v>
      </c>
      <c r="B166" s="716" t="s">
        <v>2702</v>
      </c>
      <c r="C166" s="717">
        <v>4.9700000000000005E-4</v>
      </c>
      <c r="D166" s="717">
        <v>5.1099999999999995E-4</v>
      </c>
      <c r="E166" s="718">
        <v>759278</v>
      </c>
      <c r="F166" s="718"/>
      <c r="G166" s="719">
        <v>43741</v>
      </c>
      <c r="H166" s="720">
        <v>184353</v>
      </c>
      <c r="I166" s="719">
        <v>108435</v>
      </c>
      <c r="J166" s="718">
        <v>24430</v>
      </c>
      <c r="K166" s="720">
        <f t="shared" si="4"/>
        <v>360959</v>
      </c>
      <c r="L166" s="718"/>
      <c r="M166" s="719">
        <v>21493</v>
      </c>
      <c r="N166" s="719">
        <v>0</v>
      </c>
      <c r="O166" s="718">
        <v>6922</v>
      </c>
      <c r="P166" s="720">
        <f t="shared" si="5"/>
        <v>28415</v>
      </c>
      <c r="Q166" s="718"/>
      <c r="R166" s="719">
        <v>255877</v>
      </c>
      <c r="S166" s="721">
        <v>15592</v>
      </c>
      <c r="T166" s="721">
        <v>271469</v>
      </c>
    </row>
    <row r="167" spans="1:20" x14ac:dyDescent="0.25">
      <c r="A167" s="715">
        <v>91504</v>
      </c>
      <c r="B167" s="716" t="s">
        <v>2703</v>
      </c>
      <c r="C167" s="717">
        <v>9.7000000000000003E-6</v>
      </c>
      <c r="D167" s="717">
        <v>1.0200000000000001E-5</v>
      </c>
      <c r="E167" s="718">
        <v>14819</v>
      </c>
      <c r="F167" s="718"/>
      <c r="G167" s="719">
        <v>854</v>
      </c>
      <c r="H167" s="720">
        <v>3599</v>
      </c>
      <c r="I167" s="719">
        <v>2116</v>
      </c>
      <c r="J167" s="718">
        <v>5620</v>
      </c>
      <c r="K167" s="720">
        <f t="shared" si="4"/>
        <v>12189</v>
      </c>
      <c r="L167" s="718"/>
      <c r="M167" s="719">
        <v>419</v>
      </c>
      <c r="N167" s="719">
        <v>0</v>
      </c>
      <c r="O167" s="718">
        <v>0</v>
      </c>
      <c r="P167" s="720">
        <f t="shared" si="5"/>
        <v>419</v>
      </c>
      <c r="Q167" s="718"/>
      <c r="R167" s="719">
        <v>4994</v>
      </c>
      <c r="S167" s="721">
        <v>2602</v>
      </c>
      <c r="T167" s="721">
        <v>7596</v>
      </c>
    </row>
    <row r="168" spans="1:20" x14ac:dyDescent="0.25">
      <c r="A168" s="715">
        <v>91601</v>
      </c>
      <c r="B168" s="716" t="s">
        <v>2704</v>
      </c>
      <c r="C168" s="717">
        <v>2.8040000000000001E-3</v>
      </c>
      <c r="D168" s="717">
        <v>2.9077999999999999E-3</v>
      </c>
      <c r="E168" s="718">
        <v>4283735</v>
      </c>
      <c r="F168" s="718"/>
      <c r="G168" s="719">
        <v>246783</v>
      </c>
      <c r="H168" s="720">
        <v>1040096</v>
      </c>
      <c r="I168" s="719">
        <v>611777</v>
      </c>
      <c r="J168" s="718">
        <v>168530</v>
      </c>
      <c r="K168" s="720">
        <f t="shared" si="4"/>
        <v>2067186</v>
      </c>
      <c r="L168" s="718"/>
      <c r="M168" s="719">
        <v>121259</v>
      </c>
      <c r="N168" s="719">
        <v>0</v>
      </c>
      <c r="O168" s="718">
        <v>40367</v>
      </c>
      <c r="P168" s="720">
        <f t="shared" si="5"/>
        <v>161626</v>
      </c>
      <c r="Q168" s="718"/>
      <c r="R168" s="719">
        <v>1443623</v>
      </c>
      <c r="S168" s="721">
        <v>76132</v>
      </c>
      <c r="T168" s="721">
        <v>1519755</v>
      </c>
    </row>
    <row r="169" spans="1:20" x14ac:dyDescent="0.25">
      <c r="A169" s="715">
        <v>91604</v>
      </c>
      <c r="B169" s="716" t="s">
        <v>2705</v>
      </c>
      <c r="C169" s="717">
        <v>8.8499999999999996E-5</v>
      </c>
      <c r="D169" s="717">
        <v>8.6799999999999996E-5</v>
      </c>
      <c r="E169" s="718">
        <v>135203</v>
      </c>
      <c r="F169" s="718"/>
      <c r="G169" s="719">
        <v>7789</v>
      </c>
      <c r="H169" s="720">
        <v>32827</v>
      </c>
      <c r="I169" s="719">
        <v>19309</v>
      </c>
      <c r="J169" s="718">
        <v>20977</v>
      </c>
      <c r="K169" s="720">
        <f t="shared" si="4"/>
        <v>80902</v>
      </c>
      <c r="L169" s="718"/>
      <c r="M169" s="719">
        <v>3827</v>
      </c>
      <c r="N169" s="719">
        <v>0</v>
      </c>
      <c r="O169" s="718">
        <v>0</v>
      </c>
      <c r="P169" s="720">
        <f t="shared" si="5"/>
        <v>3827</v>
      </c>
      <c r="Q169" s="718"/>
      <c r="R169" s="719">
        <v>45564</v>
      </c>
      <c r="S169" s="721">
        <v>7680</v>
      </c>
      <c r="T169" s="721">
        <v>53244</v>
      </c>
    </row>
    <row r="170" spans="1:20" x14ac:dyDescent="0.25">
      <c r="A170" s="715">
        <v>91608</v>
      </c>
      <c r="B170" s="716" t="s">
        <v>2706</v>
      </c>
      <c r="C170" s="717">
        <v>1.5349999999999999E-4</v>
      </c>
      <c r="D170" s="717">
        <v>1.208E-4</v>
      </c>
      <c r="E170" s="718">
        <v>234505</v>
      </c>
      <c r="F170" s="718"/>
      <c r="G170" s="719">
        <v>13510</v>
      </c>
      <c r="H170" s="720">
        <v>56938</v>
      </c>
      <c r="I170" s="719">
        <v>33491</v>
      </c>
      <c r="J170" s="718">
        <v>2430</v>
      </c>
      <c r="K170" s="720">
        <f t="shared" si="4"/>
        <v>106369</v>
      </c>
      <c r="L170" s="718"/>
      <c r="M170" s="719">
        <v>6638</v>
      </c>
      <c r="N170" s="719">
        <v>0</v>
      </c>
      <c r="O170" s="718">
        <v>28763</v>
      </c>
      <c r="P170" s="720">
        <f t="shared" si="5"/>
        <v>35401</v>
      </c>
      <c r="Q170" s="718"/>
      <c r="R170" s="719">
        <v>79029</v>
      </c>
      <c r="S170" s="721">
        <v>-12888</v>
      </c>
      <c r="T170" s="721">
        <f>66140+1</f>
        <v>66141</v>
      </c>
    </row>
    <row r="171" spans="1:20" x14ac:dyDescent="0.25">
      <c r="A171" s="715">
        <v>91611</v>
      </c>
      <c r="B171" s="716" t="s">
        <v>2707</v>
      </c>
      <c r="C171" s="717">
        <v>1.4708E-3</v>
      </c>
      <c r="D171" s="717">
        <v>1.4345E-3</v>
      </c>
      <c r="E171" s="718">
        <v>2246975</v>
      </c>
      <c r="F171" s="718"/>
      <c r="G171" s="719">
        <v>129447</v>
      </c>
      <c r="H171" s="720">
        <v>545569</v>
      </c>
      <c r="I171" s="719">
        <v>320899</v>
      </c>
      <c r="J171" s="718">
        <v>19333</v>
      </c>
      <c r="K171" s="720">
        <f t="shared" si="4"/>
        <v>1015248</v>
      </c>
      <c r="L171" s="718"/>
      <c r="M171" s="719">
        <v>63605</v>
      </c>
      <c r="N171" s="719">
        <v>0</v>
      </c>
      <c r="O171" s="718">
        <v>53335</v>
      </c>
      <c r="P171" s="720">
        <f t="shared" si="5"/>
        <v>116940</v>
      </c>
      <c r="Q171" s="718"/>
      <c r="R171" s="719">
        <v>757233</v>
      </c>
      <c r="S171" s="721">
        <v>2483</v>
      </c>
      <c r="T171" s="721">
        <f>759715+1</f>
        <v>759716</v>
      </c>
    </row>
    <row r="172" spans="1:20" x14ac:dyDescent="0.25">
      <c r="A172" s="715">
        <v>91621</v>
      </c>
      <c r="B172" s="716" t="s">
        <v>2708</v>
      </c>
      <c r="C172" s="717">
        <v>2.7050000000000002E-4</v>
      </c>
      <c r="D172" s="717">
        <v>2.5240000000000001E-4</v>
      </c>
      <c r="E172" s="718">
        <v>413249</v>
      </c>
      <c r="F172" s="718"/>
      <c r="G172" s="719">
        <v>23807</v>
      </c>
      <c r="H172" s="720">
        <v>100337</v>
      </c>
      <c r="I172" s="719">
        <v>59018</v>
      </c>
      <c r="J172" s="718">
        <v>13260</v>
      </c>
      <c r="K172" s="720">
        <f t="shared" si="4"/>
        <v>196422</v>
      </c>
      <c r="L172" s="718"/>
      <c r="M172" s="719">
        <v>11698</v>
      </c>
      <c r="N172" s="719">
        <v>0</v>
      </c>
      <c r="O172" s="718">
        <v>14620</v>
      </c>
      <c r="P172" s="720">
        <f t="shared" si="5"/>
        <v>26318</v>
      </c>
      <c r="Q172" s="718"/>
      <c r="R172" s="719">
        <v>139265</v>
      </c>
      <c r="S172" s="721">
        <v>-4185</v>
      </c>
      <c r="T172" s="721">
        <v>135080</v>
      </c>
    </row>
    <row r="173" spans="1:20" x14ac:dyDescent="0.25">
      <c r="A173" s="715">
        <v>91631</v>
      </c>
      <c r="B173" s="716" t="s">
        <v>2709</v>
      </c>
      <c r="C173" s="717">
        <v>5.2249999999999996E-4</v>
      </c>
      <c r="D173" s="717">
        <v>5.3870000000000003E-4</v>
      </c>
      <c r="E173" s="718">
        <v>798235</v>
      </c>
      <c r="F173" s="718"/>
      <c r="G173" s="719">
        <v>45986</v>
      </c>
      <c r="H173" s="720">
        <v>193812</v>
      </c>
      <c r="I173" s="719">
        <v>113999</v>
      </c>
      <c r="J173" s="718">
        <v>0</v>
      </c>
      <c r="K173" s="720">
        <f t="shared" si="4"/>
        <v>353797</v>
      </c>
      <c r="L173" s="718"/>
      <c r="M173" s="719">
        <v>22596</v>
      </c>
      <c r="N173" s="719">
        <v>0</v>
      </c>
      <c r="O173" s="718">
        <v>52272</v>
      </c>
      <c r="P173" s="720">
        <f t="shared" si="5"/>
        <v>74868</v>
      </c>
      <c r="Q173" s="718"/>
      <c r="R173" s="719">
        <v>269006</v>
      </c>
      <c r="S173" s="721">
        <v>-16747</v>
      </c>
      <c r="T173" s="721">
        <v>252259</v>
      </c>
    </row>
    <row r="174" spans="1:20" x14ac:dyDescent="0.25">
      <c r="A174" s="715">
        <v>91633</v>
      </c>
      <c r="B174" s="716" t="s">
        <v>2710</v>
      </c>
      <c r="C174" s="717">
        <v>2.51E-5</v>
      </c>
      <c r="D174" s="717">
        <v>2.3799999999999999E-5</v>
      </c>
      <c r="E174" s="718">
        <v>38346</v>
      </c>
      <c r="F174" s="718"/>
      <c r="G174" s="719">
        <v>2209</v>
      </c>
      <c r="H174" s="720">
        <v>9311</v>
      </c>
      <c r="I174" s="719">
        <v>5476</v>
      </c>
      <c r="J174" s="718">
        <v>1513</v>
      </c>
      <c r="K174" s="720">
        <f t="shared" si="4"/>
        <v>18509</v>
      </c>
      <c r="L174" s="718"/>
      <c r="M174" s="719">
        <v>1085</v>
      </c>
      <c r="N174" s="719">
        <v>0</v>
      </c>
      <c r="O174" s="718">
        <v>3215</v>
      </c>
      <c r="P174" s="720">
        <f t="shared" si="5"/>
        <v>4300</v>
      </c>
      <c r="Q174" s="718"/>
      <c r="R174" s="719">
        <v>12923</v>
      </c>
      <c r="S174" s="721">
        <v>-1367</v>
      </c>
      <c r="T174" s="721">
        <f>11555+1</f>
        <v>11556</v>
      </c>
    </row>
    <row r="175" spans="1:20" x14ac:dyDescent="0.25">
      <c r="A175" s="715">
        <v>91641</v>
      </c>
      <c r="B175" s="716" t="s">
        <v>2711</v>
      </c>
      <c r="C175" s="717">
        <v>3.1139999999999998E-4</v>
      </c>
      <c r="D175" s="717">
        <v>2.742E-4</v>
      </c>
      <c r="E175" s="718">
        <v>475733</v>
      </c>
      <c r="F175" s="718"/>
      <c r="G175" s="719">
        <v>27407</v>
      </c>
      <c r="H175" s="720">
        <v>115509</v>
      </c>
      <c r="I175" s="719">
        <v>67941</v>
      </c>
      <c r="J175" s="718">
        <v>0</v>
      </c>
      <c r="K175" s="720">
        <f t="shared" si="4"/>
        <v>210857</v>
      </c>
      <c r="L175" s="718"/>
      <c r="M175" s="719">
        <v>13466</v>
      </c>
      <c r="N175" s="719">
        <v>0</v>
      </c>
      <c r="O175" s="718">
        <v>55139</v>
      </c>
      <c r="P175" s="720">
        <f t="shared" si="5"/>
        <v>68605</v>
      </c>
      <c r="Q175" s="718"/>
      <c r="R175" s="719">
        <v>160322</v>
      </c>
      <c r="S175" s="721">
        <v>-25877</v>
      </c>
      <c r="T175" s="721">
        <v>134445</v>
      </c>
    </row>
    <row r="176" spans="1:20" x14ac:dyDescent="0.25">
      <c r="A176" s="715">
        <v>91651</v>
      </c>
      <c r="B176" s="716" t="s">
        <v>2712</v>
      </c>
      <c r="C176" s="717">
        <v>4.4440000000000001E-4</v>
      </c>
      <c r="D176" s="717">
        <v>4.6099999999999998E-4</v>
      </c>
      <c r="E176" s="718">
        <v>678920</v>
      </c>
      <c r="F176" s="718"/>
      <c r="G176" s="719">
        <v>39112</v>
      </c>
      <c r="H176" s="720">
        <v>164843</v>
      </c>
      <c r="I176" s="719">
        <v>96959</v>
      </c>
      <c r="J176" s="718">
        <v>0</v>
      </c>
      <c r="K176" s="720">
        <f t="shared" si="4"/>
        <v>300914</v>
      </c>
      <c r="L176" s="718"/>
      <c r="M176" s="719">
        <v>19218</v>
      </c>
      <c r="N176" s="719">
        <v>0</v>
      </c>
      <c r="O176" s="718">
        <v>30696</v>
      </c>
      <c r="P176" s="720">
        <f t="shared" si="5"/>
        <v>49914</v>
      </c>
      <c r="Q176" s="718"/>
      <c r="R176" s="719">
        <v>228797</v>
      </c>
      <c r="S176" s="721">
        <v>-12407</v>
      </c>
      <c r="T176" s="721">
        <v>216390</v>
      </c>
    </row>
    <row r="177" spans="1:20" x14ac:dyDescent="0.25">
      <c r="A177" s="715">
        <v>91661</v>
      </c>
      <c r="B177" s="716" t="s">
        <v>2713</v>
      </c>
      <c r="C177" s="717">
        <v>1.673E-4</v>
      </c>
      <c r="D177" s="717">
        <v>1.6750000000000001E-4</v>
      </c>
      <c r="E177" s="718">
        <v>255588</v>
      </c>
      <c r="F177" s="718"/>
      <c r="G177" s="719">
        <v>14724</v>
      </c>
      <c r="H177" s="720">
        <v>62057</v>
      </c>
      <c r="I177" s="719">
        <v>36502</v>
      </c>
      <c r="J177" s="718">
        <v>0</v>
      </c>
      <c r="K177" s="720">
        <f t="shared" si="4"/>
        <v>113283</v>
      </c>
      <c r="L177" s="718"/>
      <c r="M177" s="719">
        <v>7235</v>
      </c>
      <c r="N177" s="719">
        <v>0</v>
      </c>
      <c r="O177" s="718">
        <v>45519</v>
      </c>
      <c r="P177" s="720">
        <f t="shared" si="5"/>
        <v>52754</v>
      </c>
      <c r="Q177" s="718"/>
      <c r="R177" s="719">
        <v>86133</v>
      </c>
      <c r="S177" s="721">
        <v>-16188</v>
      </c>
      <c r="T177" s="721">
        <v>69945</v>
      </c>
    </row>
    <row r="178" spans="1:20" x14ac:dyDescent="0.25">
      <c r="A178" s="715">
        <v>91671</v>
      </c>
      <c r="B178" s="716" t="s">
        <v>2714</v>
      </c>
      <c r="C178" s="717">
        <v>9.6700000000000006E-5</v>
      </c>
      <c r="D178" s="717">
        <v>9.7600000000000001E-5</v>
      </c>
      <c r="E178" s="718">
        <v>147731</v>
      </c>
      <c r="F178" s="718"/>
      <c r="G178" s="719">
        <v>8511</v>
      </c>
      <c r="H178" s="720">
        <v>35869</v>
      </c>
      <c r="I178" s="719">
        <v>21098</v>
      </c>
      <c r="J178" s="718">
        <v>11497</v>
      </c>
      <c r="K178" s="720">
        <f t="shared" si="4"/>
        <v>76975</v>
      </c>
      <c r="L178" s="718"/>
      <c r="M178" s="719">
        <v>4182</v>
      </c>
      <c r="N178" s="719">
        <v>0</v>
      </c>
      <c r="O178" s="718">
        <v>1197</v>
      </c>
      <c r="P178" s="720">
        <f t="shared" si="5"/>
        <v>5379</v>
      </c>
      <c r="Q178" s="718"/>
      <c r="R178" s="719">
        <v>49785</v>
      </c>
      <c r="S178" s="721">
        <v>5725</v>
      </c>
      <c r="T178" s="721">
        <v>55510</v>
      </c>
    </row>
    <row r="179" spans="1:20" x14ac:dyDescent="0.25">
      <c r="A179" s="715">
        <v>91681</v>
      </c>
      <c r="B179" s="716" t="s">
        <v>2715</v>
      </c>
      <c r="C179" s="717">
        <v>4.728E-4</v>
      </c>
      <c r="D179" s="717">
        <v>4.7130000000000002E-4</v>
      </c>
      <c r="E179" s="718">
        <v>722307</v>
      </c>
      <c r="F179" s="718"/>
      <c r="G179" s="719">
        <v>41612</v>
      </c>
      <c r="H179" s="720">
        <v>175378</v>
      </c>
      <c r="I179" s="719">
        <v>103156</v>
      </c>
      <c r="J179" s="718">
        <v>274278</v>
      </c>
      <c r="K179" s="720">
        <f t="shared" si="4"/>
        <v>594424</v>
      </c>
      <c r="L179" s="718"/>
      <c r="M179" s="719">
        <v>20446</v>
      </c>
      <c r="N179" s="719">
        <v>0</v>
      </c>
      <c r="O179" s="718">
        <v>4516</v>
      </c>
      <c r="P179" s="720">
        <f t="shared" si="5"/>
        <v>24962</v>
      </c>
      <c r="Q179" s="718"/>
      <c r="R179" s="719">
        <v>243418</v>
      </c>
      <c r="S179" s="721">
        <v>89641</v>
      </c>
      <c r="T179" s="721">
        <v>333059</v>
      </c>
    </row>
    <row r="180" spans="1:20" x14ac:dyDescent="0.25">
      <c r="A180" s="715">
        <v>91691</v>
      </c>
      <c r="B180" s="716" t="s">
        <v>2716</v>
      </c>
      <c r="C180" s="717">
        <v>2.3200000000000001E-5</v>
      </c>
      <c r="D180" s="717">
        <v>2.4199999999999999E-5</v>
      </c>
      <c r="E180" s="718">
        <v>35443</v>
      </c>
      <c r="F180" s="718"/>
      <c r="G180" s="719">
        <v>2042</v>
      </c>
      <c r="H180" s="720">
        <v>8605</v>
      </c>
      <c r="I180" s="719">
        <v>5062</v>
      </c>
      <c r="J180" s="718">
        <v>1782</v>
      </c>
      <c r="K180" s="720">
        <f t="shared" si="4"/>
        <v>17491</v>
      </c>
      <c r="L180" s="718"/>
      <c r="M180" s="719">
        <v>1003</v>
      </c>
      <c r="N180" s="719">
        <v>0</v>
      </c>
      <c r="O180" s="718">
        <v>1533</v>
      </c>
      <c r="P180" s="720">
        <f t="shared" si="5"/>
        <v>2536</v>
      </c>
      <c r="Q180" s="718"/>
      <c r="R180" s="719">
        <v>11944</v>
      </c>
      <c r="S180" s="721">
        <v>129</v>
      </c>
      <c r="T180" s="721">
        <f>12074-1</f>
        <v>12073</v>
      </c>
    </row>
    <row r="181" spans="1:20" x14ac:dyDescent="0.25">
      <c r="A181" s="715">
        <v>91701</v>
      </c>
      <c r="B181" s="716" t="s">
        <v>2717</v>
      </c>
      <c r="C181" s="717">
        <v>1.2451999999999999E-3</v>
      </c>
      <c r="D181" s="717">
        <v>1.0897000000000001E-3</v>
      </c>
      <c r="E181" s="718">
        <v>1902321</v>
      </c>
      <c r="F181" s="718"/>
      <c r="G181" s="719">
        <v>109591</v>
      </c>
      <c r="H181" s="720">
        <v>461886</v>
      </c>
      <c r="I181" s="719">
        <v>271678</v>
      </c>
      <c r="J181" s="718">
        <v>95964</v>
      </c>
      <c r="K181" s="720">
        <f t="shared" si="4"/>
        <v>939119</v>
      </c>
      <c r="L181" s="718"/>
      <c r="M181" s="719">
        <v>53849</v>
      </c>
      <c r="N181" s="719">
        <v>0</v>
      </c>
      <c r="O181" s="718">
        <v>6949</v>
      </c>
      <c r="P181" s="720">
        <f t="shared" si="5"/>
        <v>60798</v>
      </c>
      <c r="Q181" s="718"/>
      <c r="R181" s="719">
        <v>641084</v>
      </c>
      <c r="S181" s="721">
        <v>18725</v>
      </c>
      <c r="T181" s="721">
        <v>659809</v>
      </c>
    </row>
    <row r="182" spans="1:20" x14ac:dyDescent="0.25">
      <c r="A182" s="715">
        <v>91704</v>
      </c>
      <c r="B182" s="716" t="s">
        <v>2718</v>
      </c>
      <c r="C182" s="717">
        <v>1.73E-5</v>
      </c>
      <c r="D182" s="717">
        <v>1.6699999999999999E-5</v>
      </c>
      <c r="E182" s="718">
        <v>26430</v>
      </c>
      <c r="F182" s="718"/>
      <c r="G182" s="719">
        <v>1523</v>
      </c>
      <c r="H182" s="720">
        <v>6417</v>
      </c>
      <c r="I182" s="719">
        <v>3775</v>
      </c>
      <c r="J182" s="718">
        <v>1084</v>
      </c>
      <c r="K182" s="720">
        <f t="shared" si="4"/>
        <v>12799</v>
      </c>
      <c r="L182" s="718"/>
      <c r="M182" s="719">
        <v>748</v>
      </c>
      <c r="N182" s="719">
        <v>0</v>
      </c>
      <c r="O182" s="718">
        <v>0</v>
      </c>
      <c r="P182" s="720">
        <f t="shared" si="5"/>
        <v>748</v>
      </c>
      <c r="Q182" s="718"/>
      <c r="R182" s="719">
        <v>8907</v>
      </c>
      <c r="S182" s="721">
        <v>641</v>
      </c>
      <c r="T182" s="721">
        <v>9548</v>
      </c>
    </row>
    <row r="183" spans="1:20" x14ac:dyDescent="0.25">
      <c r="A183" s="715">
        <v>91706</v>
      </c>
      <c r="B183" s="716" t="s">
        <v>2719</v>
      </c>
      <c r="C183" s="717">
        <v>2.4340000000000001E-4</v>
      </c>
      <c r="D183" s="717">
        <v>2.4279999999999999E-4</v>
      </c>
      <c r="E183" s="718">
        <v>371848</v>
      </c>
      <c r="F183" s="718"/>
      <c r="G183" s="719">
        <v>21422</v>
      </c>
      <c r="H183" s="720">
        <v>90285</v>
      </c>
      <c r="I183" s="719">
        <v>53105</v>
      </c>
      <c r="J183" s="718">
        <v>9101</v>
      </c>
      <c r="K183" s="720">
        <f t="shared" si="4"/>
        <v>173913</v>
      </c>
      <c r="L183" s="718"/>
      <c r="M183" s="719">
        <v>10526</v>
      </c>
      <c r="N183" s="719">
        <v>0</v>
      </c>
      <c r="O183" s="718">
        <v>8271</v>
      </c>
      <c r="P183" s="720">
        <f t="shared" si="5"/>
        <v>18797</v>
      </c>
      <c r="Q183" s="718"/>
      <c r="R183" s="719">
        <v>125313</v>
      </c>
      <c r="S183" s="721">
        <v>-4120</v>
      </c>
      <c r="T183" s="721">
        <v>121193</v>
      </c>
    </row>
    <row r="184" spans="1:20" x14ac:dyDescent="0.25">
      <c r="A184" s="715">
        <v>91719</v>
      </c>
      <c r="B184" s="716" t="s">
        <v>2720</v>
      </c>
      <c r="C184" s="717">
        <v>4.9700000000000002E-5</v>
      </c>
      <c r="D184" s="717">
        <v>4.9299999999999999E-5</v>
      </c>
      <c r="E184" s="718">
        <v>75928</v>
      </c>
      <c r="F184" s="718"/>
      <c r="G184" s="719">
        <v>4374</v>
      </c>
      <c r="H184" s="720">
        <v>18435</v>
      </c>
      <c r="I184" s="719">
        <v>10844</v>
      </c>
      <c r="J184" s="718">
        <v>4395</v>
      </c>
      <c r="K184" s="720">
        <f t="shared" si="4"/>
        <v>38048</v>
      </c>
      <c r="L184" s="718"/>
      <c r="M184" s="719">
        <v>2149</v>
      </c>
      <c r="N184" s="719">
        <v>0</v>
      </c>
      <c r="O184" s="718">
        <v>4419</v>
      </c>
      <c r="P184" s="720">
        <f t="shared" si="5"/>
        <v>6568</v>
      </c>
      <c r="Q184" s="718"/>
      <c r="R184" s="719">
        <v>25588</v>
      </c>
      <c r="S184" s="721">
        <v>37</v>
      </c>
      <c r="T184" s="721">
        <v>25625</v>
      </c>
    </row>
    <row r="185" spans="1:20" x14ac:dyDescent="0.25">
      <c r="A185" s="715">
        <v>91801</v>
      </c>
      <c r="B185" s="716" t="s">
        <v>2721</v>
      </c>
      <c r="C185" s="717">
        <v>8.0961000000000002E-3</v>
      </c>
      <c r="D185" s="717">
        <v>8.3853999999999995E-3</v>
      </c>
      <c r="E185" s="718">
        <v>12368598</v>
      </c>
      <c r="F185" s="718"/>
      <c r="G185" s="719">
        <v>712546</v>
      </c>
      <c r="H185" s="720">
        <v>3003111</v>
      </c>
      <c r="I185" s="719">
        <v>1766407</v>
      </c>
      <c r="J185" s="718">
        <v>0</v>
      </c>
      <c r="K185" s="720">
        <f t="shared" si="4"/>
        <v>5482064</v>
      </c>
      <c r="L185" s="718"/>
      <c r="M185" s="719">
        <v>350116</v>
      </c>
      <c r="N185" s="719">
        <v>0</v>
      </c>
      <c r="O185" s="718">
        <v>242225</v>
      </c>
      <c r="P185" s="720">
        <f t="shared" si="5"/>
        <v>592341</v>
      </c>
      <c r="Q185" s="718"/>
      <c r="R185" s="719">
        <v>4168229</v>
      </c>
      <c r="S185" s="721">
        <v>-87031</v>
      </c>
      <c r="T185" s="721">
        <f>4081197+1</f>
        <v>4081198</v>
      </c>
    </row>
    <row r="186" spans="1:20" x14ac:dyDescent="0.25">
      <c r="A186" s="715">
        <v>91804</v>
      </c>
      <c r="B186" s="716" t="s">
        <v>2722</v>
      </c>
      <c r="C186" s="717">
        <v>1.3439999999999999E-4</v>
      </c>
      <c r="D186" s="717">
        <v>1.462E-4</v>
      </c>
      <c r="E186" s="718">
        <v>205326</v>
      </c>
      <c r="F186" s="718"/>
      <c r="G186" s="719">
        <v>11829</v>
      </c>
      <c r="H186" s="720">
        <v>49854</v>
      </c>
      <c r="I186" s="719">
        <v>29323</v>
      </c>
      <c r="J186" s="718">
        <v>55699</v>
      </c>
      <c r="K186" s="720">
        <f t="shared" si="4"/>
        <v>146705</v>
      </c>
      <c r="L186" s="718"/>
      <c r="M186" s="719">
        <v>5812</v>
      </c>
      <c r="N186" s="719">
        <v>0</v>
      </c>
      <c r="O186" s="718">
        <v>0</v>
      </c>
      <c r="P186" s="720">
        <f t="shared" si="5"/>
        <v>5812</v>
      </c>
      <c r="Q186" s="718"/>
      <c r="R186" s="719">
        <v>69195</v>
      </c>
      <c r="S186" s="721">
        <v>23621</v>
      </c>
      <c r="T186" s="721">
        <v>92816</v>
      </c>
    </row>
    <row r="187" spans="1:20" x14ac:dyDescent="0.25">
      <c r="A187" s="715">
        <v>91811</v>
      </c>
      <c r="B187" s="716" t="s">
        <v>2723</v>
      </c>
      <c r="C187" s="717">
        <v>4.5555999999999999E-3</v>
      </c>
      <c r="D187" s="717">
        <v>4.6454000000000001E-3</v>
      </c>
      <c r="E187" s="718">
        <v>6959695</v>
      </c>
      <c r="F187" s="718"/>
      <c r="G187" s="719">
        <v>400943</v>
      </c>
      <c r="H187" s="720">
        <v>1689822</v>
      </c>
      <c r="I187" s="719">
        <v>993941</v>
      </c>
      <c r="J187" s="718">
        <v>0</v>
      </c>
      <c r="K187" s="720">
        <f t="shared" si="4"/>
        <v>3084706</v>
      </c>
      <c r="L187" s="718"/>
      <c r="M187" s="719">
        <v>197007</v>
      </c>
      <c r="N187" s="719">
        <v>0</v>
      </c>
      <c r="O187" s="718">
        <v>519421</v>
      </c>
      <c r="P187" s="720">
        <f t="shared" si="5"/>
        <v>716428</v>
      </c>
      <c r="Q187" s="718"/>
      <c r="R187" s="719">
        <v>2345423</v>
      </c>
      <c r="S187" s="721">
        <v>-197590</v>
      </c>
      <c r="T187" s="721">
        <v>2147833</v>
      </c>
    </row>
    <row r="188" spans="1:20" x14ac:dyDescent="0.25">
      <c r="A188" s="715">
        <v>91812</v>
      </c>
      <c r="B188" s="716" t="s">
        <v>2724</v>
      </c>
      <c r="C188" s="717">
        <v>5.0800000000000002E-5</v>
      </c>
      <c r="D188" s="717">
        <v>5.8199999999999998E-5</v>
      </c>
      <c r="E188" s="718">
        <v>77608</v>
      </c>
      <c r="F188" s="718"/>
      <c r="G188" s="719">
        <v>4471</v>
      </c>
      <c r="H188" s="720">
        <v>18843</v>
      </c>
      <c r="I188" s="719">
        <v>11084</v>
      </c>
      <c r="J188" s="718">
        <v>11326</v>
      </c>
      <c r="K188" s="720">
        <f t="shared" si="4"/>
        <v>45724</v>
      </c>
      <c r="L188" s="718"/>
      <c r="M188" s="719">
        <v>2197</v>
      </c>
      <c r="N188" s="719">
        <v>0</v>
      </c>
      <c r="O188" s="718">
        <v>2710</v>
      </c>
      <c r="P188" s="720">
        <f t="shared" si="5"/>
        <v>4907</v>
      </c>
      <c r="Q188" s="718"/>
      <c r="R188" s="719">
        <v>26154</v>
      </c>
      <c r="S188" s="721">
        <v>4584</v>
      </c>
      <c r="T188" s="721">
        <v>30738</v>
      </c>
    </row>
    <row r="189" spans="1:20" x14ac:dyDescent="0.25">
      <c r="A189" s="715">
        <v>91813</v>
      </c>
      <c r="B189" s="716" t="s">
        <v>2725</v>
      </c>
      <c r="C189" s="717">
        <v>8.6100000000000006E-5</v>
      </c>
      <c r="D189" s="717">
        <v>1.083E-4</v>
      </c>
      <c r="E189" s="718">
        <v>131537</v>
      </c>
      <c r="F189" s="718"/>
      <c r="G189" s="719">
        <v>7578</v>
      </c>
      <c r="H189" s="720">
        <v>31938</v>
      </c>
      <c r="I189" s="719">
        <v>18785</v>
      </c>
      <c r="J189" s="718">
        <v>10986</v>
      </c>
      <c r="K189" s="720">
        <f t="shared" si="4"/>
        <v>69287</v>
      </c>
      <c r="L189" s="718"/>
      <c r="M189" s="719">
        <v>3723</v>
      </c>
      <c r="N189" s="719">
        <v>0</v>
      </c>
      <c r="O189" s="718">
        <v>13565</v>
      </c>
      <c r="P189" s="720">
        <f t="shared" si="5"/>
        <v>17288</v>
      </c>
      <c r="Q189" s="718"/>
      <c r="R189" s="719">
        <v>44328</v>
      </c>
      <c r="S189" s="721">
        <v>-155</v>
      </c>
      <c r="T189" s="721">
        <v>44173</v>
      </c>
    </row>
    <row r="190" spans="1:20" x14ac:dyDescent="0.25">
      <c r="A190" s="715">
        <v>91818</v>
      </c>
      <c r="B190" s="716" t="s">
        <v>2726</v>
      </c>
      <c r="C190" s="717">
        <v>4.0079999999999998E-4</v>
      </c>
      <c r="D190" s="717">
        <v>3.8559999999999999E-4</v>
      </c>
      <c r="E190" s="718">
        <v>612311</v>
      </c>
      <c r="F190" s="718"/>
      <c r="G190" s="719">
        <v>35275</v>
      </c>
      <c r="H190" s="720">
        <v>148670</v>
      </c>
      <c r="I190" s="719">
        <v>87447</v>
      </c>
      <c r="J190" s="718">
        <v>469231</v>
      </c>
      <c r="K190" s="720">
        <f t="shared" si="4"/>
        <v>740623</v>
      </c>
      <c r="L190" s="718"/>
      <c r="M190" s="719">
        <v>17333</v>
      </c>
      <c r="N190" s="719">
        <v>0</v>
      </c>
      <c r="O190" s="718">
        <v>5024</v>
      </c>
      <c r="P190" s="720">
        <f t="shared" si="5"/>
        <v>22357</v>
      </c>
      <c r="Q190" s="718"/>
      <c r="R190" s="719">
        <v>206349</v>
      </c>
      <c r="S190" s="721">
        <v>155106</v>
      </c>
      <c r="T190" s="721">
        <f>361456-1</f>
        <v>361455</v>
      </c>
    </row>
    <row r="191" spans="1:20" x14ac:dyDescent="0.25">
      <c r="A191" s="715">
        <v>91819</v>
      </c>
      <c r="B191" s="716" t="s">
        <v>2727</v>
      </c>
      <c r="C191" s="717">
        <v>2.8489999999999999E-4</v>
      </c>
      <c r="D191" s="717">
        <v>2.8200000000000002E-4</v>
      </c>
      <c r="E191" s="718">
        <v>435248</v>
      </c>
      <c r="F191" s="718"/>
      <c r="G191" s="719">
        <v>25074</v>
      </c>
      <c r="H191" s="720">
        <v>105678</v>
      </c>
      <c r="I191" s="719">
        <v>62159</v>
      </c>
      <c r="J191" s="718">
        <v>15073</v>
      </c>
      <c r="K191" s="720">
        <f t="shared" si="4"/>
        <v>207984</v>
      </c>
      <c r="L191" s="718"/>
      <c r="M191" s="719">
        <v>12321</v>
      </c>
      <c r="N191" s="719">
        <v>0</v>
      </c>
      <c r="O191" s="718">
        <v>8276</v>
      </c>
      <c r="P191" s="720">
        <f t="shared" si="5"/>
        <v>20597</v>
      </c>
      <c r="Q191" s="718"/>
      <c r="R191" s="719">
        <v>146679</v>
      </c>
      <c r="S191" s="721">
        <v>5278</v>
      </c>
      <c r="T191" s="721">
        <v>151957</v>
      </c>
    </row>
    <row r="192" spans="1:20" x14ac:dyDescent="0.25">
      <c r="A192" s="715">
        <v>91821</v>
      </c>
      <c r="B192" s="716" t="s">
        <v>2728</v>
      </c>
      <c r="C192" s="717">
        <v>1.7330000000000001E-4</v>
      </c>
      <c r="D192" s="717">
        <v>1.63E-4</v>
      </c>
      <c r="E192" s="718">
        <v>264754</v>
      </c>
      <c r="F192" s="718"/>
      <c r="G192" s="719">
        <v>15252</v>
      </c>
      <c r="H192" s="720">
        <v>64283</v>
      </c>
      <c r="I192" s="719">
        <v>37811</v>
      </c>
      <c r="J192" s="718">
        <v>2434</v>
      </c>
      <c r="K192" s="720">
        <f t="shared" si="4"/>
        <v>119780</v>
      </c>
      <c r="L192" s="718"/>
      <c r="M192" s="719">
        <v>7494</v>
      </c>
      <c r="N192" s="719">
        <v>0</v>
      </c>
      <c r="O192" s="718">
        <v>1112</v>
      </c>
      <c r="P192" s="720">
        <f t="shared" si="5"/>
        <v>8606</v>
      </c>
      <c r="Q192" s="718"/>
      <c r="R192" s="719">
        <v>89222</v>
      </c>
      <c r="S192" s="721">
        <v>1572</v>
      </c>
      <c r="T192" s="721">
        <f>90795-1</f>
        <v>90794</v>
      </c>
    </row>
    <row r="193" spans="1:20" x14ac:dyDescent="0.25">
      <c r="A193" s="715">
        <v>91831</v>
      </c>
      <c r="B193" s="716" t="s">
        <v>2729</v>
      </c>
      <c r="C193" s="717">
        <v>3.366E-4</v>
      </c>
      <c r="D193" s="717">
        <v>3.414E-4</v>
      </c>
      <c r="E193" s="718">
        <v>514232</v>
      </c>
      <c r="F193" s="718"/>
      <c r="G193" s="719">
        <v>29625</v>
      </c>
      <c r="H193" s="720">
        <v>124856</v>
      </c>
      <c r="I193" s="719">
        <v>73439</v>
      </c>
      <c r="J193" s="718">
        <v>7847</v>
      </c>
      <c r="K193" s="720">
        <f t="shared" si="4"/>
        <v>235767</v>
      </c>
      <c r="L193" s="718"/>
      <c r="M193" s="719">
        <v>14556</v>
      </c>
      <c r="N193" s="719">
        <v>0</v>
      </c>
      <c r="O193" s="718">
        <v>13475</v>
      </c>
      <c r="P193" s="720">
        <f t="shared" si="5"/>
        <v>28031</v>
      </c>
      <c r="Q193" s="718"/>
      <c r="R193" s="719">
        <v>173296</v>
      </c>
      <c r="S193" s="721">
        <v>520</v>
      </c>
      <c r="T193" s="721">
        <v>173816</v>
      </c>
    </row>
    <row r="194" spans="1:20" x14ac:dyDescent="0.25">
      <c r="A194" s="715">
        <v>91841</v>
      </c>
      <c r="B194" s="716" t="s">
        <v>2730</v>
      </c>
      <c r="C194" s="717">
        <v>2.5339999999999998E-4</v>
      </c>
      <c r="D194" s="717">
        <v>2.63E-4</v>
      </c>
      <c r="E194" s="718">
        <v>387125</v>
      </c>
      <c r="F194" s="718"/>
      <c r="G194" s="719">
        <v>22302</v>
      </c>
      <c r="H194" s="720">
        <v>93994</v>
      </c>
      <c r="I194" s="719">
        <v>55287</v>
      </c>
      <c r="J194" s="718">
        <v>1681</v>
      </c>
      <c r="K194" s="720">
        <f t="shared" si="4"/>
        <v>173264</v>
      </c>
      <c r="L194" s="718"/>
      <c r="M194" s="719">
        <v>10958</v>
      </c>
      <c r="N194" s="719">
        <v>0</v>
      </c>
      <c r="O194" s="718">
        <v>14711</v>
      </c>
      <c r="P194" s="720">
        <f t="shared" si="5"/>
        <v>25669</v>
      </c>
      <c r="Q194" s="718"/>
      <c r="R194" s="719">
        <v>130461</v>
      </c>
      <c r="S194" s="721">
        <v>-9727</v>
      </c>
      <c r="T194" s="721">
        <v>120734</v>
      </c>
    </row>
    <row r="195" spans="1:20" x14ac:dyDescent="0.25">
      <c r="A195" s="715">
        <v>91851</v>
      </c>
      <c r="B195" s="716" t="s">
        <v>2731</v>
      </c>
      <c r="C195" s="717">
        <v>7.4910000000000005E-4</v>
      </c>
      <c r="D195" s="717">
        <v>7.2059999999999995E-4</v>
      </c>
      <c r="E195" s="718">
        <v>1144417</v>
      </c>
      <c r="F195" s="718"/>
      <c r="G195" s="719">
        <v>65929</v>
      </c>
      <c r="H195" s="720">
        <v>277866</v>
      </c>
      <c r="I195" s="719">
        <v>163439</v>
      </c>
      <c r="J195" s="718">
        <v>9030</v>
      </c>
      <c r="K195" s="720">
        <f t="shared" si="4"/>
        <v>516264</v>
      </c>
      <c r="L195" s="718"/>
      <c r="M195" s="719">
        <v>32395</v>
      </c>
      <c r="N195" s="719">
        <v>0</v>
      </c>
      <c r="O195" s="718">
        <v>44287</v>
      </c>
      <c r="P195" s="720">
        <f t="shared" si="5"/>
        <v>76682</v>
      </c>
      <c r="Q195" s="718"/>
      <c r="R195" s="719">
        <v>385670</v>
      </c>
      <c r="S195" s="721">
        <v>-13424</v>
      </c>
      <c r="T195" s="721">
        <v>372246</v>
      </c>
    </row>
    <row r="196" spans="1:20" x14ac:dyDescent="0.25">
      <c r="A196" s="715">
        <v>91861</v>
      </c>
      <c r="B196" s="716" t="s">
        <v>2732</v>
      </c>
      <c r="C196" s="717">
        <v>1.9700000000000001E-5</v>
      </c>
      <c r="D196" s="717">
        <v>1.9899999999999999E-5</v>
      </c>
      <c r="E196" s="718">
        <v>30096</v>
      </c>
      <c r="F196" s="718"/>
      <c r="G196" s="719">
        <v>1734</v>
      </c>
      <c r="H196" s="720">
        <v>7308</v>
      </c>
      <c r="I196" s="719">
        <v>4298</v>
      </c>
      <c r="J196" s="718">
        <v>2050</v>
      </c>
      <c r="K196" s="720">
        <f t="shared" si="4"/>
        <v>15390</v>
      </c>
      <c r="L196" s="718"/>
      <c r="M196" s="719">
        <v>852</v>
      </c>
      <c r="N196" s="719">
        <v>0</v>
      </c>
      <c r="O196" s="718">
        <v>1061</v>
      </c>
      <c r="P196" s="720">
        <f t="shared" si="5"/>
        <v>1913</v>
      </c>
      <c r="Q196" s="718"/>
      <c r="R196" s="719">
        <v>10142</v>
      </c>
      <c r="S196" s="721">
        <v>692</v>
      </c>
      <c r="T196" s="721">
        <f>10835-1</f>
        <v>10834</v>
      </c>
    </row>
    <row r="197" spans="1:20" x14ac:dyDescent="0.25">
      <c r="A197" s="715">
        <v>91871</v>
      </c>
      <c r="B197" s="716" t="s">
        <v>2733</v>
      </c>
      <c r="C197" s="717">
        <v>1.3319E-3</v>
      </c>
      <c r="D197" s="717">
        <v>1.2712000000000001E-3</v>
      </c>
      <c r="E197" s="718">
        <v>2034774</v>
      </c>
      <c r="F197" s="718"/>
      <c r="G197" s="719">
        <v>117222</v>
      </c>
      <c r="H197" s="720">
        <v>494045</v>
      </c>
      <c r="I197" s="719">
        <v>290594</v>
      </c>
      <c r="J197" s="718">
        <v>22538</v>
      </c>
      <c r="K197" s="720">
        <f t="shared" si="4"/>
        <v>924399</v>
      </c>
      <c r="L197" s="718"/>
      <c r="M197" s="719">
        <v>57598</v>
      </c>
      <c r="N197" s="719">
        <v>0</v>
      </c>
      <c r="O197" s="718">
        <v>73797</v>
      </c>
      <c r="P197" s="720">
        <f t="shared" si="5"/>
        <v>131395</v>
      </c>
      <c r="Q197" s="718"/>
      <c r="R197" s="719">
        <v>685721</v>
      </c>
      <c r="S197" s="721">
        <v>-28802</v>
      </c>
      <c r="T197" s="721">
        <v>656919</v>
      </c>
    </row>
    <row r="198" spans="1:20" x14ac:dyDescent="0.25">
      <c r="A198" s="715">
        <v>91881</v>
      </c>
      <c r="B198" s="716" t="s">
        <v>2734</v>
      </c>
      <c r="C198" s="717">
        <v>9.3000000000000007E-6</v>
      </c>
      <c r="D198" s="717">
        <v>1.01E-5</v>
      </c>
      <c r="E198" s="718">
        <v>14208</v>
      </c>
      <c r="F198" s="718"/>
      <c r="G198" s="719">
        <v>819</v>
      </c>
      <c r="H198" s="720">
        <v>3450</v>
      </c>
      <c r="I198" s="719">
        <v>2029</v>
      </c>
      <c r="J198" s="718">
        <v>1155</v>
      </c>
      <c r="K198" s="720">
        <f t="shared" si="4"/>
        <v>7453</v>
      </c>
      <c r="L198" s="718"/>
      <c r="M198" s="719">
        <v>402</v>
      </c>
      <c r="N198" s="719">
        <v>0</v>
      </c>
      <c r="O198" s="718">
        <v>8809</v>
      </c>
      <c r="P198" s="720">
        <f t="shared" si="5"/>
        <v>9211</v>
      </c>
      <c r="Q198" s="718"/>
      <c r="R198" s="719">
        <v>4788</v>
      </c>
      <c r="S198" s="721">
        <v>-5615</v>
      </c>
      <c r="T198" s="721">
        <v>-827</v>
      </c>
    </row>
    <row r="199" spans="1:20" x14ac:dyDescent="0.25">
      <c r="A199" s="715">
        <v>91901</v>
      </c>
      <c r="B199" s="716" t="s">
        <v>2735</v>
      </c>
      <c r="C199" s="717">
        <v>3.6706999999999998E-3</v>
      </c>
      <c r="D199" s="717">
        <v>3.6564000000000002E-3</v>
      </c>
      <c r="E199" s="718">
        <v>5607813</v>
      </c>
      <c r="F199" s="718"/>
      <c r="G199" s="719">
        <v>323062</v>
      </c>
      <c r="H199" s="720">
        <v>1361584</v>
      </c>
      <c r="I199" s="719">
        <v>800873</v>
      </c>
      <c r="J199" s="718">
        <v>89719</v>
      </c>
      <c r="K199" s="720">
        <f t="shared" ref="K199:K262" si="6">G199+H199+I199+J199</f>
        <v>2575238</v>
      </c>
      <c r="L199" s="718"/>
      <c r="M199" s="719">
        <v>158739</v>
      </c>
      <c r="N199" s="719">
        <v>0</v>
      </c>
      <c r="O199" s="718">
        <v>16546</v>
      </c>
      <c r="P199" s="720">
        <f t="shared" ref="P199:P262" si="7">M199+N199+O199</f>
        <v>175285</v>
      </c>
      <c r="Q199" s="718"/>
      <c r="R199" s="719">
        <v>1889838</v>
      </c>
      <c r="S199" s="721">
        <v>53714</v>
      </c>
      <c r="T199" s="721">
        <v>1943552</v>
      </c>
    </row>
    <row r="200" spans="1:20" x14ac:dyDescent="0.25">
      <c r="A200" s="715">
        <v>91903</v>
      </c>
      <c r="B200" s="716" t="s">
        <v>2736</v>
      </c>
      <c r="C200" s="717">
        <v>8.6999999999999997E-6</v>
      </c>
      <c r="D200" s="717">
        <v>8.3999999999999992E-6</v>
      </c>
      <c r="E200" s="718">
        <v>13291</v>
      </c>
      <c r="F200" s="718"/>
      <c r="G200" s="719">
        <v>766</v>
      </c>
      <c r="H200" s="720">
        <v>3227</v>
      </c>
      <c r="I200" s="719">
        <v>1898</v>
      </c>
      <c r="J200" s="718">
        <v>2037</v>
      </c>
      <c r="K200" s="720">
        <f t="shared" si="6"/>
        <v>7928</v>
      </c>
      <c r="L200" s="718"/>
      <c r="M200" s="719">
        <v>376</v>
      </c>
      <c r="N200" s="719">
        <v>0</v>
      </c>
      <c r="O200" s="718">
        <v>3011</v>
      </c>
      <c r="P200" s="720">
        <f t="shared" si="7"/>
        <v>3387</v>
      </c>
      <c r="Q200" s="718"/>
      <c r="R200" s="719">
        <v>4479</v>
      </c>
      <c r="S200" s="721">
        <v>-2426</v>
      </c>
      <c r="T200" s="721">
        <v>2053</v>
      </c>
    </row>
    <row r="201" spans="1:20" x14ac:dyDescent="0.25">
      <c r="A201" s="715">
        <v>91904</v>
      </c>
      <c r="B201" s="716" t="s">
        <v>2737</v>
      </c>
      <c r="C201" s="717">
        <v>3.3399999999999999E-5</v>
      </c>
      <c r="D201" s="717">
        <v>2.3300000000000001E-5</v>
      </c>
      <c r="E201" s="718">
        <v>51026</v>
      </c>
      <c r="F201" s="718"/>
      <c r="G201" s="719">
        <v>2940</v>
      </c>
      <c r="H201" s="720">
        <v>12389</v>
      </c>
      <c r="I201" s="719">
        <v>7287</v>
      </c>
      <c r="J201" s="718">
        <v>11190</v>
      </c>
      <c r="K201" s="720">
        <f t="shared" si="6"/>
        <v>33806</v>
      </c>
      <c r="L201" s="718"/>
      <c r="M201" s="719">
        <v>1444</v>
      </c>
      <c r="N201" s="719">
        <v>0</v>
      </c>
      <c r="O201" s="718">
        <v>0</v>
      </c>
      <c r="P201" s="720">
        <f t="shared" si="7"/>
        <v>1444</v>
      </c>
      <c r="Q201" s="718"/>
      <c r="R201" s="719">
        <v>17196</v>
      </c>
      <c r="S201" s="721">
        <v>4334</v>
      </c>
      <c r="T201" s="721">
        <v>21530</v>
      </c>
    </row>
    <row r="202" spans="1:20" x14ac:dyDescent="0.25">
      <c r="A202" s="715">
        <v>91908</v>
      </c>
      <c r="B202" s="716" t="s">
        <v>2738</v>
      </c>
      <c r="C202" s="717">
        <v>1.6900000000000001E-5</v>
      </c>
      <c r="D202" s="717">
        <v>1.3699999999999999E-5</v>
      </c>
      <c r="E202" s="718">
        <v>25819</v>
      </c>
      <c r="F202" s="718"/>
      <c r="G202" s="719">
        <v>1487</v>
      </c>
      <c r="H202" s="720">
        <v>6269</v>
      </c>
      <c r="I202" s="719">
        <v>3687</v>
      </c>
      <c r="J202" s="718">
        <v>935</v>
      </c>
      <c r="K202" s="720">
        <f t="shared" si="6"/>
        <v>12378</v>
      </c>
      <c r="L202" s="718"/>
      <c r="M202" s="719">
        <v>731</v>
      </c>
      <c r="N202" s="719">
        <v>0</v>
      </c>
      <c r="O202" s="718">
        <v>2553</v>
      </c>
      <c r="P202" s="720">
        <f t="shared" si="7"/>
        <v>3284</v>
      </c>
      <c r="Q202" s="718"/>
      <c r="R202" s="719">
        <v>8701</v>
      </c>
      <c r="S202" s="721">
        <v>-56</v>
      </c>
      <c r="T202" s="721">
        <v>8645</v>
      </c>
    </row>
    <row r="203" spans="1:20" x14ac:dyDescent="0.25">
      <c r="A203" s="715">
        <v>91911</v>
      </c>
      <c r="B203" s="716" t="s">
        <v>2739</v>
      </c>
      <c r="C203" s="717">
        <v>4.5580000000000002E-4</v>
      </c>
      <c r="D203" s="717">
        <v>4.639E-4</v>
      </c>
      <c r="E203" s="718">
        <v>696336</v>
      </c>
      <c r="F203" s="718"/>
      <c r="G203" s="719">
        <v>40115</v>
      </c>
      <c r="H203" s="720">
        <v>169071</v>
      </c>
      <c r="I203" s="719">
        <v>99446</v>
      </c>
      <c r="J203" s="718">
        <v>13510</v>
      </c>
      <c r="K203" s="720">
        <f t="shared" si="6"/>
        <v>322142</v>
      </c>
      <c r="L203" s="718"/>
      <c r="M203" s="719">
        <v>19711</v>
      </c>
      <c r="N203" s="719">
        <v>0</v>
      </c>
      <c r="O203" s="718">
        <v>5011</v>
      </c>
      <c r="P203" s="720">
        <f t="shared" si="7"/>
        <v>24722</v>
      </c>
      <c r="Q203" s="718"/>
      <c r="R203" s="719">
        <v>234666</v>
      </c>
      <c r="S203" s="721">
        <v>598</v>
      </c>
      <c r="T203" s="721">
        <v>235264</v>
      </c>
    </row>
    <row r="204" spans="1:20" x14ac:dyDescent="0.25">
      <c r="A204" s="715">
        <v>91917</v>
      </c>
      <c r="B204" s="716" t="s">
        <v>2740</v>
      </c>
      <c r="C204" s="717">
        <v>1.22E-5</v>
      </c>
      <c r="D204" s="717">
        <v>1.36E-5</v>
      </c>
      <c r="E204" s="718">
        <v>18638</v>
      </c>
      <c r="F204" s="718"/>
      <c r="G204" s="719">
        <v>1074</v>
      </c>
      <c r="H204" s="720">
        <v>4526</v>
      </c>
      <c r="I204" s="719">
        <v>2662</v>
      </c>
      <c r="J204" s="718">
        <v>527</v>
      </c>
      <c r="K204" s="720">
        <f t="shared" si="6"/>
        <v>8789</v>
      </c>
      <c r="L204" s="718"/>
      <c r="M204" s="719">
        <v>528</v>
      </c>
      <c r="N204" s="719">
        <v>0</v>
      </c>
      <c r="O204" s="718">
        <v>310</v>
      </c>
      <c r="P204" s="720">
        <f t="shared" si="7"/>
        <v>838</v>
      </c>
      <c r="Q204" s="718"/>
      <c r="R204" s="719">
        <v>6281</v>
      </c>
      <c r="S204" s="721">
        <v>126</v>
      </c>
      <c r="T204" s="721">
        <v>6407</v>
      </c>
    </row>
    <row r="205" spans="1:20" x14ac:dyDescent="0.25">
      <c r="A205" s="715">
        <v>91921</v>
      </c>
      <c r="B205" s="716" t="s">
        <v>2741</v>
      </c>
      <c r="C205" s="717">
        <v>3.769E-4</v>
      </c>
      <c r="D205" s="717">
        <v>3.6600000000000001E-4</v>
      </c>
      <c r="E205" s="718">
        <v>575799</v>
      </c>
      <c r="F205" s="718"/>
      <c r="G205" s="719">
        <v>33171</v>
      </c>
      <c r="H205" s="720">
        <v>139804</v>
      </c>
      <c r="I205" s="719">
        <v>82232</v>
      </c>
      <c r="J205" s="718">
        <v>0</v>
      </c>
      <c r="K205" s="720">
        <f t="shared" si="6"/>
        <v>255207</v>
      </c>
      <c r="L205" s="718"/>
      <c r="M205" s="719">
        <v>16299</v>
      </c>
      <c r="N205" s="719">
        <v>0</v>
      </c>
      <c r="O205" s="718">
        <v>10651</v>
      </c>
      <c r="P205" s="720">
        <f t="shared" si="7"/>
        <v>26950</v>
      </c>
      <c r="Q205" s="718"/>
      <c r="R205" s="719">
        <v>194045</v>
      </c>
      <c r="S205" s="721">
        <v>-5316</v>
      </c>
      <c r="T205" s="721">
        <v>188729</v>
      </c>
    </row>
    <row r="206" spans="1:20" x14ac:dyDescent="0.25">
      <c r="A206" s="715">
        <v>92001</v>
      </c>
      <c r="B206" s="716" t="s">
        <v>2742</v>
      </c>
      <c r="C206" s="717">
        <v>1.8143E-3</v>
      </c>
      <c r="D206" s="717">
        <v>1.9604000000000002E-3</v>
      </c>
      <c r="E206" s="718">
        <v>2771748</v>
      </c>
      <c r="F206" s="718"/>
      <c r="G206" s="719">
        <v>159678</v>
      </c>
      <c r="H206" s="720">
        <v>672984</v>
      </c>
      <c r="I206" s="719">
        <v>395844</v>
      </c>
      <c r="J206" s="718">
        <v>48219</v>
      </c>
      <c r="K206" s="720">
        <f t="shared" si="6"/>
        <v>1276725</v>
      </c>
      <c r="L206" s="718"/>
      <c r="M206" s="719">
        <v>78459</v>
      </c>
      <c r="N206" s="719">
        <v>0</v>
      </c>
      <c r="O206" s="718">
        <v>157894</v>
      </c>
      <c r="P206" s="720">
        <f t="shared" si="7"/>
        <v>236353</v>
      </c>
      <c r="Q206" s="718"/>
      <c r="R206" s="719">
        <v>934081</v>
      </c>
      <c r="S206" s="721">
        <v>-42009</v>
      </c>
      <c r="T206" s="721">
        <f>892073-1</f>
        <v>892072</v>
      </c>
    </row>
    <row r="207" spans="1:20" x14ac:dyDescent="0.25">
      <c r="A207" s="715">
        <v>92005</v>
      </c>
      <c r="B207" s="716" t="s">
        <v>2743</v>
      </c>
      <c r="C207" s="717">
        <v>4.1399999999999997E-5</v>
      </c>
      <c r="D207" s="717">
        <v>4.6499999999999999E-5</v>
      </c>
      <c r="E207" s="718">
        <v>63248</v>
      </c>
      <c r="F207" s="718"/>
      <c r="G207" s="719">
        <v>3644</v>
      </c>
      <c r="H207" s="720">
        <v>15356</v>
      </c>
      <c r="I207" s="719">
        <v>9033</v>
      </c>
      <c r="J207" s="718">
        <v>1741</v>
      </c>
      <c r="K207" s="720">
        <f t="shared" si="6"/>
        <v>29774</v>
      </c>
      <c r="L207" s="718"/>
      <c r="M207" s="719">
        <v>1790</v>
      </c>
      <c r="N207" s="719">
        <v>0</v>
      </c>
      <c r="O207" s="718">
        <v>2252</v>
      </c>
      <c r="P207" s="720">
        <f t="shared" si="7"/>
        <v>4042</v>
      </c>
      <c r="Q207" s="718"/>
      <c r="R207" s="719">
        <v>21315</v>
      </c>
      <c r="S207" s="721">
        <v>208</v>
      </c>
      <c r="T207" s="721">
        <f>21522+1</f>
        <v>21523</v>
      </c>
    </row>
    <row r="208" spans="1:20" x14ac:dyDescent="0.25">
      <c r="A208" s="715">
        <v>92011</v>
      </c>
      <c r="B208" s="716" t="s">
        <v>2744</v>
      </c>
      <c r="C208" s="717">
        <v>2.0049999999999999E-4</v>
      </c>
      <c r="D208" s="717">
        <v>1.8660000000000001E-4</v>
      </c>
      <c r="E208" s="718">
        <v>306308</v>
      </c>
      <c r="F208" s="718"/>
      <c r="G208" s="719">
        <v>17646</v>
      </c>
      <c r="H208" s="720">
        <v>74372</v>
      </c>
      <c r="I208" s="719">
        <v>43745</v>
      </c>
      <c r="J208" s="718">
        <v>17614</v>
      </c>
      <c r="K208" s="720">
        <f t="shared" si="6"/>
        <v>153377</v>
      </c>
      <c r="L208" s="718"/>
      <c r="M208" s="719">
        <v>8671</v>
      </c>
      <c r="N208" s="719">
        <v>0</v>
      </c>
      <c r="O208" s="718">
        <v>0</v>
      </c>
      <c r="P208" s="720">
        <f t="shared" si="7"/>
        <v>8671</v>
      </c>
      <c r="Q208" s="718"/>
      <c r="R208" s="719">
        <v>103226</v>
      </c>
      <c r="S208" s="721">
        <v>9780</v>
      </c>
      <c r="T208" s="721">
        <v>113006</v>
      </c>
    </row>
    <row r="209" spans="1:20" x14ac:dyDescent="0.25">
      <c r="A209" s="715">
        <v>92017</v>
      </c>
      <c r="B209" s="716" t="s">
        <v>2745</v>
      </c>
      <c r="C209" s="717">
        <v>3.4199999999999998E-5</v>
      </c>
      <c r="D209" s="717">
        <v>3.5099999999999999E-5</v>
      </c>
      <c r="E209" s="718">
        <v>52248</v>
      </c>
      <c r="F209" s="718"/>
      <c r="G209" s="719">
        <v>3010</v>
      </c>
      <c r="H209" s="720">
        <v>12686</v>
      </c>
      <c r="I209" s="719">
        <v>7462</v>
      </c>
      <c r="J209" s="718">
        <v>639</v>
      </c>
      <c r="K209" s="720">
        <f t="shared" si="6"/>
        <v>23797</v>
      </c>
      <c r="L209" s="718"/>
      <c r="M209" s="719">
        <v>1479</v>
      </c>
      <c r="N209" s="719">
        <v>0</v>
      </c>
      <c r="O209" s="718">
        <v>1257</v>
      </c>
      <c r="P209" s="720">
        <f t="shared" si="7"/>
        <v>2736</v>
      </c>
      <c r="Q209" s="718"/>
      <c r="R209" s="719">
        <v>17608</v>
      </c>
      <c r="S209" s="721">
        <v>-668</v>
      </c>
      <c r="T209" s="721">
        <f>16939+1</f>
        <v>16940</v>
      </c>
    </row>
    <row r="210" spans="1:20" x14ac:dyDescent="0.25">
      <c r="A210" s="715">
        <v>92021</v>
      </c>
      <c r="B210" s="716" t="s">
        <v>2746</v>
      </c>
      <c r="C210" s="717">
        <v>1.5779999999999999E-4</v>
      </c>
      <c r="D210" s="717">
        <v>1.4249999999999999E-4</v>
      </c>
      <c r="E210" s="718">
        <v>241075</v>
      </c>
      <c r="F210" s="718"/>
      <c r="G210" s="719">
        <v>13888</v>
      </c>
      <c r="H210" s="720">
        <v>58533</v>
      </c>
      <c r="I210" s="719">
        <v>34429</v>
      </c>
      <c r="J210" s="718">
        <v>30504</v>
      </c>
      <c r="K210" s="720">
        <f t="shared" si="6"/>
        <v>137354</v>
      </c>
      <c r="L210" s="718"/>
      <c r="M210" s="719">
        <v>6824</v>
      </c>
      <c r="N210" s="719">
        <v>0</v>
      </c>
      <c r="O210" s="718">
        <v>11142</v>
      </c>
      <c r="P210" s="720">
        <f t="shared" si="7"/>
        <v>17966</v>
      </c>
      <c r="Q210" s="718"/>
      <c r="R210" s="719">
        <v>81242</v>
      </c>
      <c r="S210" s="721">
        <v>1771</v>
      </c>
      <c r="T210" s="721">
        <f>83014-1</f>
        <v>83013</v>
      </c>
    </row>
    <row r="211" spans="1:20" x14ac:dyDescent="0.25">
      <c r="A211" s="715">
        <v>92101</v>
      </c>
      <c r="B211" s="716" t="s">
        <v>2747</v>
      </c>
      <c r="C211" s="717">
        <v>8.5209999999999995E-4</v>
      </c>
      <c r="D211" s="717">
        <v>8.6870000000000003E-4</v>
      </c>
      <c r="E211" s="718">
        <v>1301773</v>
      </c>
      <c r="F211" s="718"/>
      <c r="G211" s="719">
        <v>74994</v>
      </c>
      <c r="H211" s="720">
        <v>316072</v>
      </c>
      <c r="I211" s="719">
        <v>185911</v>
      </c>
      <c r="J211" s="718">
        <v>9505</v>
      </c>
      <c r="K211" s="720">
        <f t="shared" si="6"/>
        <v>586482</v>
      </c>
      <c r="L211" s="718"/>
      <c r="M211" s="719">
        <v>36849</v>
      </c>
      <c r="N211" s="719">
        <v>0</v>
      </c>
      <c r="O211" s="718">
        <v>63189</v>
      </c>
      <c r="P211" s="720">
        <f t="shared" si="7"/>
        <v>100038</v>
      </c>
      <c r="Q211" s="718"/>
      <c r="R211" s="719">
        <v>438699</v>
      </c>
      <c r="S211" s="721">
        <v>-10164</v>
      </c>
      <c r="T211" s="721">
        <v>428535</v>
      </c>
    </row>
    <row r="212" spans="1:20" x14ac:dyDescent="0.25">
      <c r="A212" s="715">
        <v>92104</v>
      </c>
      <c r="B212" s="716" t="s">
        <v>2748</v>
      </c>
      <c r="C212" s="717">
        <v>8.6000000000000007E-6</v>
      </c>
      <c r="D212" s="717">
        <v>8.8000000000000004E-6</v>
      </c>
      <c r="E212" s="718">
        <v>13138</v>
      </c>
      <c r="F212" s="718"/>
      <c r="G212" s="719">
        <v>757</v>
      </c>
      <c r="H212" s="720">
        <v>3190</v>
      </c>
      <c r="I212" s="719">
        <v>1876</v>
      </c>
      <c r="J212" s="718">
        <v>3377</v>
      </c>
      <c r="K212" s="720">
        <f t="shared" si="6"/>
        <v>9200</v>
      </c>
      <c r="L212" s="718"/>
      <c r="M212" s="719">
        <v>372</v>
      </c>
      <c r="N212" s="719">
        <v>0</v>
      </c>
      <c r="O212" s="718">
        <v>0</v>
      </c>
      <c r="P212" s="720">
        <f t="shared" si="7"/>
        <v>372</v>
      </c>
      <c r="Q212" s="718"/>
      <c r="R212" s="719">
        <v>4428</v>
      </c>
      <c r="S212" s="721">
        <v>1850</v>
      </c>
      <c r="T212" s="721">
        <f>6277+1</f>
        <v>6278</v>
      </c>
    </row>
    <row r="213" spans="1:20" x14ac:dyDescent="0.25">
      <c r="A213" s="715">
        <v>92109</v>
      </c>
      <c r="B213" s="716" t="s">
        <v>2749</v>
      </c>
      <c r="C213" s="717">
        <v>1.8809999999999999E-4</v>
      </c>
      <c r="D213" s="717">
        <v>1.7909999999999999E-4</v>
      </c>
      <c r="E213" s="718">
        <v>287365</v>
      </c>
      <c r="F213" s="718"/>
      <c r="G213" s="719">
        <v>16555</v>
      </c>
      <c r="H213" s="720">
        <v>69773</v>
      </c>
      <c r="I213" s="719">
        <v>41040</v>
      </c>
      <c r="J213" s="718">
        <v>2067</v>
      </c>
      <c r="K213" s="720">
        <f t="shared" si="6"/>
        <v>129435</v>
      </c>
      <c r="L213" s="718"/>
      <c r="M213" s="719">
        <v>8134</v>
      </c>
      <c r="N213" s="719">
        <v>0</v>
      </c>
      <c r="O213" s="718">
        <v>12612</v>
      </c>
      <c r="P213" s="720">
        <f t="shared" si="7"/>
        <v>20746</v>
      </c>
      <c r="Q213" s="718"/>
      <c r="R213" s="719">
        <v>96842</v>
      </c>
      <c r="S213" s="721">
        <v>-5396</v>
      </c>
      <c r="T213" s="721">
        <v>91446</v>
      </c>
    </row>
    <row r="214" spans="1:20" x14ac:dyDescent="0.25">
      <c r="A214" s="715">
        <v>92111</v>
      </c>
      <c r="B214" s="716" t="s">
        <v>2750</v>
      </c>
      <c r="C214" s="717">
        <v>5.0460000000000001E-4</v>
      </c>
      <c r="D214" s="717">
        <v>5.0009999999999996E-4</v>
      </c>
      <c r="E214" s="718">
        <v>770889</v>
      </c>
      <c r="F214" s="718"/>
      <c r="G214" s="719">
        <v>44410</v>
      </c>
      <c r="H214" s="720">
        <v>187173</v>
      </c>
      <c r="I214" s="719">
        <v>110094</v>
      </c>
      <c r="J214" s="718">
        <v>10602</v>
      </c>
      <c r="K214" s="720">
        <f t="shared" si="6"/>
        <v>352279</v>
      </c>
      <c r="L214" s="718"/>
      <c r="M214" s="719">
        <v>21821</v>
      </c>
      <c r="N214" s="719">
        <v>0</v>
      </c>
      <c r="O214" s="718">
        <v>13269</v>
      </c>
      <c r="P214" s="720">
        <f t="shared" si="7"/>
        <v>35090</v>
      </c>
      <c r="Q214" s="718"/>
      <c r="R214" s="719">
        <v>259790</v>
      </c>
      <c r="S214" s="721">
        <v>2449</v>
      </c>
      <c r="T214" s="721">
        <v>262239</v>
      </c>
    </row>
    <row r="215" spans="1:20" x14ac:dyDescent="0.25">
      <c r="A215" s="715">
        <v>92113</v>
      </c>
      <c r="B215" s="716" t="s">
        <v>2751</v>
      </c>
      <c r="C215" s="717">
        <v>1.4399999999999999E-5</v>
      </c>
      <c r="D215" s="717">
        <v>2.2099999999999998E-5</v>
      </c>
      <c r="E215" s="718">
        <v>21999</v>
      </c>
      <c r="F215" s="718"/>
      <c r="G215" s="719">
        <v>1267</v>
      </c>
      <c r="H215" s="720">
        <v>5342</v>
      </c>
      <c r="I215" s="719">
        <v>3142</v>
      </c>
      <c r="J215" s="718">
        <v>17604</v>
      </c>
      <c r="K215" s="720">
        <f t="shared" si="6"/>
        <v>27355</v>
      </c>
      <c r="L215" s="718"/>
      <c r="M215" s="719">
        <v>623</v>
      </c>
      <c r="N215" s="719">
        <v>0</v>
      </c>
      <c r="O215" s="718">
        <v>2179</v>
      </c>
      <c r="P215" s="720">
        <f t="shared" si="7"/>
        <v>2802</v>
      </c>
      <c r="Q215" s="718"/>
      <c r="R215" s="719">
        <v>7414</v>
      </c>
      <c r="S215" s="721">
        <v>7173</v>
      </c>
      <c r="T215" s="721">
        <v>14587</v>
      </c>
    </row>
    <row r="216" spans="1:20" x14ac:dyDescent="0.25">
      <c r="A216" s="715">
        <v>92201</v>
      </c>
      <c r="B216" s="716" t="s">
        <v>2752</v>
      </c>
      <c r="C216" s="717">
        <v>9.3389999999999999E-4</v>
      </c>
      <c r="D216" s="717">
        <v>1.0267E-3</v>
      </c>
      <c r="E216" s="718">
        <v>1426741</v>
      </c>
      <c r="F216" s="718"/>
      <c r="G216" s="719">
        <v>82193</v>
      </c>
      <c r="H216" s="720">
        <v>346414</v>
      </c>
      <c r="I216" s="719">
        <v>203758</v>
      </c>
      <c r="J216" s="718">
        <v>36804</v>
      </c>
      <c r="K216" s="720">
        <f t="shared" si="6"/>
        <v>669169</v>
      </c>
      <c r="L216" s="718"/>
      <c r="M216" s="719">
        <v>40387</v>
      </c>
      <c r="N216" s="719">
        <v>0</v>
      </c>
      <c r="O216" s="718">
        <v>43356</v>
      </c>
      <c r="P216" s="720">
        <f t="shared" si="7"/>
        <v>83743</v>
      </c>
      <c r="Q216" s="718"/>
      <c r="R216" s="719">
        <v>480813</v>
      </c>
      <c r="S216" s="721">
        <v>13056</v>
      </c>
      <c r="T216" s="721">
        <v>493869</v>
      </c>
    </row>
    <row r="217" spans="1:20" x14ac:dyDescent="0.25">
      <c r="A217" s="715">
        <v>92301</v>
      </c>
      <c r="B217" s="716" t="s">
        <v>2753</v>
      </c>
      <c r="C217" s="717">
        <v>5.2129999999999998E-3</v>
      </c>
      <c r="D217" s="717">
        <v>5.2411000000000003E-3</v>
      </c>
      <c r="E217" s="718">
        <v>7964020</v>
      </c>
      <c r="F217" s="718"/>
      <c r="G217" s="719">
        <v>458801</v>
      </c>
      <c r="H217" s="720">
        <v>1933674</v>
      </c>
      <c r="I217" s="719">
        <v>1137372</v>
      </c>
      <c r="J217" s="718">
        <v>53669</v>
      </c>
      <c r="K217" s="720">
        <f t="shared" si="6"/>
        <v>3583516</v>
      </c>
      <c r="L217" s="718"/>
      <c r="M217" s="719">
        <v>225436</v>
      </c>
      <c r="N217" s="719">
        <v>0</v>
      </c>
      <c r="O217" s="718">
        <v>40357</v>
      </c>
      <c r="P217" s="720">
        <f t="shared" si="7"/>
        <v>265793</v>
      </c>
      <c r="Q217" s="718"/>
      <c r="R217" s="719">
        <v>2683882</v>
      </c>
      <c r="S217" s="721">
        <v>7360</v>
      </c>
      <c r="T217" s="721">
        <v>2691242</v>
      </c>
    </row>
    <row r="218" spans="1:20" x14ac:dyDescent="0.25">
      <c r="A218" s="715">
        <v>92302</v>
      </c>
      <c r="B218" s="716" t="s">
        <v>3552</v>
      </c>
      <c r="C218" s="717">
        <v>2.9740000000000002E-4</v>
      </c>
      <c r="D218" s="717">
        <v>3.168E-4</v>
      </c>
      <c r="E218" s="718">
        <v>454345</v>
      </c>
      <c r="F218" s="718"/>
      <c r="G218" s="719">
        <v>26174</v>
      </c>
      <c r="H218" s="720">
        <v>110316</v>
      </c>
      <c r="I218" s="719">
        <v>64887</v>
      </c>
      <c r="J218" s="718">
        <v>0</v>
      </c>
      <c r="K218" s="720">
        <f t="shared" si="6"/>
        <v>201377</v>
      </c>
      <c r="L218" s="718"/>
      <c r="M218" s="719">
        <v>12861</v>
      </c>
      <c r="N218" s="719">
        <v>0</v>
      </c>
      <c r="O218" s="718">
        <v>28639</v>
      </c>
      <c r="P218" s="720">
        <f t="shared" si="7"/>
        <v>41500</v>
      </c>
      <c r="Q218" s="718"/>
      <c r="R218" s="719">
        <v>153115</v>
      </c>
      <c r="S218" s="721">
        <v>-9739</v>
      </c>
      <c r="T218" s="721">
        <v>143376</v>
      </c>
    </row>
    <row r="219" spans="1:20" x14ac:dyDescent="0.25">
      <c r="A219" s="715">
        <v>92311</v>
      </c>
      <c r="B219" s="716" t="s">
        <v>2755</v>
      </c>
      <c r="C219" s="717">
        <v>2.2504999999999999E-3</v>
      </c>
      <c r="D219" s="717">
        <v>2.1857000000000001E-3</v>
      </c>
      <c r="E219" s="718">
        <v>3438141</v>
      </c>
      <c r="F219" s="718"/>
      <c r="G219" s="719">
        <v>198069</v>
      </c>
      <c r="H219" s="720">
        <v>834785</v>
      </c>
      <c r="I219" s="719">
        <v>491014</v>
      </c>
      <c r="J219" s="718">
        <v>8358</v>
      </c>
      <c r="K219" s="720">
        <f t="shared" si="6"/>
        <v>1532226</v>
      </c>
      <c r="L219" s="718"/>
      <c r="M219" s="719">
        <v>97323</v>
      </c>
      <c r="N219" s="719">
        <v>0</v>
      </c>
      <c r="O219" s="718">
        <v>54246</v>
      </c>
      <c r="P219" s="720">
        <f t="shared" si="7"/>
        <v>151569</v>
      </c>
      <c r="Q219" s="718"/>
      <c r="R219" s="719">
        <v>1158656</v>
      </c>
      <c r="S219" s="721">
        <v>-36529</v>
      </c>
      <c r="T219" s="721">
        <v>1122127</v>
      </c>
    </row>
    <row r="220" spans="1:20" x14ac:dyDescent="0.25">
      <c r="A220" s="715">
        <v>92317</v>
      </c>
      <c r="B220" s="716" t="s">
        <v>2756</v>
      </c>
      <c r="C220" s="717">
        <v>2.94E-5</v>
      </c>
      <c r="D220" s="717">
        <v>2.9600000000000001E-5</v>
      </c>
      <c r="E220" s="718">
        <v>44915</v>
      </c>
      <c r="F220" s="718"/>
      <c r="G220" s="719">
        <v>2588</v>
      </c>
      <c r="H220" s="720">
        <v>10905</v>
      </c>
      <c r="I220" s="719">
        <v>6414</v>
      </c>
      <c r="J220" s="718">
        <v>15615</v>
      </c>
      <c r="K220" s="720">
        <f t="shared" si="6"/>
        <v>35522</v>
      </c>
      <c r="L220" s="718"/>
      <c r="M220" s="719">
        <v>1271</v>
      </c>
      <c r="N220" s="719">
        <v>0</v>
      </c>
      <c r="O220" s="718">
        <v>0</v>
      </c>
      <c r="P220" s="720">
        <f t="shared" si="7"/>
        <v>1271</v>
      </c>
      <c r="Q220" s="718"/>
      <c r="R220" s="719">
        <v>15136</v>
      </c>
      <c r="S220" s="721">
        <v>6218</v>
      </c>
      <c r="T220" s="721">
        <v>21354</v>
      </c>
    </row>
    <row r="221" spans="1:20" x14ac:dyDescent="0.25">
      <c r="A221" s="715">
        <v>92321</v>
      </c>
      <c r="B221" s="716" t="s">
        <v>2757</v>
      </c>
      <c r="C221" s="717">
        <v>1.1773E-3</v>
      </c>
      <c r="D221" s="717">
        <v>1.2218999999999999E-3</v>
      </c>
      <c r="E221" s="718">
        <v>1798588</v>
      </c>
      <c r="F221" s="718"/>
      <c r="G221" s="719">
        <v>103615</v>
      </c>
      <c r="H221" s="720">
        <v>436700</v>
      </c>
      <c r="I221" s="719">
        <v>256863</v>
      </c>
      <c r="J221" s="718">
        <v>35464</v>
      </c>
      <c r="K221" s="720">
        <f t="shared" si="6"/>
        <v>832642</v>
      </c>
      <c r="L221" s="718"/>
      <c r="M221" s="719">
        <v>50912</v>
      </c>
      <c r="N221" s="719">
        <v>0</v>
      </c>
      <c r="O221" s="718">
        <v>20669</v>
      </c>
      <c r="P221" s="720">
        <f t="shared" si="7"/>
        <v>71581</v>
      </c>
      <c r="Q221" s="718"/>
      <c r="R221" s="719">
        <v>606126</v>
      </c>
      <c r="S221" s="721">
        <v>20498</v>
      </c>
      <c r="T221" s="721">
        <v>626624</v>
      </c>
    </row>
    <row r="222" spans="1:20" x14ac:dyDescent="0.25">
      <c r="A222" s="715">
        <v>92327</v>
      </c>
      <c r="B222" s="716" t="s">
        <v>2758</v>
      </c>
      <c r="C222" s="717">
        <v>5.6999999999999996E-6</v>
      </c>
      <c r="D222" s="717">
        <v>7.6000000000000001E-6</v>
      </c>
      <c r="E222" s="718">
        <v>8708</v>
      </c>
      <c r="F222" s="718"/>
      <c r="G222" s="719">
        <v>502</v>
      </c>
      <c r="H222" s="720">
        <v>2115</v>
      </c>
      <c r="I222" s="719">
        <v>1244</v>
      </c>
      <c r="J222" s="718">
        <v>2932</v>
      </c>
      <c r="K222" s="720">
        <f t="shared" si="6"/>
        <v>6793</v>
      </c>
      <c r="L222" s="718"/>
      <c r="M222" s="719">
        <v>246</v>
      </c>
      <c r="N222" s="719">
        <v>0</v>
      </c>
      <c r="O222" s="718">
        <v>0</v>
      </c>
      <c r="P222" s="720">
        <f t="shared" si="7"/>
        <v>246</v>
      </c>
      <c r="Q222" s="718"/>
      <c r="R222" s="719">
        <v>2935</v>
      </c>
      <c r="S222" s="721">
        <v>1142</v>
      </c>
      <c r="T222" s="721">
        <v>4077</v>
      </c>
    </row>
    <row r="223" spans="1:20" x14ac:dyDescent="0.25">
      <c r="A223" s="715">
        <v>92331</v>
      </c>
      <c r="B223" s="716" t="s">
        <v>2759</v>
      </c>
      <c r="C223" s="717">
        <v>1.3970000000000001E-4</v>
      </c>
      <c r="D223" s="717">
        <v>1.393E-4</v>
      </c>
      <c r="E223" s="718">
        <v>213423</v>
      </c>
      <c r="F223" s="718"/>
      <c r="G223" s="719">
        <v>12295</v>
      </c>
      <c r="H223" s="720">
        <v>51819</v>
      </c>
      <c r="I223" s="719">
        <v>30480</v>
      </c>
      <c r="J223" s="718">
        <v>2070</v>
      </c>
      <c r="K223" s="720">
        <f t="shared" si="6"/>
        <v>96664</v>
      </c>
      <c r="L223" s="718"/>
      <c r="M223" s="719">
        <v>6041</v>
      </c>
      <c r="N223" s="719">
        <v>0</v>
      </c>
      <c r="O223" s="718">
        <v>7559</v>
      </c>
      <c r="P223" s="720">
        <f t="shared" si="7"/>
        <v>13600</v>
      </c>
      <c r="Q223" s="718"/>
      <c r="R223" s="719">
        <v>71924</v>
      </c>
      <c r="S223" s="721">
        <v>-755</v>
      </c>
      <c r="T223" s="721">
        <v>71169</v>
      </c>
    </row>
    <row r="224" spans="1:20" x14ac:dyDescent="0.25">
      <c r="A224" s="715">
        <v>92341</v>
      </c>
      <c r="B224" s="716" t="s">
        <v>2760</v>
      </c>
      <c r="C224" s="717">
        <v>9.7999999999999993E-6</v>
      </c>
      <c r="D224" s="717">
        <v>7.9000000000000006E-6</v>
      </c>
      <c r="E224" s="718">
        <v>14972</v>
      </c>
      <c r="F224" s="718"/>
      <c r="G224" s="719">
        <v>863</v>
      </c>
      <c r="H224" s="720">
        <v>3635</v>
      </c>
      <c r="I224" s="719">
        <v>2138</v>
      </c>
      <c r="J224" s="718">
        <v>523</v>
      </c>
      <c r="K224" s="720">
        <f t="shared" si="6"/>
        <v>7159</v>
      </c>
      <c r="L224" s="718"/>
      <c r="M224" s="719">
        <v>424</v>
      </c>
      <c r="N224" s="719">
        <v>0</v>
      </c>
      <c r="O224" s="718">
        <v>1977</v>
      </c>
      <c r="P224" s="720">
        <f t="shared" si="7"/>
        <v>2401</v>
      </c>
      <c r="Q224" s="718"/>
      <c r="R224" s="719">
        <v>5045</v>
      </c>
      <c r="S224" s="721">
        <v>-859</v>
      </c>
      <c r="T224" s="721">
        <f>4187-1</f>
        <v>4186</v>
      </c>
    </row>
    <row r="225" spans="1:20" x14ac:dyDescent="0.25">
      <c r="A225" s="715">
        <v>92351</v>
      </c>
      <c r="B225" s="716" t="s">
        <v>2761</v>
      </c>
      <c r="C225" s="717">
        <v>1.8600000000000001E-5</v>
      </c>
      <c r="D225" s="717">
        <v>1.95E-5</v>
      </c>
      <c r="E225" s="718">
        <v>28416</v>
      </c>
      <c r="F225" s="718"/>
      <c r="G225" s="719">
        <v>1637</v>
      </c>
      <c r="H225" s="720">
        <v>6899</v>
      </c>
      <c r="I225" s="719">
        <v>4058</v>
      </c>
      <c r="J225" s="718">
        <v>746</v>
      </c>
      <c r="K225" s="720">
        <f t="shared" si="6"/>
        <v>13340</v>
      </c>
      <c r="L225" s="718"/>
      <c r="M225" s="719">
        <v>804</v>
      </c>
      <c r="N225" s="719">
        <v>0</v>
      </c>
      <c r="O225" s="718">
        <v>4166</v>
      </c>
      <c r="P225" s="720">
        <f t="shared" si="7"/>
        <v>4970</v>
      </c>
      <c r="Q225" s="718"/>
      <c r="R225" s="719">
        <v>9576</v>
      </c>
      <c r="S225" s="721">
        <v>-1010</v>
      </c>
      <c r="T225" s="721">
        <f>8567-1</f>
        <v>8566</v>
      </c>
    </row>
    <row r="226" spans="1:20" x14ac:dyDescent="0.25">
      <c r="A226" s="715">
        <v>92401</v>
      </c>
      <c r="B226" s="716" t="s">
        <v>2762</v>
      </c>
      <c r="C226" s="717">
        <v>2.6890999999999998E-3</v>
      </c>
      <c r="D226" s="717">
        <v>2.7449000000000002E-3</v>
      </c>
      <c r="E226" s="718">
        <v>4108200</v>
      </c>
      <c r="F226" s="718"/>
      <c r="G226" s="719">
        <v>236670</v>
      </c>
      <c r="H226" s="720">
        <v>997476</v>
      </c>
      <c r="I226" s="719">
        <v>586708</v>
      </c>
      <c r="J226" s="718">
        <v>34938</v>
      </c>
      <c r="K226" s="720">
        <f t="shared" si="6"/>
        <v>1855792</v>
      </c>
      <c r="L226" s="718"/>
      <c r="M226" s="719">
        <v>116290</v>
      </c>
      <c r="N226" s="719">
        <v>0</v>
      </c>
      <c r="O226" s="718">
        <v>3448</v>
      </c>
      <c r="P226" s="720">
        <f t="shared" si="7"/>
        <v>119738</v>
      </c>
      <c r="Q226" s="718"/>
      <c r="R226" s="719">
        <v>1384467</v>
      </c>
      <c r="S226" s="721">
        <v>19009</v>
      </c>
      <c r="T226" s="721">
        <v>1403476</v>
      </c>
    </row>
    <row r="227" spans="1:20" x14ac:dyDescent="0.25">
      <c r="A227" s="715">
        <v>92403</v>
      </c>
      <c r="B227" s="716" t="s">
        <v>2763</v>
      </c>
      <c r="C227" s="717">
        <v>1.11E-5</v>
      </c>
      <c r="D227" s="717">
        <v>9.7999999999999993E-6</v>
      </c>
      <c r="E227" s="718">
        <v>16958</v>
      </c>
      <c r="F227" s="718"/>
      <c r="G227" s="719">
        <v>977</v>
      </c>
      <c r="H227" s="720">
        <v>4117</v>
      </c>
      <c r="I227" s="719">
        <v>2422</v>
      </c>
      <c r="J227" s="718">
        <v>1858</v>
      </c>
      <c r="K227" s="720">
        <f t="shared" si="6"/>
        <v>9374</v>
      </c>
      <c r="L227" s="718"/>
      <c r="M227" s="719">
        <v>480</v>
      </c>
      <c r="N227" s="719">
        <v>0</v>
      </c>
      <c r="O227" s="718">
        <v>1307</v>
      </c>
      <c r="P227" s="720">
        <f t="shared" si="7"/>
        <v>1787</v>
      </c>
      <c r="Q227" s="718"/>
      <c r="R227" s="719">
        <v>5715</v>
      </c>
      <c r="S227" s="721">
        <v>135</v>
      </c>
      <c r="T227" s="721">
        <f>5849+1</f>
        <v>5850</v>
      </c>
    </row>
    <row r="228" spans="1:20" x14ac:dyDescent="0.25">
      <c r="A228" s="715">
        <v>92411</v>
      </c>
      <c r="B228" s="716" t="s">
        <v>2764</v>
      </c>
      <c r="C228" s="717">
        <v>5.0469999999999996E-4</v>
      </c>
      <c r="D228" s="717">
        <v>4.8030000000000002E-4</v>
      </c>
      <c r="E228" s="718">
        <v>771042</v>
      </c>
      <c r="F228" s="718"/>
      <c r="G228" s="719">
        <v>44419</v>
      </c>
      <c r="H228" s="720">
        <v>187210</v>
      </c>
      <c r="I228" s="719">
        <v>110115</v>
      </c>
      <c r="J228" s="718">
        <v>369</v>
      </c>
      <c r="K228" s="720">
        <f t="shared" si="6"/>
        <v>342113</v>
      </c>
      <c r="L228" s="718"/>
      <c r="M228" s="719">
        <v>21826</v>
      </c>
      <c r="N228" s="719">
        <v>0</v>
      </c>
      <c r="O228" s="718">
        <v>44165</v>
      </c>
      <c r="P228" s="720">
        <f t="shared" si="7"/>
        <v>65991</v>
      </c>
      <c r="Q228" s="718"/>
      <c r="R228" s="719">
        <v>259842</v>
      </c>
      <c r="S228" s="721">
        <v>-17900</v>
      </c>
      <c r="T228" s="721">
        <v>241942</v>
      </c>
    </row>
    <row r="229" spans="1:20" x14ac:dyDescent="0.25">
      <c r="A229" s="715">
        <v>92414</v>
      </c>
      <c r="B229" s="716" t="s">
        <v>1364</v>
      </c>
      <c r="C229" s="717">
        <v>0</v>
      </c>
      <c r="D229" s="717">
        <v>0</v>
      </c>
      <c r="E229" s="718">
        <v>0</v>
      </c>
      <c r="F229" s="718"/>
      <c r="G229" s="719">
        <v>0</v>
      </c>
      <c r="H229" s="720">
        <v>0</v>
      </c>
      <c r="I229" s="719">
        <v>0</v>
      </c>
      <c r="J229" s="718">
        <v>0</v>
      </c>
      <c r="K229" s="720">
        <f t="shared" si="6"/>
        <v>0</v>
      </c>
      <c r="L229" s="718"/>
      <c r="M229" s="719">
        <v>0</v>
      </c>
      <c r="N229" s="719">
        <v>0</v>
      </c>
      <c r="O229" s="718">
        <v>5712</v>
      </c>
      <c r="P229" s="720">
        <f t="shared" si="7"/>
        <v>5712</v>
      </c>
      <c r="Q229" s="718"/>
      <c r="R229" s="719">
        <v>0</v>
      </c>
      <c r="S229" s="721">
        <v>-2445</v>
      </c>
      <c r="T229" s="721">
        <v>-2445</v>
      </c>
    </row>
    <row r="230" spans="1:20" x14ac:dyDescent="0.25">
      <c r="A230" s="715">
        <v>92417</v>
      </c>
      <c r="B230" s="716" t="s">
        <v>2765</v>
      </c>
      <c r="C230" s="717">
        <v>1.8300000000000001E-5</v>
      </c>
      <c r="D230" s="717">
        <v>1.77E-5</v>
      </c>
      <c r="E230" s="718">
        <v>27957</v>
      </c>
      <c r="F230" s="718"/>
      <c r="G230" s="719">
        <v>1611</v>
      </c>
      <c r="H230" s="720">
        <v>6788</v>
      </c>
      <c r="I230" s="719">
        <v>3993</v>
      </c>
      <c r="J230" s="718">
        <v>0</v>
      </c>
      <c r="K230" s="720">
        <f t="shared" si="6"/>
        <v>12392</v>
      </c>
      <c r="L230" s="718"/>
      <c r="M230" s="719">
        <v>791</v>
      </c>
      <c r="N230" s="719">
        <v>0</v>
      </c>
      <c r="O230" s="718">
        <v>2726</v>
      </c>
      <c r="P230" s="720">
        <f t="shared" si="7"/>
        <v>3517</v>
      </c>
      <c r="Q230" s="718"/>
      <c r="R230" s="719">
        <v>9422</v>
      </c>
      <c r="S230" s="721">
        <v>-895</v>
      </c>
      <c r="T230" s="721">
        <v>8527</v>
      </c>
    </row>
    <row r="231" spans="1:20" x14ac:dyDescent="0.25">
      <c r="A231" s="715">
        <v>92421</v>
      </c>
      <c r="B231" s="716" t="s">
        <v>2766</v>
      </c>
      <c r="C231" s="717">
        <v>8.8000000000000004E-6</v>
      </c>
      <c r="D231" s="717">
        <v>9.0000000000000002E-6</v>
      </c>
      <c r="E231" s="718">
        <v>13444</v>
      </c>
      <c r="F231" s="718"/>
      <c r="G231" s="719">
        <v>774</v>
      </c>
      <c r="H231" s="720">
        <v>3264</v>
      </c>
      <c r="I231" s="719">
        <v>1920</v>
      </c>
      <c r="J231" s="718">
        <v>3546</v>
      </c>
      <c r="K231" s="720">
        <f t="shared" si="6"/>
        <v>9504</v>
      </c>
      <c r="L231" s="718"/>
      <c r="M231" s="719">
        <v>381</v>
      </c>
      <c r="N231" s="719">
        <v>0</v>
      </c>
      <c r="O231" s="718">
        <v>1149</v>
      </c>
      <c r="P231" s="720">
        <f t="shared" si="7"/>
        <v>1530</v>
      </c>
      <c r="Q231" s="718"/>
      <c r="R231" s="719">
        <v>4531</v>
      </c>
      <c r="S231" s="721">
        <v>935</v>
      </c>
      <c r="T231" s="721">
        <v>5466</v>
      </c>
    </row>
    <row r="232" spans="1:20" x14ac:dyDescent="0.25">
      <c r="A232" s="715">
        <v>92427</v>
      </c>
      <c r="B232" s="716" t="s">
        <v>2767</v>
      </c>
      <c r="C232" s="717">
        <v>3.9999999999999998E-7</v>
      </c>
      <c r="D232" s="717">
        <v>6.9999999999999997E-7</v>
      </c>
      <c r="E232" s="718">
        <v>611</v>
      </c>
      <c r="F232" s="718"/>
      <c r="G232" s="719">
        <v>35</v>
      </c>
      <c r="H232" s="720">
        <v>148</v>
      </c>
      <c r="I232" s="719">
        <v>87</v>
      </c>
      <c r="J232" s="718">
        <v>1998</v>
      </c>
      <c r="K232" s="720">
        <f t="shared" si="6"/>
        <v>2268</v>
      </c>
      <c r="L232" s="718"/>
      <c r="M232" s="719">
        <v>17</v>
      </c>
      <c r="N232" s="719">
        <v>0</v>
      </c>
      <c r="O232" s="718">
        <v>0</v>
      </c>
      <c r="P232" s="720">
        <f t="shared" si="7"/>
        <v>17</v>
      </c>
      <c r="Q232" s="718"/>
      <c r="R232" s="719">
        <v>206</v>
      </c>
      <c r="S232" s="721">
        <v>841</v>
      </c>
      <c r="T232" s="721">
        <v>1047</v>
      </c>
    </row>
    <row r="233" spans="1:20" x14ac:dyDescent="0.25">
      <c r="A233" s="715">
        <v>92431</v>
      </c>
      <c r="B233" s="716" t="s">
        <v>2768</v>
      </c>
      <c r="C233" s="717">
        <v>3.0800000000000003E-5</v>
      </c>
      <c r="D233" s="717">
        <v>1.8499999999999999E-5</v>
      </c>
      <c r="E233" s="718">
        <v>47054</v>
      </c>
      <c r="F233" s="718"/>
      <c r="G233" s="719">
        <v>2711</v>
      </c>
      <c r="H233" s="720">
        <v>11425</v>
      </c>
      <c r="I233" s="719">
        <v>6720</v>
      </c>
      <c r="J233" s="718">
        <v>18832</v>
      </c>
      <c r="K233" s="720">
        <f t="shared" si="6"/>
        <v>39688</v>
      </c>
      <c r="L233" s="718"/>
      <c r="M233" s="719">
        <v>1332</v>
      </c>
      <c r="N233" s="719">
        <v>0</v>
      </c>
      <c r="O233" s="718">
        <v>3766</v>
      </c>
      <c r="P233" s="720">
        <f t="shared" si="7"/>
        <v>5098</v>
      </c>
      <c r="Q233" s="718"/>
      <c r="R233" s="719">
        <v>15857</v>
      </c>
      <c r="S233" s="721">
        <v>4147</v>
      </c>
      <c r="T233" s="721">
        <v>20004</v>
      </c>
    </row>
    <row r="234" spans="1:20" x14ac:dyDescent="0.25">
      <c r="A234" s="715">
        <v>92441</v>
      </c>
      <c r="B234" s="716" t="s">
        <v>2769</v>
      </c>
      <c r="C234" s="717">
        <v>7.7999999999999999E-5</v>
      </c>
      <c r="D234" s="717">
        <v>9.2299999999999994E-5</v>
      </c>
      <c r="E234" s="718">
        <v>119162</v>
      </c>
      <c r="F234" s="718"/>
      <c r="G234" s="719">
        <v>6865</v>
      </c>
      <c r="H234" s="720">
        <v>28933</v>
      </c>
      <c r="I234" s="719">
        <v>17018</v>
      </c>
      <c r="J234" s="718">
        <v>0</v>
      </c>
      <c r="K234" s="720">
        <f t="shared" si="6"/>
        <v>52816</v>
      </c>
      <c r="L234" s="718"/>
      <c r="M234" s="719">
        <v>3373</v>
      </c>
      <c r="N234" s="719">
        <v>0</v>
      </c>
      <c r="O234" s="718">
        <v>15306</v>
      </c>
      <c r="P234" s="720">
        <f t="shared" si="7"/>
        <v>18679</v>
      </c>
      <c r="Q234" s="718"/>
      <c r="R234" s="719">
        <v>40158</v>
      </c>
      <c r="S234" s="721">
        <v>-6990</v>
      </c>
      <c r="T234" s="721">
        <f>33167+1</f>
        <v>33168</v>
      </c>
    </row>
    <row r="235" spans="1:20" x14ac:dyDescent="0.25">
      <c r="A235" s="715">
        <v>92444</v>
      </c>
      <c r="B235" s="716" t="s">
        <v>2770</v>
      </c>
      <c r="C235" s="717">
        <v>1.7999999999999999E-6</v>
      </c>
      <c r="D235" s="717">
        <v>1.9999999999999999E-6</v>
      </c>
      <c r="E235" s="718">
        <v>2750</v>
      </c>
      <c r="F235" s="718"/>
      <c r="G235" s="719">
        <v>158</v>
      </c>
      <c r="H235" s="720">
        <v>667</v>
      </c>
      <c r="I235" s="719">
        <v>393</v>
      </c>
      <c r="J235" s="718">
        <v>2573</v>
      </c>
      <c r="K235" s="720">
        <f t="shared" si="6"/>
        <v>3791</v>
      </c>
      <c r="L235" s="718"/>
      <c r="M235" s="719">
        <v>78</v>
      </c>
      <c r="N235" s="719">
        <v>0</v>
      </c>
      <c r="O235" s="718">
        <v>0</v>
      </c>
      <c r="P235" s="720">
        <f t="shared" si="7"/>
        <v>78</v>
      </c>
      <c r="Q235" s="718"/>
      <c r="R235" s="719">
        <v>927</v>
      </c>
      <c r="S235" s="721">
        <v>1194</v>
      </c>
      <c r="T235" s="721">
        <v>2121</v>
      </c>
    </row>
    <row r="236" spans="1:20" x14ac:dyDescent="0.25">
      <c r="A236" s="715">
        <v>92451</v>
      </c>
      <c r="B236" s="716" t="s">
        <v>2771</v>
      </c>
      <c r="C236" s="717">
        <v>1.3070000000000001E-4</v>
      </c>
      <c r="D236" s="717">
        <v>1.4559999999999999E-4</v>
      </c>
      <c r="E236" s="718">
        <v>199673</v>
      </c>
      <c r="F236" s="718"/>
      <c r="G236" s="719">
        <v>11503</v>
      </c>
      <c r="H236" s="720">
        <v>48481</v>
      </c>
      <c r="I236" s="719">
        <v>28516</v>
      </c>
      <c r="J236" s="718">
        <v>29255</v>
      </c>
      <c r="K236" s="720">
        <f t="shared" si="6"/>
        <v>117755</v>
      </c>
      <c r="L236" s="718"/>
      <c r="M236" s="719">
        <v>5652</v>
      </c>
      <c r="N236" s="719">
        <v>0</v>
      </c>
      <c r="O236" s="718">
        <v>0</v>
      </c>
      <c r="P236" s="720">
        <f t="shared" si="7"/>
        <v>5652</v>
      </c>
      <c r="Q236" s="718"/>
      <c r="R236" s="719">
        <v>67290</v>
      </c>
      <c r="S236" s="721">
        <v>12363</v>
      </c>
      <c r="T236" s="721">
        <v>79653</v>
      </c>
    </row>
    <row r="237" spans="1:20" x14ac:dyDescent="0.25">
      <c r="A237" s="715">
        <v>92461</v>
      </c>
      <c r="B237" s="716" t="s">
        <v>2772</v>
      </c>
      <c r="C237" s="717">
        <v>7.1099999999999994E-5</v>
      </c>
      <c r="D237" s="717">
        <v>7.2999999999999999E-5</v>
      </c>
      <c r="E237" s="718">
        <v>108621</v>
      </c>
      <c r="F237" s="718"/>
      <c r="G237" s="719">
        <v>6258</v>
      </c>
      <c r="H237" s="720">
        <v>26373</v>
      </c>
      <c r="I237" s="719">
        <v>15513</v>
      </c>
      <c r="J237" s="718">
        <v>12982</v>
      </c>
      <c r="K237" s="720">
        <f t="shared" si="6"/>
        <v>61126</v>
      </c>
      <c r="L237" s="718"/>
      <c r="M237" s="719">
        <v>3075</v>
      </c>
      <c r="N237" s="719">
        <v>0</v>
      </c>
      <c r="O237" s="718">
        <v>4965</v>
      </c>
      <c r="P237" s="720">
        <f t="shared" si="7"/>
        <v>8040</v>
      </c>
      <c r="Q237" s="718"/>
      <c r="R237" s="719">
        <v>36605</v>
      </c>
      <c r="S237" s="721">
        <v>1157</v>
      </c>
      <c r="T237" s="721">
        <f>37763-1</f>
        <v>37762</v>
      </c>
    </row>
    <row r="238" spans="1:20" x14ac:dyDescent="0.25">
      <c r="A238" s="715">
        <v>92501</v>
      </c>
      <c r="B238" s="716" t="s">
        <v>2773</v>
      </c>
      <c r="C238" s="717">
        <v>3.8252E-3</v>
      </c>
      <c r="D238" s="717">
        <v>3.8141E-3</v>
      </c>
      <c r="E238" s="718">
        <v>5843846</v>
      </c>
      <c r="F238" s="718"/>
      <c r="G238" s="719">
        <v>336660</v>
      </c>
      <c r="H238" s="720">
        <v>1418892</v>
      </c>
      <c r="I238" s="719">
        <v>834582</v>
      </c>
      <c r="J238" s="718">
        <v>137822</v>
      </c>
      <c r="K238" s="720">
        <f t="shared" si="6"/>
        <v>2727956</v>
      </c>
      <c r="L238" s="718"/>
      <c r="M238" s="719">
        <v>165421</v>
      </c>
      <c r="N238" s="719">
        <v>0</v>
      </c>
      <c r="O238" s="718">
        <v>9032</v>
      </c>
      <c r="P238" s="720">
        <f t="shared" si="7"/>
        <v>174453</v>
      </c>
      <c r="Q238" s="718"/>
      <c r="R238" s="719">
        <v>1969381</v>
      </c>
      <c r="S238" s="721">
        <v>45362</v>
      </c>
      <c r="T238" s="721">
        <v>2014743</v>
      </c>
    </row>
    <row r="239" spans="1:20" x14ac:dyDescent="0.25">
      <c r="A239" s="715">
        <v>92502</v>
      </c>
      <c r="B239" s="716" t="s">
        <v>2774</v>
      </c>
      <c r="C239" s="717">
        <v>2.7500000000000001E-5</v>
      </c>
      <c r="D239" s="717">
        <v>2.8799999999999999E-5</v>
      </c>
      <c r="E239" s="718">
        <v>42012</v>
      </c>
      <c r="F239" s="718"/>
      <c r="G239" s="719">
        <v>2420</v>
      </c>
      <c r="H239" s="720">
        <v>10201</v>
      </c>
      <c r="I239" s="719">
        <v>6000</v>
      </c>
      <c r="J239" s="718">
        <v>3940</v>
      </c>
      <c r="K239" s="720">
        <f t="shared" si="6"/>
        <v>22561</v>
      </c>
      <c r="L239" s="718"/>
      <c r="M239" s="719">
        <v>1189</v>
      </c>
      <c r="N239" s="719">
        <v>0</v>
      </c>
      <c r="O239" s="718">
        <v>2154</v>
      </c>
      <c r="P239" s="720">
        <f t="shared" si="7"/>
        <v>3343</v>
      </c>
      <c r="Q239" s="718"/>
      <c r="R239" s="719">
        <v>14158</v>
      </c>
      <c r="S239" s="721">
        <v>-13</v>
      </c>
      <c r="T239" s="721">
        <v>14145</v>
      </c>
    </row>
    <row r="240" spans="1:20" x14ac:dyDescent="0.25">
      <c r="A240" s="715">
        <v>92504</v>
      </c>
      <c r="B240" s="716" t="s">
        <v>2775</v>
      </c>
      <c r="C240" s="717">
        <v>8.4300000000000003E-5</v>
      </c>
      <c r="D240" s="717">
        <v>7.2799999999999994E-5</v>
      </c>
      <c r="E240" s="718">
        <v>128787</v>
      </c>
      <c r="F240" s="718"/>
      <c r="G240" s="719">
        <v>7419</v>
      </c>
      <c r="H240" s="720">
        <v>31269</v>
      </c>
      <c r="I240" s="719">
        <v>18393</v>
      </c>
      <c r="J240" s="718">
        <v>29049</v>
      </c>
      <c r="K240" s="720">
        <f t="shared" si="6"/>
        <v>86130</v>
      </c>
      <c r="L240" s="718"/>
      <c r="M240" s="719">
        <v>3646</v>
      </c>
      <c r="N240" s="719">
        <v>0</v>
      </c>
      <c r="O240" s="718">
        <v>27</v>
      </c>
      <c r="P240" s="720">
        <f t="shared" si="7"/>
        <v>3673</v>
      </c>
      <c r="Q240" s="718"/>
      <c r="R240" s="719">
        <v>43401</v>
      </c>
      <c r="S240" s="721">
        <v>10026</v>
      </c>
      <c r="T240" s="721">
        <v>53427</v>
      </c>
    </row>
    <row r="241" spans="1:20" x14ac:dyDescent="0.25">
      <c r="A241" s="715">
        <v>92505</v>
      </c>
      <c r="B241" s="716" t="s">
        <v>2776</v>
      </c>
      <c r="C241" s="717">
        <v>1.9239999999999999E-4</v>
      </c>
      <c r="D241" s="717">
        <v>1.8709999999999999E-4</v>
      </c>
      <c r="E241" s="718">
        <v>293934</v>
      </c>
      <c r="F241" s="718"/>
      <c r="G241" s="719">
        <v>16933</v>
      </c>
      <c r="H241" s="720">
        <v>71367</v>
      </c>
      <c r="I241" s="719">
        <v>41978</v>
      </c>
      <c r="J241" s="718">
        <v>59108</v>
      </c>
      <c r="K241" s="720">
        <f t="shared" si="6"/>
        <v>189386</v>
      </c>
      <c r="L241" s="718"/>
      <c r="M241" s="719">
        <v>8320</v>
      </c>
      <c r="N241" s="719">
        <v>0</v>
      </c>
      <c r="O241" s="718">
        <v>0</v>
      </c>
      <c r="P241" s="720">
        <f t="shared" si="7"/>
        <v>8320</v>
      </c>
      <c r="Q241" s="718"/>
      <c r="R241" s="719">
        <v>99056</v>
      </c>
      <c r="S241" s="721">
        <v>23320</v>
      </c>
      <c r="T241" s="721">
        <v>122376</v>
      </c>
    </row>
    <row r="242" spans="1:20" x14ac:dyDescent="0.25">
      <c r="A242" s="715">
        <v>92506</v>
      </c>
      <c r="B242" s="716" t="s">
        <v>2777</v>
      </c>
      <c r="C242" s="717">
        <v>4.7500000000000003E-5</v>
      </c>
      <c r="D242" s="717">
        <v>4.3699999999999998E-5</v>
      </c>
      <c r="E242" s="718">
        <v>72567</v>
      </c>
      <c r="F242" s="718"/>
      <c r="G242" s="719">
        <v>4181</v>
      </c>
      <c r="H242" s="720">
        <v>17619</v>
      </c>
      <c r="I242" s="719">
        <v>10364</v>
      </c>
      <c r="J242" s="718">
        <v>17893</v>
      </c>
      <c r="K242" s="720">
        <f t="shared" si="6"/>
        <v>50057</v>
      </c>
      <c r="L242" s="718"/>
      <c r="M242" s="719">
        <v>2054</v>
      </c>
      <c r="N242" s="719">
        <v>0</v>
      </c>
      <c r="O242" s="718">
        <v>0</v>
      </c>
      <c r="P242" s="720">
        <f t="shared" si="7"/>
        <v>2054</v>
      </c>
      <c r="Q242" s="718"/>
      <c r="R242" s="719">
        <v>24455</v>
      </c>
      <c r="S242" s="721">
        <v>7399</v>
      </c>
      <c r="T242" s="721">
        <v>31854</v>
      </c>
    </row>
    <row r="243" spans="1:20" x14ac:dyDescent="0.25">
      <c r="A243" s="715">
        <v>92507</v>
      </c>
      <c r="B243" s="716" t="s">
        <v>2778</v>
      </c>
      <c r="C243" s="717">
        <v>9.5699999999999995E-5</v>
      </c>
      <c r="D243" s="717">
        <v>7.6799999999999997E-5</v>
      </c>
      <c r="E243" s="718">
        <v>146203</v>
      </c>
      <c r="F243" s="718"/>
      <c r="G243" s="719">
        <v>8423</v>
      </c>
      <c r="H243" s="720">
        <v>35498</v>
      </c>
      <c r="I243" s="719">
        <v>20880</v>
      </c>
      <c r="J243" s="718">
        <v>10349</v>
      </c>
      <c r="K243" s="720">
        <f t="shared" si="6"/>
        <v>75150</v>
      </c>
      <c r="L243" s="718"/>
      <c r="M243" s="719">
        <v>4139</v>
      </c>
      <c r="N243" s="719">
        <v>0</v>
      </c>
      <c r="O243" s="718">
        <v>14283</v>
      </c>
      <c r="P243" s="720">
        <f t="shared" si="7"/>
        <v>18422</v>
      </c>
      <c r="Q243" s="718"/>
      <c r="R243" s="719">
        <v>49271</v>
      </c>
      <c r="S243" s="721">
        <v>-5512</v>
      </c>
      <c r="T243" s="721">
        <f>43758+1</f>
        <v>43759</v>
      </c>
    </row>
    <row r="244" spans="1:20" x14ac:dyDescent="0.25">
      <c r="A244" s="715">
        <v>92508</v>
      </c>
      <c r="B244" s="716" t="s">
        <v>2779</v>
      </c>
      <c r="C244" s="717">
        <v>3.1E-4</v>
      </c>
      <c r="D244" s="717">
        <v>3.1930000000000001E-4</v>
      </c>
      <c r="E244" s="718">
        <v>473594</v>
      </c>
      <c r="F244" s="718"/>
      <c r="G244" s="719">
        <v>27283</v>
      </c>
      <c r="H244" s="720">
        <v>114989</v>
      </c>
      <c r="I244" s="719">
        <v>67636</v>
      </c>
      <c r="J244" s="718">
        <v>5884</v>
      </c>
      <c r="K244" s="720">
        <f t="shared" si="6"/>
        <v>215792</v>
      </c>
      <c r="L244" s="718"/>
      <c r="M244" s="719">
        <v>13406</v>
      </c>
      <c r="N244" s="719">
        <v>0</v>
      </c>
      <c r="O244" s="718">
        <v>1407</v>
      </c>
      <c r="P244" s="720">
        <f t="shared" si="7"/>
        <v>14813</v>
      </c>
      <c r="Q244" s="718"/>
      <c r="R244" s="719">
        <v>159602</v>
      </c>
      <c r="S244" s="721">
        <v>3411</v>
      </c>
      <c r="T244" s="721">
        <v>163013</v>
      </c>
    </row>
    <row r="245" spans="1:20" x14ac:dyDescent="0.25">
      <c r="A245" s="715">
        <v>92511</v>
      </c>
      <c r="B245" s="716" t="s">
        <v>2781</v>
      </c>
      <c r="C245" s="717">
        <v>3.3240000000000001E-3</v>
      </c>
      <c r="D245" s="717">
        <v>3.4164E-3</v>
      </c>
      <c r="E245" s="718">
        <v>5078151</v>
      </c>
      <c r="F245" s="718"/>
      <c r="G245" s="719">
        <v>292549</v>
      </c>
      <c r="H245" s="720">
        <v>1232981</v>
      </c>
      <c r="I245" s="719">
        <v>725230</v>
      </c>
      <c r="J245" s="718">
        <v>12146</v>
      </c>
      <c r="K245" s="720">
        <f t="shared" si="6"/>
        <v>2262906</v>
      </c>
      <c r="L245" s="718"/>
      <c r="M245" s="719">
        <v>143746</v>
      </c>
      <c r="N245" s="719">
        <v>0</v>
      </c>
      <c r="O245" s="718">
        <v>237633</v>
      </c>
      <c r="P245" s="720">
        <f t="shared" si="7"/>
        <v>381379</v>
      </c>
      <c r="Q245" s="718"/>
      <c r="R245" s="719">
        <v>1711341</v>
      </c>
      <c r="S245" s="721">
        <v>-72839</v>
      </c>
      <c r="T245" s="721">
        <f>1638503-1</f>
        <v>1638502</v>
      </c>
    </row>
    <row r="246" spans="1:20" x14ac:dyDescent="0.25">
      <c r="A246" s="715">
        <v>92513</v>
      </c>
      <c r="B246" s="716" t="s">
        <v>2782</v>
      </c>
      <c r="C246" s="717">
        <v>4.0328999999999999E-3</v>
      </c>
      <c r="D246" s="717">
        <v>3.9753000000000002E-3</v>
      </c>
      <c r="E246" s="718">
        <v>6161154</v>
      </c>
      <c r="F246" s="718"/>
      <c r="G246" s="719">
        <v>354940</v>
      </c>
      <c r="H246" s="720">
        <v>1495936</v>
      </c>
      <c r="I246" s="719">
        <v>879898</v>
      </c>
      <c r="J246" s="718">
        <f>1481541+87063+162533</f>
        <v>1731137</v>
      </c>
      <c r="K246" s="720">
        <f t="shared" si="6"/>
        <v>4461911</v>
      </c>
      <c r="L246" s="718"/>
      <c r="M246" s="719">
        <v>174403</v>
      </c>
      <c r="N246" s="719">
        <v>0</v>
      </c>
      <c r="O246" s="718">
        <f>106570+867533+690246</f>
        <v>1664349</v>
      </c>
      <c r="P246" s="720">
        <f t="shared" si="7"/>
        <v>1838752</v>
      </c>
      <c r="Q246" s="718"/>
      <c r="R246" s="719">
        <v>2076314</v>
      </c>
      <c r="S246" s="721">
        <f>491379-223763-102954</f>
        <v>164662</v>
      </c>
      <c r="T246" s="721">
        <f>2567693-223763-102954</f>
        <v>2240976</v>
      </c>
    </row>
    <row r="247" spans="1:20" x14ac:dyDescent="0.25">
      <c r="A247" s="715">
        <v>92521</v>
      </c>
      <c r="B247" s="716" t="s">
        <v>2783</v>
      </c>
      <c r="C247" s="717">
        <v>8.6899999999999998E-5</v>
      </c>
      <c r="D247" s="717">
        <v>8.9800000000000001E-5</v>
      </c>
      <c r="E247" s="718">
        <v>132759</v>
      </c>
      <c r="F247" s="718"/>
      <c r="G247" s="719">
        <v>7648</v>
      </c>
      <c r="H247" s="720">
        <v>32235</v>
      </c>
      <c r="I247" s="719">
        <v>18960</v>
      </c>
      <c r="J247" s="718">
        <v>3168</v>
      </c>
      <c r="K247" s="720">
        <f t="shared" si="6"/>
        <v>62011</v>
      </c>
      <c r="L247" s="718"/>
      <c r="M247" s="719">
        <v>3758</v>
      </c>
      <c r="N247" s="719">
        <v>0</v>
      </c>
      <c r="O247" s="718">
        <v>10611</v>
      </c>
      <c r="P247" s="720">
        <f t="shared" si="7"/>
        <v>14369</v>
      </c>
      <c r="Q247" s="718"/>
      <c r="R247" s="719">
        <v>44740</v>
      </c>
      <c r="S247" s="721">
        <v>-2554</v>
      </c>
      <c r="T247" s="721">
        <v>42186</v>
      </c>
    </row>
    <row r="248" spans="1:20" x14ac:dyDescent="0.25">
      <c r="A248" s="715">
        <v>92531</v>
      </c>
      <c r="B248" s="716" t="s">
        <v>2784</v>
      </c>
      <c r="C248" s="717">
        <v>8.6490000000000004E-4</v>
      </c>
      <c r="D248" s="717">
        <v>8.3779999999999998E-4</v>
      </c>
      <c r="E248" s="718">
        <v>1321328</v>
      </c>
      <c r="F248" s="718"/>
      <c r="G248" s="719">
        <v>76121</v>
      </c>
      <c r="H248" s="720">
        <v>320820</v>
      </c>
      <c r="I248" s="719">
        <v>188704</v>
      </c>
      <c r="J248" s="718">
        <v>0</v>
      </c>
      <c r="K248" s="720">
        <f t="shared" si="6"/>
        <v>585645</v>
      </c>
      <c r="L248" s="718"/>
      <c r="M248" s="719">
        <v>37403</v>
      </c>
      <c r="N248" s="719">
        <v>0</v>
      </c>
      <c r="O248" s="718">
        <v>124043</v>
      </c>
      <c r="P248" s="720">
        <f t="shared" si="7"/>
        <v>161446</v>
      </c>
      <c r="Q248" s="718"/>
      <c r="R248" s="719">
        <v>445289</v>
      </c>
      <c r="S248" s="721">
        <v>-61397</v>
      </c>
      <c r="T248" s="721">
        <v>383892</v>
      </c>
    </row>
    <row r="249" spans="1:20" x14ac:dyDescent="0.25">
      <c r="A249" s="715">
        <v>92541</v>
      </c>
      <c r="B249" s="716" t="s">
        <v>2785</v>
      </c>
      <c r="C249" s="717">
        <v>1.4469999999999999E-4</v>
      </c>
      <c r="D249" s="717">
        <v>1.4300000000000001E-4</v>
      </c>
      <c r="E249" s="718">
        <v>221062</v>
      </c>
      <c r="F249" s="718"/>
      <c r="G249" s="719">
        <v>12735</v>
      </c>
      <c r="H249" s="720">
        <v>53674</v>
      </c>
      <c r="I249" s="719">
        <v>31571</v>
      </c>
      <c r="J249" s="718">
        <v>7292</v>
      </c>
      <c r="K249" s="720">
        <f t="shared" si="6"/>
        <v>105272</v>
      </c>
      <c r="L249" s="718"/>
      <c r="M249" s="719">
        <v>6258</v>
      </c>
      <c r="N249" s="719">
        <v>0</v>
      </c>
      <c r="O249" s="718">
        <v>7300</v>
      </c>
      <c r="P249" s="720">
        <f t="shared" si="7"/>
        <v>13558</v>
      </c>
      <c r="Q249" s="718"/>
      <c r="R249" s="719">
        <v>74498</v>
      </c>
      <c r="S249" s="721">
        <v>2019</v>
      </c>
      <c r="T249" s="721">
        <v>76517</v>
      </c>
    </row>
    <row r="250" spans="1:20" x14ac:dyDescent="0.25">
      <c r="A250" s="715">
        <v>92551</v>
      </c>
      <c r="B250" s="716" t="s">
        <v>2786</v>
      </c>
      <c r="C250" s="717">
        <v>5.3300000000000001E-5</v>
      </c>
      <c r="D250" s="717">
        <v>4.18E-5</v>
      </c>
      <c r="E250" s="718">
        <v>81428</v>
      </c>
      <c r="F250" s="718"/>
      <c r="G250" s="719">
        <v>4691</v>
      </c>
      <c r="H250" s="720">
        <v>19771</v>
      </c>
      <c r="I250" s="719">
        <v>11629</v>
      </c>
      <c r="J250" s="718">
        <v>7529</v>
      </c>
      <c r="K250" s="720">
        <f t="shared" si="6"/>
        <v>43620</v>
      </c>
      <c r="L250" s="718"/>
      <c r="M250" s="719">
        <v>2305</v>
      </c>
      <c r="N250" s="719">
        <v>0</v>
      </c>
      <c r="O250" s="718">
        <v>8359</v>
      </c>
      <c r="P250" s="720">
        <f t="shared" si="7"/>
        <v>10664</v>
      </c>
      <c r="Q250" s="718"/>
      <c r="R250" s="719">
        <v>27441</v>
      </c>
      <c r="S250" s="721">
        <v>961</v>
      </c>
      <c r="T250" s="721">
        <v>28402</v>
      </c>
    </row>
    <row r="251" spans="1:20" x14ac:dyDescent="0.25">
      <c r="A251" s="715">
        <v>92561</v>
      </c>
      <c r="B251" s="716" t="s">
        <v>2787</v>
      </c>
      <c r="C251" s="717">
        <v>2.2200000000000001E-5</v>
      </c>
      <c r="D251" s="717">
        <v>2.2900000000000001E-5</v>
      </c>
      <c r="E251" s="718">
        <v>33915</v>
      </c>
      <c r="F251" s="718"/>
      <c r="G251" s="719">
        <v>1954</v>
      </c>
      <c r="H251" s="720">
        <v>8235</v>
      </c>
      <c r="I251" s="719">
        <v>4844</v>
      </c>
      <c r="J251" s="718">
        <v>5369</v>
      </c>
      <c r="K251" s="720">
        <f t="shared" si="6"/>
        <v>20402</v>
      </c>
      <c r="L251" s="718"/>
      <c r="M251" s="719">
        <v>960</v>
      </c>
      <c r="N251" s="719">
        <v>0</v>
      </c>
      <c r="O251" s="718">
        <v>0</v>
      </c>
      <c r="P251" s="720">
        <f t="shared" si="7"/>
        <v>960</v>
      </c>
      <c r="Q251" s="718"/>
      <c r="R251" s="719">
        <v>11430</v>
      </c>
      <c r="S251" s="721">
        <v>2639</v>
      </c>
      <c r="T251" s="721">
        <f>14068+1</f>
        <v>14069</v>
      </c>
    </row>
    <row r="252" spans="1:20" x14ac:dyDescent="0.25">
      <c r="A252" s="715">
        <v>92571</v>
      </c>
      <c r="B252" s="716" t="s">
        <v>2788</v>
      </c>
      <c r="C252" s="717">
        <v>1.01E-5</v>
      </c>
      <c r="D252" s="717">
        <v>3.1E-6</v>
      </c>
      <c r="E252" s="718">
        <v>15430</v>
      </c>
      <c r="F252" s="718"/>
      <c r="G252" s="719">
        <v>889</v>
      </c>
      <c r="H252" s="720">
        <v>3746</v>
      </c>
      <c r="I252" s="719">
        <v>2204</v>
      </c>
      <c r="J252" s="718">
        <v>9367</v>
      </c>
      <c r="K252" s="720">
        <f t="shared" si="6"/>
        <v>16206</v>
      </c>
      <c r="L252" s="718"/>
      <c r="M252" s="719">
        <v>437</v>
      </c>
      <c r="N252" s="719">
        <v>0</v>
      </c>
      <c r="O252" s="718">
        <v>100</v>
      </c>
      <c r="P252" s="720">
        <f t="shared" si="7"/>
        <v>537</v>
      </c>
      <c r="Q252" s="718"/>
      <c r="R252" s="719">
        <v>5200</v>
      </c>
      <c r="S252" s="721">
        <v>2687</v>
      </c>
      <c r="T252" s="721">
        <v>7887</v>
      </c>
    </row>
    <row r="253" spans="1:20" x14ac:dyDescent="0.25">
      <c r="A253" s="715">
        <v>92601</v>
      </c>
      <c r="B253" s="716" t="s">
        <v>2789</v>
      </c>
      <c r="C253" s="717">
        <v>1.51874E-2</v>
      </c>
      <c r="D253" s="717">
        <v>1.54185E-2</v>
      </c>
      <c r="E253" s="718">
        <v>23202140</v>
      </c>
      <c r="F253" s="718"/>
      <c r="G253" s="719">
        <v>1336658</v>
      </c>
      <c r="H253" s="720">
        <v>5633508</v>
      </c>
      <c r="I253" s="719">
        <v>3313587</v>
      </c>
      <c r="J253" s="718">
        <v>134811</v>
      </c>
      <c r="K253" s="720">
        <f t="shared" si="6"/>
        <v>10418564</v>
      </c>
      <c r="L253" s="718"/>
      <c r="M253" s="719">
        <v>656779</v>
      </c>
      <c r="N253" s="719">
        <v>0</v>
      </c>
      <c r="O253" s="718">
        <v>46060</v>
      </c>
      <c r="P253" s="720">
        <f t="shared" si="7"/>
        <v>702839</v>
      </c>
      <c r="Q253" s="718"/>
      <c r="R253" s="719">
        <v>7819142</v>
      </c>
      <c r="S253" s="721">
        <v>112074</v>
      </c>
      <c r="T253" s="721">
        <f>7931215+1</f>
        <v>7931216</v>
      </c>
    </row>
    <row r="254" spans="1:20" x14ac:dyDescent="0.25">
      <c r="A254" s="715">
        <v>92602</v>
      </c>
      <c r="B254" s="716" t="s">
        <v>2790</v>
      </c>
      <c r="C254" s="717">
        <v>8.3000000000000002E-6</v>
      </c>
      <c r="D254" s="717">
        <v>8.1999999999999994E-6</v>
      </c>
      <c r="E254" s="718">
        <v>12680</v>
      </c>
      <c r="F254" s="718"/>
      <c r="G254" s="719">
        <v>730</v>
      </c>
      <c r="H254" s="720">
        <v>3079</v>
      </c>
      <c r="I254" s="719">
        <v>1811</v>
      </c>
      <c r="J254" s="718">
        <v>352</v>
      </c>
      <c r="K254" s="720">
        <f t="shared" si="6"/>
        <v>5972</v>
      </c>
      <c r="L254" s="718"/>
      <c r="M254" s="719">
        <v>359</v>
      </c>
      <c r="N254" s="719">
        <v>0</v>
      </c>
      <c r="O254" s="718">
        <v>927</v>
      </c>
      <c r="P254" s="720">
        <f t="shared" si="7"/>
        <v>1286</v>
      </c>
      <c r="Q254" s="718"/>
      <c r="R254" s="719">
        <v>4273</v>
      </c>
      <c r="S254" s="721">
        <v>-99</v>
      </c>
      <c r="T254" s="721">
        <v>4174</v>
      </c>
    </row>
    <row r="255" spans="1:20" x14ac:dyDescent="0.25">
      <c r="A255" s="715">
        <v>92604</v>
      </c>
      <c r="B255" s="716" t="s">
        <v>2791</v>
      </c>
      <c r="C255" s="717">
        <v>3.4099999999999999E-4</v>
      </c>
      <c r="D255" s="717">
        <v>3.4380000000000001E-4</v>
      </c>
      <c r="E255" s="718">
        <v>520954</v>
      </c>
      <c r="F255" s="718"/>
      <c r="G255" s="719">
        <v>30012</v>
      </c>
      <c r="H255" s="720">
        <v>126488</v>
      </c>
      <c r="I255" s="719">
        <v>74399</v>
      </c>
      <c r="J255" s="718">
        <v>52760</v>
      </c>
      <c r="K255" s="720">
        <f t="shared" si="6"/>
        <v>283659</v>
      </c>
      <c r="L255" s="718"/>
      <c r="M255" s="719">
        <v>14747</v>
      </c>
      <c r="N255" s="719">
        <v>0</v>
      </c>
      <c r="O255" s="718">
        <v>0</v>
      </c>
      <c r="P255" s="720">
        <f t="shared" si="7"/>
        <v>14747</v>
      </c>
      <c r="Q255" s="718"/>
      <c r="R255" s="719">
        <v>175562</v>
      </c>
      <c r="S255" s="721">
        <v>23975</v>
      </c>
      <c r="T255" s="721">
        <v>199537</v>
      </c>
    </row>
    <row r="256" spans="1:20" x14ac:dyDescent="0.25">
      <c r="A256" s="715">
        <v>92607</v>
      </c>
      <c r="B256" s="716" t="s">
        <v>2792</v>
      </c>
      <c r="C256" s="717">
        <v>6.6400000000000001E-5</v>
      </c>
      <c r="D256" s="717">
        <v>7.0400000000000004E-5</v>
      </c>
      <c r="E256" s="718">
        <v>101441</v>
      </c>
      <c r="F256" s="718"/>
      <c r="G256" s="719">
        <v>5844</v>
      </c>
      <c r="H256" s="720">
        <v>24630</v>
      </c>
      <c r="I256" s="719">
        <v>14487</v>
      </c>
      <c r="J256" s="718">
        <v>9416</v>
      </c>
      <c r="K256" s="720">
        <f t="shared" si="6"/>
        <v>54377</v>
      </c>
      <c r="L256" s="718"/>
      <c r="M256" s="719">
        <v>2871</v>
      </c>
      <c r="N256" s="719">
        <v>0</v>
      </c>
      <c r="O256" s="718">
        <v>0</v>
      </c>
      <c r="P256" s="720">
        <f t="shared" si="7"/>
        <v>2871</v>
      </c>
      <c r="Q256" s="718"/>
      <c r="R256" s="719">
        <v>34186</v>
      </c>
      <c r="S256" s="721">
        <v>4781</v>
      </c>
      <c r="T256" s="721">
        <f>38966+1</f>
        <v>38967</v>
      </c>
    </row>
    <row r="257" spans="1:20" x14ac:dyDescent="0.25">
      <c r="A257" s="715">
        <v>92608</v>
      </c>
      <c r="B257" s="716" t="s">
        <v>2793</v>
      </c>
      <c r="C257" s="717">
        <v>0</v>
      </c>
      <c r="D257" s="717">
        <v>0</v>
      </c>
      <c r="E257" s="718">
        <v>0</v>
      </c>
      <c r="F257" s="718"/>
      <c r="G257" s="719">
        <v>0</v>
      </c>
      <c r="H257" s="720">
        <v>0</v>
      </c>
      <c r="I257" s="719">
        <v>0</v>
      </c>
      <c r="J257" s="718">
        <v>0</v>
      </c>
      <c r="K257" s="720">
        <f t="shared" si="6"/>
        <v>0</v>
      </c>
      <c r="L257" s="718"/>
      <c r="M257" s="719">
        <v>0</v>
      </c>
      <c r="N257" s="719">
        <v>0</v>
      </c>
      <c r="O257" s="718">
        <v>69935</v>
      </c>
      <c r="P257" s="720">
        <f t="shared" si="7"/>
        <v>69935</v>
      </c>
      <c r="Q257" s="718"/>
      <c r="R257" s="719">
        <v>0</v>
      </c>
      <c r="S257" s="721">
        <v>-69872</v>
      </c>
      <c r="T257" s="721">
        <v>-69872</v>
      </c>
    </row>
    <row r="258" spans="1:20" x14ac:dyDescent="0.25">
      <c r="A258" s="715">
        <v>92611</v>
      </c>
      <c r="B258" s="716" t="s">
        <v>2794</v>
      </c>
      <c r="C258" s="717">
        <v>1.3080899999999999E-2</v>
      </c>
      <c r="D258" s="717">
        <v>1.3650799999999999E-2</v>
      </c>
      <c r="E258" s="718">
        <v>19983992</v>
      </c>
      <c r="F258" s="718"/>
      <c r="G258" s="719">
        <v>1151263</v>
      </c>
      <c r="H258" s="720">
        <v>4852137</v>
      </c>
      <c r="I258" s="719">
        <v>2853991</v>
      </c>
      <c r="J258" s="718">
        <v>10109</v>
      </c>
      <c r="K258" s="720">
        <f t="shared" si="6"/>
        <v>8867500</v>
      </c>
      <c r="L258" s="718"/>
      <c r="M258" s="719">
        <v>565684</v>
      </c>
      <c r="N258" s="719">
        <v>0</v>
      </c>
      <c r="O258" s="718">
        <v>976593</v>
      </c>
      <c r="P258" s="720">
        <f t="shared" si="7"/>
        <v>1542277</v>
      </c>
      <c r="Q258" s="718"/>
      <c r="R258" s="719">
        <v>6734623</v>
      </c>
      <c r="S258" s="721">
        <v>-313138</v>
      </c>
      <c r="T258" s="721">
        <v>6421485</v>
      </c>
    </row>
    <row r="259" spans="1:20" x14ac:dyDescent="0.25">
      <c r="A259" s="715">
        <v>92613</v>
      </c>
      <c r="B259" s="716" t="s">
        <v>2795</v>
      </c>
      <c r="C259" s="717">
        <v>2.6439999999999998E-4</v>
      </c>
      <c r="D259" s="717">
        <v>2.81E-4</v>
      </c>
      <c r="E259" s="718">
        <v>403930</v>
      </c>
      <c r="F259" s="718"/>
      <c r="G259" s="719">
        <v>23270</v>
      </c>
      <c r="H259" s="720">
        <v>98075</v>
      </c>
      <c r="I259" s="719">
        <v>57687</v>
      </c>
      <c r="J259" s="718">
        <v>84489</v>
      </c>
      <c r="K259" s="720">
        <f t="shared" si="6"/>
        <v>263521</v>
      </c>
      <c r="L259" s="718"/>
      <c r="M259" s="719">
        <v>11434</v>
      </c>
      <c r="N259" s="719">
        <v>0</v>
      </c>
      <c r="O259" s="718">
        <v>941</v>
      </c>
      <c r="P259" s="720">
        <f t="shared" si="7"/>
        <v>12375</v>
      </c>
      <c r="Q259" s="718"/>
      <c r="R259" s="719">
        <v>136125</v>
      </c>
      <c r="S259" s="721">
        <v>41506</v>
      </c>
      <c r="T259" s="721">
        <v>177631</v>
      </c>
    </row>
    <row r="260" spans="1:20" x14ac:dyDescent="0.25">
      <c r="A260" s="715">
        <v>92614</v>
      </c>
      <c r="B260" s="716" t="s">
        <v>2796</v>
      </c>
      <c r="C260" s="717">
        <v>5.7273000000000003E-3</v>
      </c>
      <c r="D260" s="717">
        <v>5.6468000000000004E-3</v>
      </c>
      <c r="E260" s="718">
        <v>8749728</v>
      </c>
      <c r="F260" s="718"/>
      <c r="G260" s="719">
        <v>504065</v>
      </c>
      <c r="H260" s="720">
        <v>2124444</v>
      </c>
      <c r="I260" s="719">
        <v>1249582</v>
      </c>
      <c r="J260" s="718">
        <v>3908054</v>
      </c>
      <c r="K260" s="720">
        <f t="shared" si="6"/>
        <v>7786145</v>
      </c>
      <c r="L260" s="718"/>
      <c r="M260" s="719">
        <v>247677</v>
      </c>
      <c r="N260" s="719">
        <v>0</v>
      </c>
      <c r="O260" s="718">
        <v>0</v>
      </c>
      <c r="P260" s="720">
        <f t="shared" si="7"/>
        <v>247677</v>
      </c>
      <c r="Q260" s="718"/>
      <c r="R260" s="719">
        <v>2948666</v>
      </c>
      <c r="S260" s="721">
        <v>1416067</v>
      </c>
      <c r="T260" s="721">
        <v>4364733</v>
      </c>
    </row>
    <row r="261" spans="1:20" x14ac:dyDescent="0.25">
      <c r="A261" s="715">
        <v>92621</v>
      </c>
      <c r="B261" s="716" t="s">
        <v>2797</v>
      </c>
      <c r="C261" s="717">
        <v>2.72E-5</v>
      </c>
      <c r="D261" s="717">
        <v>3.2799999999999998E-5</v>
      </c>
      <c r="E261" s="718">
        <v>41554</v>
      </c>
      <c r="F261" s="718"/>
      <c r="G261" s="719">
        <v>2394</v>
      </c>
      <c r="H261" s="720">
        <v>10089</v>
      </c>
      <c r="I261" s="719">
        <v>5934</v>
      </c>
      <c r="J261" s="718">
        <v>872</v>
      </c>
      <c r="K261" s="720">
        <f t="shared" si="6"/>
        <v>19289</v>
      </c>
      <c r="L261" s="718"/>
      <c r="M261" s="719">
        <v>1176</v>
      </c>
      <c r="N261" s="719">
        <v>0</v>
      </c>
      <c r="O261" s="718">
        <v>6521</v>
      </c>
      <c r="P261" s="720">
        <f t="shared" si="7"/>
        <v>7697</v>
      </c>
      <c r="Q261" s="718"/>
      <c r="R261" s="719">
        <v>14004</v>
      </c>
      <c r="S261" s="721">
        <v>-1988</v>
      </c>
      <c r="T261" s="721">
        <v>12016</v>
      </c>
    </row>
    <row r="262" spans="1:20" x14ac:dyDescent="0.25">
      <c r="A262" s="715">
        <v>92631</v>
      </c>
      <c r="B262" s="716" t="s">
        <v>2798</v>
      </c>
      <c r="C262" s="717">
        <v>9.2710000000000004E-4</v>
      </c>
      <c r="D262" s="717">
        <v>1.0068E-3</v>
      </c>
      <c r="E262" s="718">
        <v>1416352</v>
      </c>
      <c r="F262" s="718"/>
      <c r="G262" s="719">
        <v>81595</v>
      </c>
      <c r="H262" s="720">
        <v>343892</v>
      </c>
      <c r="I262" s="719">
        <v>202275</v>
      </c>
      <c r="J262" s="718">
        <v>0</v>
      </c>
      <c r="K262" s="720">
        <f t="shared" si="6"/>
        <v>627762</v>
      </c>
      <c r="L262" s="718"/>
      <c r="M262" s="719">
        <v>40092</v>
      </c>
      <c r="N262" s="719">
        <v>0</v>
      </c>
      <c r="O262" s="718">
        <v>146834</v>
      </c>
      <c r="P262" s="720">
        <f t="shared" si="7"/>
        <v>186926</v>
      </c>
      <c r="Q262" s="718"/>
      <c r="R262" s="719">
        <v>477312</v>
      </c>
      <c r="S262" s="721">
        <v>-49734</v>
      </c>
      <c r="T262" s="721">
        <v>427578</v>
      </c>
    </row>
    <row r="263" spans="1:20" x14ac:dyDescent="0.25">
      <c r="A263" s="715">
        <v>92641</v>
      </c>
      <c r="B263" s="716" t="s">
        <v>2799</v>
      </c>
      <c r="C263" s="717">
        <v>1.0200000000000001E-5</v>
      </c>
      <c r="D263" s="717">
        <v>1.03E-5</v>
      </c>
      <c r="E263" s="718">
        <v>15583</v>
      </c>
      <c r="F263" s="718"/>
      <c r="G263" s="719">
        <v>898</v>
      </c>
      <c r="H263" s="720">
        <v>3784</v>
      </c>
      <c r="I263" s="719">
        <v>2225</v>
      </c>
      <c r="J263" s="718">
        <v>2556</v>
      </c>
      <c r="K263" s="720">
        <f t="shared" ref="K263:K326" si="8">G263+H263+I263+J263</f>
        <v>9463</v>
      </c>
      <c r="L263" s="718"/>
      <c r="M263" s="719">
        <v>441</v>
      </c>
      <c r="N263" s="719">
        <v>0</v>
      </c>
      <c r="O263" s="718">
        <v>945</v>
      </c>
      <c r="P263" s="720">
        <f t="shared" ref="P263:P326" si="9">M263+N263+O263</f>
        <v>1386</v>
      </c>
      <c r="Q263" s="718"/>
      <c r="R263" s="719">
        <v>5251</v>
      </c>
      <c r="S263" s="721">
        <v>173</v>
      </c>
      <c r="T263" s="721">
        <v>5424</v>
      </c>
    </row>
    <row r="264" spans="1:20" x14ac:dyDescent="0.25">
      <c r="A264" s="715">
        <v>92651</v>
      </c>
      <c r="B264" s="716" t="s">
        <v>2800</v>
      </c>
      <c r="C264" s="717">
        <v>2.6000000000000001E-6</v>
      </c>
      <c r="D264" s="717">
        <v>2.6000000000000001E-6</v>
      </c>
      <c r="E264" s="718">
        <v>3972</v>
      </c>
      <c r="F264" s="718"/>
      <c r="G264" s="719">
        <v>229</v>
      </c>
      <c r="H264" s="720">
        <v>964</v>
      </c>
      <c r="I264" s="719">
        <v>567</v>
      </c>
      <c r="J264" s="718">
        <v>3432</v>
      </c>
      <c r="K264" s="720">
        <f t="shared" si="8"/>
        <v>5192</v>
      </c>
      <c r="L264" s="718"/>
      <c r="M264" s="719">
        <v>112</v>
      </c>
      <c r="N264" s="719">
        <v>0</v>
      </c>
      <c r="O264" s="718">
        <v>0</v>
      </c>
      <c r="P264" s="720">
        <f t="shared" si="9"/>
        <v>112</v>
      </c>
      <c r="Q264" s="718"/>
      <c r="R264" s="719">
        <v>1339</v>
      </c>
      <c r="S264" s="721">
        <v>1345</v>
      </c>
      <c r="T264" s="721">
        <f>2683+1</f>
        <v>2684</v>
      </c>
    </row>
    <row r="265" spans="1:20" x14ac:dyDescent="0.25">
      <c r="A265" s="715">
        <v>92661</v>
      </c>
      <c r="B265" s="716" t="s">
        <v>2801</v>
      </c>
      <c r="C265" s="717">
        <v>6.9999999999999999E-4</v>
      </c>
      <c r="D265" s="717">
        <v>6.6299999999999996E-4</v>
      </c>
      <c r="E265" s="718">
        <v>1069406</v>
      </c>
      <c r="F265" s="718"/>
      <c r="G265" s="719">
        <v>61608</v>
      </c>
      <c r="H265" s="720">
        <v>259653</v>
      </c>
      <c r="I265" s="719">
        <v>152726</v>
      </c>
      <c r="J265" s="718">
        <v>446841</v>
      </c>
      <c r="K265" s="720">
        <f t="shared" si="8"/>
        <v>920828</v>
      </c>
      <c r="L265" s="718"/>
      <c r="M265" s="719">
        <v>30272</v>
      </c>
      <c r="N265" s="719">
        <v>0</v>
      </c>
      <c r="O265" s="718">
        <v>16877</v>
      </c>
      <c r="P265" s="720">
        <f t="shared" si="9"/>
        <v>47149</v>
      </c>
      <c r="Q265" s="718"/>
      <c r="R265" s="719">
        <v>360391</v>
      </c>
      <c r="S265" s="721">
        <v>130287</v>
      </c>
      <c r="T265" s="721">
        <v>490678</v>
      </c>
    </row>
    <row r="266" spans="1:20" x14ac:dyDescent="0.25">
      <c r="A266" s="715">
        <v>92671</v>
      </c>
      <c r="B266" s="716" t="s">
        <v>2802</v>
      </c>
      <c r="C266" s="717">
        <v>2.6000000000000001E-6</v>
      </c>
      <c r="D266" s="717">
        <v>2.9000000000000002E-6</v>
      </c>
      <c r="E266" s="718">
        <v>3972</v>
      </c>
      <c r="F266" s="718"/>
      <c r="G266" s="719">
        <v>229</v>
      </c>
      <c r="H266" s="720">
        <v>964</v>
      </c>
      <c r="I266" s="719">
        <v>567</v>
      </c>
      <c r="J266" s="718">
        <v>6237</v>
      </c>
      <c r="K266" s="720">
        <f t="shared" si="8"/>
        <v>7997</v>
      </c>
      <c r="L266" s="718"/>
      <c r="M266" s="719">
        <v>112</v>
      </c>
      <c r="N266" s="719">
        <v>0</v>
      </c>
      <c r="O266" s="718">
        <v>0</v>
      </c>
      <c r="P266" s="720">
        <f t="shared" si="9"/>
        <v>112</v>
      </c>
      <c r="Q266" s="718"/>
      <c r="R266" s="719">
        <v>1339</v>
      </c>
      <c r="S266" s="721">
        <v>2205</v>
      </c>
      <c r="T266" s="721">
        <f>3543+1</f>
        <v>3544</v>
      </c>
    </row>
    <row r="267" spans="1:20" x14ac:dyDescent="0.25">
      <c r="A267" s="715">
        <v>92681</v>
      </c>
      <c r="B267" s="716" t="s">
        <v>2803</v>
      </c>
      <c r="C267" s="717">
        <v>1.17E-5</v>
      </c>
      <c r="D267" s="717">
        <v>1.01E-5</v>
      </c>
      <c r="E267" s="718">
        <v>17874</v>
      </c>
      <c r="F267" s="718"/>
      <c r="G267" s="719">
        <v>1030</v>
      </c>
      <c r="H267" s="720">
        <v>4340</v>
      </c>
      <c r="I267" s="719">
        <v>2553</v>
      </c>
      <c r="J267" s="718">
        <v>13621</v>
      </c>
      <c r="K267" s="720">
        <f t="shared" si="8"/>
        <v>21544</v>
      </c>
      <c r="L267" s="718"/>
      <c r="M267" s="719">
        <v>506</v>
      </c>
      <c r="N267" s="719">
        <v>0</v>
      </c>
      <c r="O267" s="718">
        <v>0</v>
      </c>
      <c r="P267" s="720">
        <f t="shared" si="9"/>
        <v>506</v>
      </c>
      <c r="Q267" s="718"/>
      <c r="R267" s="719">
        <v>6024</v>
      </c>
      <c r="S267" s="721">
        <v>4960</v>
      </c>
      <c r="T267" s="721">
        <v>10984</v>
      </c>
    </row>
    <row r="268" spans="1:20" x14ac:dyDescent="0.25">
      <c r="A268" s="715">
        <v>92701</v>
      </c>
      <c r="B268" s="716" t="s">
        <v>2804</v>
      </c>
      <c r="C268" s="717">
        <v>3.0777000000000001E-3</v>
      </c>
      <c r="D268" s="717">
        <v>2.9588000000000001E-3</v>
      </c>
      <c r="E268" s="718">
        <v>4701873</v>
      </c>
      <c r="F268" s="718"/>
      <c r="G268" s="719">
        <v>270871</v>
      </c>
      <c r="H268" s="720">
        <v>1141620</v>
      </c>
      <c r="I268" s="719">
        <v>671493</v>
      </c>
      <c r="J268" s="718">
        <v>48990</v>
      </c>
      <c r="K268" s="720">
        <f t="shared" si="8"/>
        <v>2132974</v>
      </c>
      <c r="L268" s="718"/>
      <c r="M268" s="719">
        <v>133095</v>
      </c>
      <c r="N268" s="719">
        <v>0</v>
      </c>
      <c r="O268" s="718">
        <v>42924</v>
      </c>
      <c r="P268" s="720">
        <f t="shared" si="9"/>
        <v>176019</v>
      </c>
      <c r="Q268" s="718"/>
      <c r="R268" s="719">
        <v>1584535</v>
      </c>
      <c r="S268" s="721">
        <v>-25139</v>
      </c>
      <c r="T268" s="721">
        <f>1559397-1</f>
        <v>1559396</v>
      </c>
    </row>
    <row r="269" spans="1:20" x14ac:dyDescent="0.25">
      <c r="A269" s="715">
        <v>92704</v>
      </c>
      <c r="B269" s="716" t="s">
        <v>2805</v>
      </c>
      <c r="C269" s="717">
        <v>4.1600000000000002E-5</v>
      </c>
      <c r="D269" s="717">
        <v>4.7700000000000001E-5</v>
      </c>
      <c r="E269" s="718">
        <v>63553</v>
      </c>
      <c r="F269" s="718"/>
      <c r="G269" s="719">
        <v>3661</v>
      </c>
      <c r="H269" s="720">
        <v>15431</v>
      </c>
      <c r="I269" s="719">
        <v>9076</v>
      </c>
      <c r="J269" s="718">
        <v>1560</v>
      </c>
      <c r="K269" s="720">
        <f t="shared" si="8"/>
        <v>29728</v>
      </c>
      <c r="L269" s="718"/>
      <c r="M269" s="719">
        <v>1799</v>
      </c>
      <c r="N269" s="719">
        <v>0</v>
      </c>
      <c r="O269" s="718">
        <v>5674</v>
      </c>
      <c r="P269" s="720">
        <f t="shared" si="9"/>
        <v>7473</v>
      </c>
      <c r="Q269" s="718"/>
      <c r="R269" s="719">
        <v>21418</v>
      </c>
      <c r="S269" s="721">
        <v>-706</v>
      </c>
      <c r="T269" s="721">
        <f>20711+1</f>
        <v>20712</v>
      </c>
    </row>
    <row r="270" spans="1:20" x14ac:dyDescent="0.25">
      <c r="A270" s="715">
        <v>92801</v>
      </c>
      <c r="B270" s="716" t="s">
        <v>2806</v>
      </c>
      <c r="C270" s="717">
        <v>5.0951E-3</v>
      </c>
      <c r="D270" s="717">
        <v>5.1701000000000004E-3</v>
      </c>
      <c r="E270" s="718">
        <v>7783901</v>
      </c>
      <c r="F270" s="718"/>
      <c r="G270" s="719">
        <v>448425</v>
      </c>
      <c r="H270" s="720">
        <v>1889940</v>
      </c>
      <c r="I270" s="719">
        <v>1111649</v>
      </c>
      <c r="J270" s="718">
        <v>152907</v>
      </c>
      <c r="K270" s="720">
        <f t="shared" si="8"/>
        <v>3602921</v>
      </c>
      <c r="L270" s="718"/>
      <c r="M270" s="719">
        <v>220338</v>
      </c>
      <c r="N270" s="719">
        <v>0</v>
      </c>
      <c r="O270" s="718">
        <v>0</v>
      </c>
      <c r="P270" s="720">
        <f t="shared" si="9"/>
        <v>220338</v>
      </c>
      <c r="Q270" s="718"/>
      <c r="R270" s="719">
        <v>2623182</v>
      </c>
      <c r="S270" s="721">
        <v>81450</v>
      </c>
      <c r="T270" s="721">
        <f>2704631+1</f>
        <v>2704632</v>
      </c>
    </row>
    <row r="271" spans="1:20" x14ac:dyDescent="0.25">
      <c r="A271" s="715">
        <v>92802</v>
      </c>
      <c r="B271" s="716" t="s">
        <v>2807</v>
      </c>
      <c r="C271" s="717">
        <v>1.2970000000000001E-4</v>
      </c>
      <c r="D271" s="717">
        <v>1.3410000000000001E-4</v>
      </c>
      <c r="E271" s="718">
        <v>198146</v>
      </c>
      <c r="F271" s="718"/>
      <c r="G271" s="719">
        <v>11415</v>
      </c>
      <c r="H271" s="720">
        <v>48110</v>
      </c>
      <c r="I271" s="719">
        <v>28298</v>
      </c>
      <c r="J271" s="718">
        <v>0</v>
      </c>
      <c r="K271" s="720">
        <f t="shared" si="8"/>
        <v>87823</v>
      </c>
      <c r="L271" s="718"/>
      <c r="M271" s="719">
        <v>5609</v>
      </c>
      <c r="N271" s="719">
        <v>0</v>
      </c>
      <c r="O271" s="718">
        <v>17517</v>
      </c>
      <c r="P271" s="720">
        <f t="shared" si="9"/>
        <v>23126</v>
      </c>
      <c r="Q271" s="718"/>
      <c r="R271" s="719">
        <v>66775</v>
      </c>
      <c r="S271" s="721">
        <v>-6938</v>
      </c>
      <c r="T271" s="721">
        <v>59837</v>
      </c>
    </row>
    <row r="272" spans="1:20" x14ac:dyDescent="0.25">
      <c r="A272" s="715">
        <v>92804</v>
      </c>
      <c r="B272" s="716" t="s">
        <v>2808</v>
      </c>
      <c r="C272" s="717">
        <v>1.36E-4</v>
      </c>
      <c r="D272" s="717">
        <v>1.47E-4</v>
      </c>
      <c r="E272" s="718">
        <v>207770</v>
      </c>
      <c r="F272" s="718"/>
      <c r="G272" s="719">
        <v>11969</v>
      </c>
      <c r="H272" s="720">
        <v>50447</v>
      </c>
      <c r="I272" s="719">
        <v>29672</v>
      </c>
      <c r="J272" s="718">
        <v>8730</v>
      </c>
      <c r="K272" s="720">
        <f t="shared" si="8"/>
        <v>100818</v>
      </c>
      <c r="L272" s="718"/>
      <c r="M272" s="719">
        <v>5881</v>
      </c>
      <c r="N272" s="719">
        <v>0</v>
      </c>
      <c r="O272" s="718">
        <v>12427</v>
      </c>
      <c r="P272" s="720">
        <f t="shared" si="9"/>
        <v>18308</v>
      </c>
      <c r="Q272" s="718"/>
      <c r="R272" s="719">
        <v>70019</v>
      </c>
      <c r="S272" s="721">
        <v>-172</v>
      </c>
      <c r="T272" s="721">
        <v>69847</v>
      </c>
    </row>
    <row r="273" spans="1:20" x14ac:dyDescent="0.25">
      <c r="A273" s="715">
        <v>92811</v>
      </c>
      <c r="B273" s="716" t="s">
        <v>2809</v>
      </c>
      <c r="C273" s="717">
        <v>1.0036000000000001E-3</v>
      </c>
      <c r="D273" s="717">
        <v>9.8569999999999994E-4</v>
      </c>
      <c r="E273" s="718">
        <v>1533223</v>
      </c>
      <c r="F273" s="718"/>
      <c r="G273" s="719">
        <v>88328</v>
      </c>
      <c r="H273" s="720">
        <v>372269</v>
      </c>
      <c r="I273" s="719">
        <v>218965</v>
      </c>
      <c r="J273" s="718">
        <v>0</v>
      </c>
      <c r="K273" s="720">
        <f t="shared" si="8"/>
        <v>679562</v>
      </c>
      <c r="L273" s="718"/>
      <c r="M273" s="719">
        <v>43401</v>
      </c>
      <c r="N273" s="719">
        <v>0</v>
      </c>
      <c r="O273" s="718">
        <v>85272</v>
      </c>
      <c r="P273" s="720">
        <f t="shared" si="9"/>
        <v>128673</v>
      </c>
      <c r="Q273" s="718"/>
      <c r="R273" s="719">
        <v>516697</v>
      </c>
      <c r="S273" s="721">
        <v>-36667</v>
      </c>
      <c r="T273" s="721">
        <v>480030</v>
      </c>
    </row>
    <row r="274" spans="1:20" x14ac:dyDescent="0.25">
      <c r="A274" s="715">
        <v>92821</v>
      </c>
      <c r="B274" s="716" t="s">
        <v>2810</v>
      </c>
      <c r="C274" s="717">
        <v>9.9400000000000009E-4</v>
      </c>
      <c r="D274" s="717">
        <v>1.0139999999999999E-3</v>
      </c>
      <c r="E274" s="718">
        <v>1518557</v>
      </c>
      <c r="F274" s="718"/>
      <c r="G274" s="719">
        <v>87483</v>
      </c>
      <c r="H274" s="720">
        <v>368707</v>
      </c>
      <c r="I274" s="719">
        <v>216871</v>
      </c>
      <c r="J274" s="718">
        <v>24870</v>
      </c>
      <c r="K274" s="720">
        <f t="shared" si="8"/>
        <v>697931</v>
      </c>
      <c r="L274" s="718"/>
      <c r="M274" s="719">
        <v>42986</v>
      </c>
      <c r="N274" s="719">
        <v>0</v>
      </c>
      <c r="O274" s="718">
        <v>0</v>
      </c>
      <c r="P274" s="720">
        <f t="shared" si="9"/>
        <v>42986</v>
      </c>
      <c r="Q274" s="718"/>
      <c r="R274" s="719">
        <v>511755</v>
      </c>
      <c r="S274" s="721">
        <v>10495</v>
      </c>
      <c r="T274" s="721">
        <v>522250</v>
      </c>
    </row>
    <row r="275" spans="1:20" x14ac:dyDescent="0.25">
      <c r="A275" s="715">
        <v>92831</v>
      </c>
      <c r="B275" s="716" t="s">
        <v>2811</v>
      </c>
      <c r="C275" s="717">
        <v>2.1829999999999999E-4</v>
      </c>
      <c r="D275" s="717">
        <v>2.476E-4</v>
      </c>
      <c r="E275" s="718">
        <v>333502</v>
      </c>
      <c r="F275" s="718"/>
      <c r="G275" s="719">
        <v>19213</v>
      </c>
      <c r="H275" s="720">
        <v>80975</v>
      </c>
      <c r="I275" s="719">
        <v>47629</v>
      </c>
      <c r="J275" s="718">
        <v>19156</v>
      </c>
      <c r="K275" s="720">
        <f t="shared" si="8"/>
        <v>166973</v>
      </c>
      <c r="L275" s="718"/>
      <c r="M275" s="719">
        <v>9440</v>
      </c>
      <c r="N275" s="719">
        <v>0</v>
      </c>
      <c r="O275" s="718">
        <v>2159</v>
      </c>
      <c r="P275" s="720">
        <f t="shared" si="9"/>
        <v>11599</v>
      </c>
      <c r="Q275" s="718"/>
      <c r="R275" s="719">
        <v>112390</v>
      </c>
      <c r="S275" s="721">
        <v>9503</v>
      </c>
      <c r="T275" s="721">
        <f>121894-1</f>
        <v>121893</v>
      </c>
    </row>
    <row r="276" spans="1:20" x14ac:dyDescent="0.25">
      <c r="A276" s="715">
        <v>92841</v>
      </c>
      <c r="B276" s="716" t="s">
        <v>2812</v>
      </c>
      <c r="C276" s="717">
        <v>2.7809999999999998E-4</v>
      </c>
      <c r="D276" s="717">
        <v>2.8160000000000001E-4</v>
      </c>
      <c r="E276" s="718">
        <v>424860</v>
      </c>
      <c r="F276" s="718"/>
      <c r="G276" s="719">
        <v>24476</v>
      </c>
      <c r="H276" s="720">
        <v>103157</v>
      </c>
      <c r="I276" s="719">
        <v>60676</v>
      </c>
      <c r="J276" s="718">
        <v>5821</v>
      </c>
      <c r="K276" s="720">
        <f t="shared" si="8"/>
        <v>194130</v>
      </c>
      <c r="L276" s="718"/>
      <c r="M276" s="719">
        <v>12026</v>
      </c>
      <c r="N276" s="719">
        <v>0</v>
      </c>
      <c r="O276" s="718">
        <v>13149</v>
      </c>
      <c r="P276" s="720">
        <f t="shared" si="9"/>
        <v>25175</v>
      </c>
      <c r="Q276" s="718"/>
      <c r="R276" s="719">
        <v>143178</v>
      </c>
      <c r="S276" s="721">
        <v>2288</v>
      </c>
      <c r="T276" s="721">
        <v>145466</v>
      </c>
    </row>
    <row r="277" spans="1:20" x14ac:dyDescent="0.25">
      <c r="A277" s="715">
        <v>92851</v>
      </c>
      <c r="B277" s="716" t="s">
        <v>2813</v>
      </c>
      <c r="C277" s="717">
        <v>4.6079999999999998E-4</v>
      </c>
      <c r="D277" s="717">
        <v>4.3909999999999999E-4</v>
      </c>
      <c r="E277" s="718">
        <v>703975</v>
      </c>
      <c r="F277" s="718"/>
      <c r="G277" s="719">
        <v>40555</v>
      </c>
      <c r="H277" s="720">
        <v>170926</v>
      </c>
      <c r="I277" s="719">
        <v>100537</v>
      </c>
      <c r="J277" s="718">
        <v>0</v>
      </c>
      <c r="K277" s="720">
        <f t="shared" si="8"/>
        <v>312018</v>
      </c>
      <c r="L277" s="718"/>
      <c r="M277" s="719">
        <v>19927</v>
      </c>
      <c r="N277" s="719">
        <v>0</v>
      </c>
      <c r="O277" s="718">
        <v>62664</v>
      </c>
      <c r="P277" s="720">
        <f t="shared" si="9"/>
        <v>82591</v>
      </c>
      <c r="Q277" s="718"/>
      <c r="R277" s="719">
        <v>237240</v>
      </c>
      <c r="S277" s="721">
        <v>-35531</v>
      </c>
      <c r="T277" s="721">
        <v>201709</v>
      </c>
    </row>
    <row r="278" spans="1:20" x14ac:dyDescent="0.25">
      <c r="A278" s="715">
        <v>92861</v>
      </c>
      <c r="B278" s="716" t="s">
        <v>2814</v>
      </c>
      <c r="C278" s="717">
        <v>3.6010000000000003E-4</v>
      </c>
      <c r="D278" s="717">
        <v>3.3629999999999999E-4</v>
      </c>
      <c r="E278" s="718">
        <v>550133</v>
      </c>
      <c r="F278" s="718"/>
      <c r="G278" s="719">
        <v>31693</v>
      </c>
      <c r="H278" s="720">
        <v>133573</v>
      </c>
      <c r="I278" s="719">
        <v>78567</v>
      </c>
      <c r="J278" s="718">
        <v>0</v>
      </c>
      <c r="K278" s="720">
        <f t="shared" si="8"/>
        <v>243833</v>
      </c>
      <c r="L278" s="718"/>
      <c r="M278" s="719">
        <v>15573</v>
      </c>
      <c r="N278" s="719">
        <v>0</v>
      </c>
      <c r="O278" s="718">
        <v>83092</v>
      </c>
      <c r="P278" s="720">
        <f t="shared" si="9"/>
        <v>98665</v>
      </c>
      <c r="Q278" s="718"/>
      <c r="R278" s="719">
        <v>185395</v>
      </c>
      <c r="S278" s="721">
        <v>-36908</v>
      </c>
      <c r="T278" s="721">
        <f>148488-1</f>
        <v>148487</v>
      </c>
    </row>
    <row r="279" spans="1:20" x14ac:dyDescent="0.25">
      <c r="A279" s="715">
        <v>92901</v>
      </c>
      <c r="B279" s="716" t="s">
        <v>2815</v>
      </c>
      <c r="C279" s="717">
        <v>5.5082999999999998E-3</v>
      </c>
      <c r="D279" s="717">
        <v>5.7581000000000004E-3</v>
      </c>
      <c r="E279" s="718">
        <v>8415157</v>
      </c>
      <c r="F279" s="718"/>
      <c r="G279" s="719">
        <v>484791</v>
      </c>
      <c r="H279" s="720">
        <v>2043211</v>
      </c>
      <c r="I279" s="719">
        <v>1201801</v>
      </c>
      <c r="J279" s="718">
        <v>65697</v>
      </c>
      <c r="K279" s="720">
        <f t="shared" si="8"/>
        <v>3795500</v>
      </c>
      <c r="L279" s="718"/>
      <c r="M279" s="719">
        <v>238206</v>
      </c>
      <c r="N279" s="719">
        <v>0</v>
      </c>
      <c r="O279" s="718">
        <v>124949</v>
      </c>
      <c r="P279" s="720">
        <f t="shared" si="9"/>
        <v>363155</v>
      </c>
      <c r="Q279" s="718"/>
      <c r="R279" s="719">
        <v>2835915</v>
      </c>
      <c r="S279" s="721">
        <v>6522</v>
      </c>
      <c r="T279" s="721">
        <f>2842438-1</f>
        <v>2842437</v>
      </c>
    </row>
    <row r="280" spans="1:20" x14ac:dyDescent="0.25">
      <c r="A280" s="715">
        <v>92911</v>
      </c>
      <c r="B280" s="716" t="s">
        <v>2816</v>
      </c>
      <c r="C280" s="717">
        <v>1.9548999999999999E-3</v>
      </c>
      <c r="D280" s="717">
        <v>1.9442999999999999E-3</v>
      </c>
      <c r="E280" s="718">
        <v>2986546</v>
      </c>
      <c r="F280" s="718"/>
      <c r="G280" s="719">
        <v>172053</v>
      </c>
      <c r="H280" s="720">
        <v>725137</v>
      </c>
      <c r="I280" s="719">
        <v>426520</v>
      </c>
      <c r="J280" s="718">
        <v>28442</v>
      </c>
      <c r="K280" s="720">
        <f t="shared" si="8"/>
        <v>1352152</v>
      </c>
      <c r="L280" s="718"/>
      <c r="M280" s="719">
        <v>84540</v>
      </c>
      <c r="N280" s="719">
        <v>0</v>
      </c>
      <c r="O280" s="718">
        <v>113525</v>
      </c>
      <c r="P280" s="720">
        <f t="shared" si="9"/>
        <v>198065</v>
      </c>
      <c r="Q280" s="718"/>
      <c r="R280" s="719">
        <v>1006469</v>
      </c>
      <c r="S280" s="721">
        <v>-55041</v>
      </c>
      <c r="T280" s="721">
        <v>951428</v>
      </c>
    </row>
    <row r="281" spans="1:20" x14ac:dyDescent="0.25">
      <c r="A281" s="715">
        <v>92913</v>
      </c>
      <c r="B281" s="716" t="s">
        <v>2817</v>
      </c>
      <c r="C281" s="717">
        <v>2.1999999999999999E-5</v>
      </c>
      <c r="D281" s="717">
        <v>2.37E-5</v>
      </c>
      <c r="E281" s="718">
        <v>33610</v>
      </c>
      <c r="F281" s="718"/>
      <c r="G281" s="719">
        <v>1936</v>
      </c>
      <c r="H281" s="720">
        <v>8160</v>
      </c>
      <c r="I281" s="719">
        <v>4800</v>
      </c>
      <c r="J281" s="718">
        <v>79442</v>
      </c>
      <c r="K281" s="720">
        <f t="shared" si="8"/>
        <v>94338</v>
      </c>
      <c r="L281" s="718"/>
      <c r="M281" s="719">
        <v>951</v>
      </c>
      <c r="N281" s="719">
        <v>0</v>
      </c>
      <c r="O281" s="718">
        <v>2047</v>
      </c>
      <c r="P281" s="720">
        <f t="shared" si="9"/>
        <v>2998</v>
      </c>
      <c r="Q281" s="718"/>
      <c r="R281" s="719">
        <v>11327</v>
      </c>
      <c r="S281" s="721">
        <v>25513</v>
      </c>
      <c r="T281" s="721">
        <v>36840</v>
      </c>
    </row>
    <row r="282" spans="1:20" x14ac:dyDescent="0.25">
      <c r="A282" s="715">
        <v>92914</v>
      </c>
      <c r="B282" s="716" t="s">
        <v>3553</v>
      </c>
      <c r="C282" s="717">
        <v>2.8900000000000001E-5</v>
      </c>
      <c r="D282" s="717">
        <v>0</v>
      </c>
      <c r="E282" s="718">
        <v>44151</v>
      </c>
      <c r="F282" s="718"/>
      <c r="G282" s="719">
        <v>2544</v>
      </c>
      <c r="H282" s="720">
        <v>10720</v>
      </c>
      <c r="I282" s="719">
        <v>6305</v>
      </c>
      <c r="J282" s="718">
        <v>17173</v>
      </c>
      <c r="K282" s="720">
        <f t="shared" si="8"/>
        <v>36742</v>
      </c>
      <c r="L282" s="718"/>
      <c r="M282" s="719">
        <v>1250</v>
      </c>
      <c r="N282" s="719">
        <v>0</v>
      </c>
      <c r="O282" s="718">
        <v>0</v>
      </c>
      <c r="P282" s="720">
        <f t="shared" si="9"/>
        <v>1250</v>
      </c>
      <c r="Q282" s="718"/>
      <c r="R282" s="719">
        <v>14879</v>
      </c>
      <c r="S282" s="721">
        <v>4293</v>
      </c>
      <c r="T282" s="721">
        <v>19172</v>
      </c>
    </row>
    <row r="283" spans="1:20" x14ac:dyDescent="0.25">
      <c r="A283" s="715">
        <v>92917</v>
      </c>
      <c r="B283" s="716" t="s">
        <v>2818</v>
      </c>
      <c r="C283" s="717">
        <v>1.4800000000000001E-5</v>
      </c>
      <c r="D283" s="717">
        <v>2.0000000000000002E-5</v>
      </c>
      <c r="E283" s="718">
        <v>22610</v>
      </c>
      <c r="F283" s="718"/>
      <c r="G283" s="719">
        <v>1303</v>
      </c>
      <c r="H283" s="720">
        <v>5490</v>
      </c>
      <c r="I283" s="719">
        <v>3229</v>
      </c>
      <c r="J283" s="718">
        <v>13223</v>
      </c>
      <c r="K283" s="720">
        <f t="shared" si="8"/>
        <v>23245</v>
      </c>
      <c r="L283" s="718"/>
      <c r="M283" s="719">
        <v>640</v>
      </c>
      <c r="N283" s="719">
        <v>0</v>
      </c>
      <c r="O283" s="718">
        <v>0</v>
      </c>
      <c r="P283" s="720">
        <f t="shared" si="9"/>
        <v>640</v>
      </c>
      <c r="Q283" s="718"/>
      <c r="R283" s="719">
        <v>7620</v>
      </c>
      <c r="S283" s="721">
        <v>6352</v>
      </c>
      <c r="T283" s="721">
        <f>13971+1</f>
        <v>13972</v>
      </c>
    </row>
    <row r="284" spans="1:20" x14ac:dyDescent="0.25">
      <c r="A284" s="715">
        <v>92921</v>
      </c>
      <c r="B284" s="716" t="s">
        <v>2819</v>
      </c>
      <c r="C284" s="717">
        <v>7.4400000000000006E-5</v>
      </c>
      <c r="D284" s="717">
        <v>6.2899999999999997E-5</v>
      </c>
      <c r="E284" s="718">
        <v>113663</v>
      </c>
      <c r="F284" s="718"/>
      <c r="G284" s="719">
        <v>6548</v>
      </c>
      <c r="H284" s="720">
        <v>27597</v>
      </c>
      <c r="I284" s="719">
        <v>16233</v>
      </c>
      <c r="J284" s="718">
        <v>13244</v>
      </c>
      <c r="K284" s="720">
        <f t="shared" si="8"/>
        <v>63622</v>
      </c>
      <c r="L284" s="718"/>
      <c r="M284" s="719">
        <v>3217</v>
      </c>
      <c r="N284" s="719">
        <v>0</v>
      </c>
      <c r="O284" s="718">
        <v>7831</v>
      </c>
      <c r="P284" s="720">
        <f t="shared" si="9"/>
        <v>11048</v>
      </c>
      <c r="Q284" s="718"/>
      <c r="R284" s="719">
        <v>38304</v>
      </c>
      <c r="S284" s="721">
        <v>-2914</v>
      </c>
      <c r="T284" s="721">
        <v>35390</v>
      </c>
    </row>
    <row r="285" spans="1:20" x14ac:dyDescent="0.25">
      <c r="A285" s="715">
        <v>92931</v>
      </c>
      <c r="B285" s="716" t="s">
        <v>2820</v>
      </c>
      <c r="C285" s="717">
        <v>2.3996E-3</v>
      </c>
      <c r="D285" s="717">
        <v>2.5048000000000002E-3</v>
      </c>
      <c r="E285" s="718">
        <v>3665924</v>
      </c>
      <c r="F285" s="718"/>
      <c r="G285" s="719">
        <v>211191</v>
      </c>
      <c r="H285" s="720">
        <v>890091</v>
      </c>
      <c r="I285" s="719">
        <v>523545</v>
      </c>
      <c r="J285" s="718">
        <v>7721</v>
      </c>
      <c r="K285" s="720">
        <f t="shared" si="8"/>
        <v>1632548</v>
      </c>
      <c r="L285" s="718"/>
      <c r="M285" s="719">
        <v>103771</v>
      </c>
      <c r="N285" s="719">
        <v>0</v>
      </c>
      <c r="O285" s="718">
        <v>147858</v>
      </c>
      <c r="P285" s="720">
        <f t="shared" si="9"/>
        <v>251629</v>
      </c>
      <c r="Q285" s="718"/>
      <c r="R285" s="719">
        <v>1235420</v>
      </c>
      <c r="S285" s="721">
        <v>-41276</v>
      </c>
      <c r="T285" s="721">
        <v>1194144</v>
      </c>
    </row>
    <row r="286" spans="1:20" x14ac:dyDescent="0.25">
      <c r="A286" s="715">
        <v>92941</v>
      </c>
      <c r="B286" s="716" t="s">
        <v>1420</v>
      </c>
      <c r="C286" s="717">
        <v>1.2300000000000001E-5</v>
      </c>
      <c r="D286" s="717">
        <v>1.84E-5</v>
      </c>
      <c r="E286" s="718">
        <v>18791</v>
      </c>
      <c r="F286" s="718"/>
      <c r="G286" s="719">
        <v>1083</v>
      </c>
      <c r="H286" s="720">
        <v>4563</v>
      </c>
      <c r="I286" s="719">
        <v>2684</v>
      </c>
      <c r="J286" s="718">
        <v>6612</v>
      </c>
      <c r="K286" s="720">
        <f t="shared" si="8"/>
        <v>14942</v>
      </c>
      <c r="L286" s="718"/>
      <c r="M286" s="719">
        <v>532</v>
      </c>
      <c r="N286" s="719">
        <v>0</v>
      </c>
      <c r="O286" s="718">
        <v>1770</v>
      </c>
      <c r="P286" s="720">
        <f t="shared" si="9"/>
        <v>2302</v>
      </c>
      <c r="Q286" s="718"/>
      <c r="R286" s="719">
        <v>6333</v>
      </c>
      <c r="S286" s="721">
        <v>3162</v>
      </c>
      <c r="T286" s="721">
        <v>9495</v>
      </c>
    </row>
    <row r="287" spans="1:20" x14ac:dyDescent="0.25">
      <c r="A287" s="715">
        <v>93001</v>
      </c>
      <c r="B287" s="716" t="s">
        <v>2821</v>
      </c>
      <c r="C287" s="717">
        <v>2.2227000000000002E-3</v>
      </c>
      <c r="D287" s="717">
        <v>2.2739000000000001E-3</v>
      </c>
      <c r="E287" s="718">
        <v>3395670</v>
      </c>
      <c r="F287" s="718"/>
      <c r="G287" s="719">
        <v>195622</v>
      </c>
      <c r="H287" s="720">
        <v>824473</v>
      </c>
      <c r="I287" s="719">
        <v>484949</v>
      </c>
      <c r="J287" s="718">
        <v>8733</v>
      </c>
      <c r="K287" s="720">
        <f t="shared" si="8"/>
        <v>1513777</v>
      </c>
      <c r="L287" s="718"/>
      <c r="M287" s="719">
        <v>96121</v>
      </c>
      <c r="N287" s="719">
        <v>0</v>
      </c>
      <c r="O287" s="718">
        <v>123729</v>
      </c>
      <c r="P287" s="720">
        <f t="shared" si="9"/>
        <v>219850</v>
      </c>
      <c r="Q287" s="718"/>
      <c r="R287" s="719">
        <v>1144344</v>
      </c>
      <c r="S287" s="721">
        <v>-57358</v>
      </c>
      <c r="T287" s="721">
        <v>1086986</v>
      </c>
    </row>
    <row r="288" spans="1:20" x14ac:dyDescent="0.25">
      <c r="A288" s="715">
        <v>93009</v>
      </c>
      <c r="B288" s="716" t="s">
        <v>2822</v>
      </c>
      <c r="C288" s="717">
        <v>1.47E-5</v>
      </c>
      <c r="D288" s="717">
        <v>1.5400000000000002E-5</v>
      </c>
      <c r="E288" s="718">
        <v>22458</v>
      </c>
      <c r="F288" s="718"/>
      <c r="G288" s="719">
        <v>1294</v>
      </c>
      <c r="H288" s="720">
        <v>5453</v>
      </c>
      <c r="I288" s="719">
        <v>3207</v>
      </c>
      <c r="J288" s="718">
        <v>0</v>
      </c>
      <c r="K288" s="720">
        <f t="shared" si="8"/>
        <v>9954</v>
      </c>
      <c r="L288" s="718"/>
      <c r="M288" s="719">
        <v>636</v>
      </c>
      <c r="N288" s="719">
        <v>0</v>
      </c>
      <c r="O288" s="718">
        <v>4280</v>
      </c>
      <c r="P288" s="720">
        <f t="shared" si="9"/>
        <v>4916</v>
      </c>
      <c r="Q288" s="718"/>
      <c r="R288" s="719">
        <v>7568</v>
      </c>
      <c r="S288" s="721">
        <v>-1918</v>
      </c>
      <c r="T288" s="721">
        <v>5650</v>
      </c>
    </row>
    <row r="289" spans="1:20" x14ac:dyDescent="0.25">
      <c r="A289" s="715">
        <v>93011</v>
      </c>
      <c r="B289" s="716" t="s">
        <v>2823</v>
      </c>
      <c r="C289" s="717">
        <v>2.2699999999999999E-4</v>
      </c>
      <c r="D289" s="717">
        <v>2.6160000000000002E-4</v>
      </c>
      <c r="E289" s="718">
        <v>346793</v>
      </c>
      <c r="F289" s="718"/>
      <c r="G289" s="719">
        <v>19978</v>
      </c>
      <c r="H289" s="720">
        <v>84202</v>
      </c>
      <c r="I289" s="719">
        <v>49527</v>
      </c>
      <c r="J289" s="718">
        <v>1542</v>
      </c>
      <c r="K289" s="720">
        <f t="shared" si="8"/>
        <v>155249</v>
      </c>
      <c r="L289" s="718"/>
      <c r="M289" s="719">
        <v>9817</v>
      </c>
      <c r="N289" s="719">
        <v>0</v>
      </c>
      <c r="O289" s="718">
        <v>15019</v>
      </c>
      <c r="P289" s="720">
        <f t="shared" si="9"/>
        <v>24836</v>
      </c>
      <c r="Q289" s="718"/>
      <c r="R289" s="719">
        <v>116870</v>
      </c>
      <c r="S289" s="721">
        <v>-3863</v>
      </c>
      <c r="T289" s="721">
        <v>113007</v>
      </c>
    </row>
    <row r="290" spans="1:20" x14ac:dyDescent="0.25">
      <c r="A290" s="715">
        <v>93021</v>
      </c>
      <c r="B290" s="716" t="s">
        <v>2824</v>
      </c>
      <c r="C290" s="717">
        <v>3.4199999999999998E-5</v>
      </c>
      <c r="D290" s="717">
        <v>2.8900000000000001E-5</v>
      </c>
      <c r="E290" s="718">
        <v>52248</v>
      </c>
      <c r="F290" s="718"/>
      <c r="G290" s="719">
        <v>3010</v>
      </c>
      <c r="H290" s="720">
        <v>12686</v>
      </c>
      <c r="I290" s="719">
        <v>7462</v>
      </c>
      <c r="J290" s="718">
        <v>3788</v>
      </c>
      <c r="K290" s="720">
        <f t="shared" si="8"/>
        <v>26946</v>
      </c>
      <c r="L290" s="718"/>
      <c r="M290" s="719">
        <v>1479</v>
      </c>
      <c r="N290" s="719">
        <v>0</v>
      </c>
      <c r="O290" s="718">
        <v>4978</v>
      </c>
      <c r="P290" s="720">
        <f t="shared" si="9"/>
        <v>6457</v>
      </c>
      <c r="Q290" s="718"/>
      <c r="R290" s="719">
        <v>17608</v>
      </c>
      <c r="S290" s="721">
        <v>260</v>
      </c>
      <c r="T290" s="721">
        <v>17868</v>
      </c>
    </row>
    <row r="291" spans="1:20" x14ac:dyDescent="0.25">
      <c r="A291" s="715">
        <v>93027</v>
      </c>
      <c r="B291" s="716" t="s">
        <v>2825</v>
      </c>
      <c r="C291" s="717">
        <v>1.6699999999999999E-5</v>
      </c>
      <c r="D291" s="717">
        <v>1.6699999999999999E-5</v>
      </c>
      <c r="E291" s="718">
        <v>25513</v>
      </c>
      <c r="F291" s="718"/>
      <c r="G291" s="719">
        <v>1470</v>
      </c>
      <c r="H291" s="720">
        <v>6194</v>
      </c>
      <c r="I291" s="719">
        <v>3644</v>
      </c>
      <c r="J291" s="718">
        <v>1152</v>
      </c>
      <c r="K291" s="720">
        <f t="shared" si="8"/>
        <v>12460</v>
      </c>
      <c r="L291" s="718"/>
      <c r="M291" s="719">
        <v>722</v>
      </c>
      <c r="N291" s="719">
        <v>0</v>
      </c>
      <c r="O291" s="718">
        <v>834</v>
      </c>
      <c r="P291" s="720">
        <f t="shared" si="9"/>
        <v>1556</v>
      </c>
      <c r="Q291" s="718"/>
      <c r="R291" s="719">
        <v>8598</v>
      </c>
      <c r="S291" s="721">
        <v>-308</v>
      </c>
      <c r="T291" s="721">
        <v>8290</v>
      </c>
    </row>
    <row r="292" spans="1:20" x14ac:dyDescent="0.25">
      <c r="A292" s="715">
        <v>93031</v>
      </c>
      <c r="B292" s="716" t="s">
        <v>2826</v>
      </c>
      <c r="C292" s="717">
        <v>2.1699999999999999E-5</v>
      </c>
      <c r="D292" s="717">
        <v>2.2399999999999999E-5</v>
      </c>
      <c r="E292" s="718">
        <v>33152</v>
      </c>
      <c r="F292" s="718"/>
      <c r="G292" s="719">
        <v>1910</v>
      </c>
      <c r="H292" s="720">
        <v>8050</v>
      </c>
      <c r="I292" s="719">
        <v>4735</v>
      </c>
      <c r="J292" s="718">
        <v>18910</v>
      </c>
      <c r="K292" s="720">
        <f t="shared" si="8"/>
        <v>33605</v>
      </c>
      <c r="L292" s="718"/>
      <c r="M292" s="719">
        <v>938</v>
      </c>
      <c r="N292" s="719">
        <v>0</v>
      </c>
      <c r="O292" s="718">
        <v>221</v>
      </c>
      <c r="P292" s="720">
        <f t="shared" si="9"/>
        <v>1159</v>
      </c>
      <c r="Q292" s="718"/>
      <c r="R292" s="719">
        <v>11172</v>
      </c>
      <c r="S292" s="721">
        <v>5880</v>
      </c>
      <c r="T292" s="721">
        <v>17052</v>
      </c>
    </row>
    <row r="293" spans="1:20" x14ac:dyDescent="0.25">
      <c r="A293" s="715">
        <v>93101</v>
      </c>
      <c r="B293" s="716" t="s">
        <v>2827</v>
      </c>
      <c r="C293" s="717">
        <v>3.5159000000000002E-3</v>
      </c>
      <c r="D293" s="717">
        <v>3.5771000000000002E-3</v>
      </c>
      <c r="E293" s="718">
        <v>5371321</v>
      </c>
      <c r="F293" s="718"/>
      <c r="G293" s="719">
        <v>309438</v>
      </c>
      <c r="H293" s="720">
        <v>1304163</v>
      </c>
      <c r="I293" s="719">
        <v>767099</v>
      </c>
      <c r="J293" s="718">
        <v>104257</v>
      </c>
      <c r="K293" s="720">
        <f t="shared" si="8"/>
        <v>2484957</v>
      </c>
      <c r="L293" s="718"/>
      <c r="M293" s="719">
        <v>152045</v>
      </c>
      <c r="N293" s="719">
        <v>0</v>
      </c>
      <c r="O293" s="718">
        <v>115334</v>
      </c>
      <c r="P293" s="720">
        <f t="shared" si="9"/>
        <v>267379</v>
      </c>
      <c r="Q293" s="718"/>
      <c r="R293" s="719">
        <v>1810140</v>
      </c>
      <c r="S293" s="721">
        <v>39451</v>
      </c>
      <c r="T293" s="721">
        <v>1849591</v>
      </c>
    </row>
    <row r="294" spans="1:20" x14ac:dyDescent="0.25">
      <c r="A294" s="715">
        <v>93103</v>
      </c>
      <c r="B294" s="716" t="s">
        <v>2096</v>
      </c>
      <c r="C294" s="717">
        <v>1.7099999999999999E-5</v>
      </c>
      <c r="D294" s="717">
        <v>1.7200000000000001E-5</v>
      </c>
      <c r="E294" s="718">
        <v>26124</v>
      </c>
      <c r="F294" s="718"/>
      <c r="G294" s="719">
        <v>1505</v>
      </c>
      <c r="H294" s="720">
        <v>6343</v>
      </c>
      <c r="I294" s="719">
        <v>3731</v>
      </c>
      <c r="J294" s="718">
        <v>6718</v>
      </c>
      <c r="K294" s="720">
        <f t="shared" si="8"/>
        <v>18297</v>
      </c>
      <c r="L294" s="718"/>
      <c r="M294" s="719">
        <v>739</v>
      </c>
      <c r="N294" s="719">
        <v>0</v>
      </c>
      <c r="O294" s="718">
        <v>1798</v>
      </c>
      <c r="P294" s="720">
        <f t="shared" si="9"/>
        <v>2537</v>
      </c>
      <c r="Q294" s="718"/>
      <c r="R294" s="719">
        <v>8804</v>
      </c>
      <c r="S294" s="721">
        <v>2085</v>
      </c>
      <c r="T294" s="721">
        <v>10889</v>
      </c>
    </row>
    <row r="295" spans="1:20" x14ac:dyDescent="0.25">
      <c r="A295" s="715">
        <v>93108</v>
      </c>
      <c r="B295" s="716" t="s">
        <v>2828</v>
      </c>
      <c r="C295" s="717">
        <v>2.6624999999999999E-3</v>
      </c>
      <c r="D295" s="717">
        <v>2.5661999999999998E-3</v>
      </c>
      <c r="E295" s="718">
        <v>4067562</v>
      </c>
      <c r="F295" s="718"/>
      <c r="G295" s="719">
        <v>234329</v>
      </c>
      <c r="H295" s="720">
        <v>987609</v>
      </c>
      <c r="I295" s="719">
        <v>580904</v>
      </c>
      <c r="J295" s="718">
        <v>274861</v>
      </c>
      <c r="K295" s="720">
        <f t="shared" si="8"/>
        <v>2077703</v>
      </c>
      <c r="L295" s="718"/>
      <c r="M295" s="719">
        <v>115140</v>
      </c>
      <c r="N295" s="719">
        <v>0</v>
      </c>
      <c r="O295" s="718">
        <v>0</v>
      </c>
      <c r="P295" s="720">
        <f t="shared" si="9"/>
        <v>115140</v>
      </c>
      <c r="Q295" s="718"/>
      <c r="R295" s="719">
        <v>1370772</v>
      </c>
      <c r="S295" s="721">
        <v>189775</v>
      </c>
      <c r="T295" s="721">
        <v>1560547</v>
      </c>
    </row>
    <row r="296" spans="1:20" x14ac:dyDescent="0.25">
      <c r="A296" s="715">
        <v>93111</v>
      </c>
      <c r="B296" s="716" t="s">
        <v>2829</v>
      </c>
      <c r="C296" s="717">
        <v>5.8499999999999999E-5</v>
      </c>
      <c r="D296" s="717">
        <v>7.08E-5</v>
      </c>
      <c r="E296" s="718">
        <v>89372</v>
      </c>
      <c r="F296" s="718"/>
      <c r="G296" s="719">
        <v>5149</v>
      </c>
      <c r="H296" s="720">
        <v>21700</v>
      </c>
      <c r="I296" s="719">
        <v>12764</v>
      </c>
      <c r="J296" s="718">
        <v>0</v>
      </c>
      <c r="K296" s="720">
        <f t="shared" si="8"/>
        <v>39613</v>
      </c>
      <c r="L296" s="718"/>
      <c r="M296" s="719">
        <v>2530</v>
      </c>
      <c r="N296" s="719">
        <v>0</v>
      </c>
      <c r="O296" s="718">
        <v>15463</v>
      </c>
      <c r="P296" s="720">
        <f t="shared" si="9"/>
        <v>17993</v>
      </c>
      <c r="Q296" s="718"/>
      <c r="R296" s="719">
        <v>30118</v>
      </c>
      <c r="S296" s="721">
        <v>-5541</v>
      </c>
      <c r="T296" s="721">
        <f>24578-1</f>
        <v>24577</v>
      </c>
    </row>
    <row r="297" spans="1:20" x14ac:dyDescent="0.25">
      <c r="A297" s="715">
        <v>93121</v>
      </c>
      <c r="B297" s="716" t="s">
        <v>2830</v>
      </c>
      <c r="C297" s="717">
        <v>6.2299999999999996E-5</v>
      </c>
      <c r="D297" s="717">
        <v>5.8900000000000002E-5</v>
      </c>
      <c r="E297" s="718">
        <v>95177</v>
      </c>
      <c r="F297" s="718"/>
      <c r="G297" s="719">
        <v>5483</v>
      </c>
      <c r="H297" s="720">
        <v>23109</v>
      </c>
      <c r="I297" s="719">
        <v>13593</v>
      </c>
      <c r="J297" s="718">
        <v>2043</v>
      </c>
      <c r="K297" s="720">
        <f t="shared" si="8"/>
        <v>44228</v>
      </c>
      <c r="L297" s="718"/>
      <c r="M297" s="719">
        <v>2694</v>
      </c>
      <c r="N297" s="719">
        <v>0</v>
      </c>
      <c r="O297" s="718">
        <v>9059</v>
      </c>
      <c r="P297" s="720">
        <f t="shared" si="9"/>
        <v>11753</v>
      </c>
      <c r="Q297" s="718"/>
      <c r="R297" s="719">
        <v>32075</v>
      </c>
      <c r="S297" s="721">
        <v>-3552</v>
      </c>
      <c r="T297" s="721">
        <f>28522+1</f>
        <v>28523</v>
      </c>
    </row>
    <row r="298" spans="1:20" x14ac:dyDescent="0.25">
      <c r="A298" s="715">
        <v>93127</v>
      </c>
      <c r="B298" s="716" t="s">
        <v>2831</v>
      </c>
      <c r="C298" s="717">
        <v>6.9E-6</v>
      </c>
      <c r="D298" s="717">
        <v>6.8000000000000001E-6</v>
      </c>
      <c r="E298" s="718">
        <v>10541</v>
      </c>
      <c r="F298" s="718"/>
      <c r="G298" s="719">
        <v>607</v>
      </c>
      <c r="H298" s="720">
        <v>2560</v>
      </c>
      <c r="I298" s="719">
        <v>1505</v>
      </c>
      <c r="J298" s="718">
        <v>124</v>
      </c>
      <c r="K298" s="720">
        <f t="shared" si="8"/>
        <v>4796</v>
      </c>
      <c r="L298" s="718"/>
      <c r="M298" s="719">
        <v>298</v>
      </c>
      <c r="N298" s="719">
        <v>0</v>
      </c>
      <c r="O298" s="718">
        <v>731</v>
      </c>
      <c r="P298" s="720">
        <f t="shared" si="9"/>
        <v>1029</v>
      </c>
      <c r="Q298" s="718"/>
      <c r="R298" s="719">
        <v>3552</v>
      </c>
      <c r="S298" s="721">
        <v>-369</v>
      </c>
      <c r="T298" s="721">
        <v>3183</v>
      </c>
    </row>
    <row r="299" spans="1:20" x14ac:dyDescent="0.25">
      <c r="A299" s="715">
        <v>93131</v>
      </c>
      <c r="B299" s="716" t="s">
        <v>2832</v>
      </c>
      <c r="C299" s="717">
        <v>2.218E-4</v>
      </c>
      <c r="D299" s="717">
        <v>2.3939999999999999E-4</v>
      </c>
      <c r="E299" s="718">
        <v>338849</v>
      </c>
      <c r="F299" s="718"/>
      <c r="G299" s="719">
        <v>19521</v>
      </c>
      <c r="H299" s="720">
        <v>82273</v>
      </c>
      <c r="I299" s="719">
        <v>48392</v>
      </c>
      <c r="J299" s="718">
        <v>7888</v>
      </c>
      <c r="K299" s="720">
        <f t="shared" si="8"/>
        <v>158074</v>
      </c>
      <c r="L299" s="718"/>
      <c r="M299" s="719">
        <v>9592</v>
      </c>
      <c r="N299" s="719">
        <v>0</v>
      </c>
      <c r="O299" s="718">
        <v>21906</v>
      </c>
      <c r="P299" s="720">
        <f t="shared" si="9"/>
        <v>31498</v>
      </c>
      <c r="Q299" s="718"/>
      <c r="R299" s="719">
        <v>114192</v>
      </c>
      <c r="S299" s="721">
        <v>-530</v>
      </c>
      <c r="T299" s="721">
        <v>113662</v>
      </c>
    </row>
    <row r="300" spans="1:20" x14ac:dyDescent="0.25">
      <c r="A300" s="715">
        <v>93137</v>
      </c>
      <c r="B300" s="716" t="s">
        <v>2833</v>
      </c>
      <c r="C300" s="717">
        <v>3.3000000000000002E-6</v>
      </c>
      <c r="D300" s="717">
        <v>1.9E-6</v>
      </c>
      <c r="E300" s="718">
        <v>5041</v>
      </c>
      <c r="F300" s="718"/>
      <c r="G300" s="719">
        <v>290</v>
      </c>
      <c r="H300" s="720">
        <v>1224</v>
      </c>
      <c r="I300" s="719">
        <v>720</v>
      </c>
      <c r="J300" s="718">
        <v>2709</v>
      </c>
      <c r="K300" s="720">
        <f t="shared" si="8"/>
        <v>4943</v>
      </c>
      <c r="L300" s="718"/>
      <c r="M300" s="719">
        <v>143</v>
      </c>
      <c r="N300" s="719">
        <v>0</v>
      </c>
      <c r="O300" s="718">
        <v>0</v>
      </c>
      <c r="P300" s="720">
        <f t="shared" si="9"/>
        <v>143</v>
      </c>
      <c r="Q300" s="718"/>
      <c r="R300" s="719">
        <v>1699</v>
      </c>
      <c r="S300" s="721">
        <v>839</v>
      </c>
      <c r="T300" s="721">
        <v>2538</v>
      </c>
    </row>
    <row r="301" spans="1:20" x14ac:dyDescent="0.25">
      <c r="A301" s="715">
        <v>93141</v>
      </c>
      <c r="B301" s="716" t="s">
        <v>2834</v>
      </c>
      <c r="C301" s="717">
        <v>4.1100000000000003E-5</v>
      </c>
      <c r="D301" s="717">
        <v>4.5500000000000001E-5</v>
      </c>
      <c r="E301" s="718">
        <v>62789</v>
      </c>
      <c r="F301" s="718"/>
      <c r="G301" s="719">
        <v>3617</v>
      </c>
      <c r="H301" s="720">
        <v>15246</v>
      </c>
      <c r="I301" s="719">
        <v>8967</v>
      </c>
      <c r="J301" s="718">
        <v>2083</v>
      </c>
      <c r="K301" s="720">
        <f t="shared" si="8"/>
        <v>29913</v>
      </c>
      <c r="L301" s="718"/>
      <c r="M301" s="719">
        <v>1777</v>
      </c>
      <c r="N301" s="719">
        <v>0</v>
      </c>
      <c r="O301" s="718">
        <v>7408</v>
      </c>
      <c r="P301" s="720">
        <f t="shared" si="9"/>
        <v>9185</v>
      </c>
      <c r="Q301" s="718"/>
      <c r="R301" s="719">
        <v>21160</v>
      </c>
      <c r="S301" s="721">
        <v>-351</v>
      </c>
      <c r="T301" s="721">
        <v>20809</v>
      </c>
    </row>
    <row r="302" spans="1:20" x14ac:dyDescent="0.25">
      <c r="A302" s="715">
        <v>93151</v>
      </c>
      <c r="B302" s="716" t="s">
        <v>2835</v>
      </c>
      <c r="C302" s="717">
        <v>3.4279999999999998E-4</v>
      </c>
      <c r="D302" s="717">
        <v>3.6539999999999999E-4</v>
      </c>
      <c r="E302" s="718">
        <v>523703</v>
      </c>
      <c r="F302" s="718"/>
      <c r="G302" s="719">
        <v>30170</v>
      </c>
      <c r="H302" s="720">
        <v>127156</v>
      </c>
      <c r="I302" s="719">
        <v>74792</v>
      </c>
      <c r="J302" s="718">
        <v>3795</v>
      </c>
      <c r="K302" s="720">
        <f t="shared" si="8"/>
        <v>235913</v>
      </c>
      <c r="L302" s="718"/>
      <c r="M302" s="719">
        <v>14824</v>
      </c>
      <c r="N302" s="719">
        <v>0</v>
      </c>
      <c r="O302" s="718">
        <v>19989</v>
      </c>
      <c r="P302" s="720">
        <f t="shared" si="9"/>
        <v>34813</v>
      </c>
      <c r="Q302" s="718"/>
      <c r="R302" s="719">
        <v>176489</v>
      </c>
      <c r="S302" s="721">
        <v>-4355</v>
      </c>
      <c r="T302" s="721">
        <f>172133+1</f>
        <v>172134</v>
      </c>
    </row>
    <row r="303" spans="1:20" x14ac:dyDescent="0.25">
      <c r="A303" s="715">
        <v>93157</v>
      </c>
      <c r="B303" s="716" t="s">
        <v>2836</v>
      </c>
      <c r="C303" s="717">
        <v>3.5999999999999998E-6</v>
      </c>
      <c r="D303" s="717">
        <v>3.8E-6</v>
      </c>
      <c r="E303" s="718">
        <v>5500</v>
      </c>
      <c r="F303" s="718"/>
      <c r="G303" s="719">
        <v>317</v>
      </c>
      <c r="H303" s="720">
        <v>1336</v>
      </c>
      <c r="I303" s="719">
        <v>785</v>
      </c>
      <c r="J303" s="718">
        <v>6931</v>
      </c>
      <c r="K303" s="720">
        <f t="shared" si="8"/>
        <v>9369</v>
      </c>
      <c r="L303" s="718"/>
      <c r="M303" s="719">
        <v>156</v>
      </c>
      <c r="N303" s="719">
        <v>0</v>
      </c>
      <c r="O303" s="718">
        <v>340</v>
      </c>
      <c r="P303" s="720">
        <f t="shared" si="9"/>
        <v>496</v>
      </c>
      <c r="Q303" s="718"/>
      <c r="R303" s="719">
        <v>1853</v>
      </c>
      <c r="S303" s="721">
        <v>2783</v>
      </c>
      <c r="T303" s="721">
        <f>4637-1</f>
        <v>4636</v>
      </c>
    </row>
    <row r="304" spans="1:20" x14ac:dyDescent="0.25">
      <c r="A304" s="715">
        <v>93161</v>
      </c>
      <c r="B304" s="716" t="s">
        <v>2837</v>
      </c>
      <c r="C304" s="717">
        <v>1.038E-4</v>
      </c>
      <c r="D304" s="717">
        <v>6.2500000000000001E-5</v>
      </c>
      <c r="E304" s="718">
        <v>158578</v>
      </c>
      <c r="F304" s="718"/>
      <c r="G304" s="719">
        <v>9136</v>
      </c>
      <c r="H304" s="720">
        <v>38503</v>
      </c>
      <c r="I304" s="719">
        <v>22647</v>
      </c>
      <c r="J304" s="718">
        <v>35990</v>
      </c>
      <c r="K304" s="720">
        <f t="shared" si="8"/>
        <v>106276</v>
      </c>
      <c r="L304" s="718"/>
      <c r="M304" s="719">
        <v>4489</v>
      </c>
      <c r="N304" s="719">
        <v>0</v>
      </c>
      <c r="O304" s="718">
        <v>0</v>
      </c>
      <c r="P304" s="720">
        <f t="shared" si="9"/>
        <v>4489</v>
      </c>
      <c r="Q304" s="718"/>
      <c r="R304" s="719">
        <v>53441</v>
      </c>
      <c r="S304" s="721">
        <v>13001</v>
      </c>
      <c r="T304" s="721">
        <v>66442</v>
      </c>
    </row>
    <row r="305" spans="1:20" x14ac:dyDescent="0.25">
      <c r="A305" s="715">
        <v>93171</v>
      </c>
      <c r="B305" s="716" t="s">
        <v>2838</v>
      </c>
      <c r="C305" s="717">
        <v>5.2000000000000002E-6</v>
      </c>
      <c r="D305" s="717">
        <v>5.8000000000000004E-6</v>
      </c>
      <c r="E305" s="718">
        <v>7944</v>
      </c>
      <c r="F305" s="718"/>
      <c r="G305" s="719">
        <v>458</v>
      </c>
      <c r="H305" s="720">
        <v>1929</v>
      </c>
      <c r="I305" s="719">
        <v>1135</v>
      </c>
      <c r="J305" s="718">
        <v>1960</v>
      </c>
      <c r="K305" s="720">
        <f t="shared" si="8"/>
        <v>5482</v>
      </c>
      <c r="L305" s="718"/>
      <c r="M305" s="719">
        <v>225</v>
      </c>
      <c r="N305" s="719">
        <v>0</v>
      </c>
      <c r="O305" s="718">
        <v>0</v>
      </c>
      <c r="P305" s="720">
        <f t="shared" si="9"/>
        <v>225</v>
      </c>
      <c r="Q305" s="718"/>
      <c r="R305" s="719">
        <v>2677</v>
      </c>
      <c r="S305" s="721">
        <v>791</v>
      </c>
      <c r="T305" s="721">
        <v>3468</v>
      </c>
    </row>
    <row r="306" spans="1:20" x14ac:dyDescent="0.25">
      <c r="A306" s="715">
        <v>93181</v>
      </c>
      <c r="B306" s="716" t="s">
        <v>2839</v>
      </c>
      <c r="C306" s="717">
        <v>1.13E-5</v>
      </c>
      <c r="D306" s="717">
        <v>1.1E-5</v>
      </c>
      <c r="E306" s="718">
        <v>17263</v>
      </c>
      <c r="F306" s="718"/>
      <c r="G306" s="719">
        <v>995</v>
      </c>
      <c r="H306" s="720">
        <v>4191</v>
      </c>
      <c r="I306" s="719">
        <v>2465</v>
      </c>
      <c r="J306" s="718">
        <v>772</v>
      </c>
      <c r="K306" s="720">
        <f t="shared" si="8"/>
        <v>8423</v>
      </c>
      <c r="L306" s="718"/>
      <c r="M306" s="719">
        <v>489</v>
      </c>
      <c r="N306" s="719">
        <v>0</v>
      </c>
      <c r="O306" s="718">
        <v>28</v>
      </c>
      <c r="P306" s="720">
        <f t="shared" si="9"/>
        <v>517</v>
      </c>
      <c r="Q306" s="718"/>
      <c r="R306" s="719">
        <v>5818</v>
      </c>
      <c r="S306" s="721">
        <v>412</v>
      </c>
      <c r="T306" s="721">
        <v>6230</v>
      </c>
    </row>
    <row r="307" spans="1:20" x14ac:dyDescent="0.25">
      <c r="A307" s="715">
        <v>93191</v>
      </c>
      <c r="B307" s="716" t="s">
        <v>2840</v>
      </c>
      <c r="C307" s="717">
        <v>2.4600000000000002E-5</v>
      </c>
      <c r="D307" s="717">
        <v>3.3000000000000003E-5</v>
      </c>
      <c r="E307" s="718">
        <v>37582</v>
      </c>
      <c r="F307" s="718"/>
      <c r="G307" s="719">
        <v>2165</v>
      </c>
      <c r="H307" s="720">
        <v>9125</v>
      </c>
      <c r="I307" s="719">
        <v>5367</v>
      </c>
      <c r="J307" s="718">
        <v>1713</v>
      </c>
      <c r="K307" s="720">
        <f t="shared" si="8"/>
        <v>18370</v>
      </c>
      <c r="L307" s="718"/>
      <c r="M307" s="719">
        <v>1064</v>
      </c>
      <c r="N307" s="719">
        <v>0</v>
      </c>
      <c r="O307" s="718">
        <v>2443</v>
      </c>
      <c r="P307" s="720">
        <f t="shared" si="9"/>
        <v>3507</v>
      </c>
      <c r="Q307" s="718"/>
      <c r="R307" s="719">
        <v>12665</v>
      </c>
      <c r="S307" s="721">
        <v>-169</v>
      </c>
      <c r="T307" s="721">
        <v>12496</v>
      </c>
    </row>
    <row r="308" spans="1:20" x14ac:dyDescent="0.25">
      <c r="A308" s="715">
        <v>93201</v>
      </c>
      <c r="B308" s="716" t="s">
        <v>2841</v>
      </c>
      <c r="C308" s="717">
        <v>1.5517E-2</v>
      </c>
      <c r="D308" s="717">
        <v>1.5819699999999999E-2</v>
      </c>
      <c r="E308" s="718">
        <v>23705678</v>
      </c>
      <c r="F308" s="718"/>
      <c r="G308" s="719">
        <v>1365667</v>
      </c>
      <c r="H308" s="720">
        <v>5755768</v>
      </c>
      <c r="I308" s="719">
        <v>3385499</v>
      </c>
      <c r="J308" s="718">
        <v>809545</v>
      </c>
      <c r="K308" s="720">
        <f t="shared" si="8"/>
        <v>11316479</v>
      </c>
      <c r="L308" s="718"/>
      <c r="M308" s="719">
        <v>671033</v>
      </c>
      <c r="N308" s="719">
        <v>0</v>
      </c>
      <c r="O308" s="718">
        <v>206420</v>
      </c>
      <c r="P308" s="720">
        <f t="shared" si="9"/>
        <v>877453</v>
      </c>
      <c r="Q308" s="718"/>
      <c r="R308" s="719">
        <v>7988834</v>
      </c>
      <c r="S308" s="721">
        <v>397964</v>
      </c>
      <c r="T308" s="721">
        <f>8386799-1</f>
        <v>8386798</v>
      </c>
    </row>
    <row r="309" spans="1:20" x14ac:dyDescent="0.25">
      <c r="A309" s="715">
        <v>93202</v>
      </c>
      <c r="B309" s="716" t="s">
        <v>2842</v>
      </c>
      <c r="C309" s="717">
        <v>0</v>
      </c>
      <c r="D309" s="717">
        <v>0</v>
      </c>
      <c r="E309" s="718">
        <v>0</v>
      </c>
      <c r="F309" s="718"/>
      <c r="G309" s="719">
        <v>0</v>
      </c>
      <c r="H309" s="720">
        <v>0</v>
      </c>
      <c r="I309" s="719">
        <v>0</v>
      </c>
      <c r="J309" s="718">
        <v>0</v>
      </c>
      <c r="K309" s="720">
        <f t="shared" si="8"/>
        <v>0</v>
      </c>
      <c r="L309" s="718"/>
      <c r="M309" s="719">
        <v>0</v>
      </c>
      <c r="N309" s="719">
        <v>0</v>
      </c>
      <c r="O309" s="718">
        <v>212519</v>
      </c>
      <c r="P309" s="720">
        <f t="shared" si="9"/>
        <v>212519</v>
      </c>
      <c r="Q309" s="718"/>
      <c r="R309" s="719">
        <v>0</v>
      </c>
      <c r="S309" s="721">
        <v>-109544</v>
      </c>
      <c r="T309" s="721">
        <v>-109544</v>
      </c>
    </row>
    <row r="310" spans="1:20" x14ac:dyDescent="0.25">
      <c r="A310" s="715">
        <v>93204</v>
      </c>
      <c r="B310" s="716" t="s">
        <v>2843</v>
      </c>
      <c r="C310" s="717">
        <v>3.0279999999999999E-4</v>
      </c>
      <c r="D310" s="717">
        <v>2.9480000000000001E-4</v>
      </c>
      <c r="E310" s="718">
        <v>462595</v>
      </c>
      <c r="F310" s="718"/>
      <c r="G310" s="719">
        <v>26650</v>
      </c>
      <c r="H310" s="720">
        <v>112319</v>
      </c>
      <c r="I310" s="719">
        <v>66065</v>
      </c>
      <c r="J310" s="718">
        <v>24167</v>
      </c>
      <c r="K310" s="720">
        <f t="shared" si="8"/>
        <v>229201</v>
      </c>
      <c r="L310" s="718"/>
      <c r="M310" s="719">
        <v>13095</v>
      </c>
      <c r="N310" s="719">
        <v>0</v>
      </c>
      <c r="O310" s="718">
        <v>9452</v>
      </c>
      <c r="P310" s="720">
        <f t="shared" si="9"/>
        <v>22547</v>
      </c>
      <c r="Q310" s="718"/>
      <c r="R310" s="719">
        <v>155895</v>
      </c>
      <c r="S310" s="721">
        <v>782</v>
      </c>
      <c r="T310" s="721">
        <v>156677</v>
      </c>
    </row>
    <row r="311" spans="1:20" x14ac:dyDescent="0.25">
      <c r="A311" s="715">
        <v>93209</v>
      </c>
      <c r="B311" s="716" t="s">
        <v>2844</v>
      </c>
      <c r="C311" s="717">
        <v>4.6693999999999998E-3</v>
      </c>
      <c r="D311" s="717">
        <v>4.5113999999999996E-3</v>
      </c>
      <c r="E311" s="718">
        <v>7133550</v>
      </c>
      <c r="F311" s="718"/>
      <c r="G311" s="719">
        <v>410959</v>
      </c>
      <c r="H311" s="720">
        <v>1732035</v>
      </c>
      <c r="I311" s="719">
        <v>1018770</v>
      </c>
      <c r="J311" s="718">
        <v>838336</v>
      </c>
      <c r="K311" s="720">
        <f t="shared" si="8"/>
        <v>4000100</v>
      </c>
      <c r="L311" s="718"/>
      <c r="M311" s="719">
        <v>201928</v>
      </c>
      <c r="N311" s="719">
        <v>0</v>
      </c>
      <c r="O311" s="718">
        <v>0</v>
      </c>
      <c r="P311" s="720">
        <f t="shared" si="9"/>
        <v>201928</v>
      </c>
      <c r="Q311" s="718"/>
      <c r="R311" s="719">
        <v>2404013</v>
      </c>
      <c r="S311" s="721">
        <v>551077</v>
      </c>
      <c r="T311" s="721">
        <v>2955090</v>
      </c>
    </row>
    <row r="312" spans="1:20" x14ac:dyDescent="0.25">
      <c r="A312" s="715">
        <v>93211</v>
      </c>
      <c r="B312" s="716" t="s">
        <v>2845</v>
      </c>
      <c r="C312" s="717">
        <v>2.0374099999999999E-2</v>
      </c>
      <c r="D312" s="717">
        <v>2.0456800000000001E-2</v>
      </c>
      <c r="E312" s="718">
        <v>31125981</v>
      </c>
      <c r="F312" s="718"/>
      <c r="G312" s="719">
        <v>1793145</v>
      </c>
      <c r="H312" s="720">
        <v>7557426</v>
      </c>
      <c r="I312" s="719">
        <v>4445221</v>
      </c>
      <c r="J312" s="718">
        <v>0</v>
      </c>
      <c r="K312" s="720">
        <f t="shared" si="8"/>
        <v>13795792</v>
      </c>
      <c r="L312" s="718"/>
      <c r="M312" s="719">
        <v>881078</v>
      </c>
      <c r="N312" s="719">
        <v>0</v>
      </c>
      <c r="O312" s="718">
        <v>991023</v>
      </c>
      <c r="P312" s="720">
        <f t="shared" si="9"/>
        <v>1872101</v>
      </c>
      <c r="Q312" s="718"/>
      <c r="R312" s="719">
        <v>10489483</v>
      </c>
      <c r="S312" s="721">
        <v>-507236</v>
      </c>
      <c r="T312" s="721">
        <v>9982247</v>
      </c>
    </row>
    <row r="313" spans="1:20" x14ac:dyDescent="0.25">
      <c r="A313" s="715">
        <v>93212</v>
      </c>
      <c r="B313" s="716" t="s">
        <v>2846</v>
      </c>
      <c r="C313" s="717">
        <v>2.2130000000000001E-4</v>
      </c>
      <c r="D313" s="717">
        <v>2.052E-4</v>
      </c>
      <c r="E313" s="718">
        <v>338085</v>
      </c>
      <c r="F313" s="718"/>
      <c r="G313" s="719">
        <v>19477</v>
      </c>
      <c r="H313" s="720">
        <v>82087</v>
      </c>
      <c r="I313" s="719">
        <v>48283</v>
      </c>
      <c r="J313" s="718">
        <v>158429</v>
      </c>
      <c r="K313" s="720">
        <f t="shared" si="8"/>
        <v>308276</v>
      </c>
      <c r="L313" s="718"/>
      <c r="M313" s="719">
        <v>9570</v>
      </c>
      <c r="N313" s="719">
        <v>0</v>
      </c>
      <c r="O313" s="718">
        <v>0</v>
      </c>
      <c r="P313" s="720">
        <f t="shared" si="9"/>
        <v>9570</v>
      </c>
      <c r="Q313" s="718"/>
      <c r="R313" s="719">
        <v>113935</v>
      </c>
      <c r="S313" s="721">
        <v>53448</v>
      </c>
      <c r="T313" s="721">
        <v>167383</v>
      </c>
    </row>
    <row r="314" spans="1:20" x14ac:dyDescent="0.25">
      <c r="A314" s="715">
        <v>93219</v>
      </c>
      <c r="B314" s="716" t="s">
        <v>2847</v>
      </c>
      <c r="C314" s="717">
        <v>2.6289999999999999E-4</v>
      </c>
      <c r="D314" s="717">
        <v>2.286E-4</v>
      </c>
      <c r="E314" s="718">
        <v>401638</v>
      </c>
      <c r="F314" s="718"/>
      <c r="G314" s="719">
        <v>23138</v>
      </c>
      <c r="H314" s="720">
        <v>97518</v>
      </c>
      <c r="I314" s="719">
        <v>57360</v>
      </c>
      <c r="J314" s="718">
        <v>22706</v>
      </c>
      <c r="K314" s="720">
        <f t="shared" si="8"/>
        <v>200722</v>
      </c>
      <c r="L314" s="718"/>
      <c r="M314" s="719">
        <v>11369</v>
      </c>
      <c r="N314" s="719">
        <v>0</v>
      </c>
      <c r="O314" s="718">
        <v>9094</v>
      </c>
      <c r="P314" s="720">
        <f t="shared" si="9"/>
        <v>20463</v>
      </c>
      <c r="Q314" s="718"/>
      <c r="R314" s="719">
        <v>135352</v>
      </c>
      <c r="S314" s="721">
        <v>1456</v>
      </c>
      <c r="T314" s="721">
        <f>136809-1</f>
        <v>136808</v>
      </c>
    </row>
    <row r="315" spans="1:20" x14ac:dyDescent="0.25">
      <c r="A315" s="715">
        <v>93301</v>
      </c>
      <c r="B315" s="716" t="s">
        <v>2848</v>
      </c>
      <c r="C315" s="717">
        <v>2.5243000000000002E-3</v>
      </c>
      <c r="D315" s="717">
        <v>2.5330999999999999E-3</v>
      </c>
      <c r="E315" s="718">
        <v>3856431</v>
      </c>
      <c r="F315" s="718"/>
      <c r="G315" s="719">
        <v>222166</v>
      </c>
      <c r="H315" s="720">
        <v>936346</v>
      </c>
      <c r="I315" s="719">
        <v>550752</v>
      </c>
      <c r="J315" s="718">
        <v>47371</v>
      </c>
      <c r="K315" s="720">
        <f t="shared" si="8"/>
        <v>1756635</v>
      </c>
      <c r="L315" s="718"/>
      <c r="M315" s="719">
        <v>109163</v>
      </c>
      <c r="N315" s="719">
        <v>0</v>
      </c>
      <c r="O315" s="718">
        <v>61692</v>
      </c>
      <c r="P315" s="720">
        <f t="shared" si="9"/>
        <v>170855</v>
      </c>
      <c r="Q315" s="718"/>
      <c r="R315" s="719">
        <v>1299621</v>
      </c>
      <c r="S315" s="721">
        <v>-19789</v>
      </c>
      <c r="T315" s="721">
        <f>1279831+1</f>
        <v>1279832</v>
      </c>
    </row>
    <row r="316" spans="1:20" x14ac:dyDescent="0.25">
      <c r="A316" s="715">
        <v>93304</v>
      </c>
      <c r="B316" s="716" t="s">
        <v>2849</v>
      </c>
      <c r="C316" s="717">
        <v>3.0300000000000001E-5</v>
      </c>
      <c r="D316" s="717">
        <v>3.4400000000000003E-5</v>
      </c>
      <c r="E316" s="718">
        <v>46290</v>
      </c>
      <c r="F316" s="718"/>
      <c r="G316" s="719">
        <v>2667</v>
      </c>
      <c r="H316" s="720">
        <v>11239</v>
      </c>
      <c r="I316" s="719">
        <v>6611</v>
      </c>
      <c r="J316" s="718">
        <v>9418</v>
      </c>
      <c r="K316" s="720">
        <f t="shared" si="8"/>
        <v>29935</v>
      </c>
      <c r="L316" s="718"/>
      <c r="M316" s="719">
        <v>1310</v>
      </c>
      <c r="N316" s="719">
        <v>0</v>
      </c>
      <c r="O316" s="718">
        <v>0</v>
      </c>
      <c r="P316" s="720">
        <f t="shared" si="9"/>
        <v>1310</v>
      </c>
      <c r="Q316" s="718"/>
      <c r="R316" s="719">
        <v>15600</v>
      </c>
      <c r="S316" s="721">
        <v>5129</v>
      </c>
      <c r="T316" s="721">
        <v>20729</v>
      </c>
    </row>
    <row r="317" spans="1:20" x14ac:dyDescent="0.25">
      <c r="A317" s="715">
        <v>93305</v>
      </c>
      <c r="B317" s="716" t="s">
        <v>2850</v>
      </c>
      <c r="C317" s="717">
        <v>4.6999999999999997E-5</v>
      </c>
      <c r="D317" s="717">
        <v>4.9400000000000001E-5</v>
      </c>
      <c r="E317" s="718">
        <v>71803</v>
      </c>
      <c r="F317" s="718"/>
      <c r="G317" s="719">
        <v>4137</v>
      </c>
      <c r="H317" s="720">
        <v>17434</v>
      </c>
      <c r="I317" s="719">
        <v>10254</v>
      </c>
      <c r="J317" s="718">
        <v>0</v>
      </c>
      <c r="K317" s="720">
        <f t="shared" si="8"/>
        <v>31825</v>
      </c>
      <c r="L317" s="718"/>
      <c r="M317" s="719">
        <v>2033</v>
      </c>
      <c r="N317" s="719">
        <v>0</v>
      </c>
      <c r="O317" s="718">
        <v>5631</v>
      </c>
      <c r="P317" s="720">
        <f t="shared" si="9"/>
        <v>7664</v>
      </c>
      <c r="Q317" s="718"/>
      <c r="R317" s="719">
        <v>24198</v>
      </c>
      <c r="S317" s="721">
        <v>-1929</v>
      </c>
      <c r="T317" s="721">
        <v>22269</v>
      </c>
    </row>
    <row r="318" spans="1:20" x14ac:dyDescent="0.25">
      <c r="A318" s="715">
        <v>93309</v>
      </c>
      <c r="B318" s="716" t="s">
        <v>2851</v>
      </c>
      <c r="C318" s="717">
        <v>1.63E-4</v>
      </c>
      <c r="D318" s="717">
        <v>1.716E-4</v>
      </c>
      <c r="E318" s="718">
        <v>249019</v>
      </c>
      <c r="F318" s="718"/>
      <c r="G318" s="719">
        <v>14346</v>
      </c>
      <c r="H318" s="720">
        <v>60462</v>
      </c>
      <c r="I318" s="719">
        <v>35563</v>
      </c>
      <c r="J318" s="718">
        <v>22457</v>
      </c>
      <c r="K318" s="720">
        <f t="shared" si="8"/>
        <v>132828</v>
      </c>
      <c r="L318" s="718"/>
      <c r="M318" s="719">
        <v>7049</v>
      </c>
      <c r="N318" s="719">
        <v>0</v>
      </c>
      <c r="O318" s="718">
        <v>981</v>
      </c>
      <c r="P318" s="720">
        <f t="shared" si="9"/>
        <v>8030</v>
      </c>
      <c r="Q318" s="718"/>
      <c r="R318" s="719">
        <v>83920</v>
      </c>
      <c r="S318" s="721">
        <v>7147</v>
      </c>
      <c r="T318" s="721">
        <v>91067</v>
      </c>
    </row>
    <row r="319" spans="1:20" x14ac:dyDescent="0.25">
      <c r="A319" s="715">
        <v>93311</v>
      </c>
      <c r="B319" s="716" t="s">
        <v>2852</v>
      </c>
      <c r="C319" s="717">
        <v>1.1665E-3</v>
      </c>
      <c r="D319" s="717">
        <v>1.1567000000000001E-3</v>
      </c>
      <c r="E319" s="718">
        <v>1782089</v>
      </c>
      <c r="F319" s="718"/>
      <c r="G319" s="719">
        <v>102665</v>
      </c>
      <c r="H319" s="720">
        <v>432693</v>
      </c>
      <c r="I319" s="719">
        <v>254507</v>
      </c>
      <c r="J319" s="718">
        <v>1699</v>
      </c>
      <c r="K319" s="720">
        <f t="shared" si="8"/>
        <v>791564</v>
      </c>
      <c r="L319" s="718"/>
      <c r="M319" s="719">
        <v>50445</v>
      </c>
      <c r="N319" s="719">
        <v>0</v>
      </c>
      <c r="O319" s="718">
        <v>83745</v>
      </c>
      <c r="P319" s="720">
        <f t="shared" si="9"/>
        <v>134190</v>
      </c>
      <c r="Q319" s="718"/>
      <c r="R319" s="719">
        <v>600566</v>
      </c>
      <c r="S319" s="721">
        <v>-37677</v>
      </c>
      <c r="T319" s="721">
        <v>562889</v>
      </c>
    </row>
    <row r="320" spans="1:20" x14ac:dyDescent="0.25">
      <c r="A320" s="715">
        <v>93317</v>
      </c>
      <c r="B320" s="716" t="s">
        <v>2853</v>
      </c>
      <c r="C320" s="717">
        <v>5.0099999999999998E-5</v>
      </c>
      <c r="D320" s="717">
        <v>4.8099999999999997E-5</v>
      </c>
      <c r="E320" s="718">
        <v>76539</v>
      </c>
      <c r="F320" s="718"/>
      <c r="G320" s="719">
        <v>4409</v>
      </c>
      <c r="H320" s="720">
        <v>18583</v>
      </c>
      <c r="I320" s="719">
        <v>10931</v>
      </c>
      <c r="J320" s="718">
        <v>805</v>
      </c>
      <c r="K320" s="720">
        <f t="shared" si="8"/>
        <v>34728</v>
      </c>
      <c r="L320" s="718"/>
      <c r="M320" s="719">
        <v>2167</v>
      </c>
      <c r="N320" s="719">
        <v>0</v>
      </c>
      <c r="O320" s="718">
        <v>277</v>
      </c>
      <c r="P320" s="720">
        <f t="shared" si="9"/>
        <v>2444</v>
      </c>
      <c r="Q320" s="718"/>
      <c r="R320" s="719">
        <v>25794</v>
      </c>
      <c r="S320" s="721">
        <v>-23</v>
      </c>
      <c r="T320" s="721">
        <f>25770+1</f>
        <v>25771</v>
      </c>
    </row>
    <row r="321" spans="1:20" x14ac:dyDescent="0.25">
      <c r="A321" s="715">
        <v>93321</v>
      </c>
      <c r="B321" s="716" t="s">
        <v>2854</v>
      </c>
      <c r="C321" s="717">
        <v>7.3600000000000002E-3</v>
      </c>
      <c r="D321" s="717">
        <v>7.4706E-3</v>
      </c>
      <c r="E321" s="718">
        <v>11244041</v>
      </c>
      <c r="F321" s="718"/>
      <c r="G321" s="719">
        <v>647761</v>
      </c>
      <c r="H321" s="720">
        <v>2730067</v>
      </c>
      <c r="I321" s="719">
        <v>1605805</v>
      </c>
      <c r="J321" s="718">
        <v>0</v>
      </c>
      <c r="K321" s="720">
        <f t="shared" si="8"/>
        <v>4983633</v>
      </c>
      <c r="L321" s="718"/>
      <c r="M321" s="719">
        <v>318283</v>
      </c>
      <c r="N321" s="719">
        <v>0</v>
      </c>
      <c r="O321" s="718">
        <v>681688</v>
      </c>
      <c r="P321" s="720">
        <f t="shared" si="9"/>
        <v>999971</v>
      </c>
      <c r="Q321" s="718"/>
      <c r="R321" s="719">
        <v>3789252</v>
      </c>
      <c r="S321" s="721">
        <v>-330030</v>
      </c>
      <c r="T321" s="721">
        <f>3459221+1</f>
        <v>3459222</v>
      </c>
    </row>
    <row r="322" spans="1:20" x14ac:dyDescent="0.25">
      <c r="A322" s="715">
        <v>93323</v>
      </c>
      <c r="B322" s="716" t="s">
        <v>2855</v>
      </c>
      <c r="C322" s="717">
        <v>2.19E-5</v>
      </c>
      <c r="D322" s="717">
        <v>1.0200000000000001E-5</v>
      </c>
      <c r="E322" s="718">
        <v>33457</v>
      </c>
      <c r="F322" s="718"/>
      <c r="G322" s="719">
        <v>1927</v>
      </c>
      <c r="H322" s="720">
        <v>8123</v>
      </c>
      <c r="I322" s="719">
        <v>4778</v>
      </c>
      <c r="J322" s="718">
        <v>8607</v>
      </c>
      <c r="K322" s="720">
        <f t="shared" si="8"/>
        <v>23435</v>
      </c>
      <c r="L322" s="718"/>
      <c r="M322" s="719">
        <v>947</v>
      </c>
      <c r="N322" s="719">
        <v>0</v>
      </c>
      <c r="O322" s="718">
        <v>1100</v>
      </c>
      <c r="P322" s="720">
        <f t="shared" si="9"/>
        <v>2047</v>
      </c>
      <c r="Q322" s="718"/>
      <c r="R322" s="719">
        <v>11275</v>
      </c>
      <c r="S322" s="721">
        <v>2519</v>
      </c>
      <c r="T322" s="721">
        <v>13794</v>
      </c>
    </row>
    <row r="323" spans="1:20" x14ac:dyDescent="0.25">
      <c r="A323" s="715">
        <v>93331</v>
      </c>
      <c r="B323" s="716" t="s">
        <v>2856</v>
      </c>
      <c r="C323" s="717">
        <v>1.208E-4</v>
      </c>
      <c r="D323" s="717">
        <v>1.3090000000000001E-4</v>
      </c>
      <c r="E323" s="718">
        <v>184549</v>
      </c>
      <c r="F323" s="718"/>
      <c r="G323" s="719">
        <v>10632</v>
      </c>
      <c r="H323" s="720">
        <v>44809</v>
      </c>
      <c r="I323" s="719">
        <v>26356</v>
      </c>
      <c r="J323" s="718">
        <v>2512</v>
      </c>
      <c r="K323" s="720">
        <f t="shared" si="8"/>
        <v>84309</v>
      </c>
      <c r="L323" s="718"/>
      <c r="M323" s="719">
        <v>5224</v>
      </c>
      <c r="N323" s="719">
        <v>0</v>
      </c>
      <c r="O323" s="718">
        <v>11531</v>
      </c>
      <c r="P323" s="720">
        <f t="shared" si="9"/>
        <v>16755</v>
      </c>
      <c r="Q323" s="718"/>
      <c r="R323" s="719">
        <v>62193</v>
      </c>
      <c r="S323" s="721">
        <v>-2506</v>
      </c>
      <c r="T323" s="721">
        <v>59687</v>
      </c>
    </row>
    <row r="324" spans="1:20" x14ac:dyDescent="0.25">
      <c r="A324" s="715">
        <v>93333</v>
      </c>
      <c r="B324" s="716" t="s">
        <v>2857</v>
      </c>
      <c r="C324" s="717">
        <v>1.796E-4</v>
      </c>
      <c r="D324" s="717">
        <v>1.9990000000000001E-4</v>
      </c>
      <c r="E324" s="718">
        <v>274379</v>
      </c>
      <c r="F324" s="718"/>
      <c r="G324" s="719">
        <v>15807</v>
      </c>
      <c r="H324" s="720">
        <v>66619</v>
      </c>
      <c r="I324" s="719">
        <v>39185</v>
      </c>
      <c r="J324" s="718">
        <v>194737</v>
      </c>
      <c r="K324" s="720">
        <f t="shared" si="8"/>
        <v>316348</v>
      </c>
      <c r="L324" s="718"/>
      <c r="M324" s="719">
        <v>7767</v>
      </c>
      <c r="N324" s="719">
        <v>0</v>
      </c>
      <c r="O324" s="718">
        <v>0</v>
      </c>
      <c r="P324" s="720">
        <f t="shared" si="9"/>
        <v>7767</v>
      </c>
      <c r="Q324" s="718"/>
      <c r="R324" s="719">
        <v>92466</v>
      </c>
      <c r="S324" s="721">
        <v>74695</v>
      </c>
      <c r="T324" s="721">
        <v>167161</v>
      </c>
    </row>
    <row r="325" spans="1:20" x14ac:dyDescent="0.25">
      <c r="A325" s="715">
        <v>93341</v>
      </c>
      <c r="B325" s="716" t="s">
        <v>2858</v>
      </c>
      <c r="C325" s="717">
        <v>2.34E-5</v>
      </c>
      <c r="D325" s="717">
        <v>2.73E-5</v>
      </c>
      <c r="E325" s="718">
        <v>35749</v>
      </c>
      <c r="F325" s="718"/>
      <c r="G325" s="719">
        <v>2059</v>
      </c>
      <c r="H325" s="720">
        <v>8680</v>
      </c>
      <c r="I325" s="719">
        <v>5105</v>
      </c>
      <c r="J325" s="718">
        <v>1866</v>
      </c>
      <c r="K325" s="720">
        <f t="shared" si="8"/>
        <v>17710</v>
      </c>
      <c r="L325" s="718"/>
      <c r="M325" s="719">
        <v>1012</v>
      </c>
      <c r="N325" s="719">
        <v>0</v>
      </c>
      <c r="O325" s="718">
        <v>863</v>
      </c>
      <c r="P325" s="720">
        <f t="shared" si="9"/>
        <v>1875</v>
      </c>
      <c r="Q325" s="718"/>
      <c r="R325" s="719">
        <v>12047</v>
      </c>
      <c r="S325" s="721">
        <v>708</v>
      </c>
      <c r="T325" s="721">
        <v>12755</v>
      </c>
    </row>
    <row r="326" spans="1:20" x14ac:dyDescent="0.25">
      <c r="A326" s="715">
        <v>93351</v>
      </c>
      <c r="B326" s="716" t="s">
        <v>2859</v>
      </c>
      <c r="C326" s="717">
        <v>3.4E-5</v>
      </c>
      <c r="D326" s="717">
        <v>1.5999999999999999E-5</v>
      </c>
      <c r="E326" s="718">
        <v>51943</v>
      </c>
      <c r="F326" s="718"/>
      <c r="G326" s="719">
        <v>2992</v>
      </c>
      <c r="H326" s="720">
        <v>12611</v>
      </c>
      <c r="I326" s="719">
        <v>7418</v>
      </c>
      <c r="J326" s="718">
        <v>18867</v>
      </c>
      <c r="K326" s="720">
        <f t="shared" si="8"/>
        <v>41888</v>
      </c>
      <c r="L326" s="718"/>
      <c r="M326" s="719">
        <v>1470</v>
      </c>
      <c r="N326" s="719">
        <v>0</v>
      </c>
      <c r="O326" s="718">
        <v>4169</v>
      </c>
      <c r="P326" s="720">
        <f t="shared" si="9"/>
        <v>5639</v>
      </c>
      <c r="Q326" s="718"/>
      <c r="R326" s="719">
        <v>17505</v>
      </c>
      <c r="S326" s="721">
        <v>2906</v>
      </c>
      <c r="T326" s="721">
        <f>20410+1</f>
        <v>20411</v>
      </c>
    </row>
    <row r="327" spans="1:20" x14ac:dyDescent="0.25">
      <c r="A327" s="715">
        <v>93401</v>
      </c>
      <c r="B327" s="716" t="s">
        <v>2860</v>
      </c>
      <c r="C327" s="717">
        <v>1.3834900000000001E-2</v>
      </c>
      <c r="D327" s="717">
        <v>1.37997E-2</v>
      </c>
      <c r="E327" s="718">
        <v>21135895</v>
      </c>
      <c r="F327" s="718"/>
      <c r="G327" s="719">
        <v>1217623</v>
      </c>
      <c r="H327" s="720">
        <v>5131821</v>
      </c>
      <c r="I327" s="719">
        <v>3018498</v>
      </c>
      <c r="J327" s="718">
        <v>99926</v>
      </c>
      <c r="K327" s="720">
        <f t="shared" ref="K327:K390" si="10">G327+H327+I327+J327</f>
        <v>9467868</v>
      </c>
      <c r="L327" s="718"/>
      <c r="M327" s="719">
        <v>598290</v>
      </c>
      <c r="N327" s="719">
        <v>0</v>
      </c>
      <c r="O327" s="718">
        <v>186001</v>
      </c>
      <c r="P327" s="720">
        <f t="shared" ref="P327:P390" si="11">M327+N327+O327</f>
        <v>784291</v>
      </c>
      <c r="Q327" s="718"/>
      <c r="R327" s="719">
        <v>7122815</v>
      </c>
      <c r="S327" s="721">
        <v>-76616</v>
      </c>
      <c r="T327" s="721">
        <v>7046199</v>
      </c>
    </row>
    <row r="328" spans="1:20" x14ac:dyDescent="0.25">
      <c r="A328" s="715">
        <v>93402</v>
      </c>
      <c r="B328" s="716" t="s">
        <v>2861</v>
      </c>
      <c r="C328" s="717">
        <v>9.8800000000000003E-5</v>
      </c>
      <c r="D328" s="717">
        <v>9.2999999999999997E-5</v>
      </c>
      <c r="E328" s="718">
        <v>150939</v>
      </c>
      <c r="F328" s="718"/>
      <c r="G328" s="719">
        <v>8695</v>
      </c>
      <c r="H328" s="720">
        <v>36648</v>
      </c>
      <c r="I328" s="719">
        <v>21556</v>
      </c>
      <c r="J328" s="718">
        <v>5545</v>
      </c>
      <c r="K328" s="720">
        <f t="shared" si="10"/>
        <v>72444</v>
      </c>
      <c r="L328" s="718"/>
      <c r="M328" s="719">
        <v>4273</v>
      </c>
      <c r="N328" s="719">
        <v>0</v>
      </c>
      <c r="O328" s="718">
        <v>3446</v>
      </c>
      <c r="P328" s="720">
        <f t="shared" si="11"/>
        <v>7719</v>
      </c>
      <c r="Q328" s="718"/>
      <c r="R328" s="719">
        <v>50867</v>
      </c>
      <c r="S328" s="721">
        <v>3029</v>
      </c>
      <c r="T328" s="721">
        <f>53895+1</f>
        <v>53896</v>
      </c>
    </row>
    <row r="329" spans="1:20" x14ac:dyDescent="0.25">
      <c r="A329" s="715">
        <v>93406</v>
      </c>
      <c r="B329" s="716" t="s">
        <v>2862</v>
      </c>
      <c r="C329" s="717">
        <v>6.5059999999999998E-4</v>
      </c>
      <c r="D329" s="717">
        <v>7.1170000000000001E-4</v>
      </c>
      <c r="E329" s="718">
        <v>993937</v>
      </c>
      <c r="F329" s="718"/>
      <c r="G329" s="719">
        <v>57260</v>
      </c>
      <c r="H329" s="720">
        <v>241329</v>
      </c>
      <c r="I329" s="719">
        <v>141948</v>
      </c>
      <c r="J329" s="718">
        <v>26056</v>
      </c>
      <c r="K329" s="720">
        <f t="shared" si="10"/>
        <v>466593</v>
      </c>
      <c r="L329" s="718"/>
      <c r="M329" s="719">
        <v>28135</v>
      </c>
      <c r="N329" s="719">
        <v>0</v>
      </c>
      <c r="O329" s="718">
        <v>48133</v>
      </c>
      <c r="P329" s="720">
        <f t="shared" si="11"/>
        <v>76268</v>
      </c>
      <c r="Q329" s="718"/>
      <c r="R329" s="719">
        <v>334958</v>
      </c>
      <c r="S329" s="721">
        <v>7011</v>
      </c>
      <c r="T329" s="721">
        <f>341968+1</f>
        <v>341969</v>
      </c>
    </row>
    <row r="330" spans="1:20" x14ac:dyDescent="0.25">
      <c r="A330" s="715">
        <v>93408</v>
      </c>
      <c r="B330" s="716" t="s">
        <v>2863</v>
      </c>
      <c r="C330" s="717">
        <v>0</v>
      </c>
      <c r="D330" s="717">
        <v>1.8967999999999999E-3</v>
      </c>
      <c r="E330" s="718">
        <v>0</v>
      </c>
      <c r="F330" s="718"/>
      <c r="G330" s="719">
        <v>0</v>
      </c>
      <c r="H330" s="720">
        <v>0</v>
      </c>
      <c r="I330" s="719">
        <v>0</v>
      </c>
      <c r="J330" s="718">
        <v>173575</v>
      </c>
      <c r="K330" s="720">
        <f t="shared" si="10"/>
        <v>173575</v>
      </c>
      <c r="L330" s="718"/>
      <c r="M330" s="719">
        <v>0</v>
      </c>
      <c r="N330" s="719">
        <v>0</v>
      </c>
      <c r="O330" s="718">
        <v>1605024</v>
      </c>
      <c r="P330" s="720">
        <f t="shared" si="11"/>
        <v>1605024</v>
      </c>
      <c r="Q330" s="718"/>
      <c r="R330" s="719">
        <v>0</v>
      </c>
      <c r="S330" s="721">
        <v>-292149</v>
      </c>
      <c r="T330" s="721">
        <v>-292149</v>
      </c>
    </row>
    <row r="331" spans="1:20" x14ac:dyDescent="0.25">
      <c r="A331" s="715">
        <v>93411</v>
      </c>
      <c r="B331" s="716" t="s">
        <v>2864</v>
      </c>
      <c r="C331" s="717">
        <v>1.7454999999999998E-2</v>
      </c>
      <c r="D331" s="717">
        <v>1.73309E-2</v>
      </c>
      <c r="E331" s="718">
        <v>26666405</v>
      </c>
      <c r="F331" s="718"/>
      <c r="G331" s="719">
        <v>1536232</v>
      </c>
      <c r="H331" s="720">
        <v>6474635</v>
      </c>
      <c r="I331" s="719">
        <v>3808332</v>
      </c>
      <c r="J331" s="718">
        <v>250711</v>
      </c>
      <c r="K331" s="720">
        <f t="shared" si="10"/>
        <v>12069910</v>
      </c>
      <c r="L331" s="718"/>
      <c r="M331" s="719">
        <v>754841</v>
      </c>
      <c r="N331" s="719">
        <v>0</v>
      </c>
      <c r="O331" s="718">
        <v>594754</v>
      </c>
      <c r="P331" s="720">
        <f t="shared" si="11"/>
        <v>1349595</v>
      </c>
      <c r="Q331" s="718"/>
      <c r="R331" s="719">
        <v>8986602</v>
      </c>
      <c r="S331" s="721">
        <v>-306468</v>
      </c>
      <c r="T331" s="721">
        <v>8680134</v>
      </c>
    </row>
    <row r="332" spans="1:20" x14ac:dyDescent="0.25">
      <c r="A332" s="715">
        <v>93413</v>
      </c>
      <c r="B332" s="716" t="s">
        <v>2865</v>
      </c>
      <c r="C332" s="717">
        <v>7.7070000000000003E-4</v>
      </c>
      <c r="D332" s="717">
        <v>8.0130000000000002E-4</v>
      </c>
      <c r="E332" s="718">
        <v>1177416</v>
      </c>
      <c r="F332" s="718"/>
      <c r="G332" s="719">
        <v>67830</v>
      </c>
      <c r="H332" s="720">
        <v>285878</v>
      </c>
      <c r="I332" s="719">
        <v>168151</v>
      </c>
      <c r="J332" s="718">
        <v>0</v>
      </c>
      <c r="K332" s="720">
        <f t="shared" si="10"/>
        <v>521859</v>
      </c>
      <c r="L332" s="718"/>
      <c r="M332" s="719">
        <v>33329</v>
      </c>
      <c r="N332" s="719">
        <v>0</v>
      </c>
      <c r="O332" s="718">
        <v>35372</v>
      </c>
      <c r="P332" s="720">
        <f t="shared" si="11"/>
        <v>68701</v>
      </c>
      <c r="Q332" s="718"/>
      <c r="R332" s="719">
        <v>396790</v>
      </c>
      <c r="S332" s="721">
        <v>-17507</v>
      </c>
      <c r="T332" s="721">
        <v>379283</v>
      </c>
    </row>
    <row r="333" spans="1:20" x14ac:dyDescent="0.25">
      <c r="A333" s="715">
        <v>93417</v>
      </c>
      <c r="B333" s="716" t="s">
        <v>2866</v>
      </c>
      <c r="C333" s="717">
        <v>3.4430000000000002E-4</v>
      </c>
      <c r="D333" s="717">
        <v>4.1130000000000002E-4</v>
      </c>
      <c r="E333" s="718">
        <v>525995</v>
      </c>
      <c r="F333" s="718"/>
      <c r="G333" s="719">
        <v>30302</v>
      </c>
      <c r="H333" s="720">
        <v>127712</v>
      </c>
      <c r="I333" s="719">
        <v>75119</v>
      </c>
      <c r="J333" s="718">
        <v>15432</v>
      </c>
      <c r="K333" s="720">
        <f t="shared" si="10"/>
        <v>248565</v>
      </c>
      <c r="L333" s="718"/>
      <c r="M333" s="719">
        <v>14889</v>
      </c>
      <c r="N333" s="719">
        <v>0</v>
      </c>
      <c r="O333" s="718">
        <v>33069</v>
      </c>
      <c r="P333" s="720">
        <f t="shared" si="11"/>
        <v>47958</v>
      </c>
      <c r="Q333" s="718"/>
      <c r="R333" s="719">
        <v>177261</v>
      </c>
      <c r="S333" s="721">
        <v>5883</v>
      </c>
      <c r="T333" s="721">
        <v>183144</v>
      </c>
    </row>
    <row r="334" spans="1:20" x14ac:dyDescent="0.25">
      <c r="A334" s="715">
        <v>93421</v>
      </c>
      <c r="B334" s="716" t="s">
        <v>2867</v>
      </c>
      <c r="C334" s="717">
        <v>2.1294999999999999E-3</v>
      </c>
      <c r="D334" s="717">
        <v>2.1646E-3</v>
      </c>
      <c r="E334" s="718">
        <v>3253286</v>
      </c>
      <c r="F334" s="718"/>
      <c r="G334" s="719">
        <v>187419</v>
      </c>
      <c r="H334" s="720">
        <v>789902</v>
      </c>
      <c r="I334" s="719">
        <v>464614</v>
      </c>
      <c r="J334" s="718">
        <v>0</v>
      </c>
      <c r="K334" s="720">
        <f t="shared" si="10"/>
        <v>1441935</v>
      </c>
      <c r="L334" s="718"/>
      <c r="M334" s="719">
        <v>92090</v>
      </c>
      <c r="N334" s="719">
        <v>0</v>
      </c>
      <c r="O334" s="718">
        <v>273225</v>
      </c>
      <c r="P334" s="720">
        <f t="shared" si="11"/>
        <v>365315</v>
      </c>
      <c r="Q334" s="718"/>
      <c r="R334" s="719">
        <v>1096360</v>
      </c>
      <c r="S334" s="721">
        <v>-126565</v>
      </c>
      <c r="T334" s="721">
        <v>969795</v>
      </c>
    </row>
    <row r="335" spans="1:20" x14ac:dyDescent="0.25">
      <c r="A335" s="715">
        <v>93431</v>
      </c>
      <c r="B335" s="716" t="s">
        <v>2868</v>
      </c>
      <c r="C335" s="717">
        <v>1.2689999999999999E-4</v>
      </c>
      <c r="D335" s="717">
        <v>1.127E-4</v>
      </c>
      <c r="E335" s="718">
        <v>193868</v>
      </c>
      <c r="F335" s="718"/>
      <c r="G335" s="719">
        <v>11169</v>
      </c>
      <c r="H335" s="720">
        <v>47071</v>
      </c>
      <c r="I335" s="719">
        <v>27687</v>
      </c>
      <c r="J335" s="718">
        <v>12612</v>
      </c>
      <c r="K335" s="720">
        <f t="shared" si="10"/>
        <v>98539</v>
      </c>
      <c r="L335" s="718"/>
      <c r="M335" s="719">
        <v>5488</v>
      </c>
      <c r="N335" s="719">
        <v>0</v>
      </c>
      <c r="O335" s="718">
        <v>5397</v>
      </c>
      <c r="P335" s="720">
        <f t="shared" si="11"/>
        <v>10885</v>
      </c>
      <c r="Q335" s="718"/>
      <c r="R335" s="719">
        <v>65334</v>
      </c>
      <c r="S335" s="721">
        <v>1734</v>
      </c>
      <c r="T335" s="721">
        <v>67068</v>
      </c>
    </row>
    <row r="336" spans="1:20" x14ac:dyDescent="0.25">
      <c r="A336" s="715">
        <v>93441</v>
      </c>
      <c r="B336" s="716" t="s">
        <v>2869</v>
      </c>
      <c r="C336" s="717">
        <v>1.54E-4</v>
      </c>
      <c r="D336" s="717">
        <v>1.4970000000000001E-4</v>
      </c>
      <c r="E336" s="718">
        <v>235269</v>
      </c>
      <c r="F336" s="718"/>
      <c r="G336" s="719">
        <v>13554</v>
      </c>
      <c r="H336" s="720">
        <v>57124</v>
      </c>
      <c r="I336" s="719">
        <v>33600</v>
      </c>
      <c r="J336" s="718">
        <v>30786</v>
      </c>
      <c r="K336" s="720">
        <f t="shared" si="10"/>
        <v>135064</v>
      </c>
      <c r="L336" s="718"/>
      <c r="M336" s="719">
        <v>6660</v>
      </c>
      <c r="N336" s="719">
        <v>0</v>
      </c>
      <c r="O336" s="718">
        <v>0</v>
      </c>
      <c r="P336" s="720">
        <f t="shared" si="11"/>
        <v>6660</v>
      </c>
      <c r="Q336" s="718"/>
      <c r="R336" s="719">
        <v>79286</v>
      </c>
      <c r="S336" s="721">
        <v>14822</v>
      </c>
      <c r="T336" s="721">
        <v>94108</v>
      </c>
    </row>
    <row r="337" spans="1:20" x14ac:dyDescent="0.25">
      <c r="A337" s="715">
        <v>93442</v>
      </c>
      <c r="B337" s="716" t="s">
        <v>2870</v>
      </c>
      <c r="C337" s="717">
        <v>1.505E-4</v>
      </c>
      <c r="D337" s="717">
        <v>1.3540000000000001E-4</v>
      </c>
      <c r="E337" s="718">
        <v>229922</v>
      </c>
      <c r="F337" s="718"/>
      <c r="G337" s="719">
        <v>13246</v>
      </c>
      <c r="H337" s="720">
        <v>55826</v>
      </c>
      <c r="I337" s="719">
        <v>32836</v>
      </c>
      <c r="J337" s="718">
        <v>5191</v>
      </c>
      <c r="K337" s="720">
        <f t="shared" si="10"/>
        <v>107099</v>
      </c>
      <c r="L337" s="718"/>
      <c r="M337" s="719">
        <v>6508</v>
      </c>
      <c r="N337" s="719">
        <v>0</v>
      </c>
      <c r="O337" s="718">
        <v>20988</v>
      </c>
      <c r="P337" s="720">
        <f t="shared" si="11"/>
        <v>27496</v>
      </c>
      <c r="Q337" s="718"/>
      <c r="R337" s="719">
        <v>77484</v>
      </c>
      <c r="S337" s="721">
        <v>-6353</v>
      </c>
      <c r="T337" s="721">
        <v>71131</v>
      </c>
    </row>
    <row r="338" spans="1:20" x14ac:dyDescent="0.25">
      <c r="A338" s="715">
        <v>93451</v>
      </c>
      <c r="B338" s="716" t="s">
        <v>2871</v>
      </c>
      <c r="C338" s="717">
        <v>7.0900000000000002E-5</v>
      </c>
      <c r="D338" s="717">
        <v>7.6899999999999999E-5</v>
      </c>
      <c r="E338" s="718">
        <v>108316</v>
      </c>
      <c r="F338" s="718"/>
      <c r="G338" s="719">
        <v>6240</v>
      </c>
      <c r="H338" s="720">
        <v>26299</v>
      </c>
      <c r="I338" s="719">
        <v>15469</v>
      </c>
      <c r="J338" s="718">
        <v>16242</v>
      </c>
      <c r="K338" s="720">
        <f t="shared" si="10"/>
        <v>64250</v>
      </c>
      <c r="L338" s="718"/>
      <c r="M338" s="719">
        <v>3066</v>
      </c>
      <c r="N338" s="719">
        <v>0</v>
      </c>
      <c r="O338" s="718">
        <v>1492</v>
      </c>
      <c r="P338" s="720">
        <f t="shared" si="11"/>
        <v>4558</v>
      </c>
      <c r="Q338" s="718"/>
      <c r="R338" s="719">
        <v>36502</v>
      </c>
      <c r="S338" s="721">
        <v>5181</v>
      </c>
      <c r="T338" s="721">
        <f>41684-1</f>
        <v>41683</v>
      </c>
    </row>
    <row r="339" spans="1:20" x14ac:dyDescent="0.25">
      <c r="A339" s="715">
        <v>93461</v>
      </c>
      <c r="B339" s="716" t="s">
        <v>2872</v>
      </c>
      <c r="C339" s="717">
        <v>1.66E-5</v>
      </c>
      <c r="D339" s="717">
        <v>1.7200000000000001E-5</v>
      </c>
      <c r="E339" s="718">
        <v>25360</v>
      </c>
      <c r="F339" s="718"/>
      <c r="G339" s="719">
        <v>1461</v>
      </c>
      <c r="H339" s="720">
        <v>6157</v>
      </c>
      <c r="I339" s="719">
        <v>3622</v>
      </c>
      <c r="J339" s="718">
        <v>580</v>
      </c>
      <c r="K339" s="720">
        <f t="shared" si="10"/>
        <v>11820</v>
      </c>
      <c r="L339" s="718"/>
      <c r="M339" s="719">
        <v>718</v>
      </c>
      <c r="N339" s="719">
        <v>0</v>
      </c>
      <c r="O339" s="718">
        <v>0</v>
      </c>
      <c r="P339" s="720">
        <f t="shared" si="11"/>
        <v>718</v>
      </c>
      <c r="Q339" s="718"/>
      <c r="R339" s="719">
        <v>8546</v>
      </c>
      <c r="S339" s="721">
        <v>254</v>
      </c>
      <c r="T339" s="721">
        <f>8801-1</f>
        <v>8800</v>
      </c>
    </row>
    <row r="340" spans="1:20" x14ac:dyDescent="0.25">
      <c r="A340" s="715">
        <v>93471</v>
      </c>
      <c r="B340" s="716" t="s">
        <v>2873</v>
      </c>
      <c r="C340" s="717">
        <v>1.31E-5</v>
      </c>
      <c r="D340" s="717">
        <v>1.1800000000000001E-5</v>
      </c>
      <c r="E340" s="718">
        <v>20013</v>
      </c>
      <c r="F340" s="718"/>
      <c r="G340" s="719">
        <v>1153</v>
      </c>
      <c r="H340" s="720">
        <v>4859</v>
      </c>
      <c r="I340" s="719">
        <v>2858</v>
      </c>
      <c r="J340" s="718">
        <v>4280</v>
      </c>
      <c r="K340" s="720">
        <f t="shared" si="10"/>
        <v>13150</v>
      </c>
      <c r="L340" s="718"/>
      <c r="M340" s="719">
        <v>567</v>
      </c>
      <c r="N340" s="719">
        <v>0</v>
      </c>
      <c r="O340" s="718">
        <v>63</v>
      </c>
      <c r="P340" s="720">
        <f t="shared" si="11"/>
        <v>630</v>
      </c>
      <c r="Q340" s="718"/>
      <c r="R340" s="719">
        <v>6744</v>
      </c>
      <c r="S340" s="721">
        <v>1243</v>
      </c>
      <c r="T340" s="721">
        <v>7987</v>
      </c>
    </row>
    <row r="341" spans="1:20" x14ac:dyDescent="0.25">
      <c r="A341" s="715">
        <v>93501</v>
      </c>
      <c r="B341" s="716" t="s">
        <v>2874</v>
      </c>
      <c r="C341" s="717">
        <v>3.6113999999999999E-3</v>
      </c>
      <c r="D341" s="717">
        <v>3.4039000000000001E-3</v>
      </c>
      <c r="E341" s="718">
        <v>5517219</v>
      </c>
      <c r="F341" s="718"/>
      <c r="G341" s="719">
        <v>317843</v>
      </c>
      <c r="H341" s="720">
        <v>1339587</v>
      </c>
      <c r="I341" s="719">
        <v>787935</v>
      </c>
      <c r="J341" s="718">
        <v>233815</v>
      </c>
      <c r="K341" s="720">
        <f t="shared" si="10"/>
        <v>2679180</v>
      </c>
      <c r="L341" s="718"/>
      <c r="M341" s="719">
        <v>156175</v>
      </c>
      <c r="N341" s="719">
        <v>0</v>
      </c>
      <c r="O341" s="718">
        <v>57589</v>
      </c>
      <c r="P341" s="720">
        <f t="shared" si="11"/>
        <v>213764</v>
      </c>
      <c r="Q341" s="718"/>
      <c r="R341" s="719">
        <v>1859308</v>
      </c>
      <c r="S341" s="721">
        <v>88331</v>
      </c>
      <c r="T341" s="721">
        <v>1947639</v>
      </c>
    </row>
    <row r="342" spans="1:20" x14ac:dyDescent="0.25">
      <c r="A342" s="715">
        <v>93511</v>
      </c>
      <c r="B342" s="716" t="s">
        <v>2875</v>
      </c>
      <c r="C342" s="717">
        <v>8.8300000000000005E-5</v>
      </c>
      <c r="D342" s="717">
        <v>9.8999999999999994E-5</v>
      </c>
      <c r="E342" s="718">
        <v>134898</v>
      </c>
      <c r="F342" s="718"/>
      <c r="G342" s="719">
        <v>7771</v>
      </c>
      <c r="H342" s="720">
        <v>32753</v>
      </c>
      <c r="I342" s="719">
        <v>19265</v>
      </c>
      <c r="J342" s="718">
        <v>2589</v>
      </c>
      <c r="K342" s="720">
        <f t="shared" si="10"/>
        <v>62378</v>
      </c>
      <c r="L342" s="718"/>
      <c r="M342" s="719">
        <v>3819</v>
      </c>
      <c r="N342" s="719">
        <v>0</v>
      </c>
      <c r="O342" s="718">
        <v>13801</v>
      </c>
      <c r="P342" s="720">
        <f t="shared" si="11"/>
        <v>17620</v>
      </c>
      <c r="Q342" s="718"/>
      <c r="R342" s="719">
        <v>45461</v>
      </c>
      <c r="S342" s="721">
        <v>-2683</v>
      </c>
      <c r="T342" s="721">
        <v>42778</v>
      </c>
    </row>
    <row r="343" spans="1:20" x14ac:dyDescent="0.25">
      <c r="A343" s="715">
        <v>93517</v>
      </c>
      <c r="B343" s="716" t="s">
        <v>2876</v>
      </c>
      <c r="C343" s="717">
        <v>6.0000000000000002E-6</v>
      </c>
      <c r="D343" s="717">
        <v>6.4999999999999996E-6</v>
      </c>
      <c r="E343" s="718">
        <v>9166</v>
      </c>
      <c r="F343" s="718"/>
      <c r="G343" s="719">
        <v>528</v>
      </c>
      <c r="H343" s="720">
        <v>2226</v>
      </c>
      <c r="I343" s="719">
        <v>1309</v>
      </c>
      <c r="J343" s="718">
        <v>3133</v>
      </c>
      <c r="K343" s="720">
        <f t="shared" si="10"/>
        <v>7196</v>
      </c>
      <c r="L343" s="718"/>
      <c r="M343" s="719">
        <v>259</v>
      </c>
      <c r="N343" s="719">
        <v>0</v>
      </c>
      <c r="O343" s="718">
        <v>503</v>
      </c>
      <c r="P343" s="720">
        <f t="shared" si="11"/>
        <v>762</v>
      </c>
      <c r="Q343" s="718"/>
      <c r="R343" s="719">
        <v>3089</v>
      </c>
      <c r="S343" s="721">
        <v>771</v>
      </c>
      <c r="T343" s="721">
        <v>3860</v>
      </c>
    </row>
    <row r="344" spans="1:20" x14ac:dyDescent="0.25">
      <c r="A344" s="715">
        <v>93521</v>
      </c>
      <c r="B344" s="716" t="s">
        <v>2877</v>
      </c>
      <c r="C344" s="717">
        <v>4.5649999999999998E-4</v>
      </c>
      <c r="D344" s="717">
        <v>5.6389999999999999E-4</v>
      </c>
      <c r="E344" s="718">
        <v>697406</v>
      </c>
      <c r="F344" s="718"/>
      <c r="G344" s="719">
        <v>40177</v>
      </c>
      <c r="H344" s="720">
        <v>169331</v>
      </c>
      <c r="I344" s="719">
        <v>99599</v>
      </c>
      <c r="J344" s="718">
        <v>7159</v>
      </c>
      <c r="K344" s="720">
        <f t="shared" si="10"/>
        <v>316266</v>
      </c>
      <c r="L344" s="718"/>
      <c r="M344" s="719">
        <v>19741</v>
      </c>
      <c r="N344" s="719">
        <v>0</v>
      </c>
      <c r="O344" s="718">
        <v>74583</v>
      </c>
      <c r="P344" s="720">
        <f t="shared" si="11"/>
        <v>94324</v>
      </c>
      <c r="Q344" s="718"/>
      <c r="R344" s="719">
        <v>235026</v>
      </c>
      <c r="S344" s="721">
        <v>-19847</v>
      </c>
      <c r="T344" s="721">
        <f>215180-1</f>
        <v>215179</v>
      </c>
    </row>
    <row r="345" spans="1:20" x14ac:dyDescent="0.25">
      <c r="A345" s="715">
        <v>93527</v>
      </c>
      <c r="B345" s="716" t="s">
        <v>2878</v>
      </c>
      <c r="C345" s="717">
        <v>1.2099999999999999E-5</v>
      </c>
      <c r="D345" s="717">
        <v>5.4E-6</v>
      </c>
      <c r="E345" s="718">
        <v>18485</v>
      </c>
      <c r="F345" s="718"/>
      <c r="G345" s="719">
        <v>1065</v>
      </c>
      <c r="H345" s="720">
        <v>4488</v>
      </c>
      <c r="I345" s="719">
        <v>2640</v>
      </c>
      <c r="J345" s="718">
        <v>15016</v>
      </c>
      <c r="K345" s="720">
        <f t="shared" si="10"/>
        <v>23209</v>
      </c>
      <c r="L345" s="718"/>
      <c r="M345" s="719">
        <v>523</v>
      </c>
      <c r="N345" s="719">
        <v>0</v>
      </c>
      <c r="O345" s="718">
        <v>0</v>
      </c>
      <c r="P345" s="720">
        <f t="shared" si="11"/>
        <v>523</v>
      </c>
      <c r="Q345" s="718"/>
      <c r="R345" s="719">
        <v>6230</v>
      </c>
      <c r="S345" s="721">
        <v>5872</v>
      </c>
      <c r="T345" s="721">
        <f>12101+1</f>
        <v>12102</v>
      </c>
    </row>
    <row r="346" spans="1:20" x14ac:dyDescent="0.25">
      <c r="A346" s="715">
        <v>93531</v>
      </c>
      <c r="B346" s="716" t="s">
        <v>2879</v>
      </c>
      <c r="C346" s="717">
        <v>1.7E-5</v>
      </c>
      <c r="D346" s="717">
        <v>2.4000000000000001E-5</v>
      </c>
      <c r="E346" s="718">
        <v>25971</v>
      </c>
      <c r="F346" s="718"/>
      <c r="G346" s="719">
        <v>1496</v>
      </c>
      <c r="H346" s="720">
        <v>6306</v>
      </c>
      <c r="I346" s="719">
        <v>3709</v>
      </c>
      <c r="J346" s="718">
        <v>791</v>
      </c>
      <c r="K346" s="720">
        <f t="shared" si="10"/>
        <v>12302</v>
      </c>
      <c r="L346" s="718"/>
      <c r="M346" s="719">
        <v>735</v>
      </c>
      <c r="N346" s="719">
        <v>0</v>
      </c>
      <c r="O346" s="718">
        <v>2743</v>
      </c>
      <c r="P346" s="720">
        <f t="shared" si="11"/>
        <v>3478</v>
      </c>
      <c r="Q346" s="718"/>
      <c r="R346" s="719">
        <v>8752</v>
      </c>
      <c r="S346" s="721">
        <v>-1210</v>
      </c>
      <c r="T346" s="721">
        <v>7542</v>
      </c>
    </row>
    <row r="347" spans="1:20" x14ac:dyDescent="0.25">
      <c r="A347" s="715">
        <v>93537</v>
      </c>
      <c r="B347" s="716" t="s">
        <v>2880</v>
      </c>
      <c r="C347" s="717">
        <v>1.1199999999999999E-5</v>
      </c>
      <c r="D347" s="717">
        <v>1.17E-5</v>
      </c>
      <c r="E347" s="718">
        <v>17110</v>
      </c>
      <c r="F347" s="718"/>
      <c r="G347" s="719">
        <v>986</v>
      </c>
      <c r="H347" s="720">
        <v>4154</v>
      </c>
      <c r="I347" s="719">
        <v>2444</v>
      </c>
      <c r="J347" s="718">
        <v>0</v>
      </c>
      <c r="K347" s="720">
        <f t="shared" si="10"/>
        <v>7584</v>
      </c>
      <c r="L347" s="718"/>
      <c r="M347" s="719">
        <v>484</v>
      </c>
      <c r="N347" s="719">
        <v>0</v>
      </c>
      <c r="O347" s="718">
        <v>1898</v>
      </c>
      <c r="P347" s="720">
        <f t="shared" si="11"/>
        <v>2382</v>
      </c>
      <c r="Q347" s="718"/>
      <c r="R347" s="719">
        <v>5766</v>
      </c>
      <c r="S347" s="721">
        <v>-575</v>
      </c>
      <c r="T347" s="721">
        <v>5191</v>
      </c>
    </row>
    <row r="348" spans="1:20" x14ac:dyDescent="0.25">
      <c r="A348" s="715">
        <v>93541</v>
      </c>
      <c r="B348" s="716" t="s">
        <v>2881</v>
      </c>
      <c r="C348" s="717">
        <v>1.0560000000000001E-4</v>
      </c>
      <c r="D348" s="717">
        <v>1.061E-4</v>
      </c>
      <c r="E348" s="718">
        <v>161328</v>
      </c>
      <c r="F348" s="718"/>
      <c r="G348" s="719">
        <v>9294</v>
      </c>
      <c r="H348" s="720">
        <v>39171</v>
      </c>
      <c r="I348" s="719">
        <v>23040</v>
      </c>
      <c r="J348" s="718">
        <v>4560</v>
      </c>
      <c r="K348" s="720">
        <f t="shared" si="10"/>
        <v>76065</v>
      </c>
      <c r="L348" s="718"/>
      <c r="M348" s="719">
        <v>4567</v>
      </c>
      <c r="N348" s="719">
        <v>0</v>
      </c>
      <c r="O348" s="718">
        <v>781</v>
      </c>
      <c r="P348" s="720">
        <f t="shared" si="11"/>
        <v>5348</v>
      </c>
      <c r="Q348" s="718"/>
      <c r="R348" s="719">
        <v>54368</v>
      </c>
      <c r="S348" s="721">
        <v>4003</v>
      </c>
      <c r="T348" s="721">
        <f>58370+1</f>
        <v>58371</v>
      </c>
    </row>
    <row r="349" spans="1:20" x14ac:dyDescent="0.25">
      <c r="A349" s="715">
        <v>93601</v>
      </c>
      <c r="B349" s="716" t="s">
        <v>2882</v>
      </c>
      <c r="C349" s="717">
        <v>1.0721400000000001E-2</v>
      </c>
      <c r="D349" s="717">
        <v>1.1139899999999999E-2</v>
      </c>
      <c r="E349" s="718">
        <v>16379329</v>
      </c>
      <c r="F349" s="718"/>
      <c r="G349" s="719">
        <v>943601</v>
      </c>
      <c r="H349" s="720">
        <v>3976921</v>
      </c>
      <c r="I349" s="719">
        <v>2339195</v>
      </c>
      <c r="J349" s="718">
        <v>65732</v>
      </c>
      <c r="K349" s="720">
        <f t="shared" si="10"/>
        <v>7325449</v>
      </c>
      <c r="L349" s="718"/>
      <c r="M349" s="719">
        <v>463647</v>
      </c>
      <c r="N349" s="719">
        <v>0</v>
      </c>
      <c r="O349" s="718">
        <v>282932</v>
      </c>
      <c r="P349" s="720">
        <f t="shared" si="11"/>
        <v>746579</v>
      </c>
      <c r="Q349" s="718"/>
      <c r="R349" s="719">
        <v>5519848</v>
      </c>
      <c r="S349" s="721">
        <v>-87424</v>
      </c>
      <c r="T349" s="721">
        <f>5432425-1</f>
        <v>5432424</v>
      </c>
    </row>
    <row r="350" spans="1:20" x14ac:dyDescent="0.25">
      <c r="A350" s="715">
        <v>93602</v>
      </c>
      <c r="B350" s="716" t="s">
        <v>2883</v>
      </c>
      <c r="C350" s="717">
        <v>1.7540000000000001E-4</v>
      </c>
      <c r="D350" s="717">
        <v>1.7200000000000001E-4</v>
      </c>
      <c r="E350" s="718">
        <v>267963</v>
      </c>
      <c r="F350" s="718"/>
      <c r="G350" s="719">
        <v>15437</v>
      </c>
      <c r="H350" s="720">
        <v>65062</v>
      </c>
      <c r="I350" s="719">
        <v>38269</v>
      </c>
      <c r="J350" s="718">
        <v>4381</v>
      </c>
      <c r="K350" s="720">
        <f t="shared" si="10"/>
        <v>123149</v>
      </c>
      <c r="L350" s="718"/>
      <c r="M350" s="719">
        <v>7585</v>
      </c>
      <c r="N350" s="719">
        <v>0</v>
      </c>
      <c r="O350" s="718">
        <v>10262</v>
      </c>
      <c r="P350" s="720">
        <f t="shared" si="11"/>
        <v>17847</v>
      </c>
      <c r="Q350" s="718"/>
      <c r="R350" s="719">
        <v>90304</v>
      </c>
      <c r="S350" s="721">
        <v>-2871</v>
      </c>
      <c r="T350" s="721">
        <v>87433</v>
      </c>
    </row>
    <row r="351" spans="1:20" x14ac:dyDescent="0.25">
      <c r="A351" s="715">
        <v>93609</v>
      </c>
      <c r="B351" s="716" t="s">
        <v>2884</v>
      </c>
      <c r="C351" s="717">
        <v>3.7629999999999999E-3</v>
      </c>
      <c r="D351" s="717">
        <v>3.0569E-3</v>
      </c>
      <c r="E351" s="718">
        <v>5748822</v>
      </c>
      <c r="F351" s="718"/>
      <c r="G351" s="719">
        <v>331185</v>
      </c>
      <c r="H351" s="720">
        <v>1395821</v>
      </c>
      <c r="I351" s="719">
        <v>821011</v>
      </c>
      <c r="J351" s="718">
        <v>823315</v>
      </c>
      <c r="K351" s="720">
        <f t="shared" si="10"/>
        <v>3371332</v>
      </c>
      <c r="L351" s="718"/>
      <c r="M351" s="719">
        <v>162731</v>
      </c>
      <c r="N351" s="719">
        <v>0</v>
      </c>
      <c r="O351" s="718">
        <v>0</v>
      </c>
      <c r="P351" s="720">
        <f t="shared" si="11"/>
        <v>162731</v>
      </c>
      <c r="Q351" s="718"/>
      <c r="R351" s="719">
        <v>1937358</v>
      </c>
      <c r="S351" s="721">
        <v>360052</v>
      </c>
      <c r="T351" s="721">
        <v>2297410</v>
      </c>
    </row>
    <row r="352" spans="1:20" x14ac:dyDescent="0.25">
      <c r="A352" s="715">
        <v>93610</v>
      </c>
      <c r="B352" s="716" t="s">
        <v>2885</v>
      </c>
      <c r="C352" s="717">
        <v>1.33E-5</v>
      </c>
      <c r="D352" s="717">
        <v>6.4999999999999996E-6</v>
      </c>
      <c r="E352" s="718">
        <v>20319</v>
      </c>
      <c r="F352" s="718"/>
      <c r="G352" s="719">
        <v>1171</v>
      </c>
      <c r="H352" s="720">
        <v>4933</v>
      </c>
      <c r="I352" s="719">
        <v>2902</v>
      </c>
      <c r="J352" s="718">
        <v>6303</v>
      </c>
      <c r="K352" s="720">
        <f t="shared" si="10"/>
        <v>15309</v>
      </c>
      <c r="L352" s="718"/>
      <c r="M352" s="719">
        <v>575</v>
      </c>
      <c r="N352" s="719">
        <v>0</v>
      </c>
      <c r="O352" s="718">
        <v>3373</v>
      </c>
      <c r="P352" s="720">
        <f t="shared" si="11"/>
        <v>3948</v>
      </c>
      <c r="Q352" s="718"/>
      <c r="R352" s="719">
        <v>6847</v>
      </c>
      <c r="S352" s="721">
        <v>1242</v>
      </c>
      <c r="T352" s="721">
        <f>8090-1</f>
        <v>8089</v>
      </c>
    </row>
    <row r="353" spans="1:20" x14ac:dyDescent="0.25">
      <c r="A353" s="715">
        <v>93611</v>
      </c>
      <c r="B353" s="716" t="s">
        <v>2886</v>
      </c>
      <c r="C353" s="717">
        <v>6.9544000000000003E-3</v>
      </c>
      <c r="D353" s="717">
        <v>6.9325000000000003E-3</v>
      </c>
      <c r="E353" s="718">
        <v>10624397</v>
      </c>
      <c r="F353" s="718"/>
      <c r="G353" s="719">
        <v>612064</v>
      </c>
      <c r="H353" s="720">
        <v>2579617</v>
      </c>
      <c r="I353" s="719">
        <v>1517311</v>
      </c>
      <c r="J353" s="718">
        <v>61146</v>
      </c>
      <c r="K353" s="720">
        <f t="shared" si="10"/>
        <v>4770138</v>
      </c>
      <c r="L353" s="718"/>
      <c r="M353" s="719">
        <v>300743</v>
      </c>
      <c r="N353" s="719">
        <v>0</v>
      </c>
      <c r="O353" s="718">
        <v>153061</v>
      </c>
      <c r="P353" s="720">
        <f t="shared" si="11"/>
        <v>453804</v>
      </c>
      <c r="Q353" s="718"/>
      <c r="R353" s="719">
        <v>3580431</v>
      </c>
      <c r="S353" s="721">
        <v>-98066</v>
      </c>
      <c r="T353" s="721">
        <v>3482365</v>
      </c>
    </row>
    <row r="354" spans="1:20" x14ac:dyDescent="0.25">
      <c r="A354" s="715">
        <v>93617</v>
      </c>
      <c r="B354" s="716" t="s">
        <v>2887</v>
      </c>
      <c r="C354" s="717">
        <v>8.2799999999999993E-5</v>
      </c>
      <c r="D354" s="717">
        <v>9.5000000000000005E-5</v>
      </c>
      <c r="E354" s="718">
        <v>126495</v>
      </c>
      <c r="F354" s="718"/>
      <c r="G354" s="719">
        <v>7287</v>
      </c>
      <c r="H354" s="720">
        <v>30714</v>
      </c>
      <c r="I354" s="719">
        <v>18065</v>
      </c>
      <c r="J354" s="718">
        <v>19622</v>
      </c>
      <c r="K354" s="720">
        <f t="shared" si="10"/>
        <v>75688</v>
      </c>
      <c r="L354" s="718"/>
      <c r="M354" s="719">
        <v>3581</v>
      </c>
      <c r="N354" s="719">
        <v>0</v>
      </c>
      <c r="O354" s="718">
        <v>0</v>
      </c>
      <c r="P354" s="720">
        <f t="shared" si="11"/>
        <v>3581</v>
      </c>
      <c r="Q354" s="718"/>
      <c r="R354" s="719">
        <v>42629</v>
      </c>
      <c r="S354" s="721">
        <v>10180</v>
      </c>
      <c r="T354" s="721">
        <v>52809</v>
      </c>
    </row>
    <row r="355" spans="1:20" x14ac:dyDescent="0.25">
      <c r="A355" s="715">
        <v>93618</v>
      </c>
      <c r="B355" s="716" t="s">
        <v>2888</v>
      </c>
      <c r="C355" s="717">
        <v>1.11E-5</v>
      </c>
      <c r="D355" s="717">
        <v>1.17E-5</v>
      </c>
      <c r="E355" s="718">
        <v>16958</v>
      </c>
      <c r="F355" s="718"/>
      <c r="G355" s="719">
        <v>977</v>
      </c>
      <c r="H355" s="720">
        <v>4117</v>
      </c>
      <c r="I355" s="719">
        <v>2422</v>
      </c>
      <c r="J355" s="718">
        <v>33625</v>
      </c>
      <c r="K355" s="720">
        <f t="shared" si="10"/>
        <v>41141</v>
      </c>
      <c r="L355" s="718"/>
      <c r="M355" s="719">
        <v>480</v>
      </c>
      <c r="N355" s="719">
        <v>0</v>
      </c>
      <c r="O355" s="718">
        <v>0</v>
      </c>
      <c r="P355" s="720">
        <f t="shared" si="11"/>
        <v>480</v>
      </c>
      <c r="Q355" s="718"/>
      <c r="R355" s="719">
        <v>5715</v>
      </c>
      <c r="S355" s="721">
        <v>12182</v>
      </c>
      <c r="T355" s="721">
        <v>17897</v>
      </c>
    </row>
    <row r="356" spans="1:20" x14ac:dyDescent="0.25">
      <c r="A356" s="715">
        <v>93621</v>
      </c>
      <c r="B356" s="716" t="s">
        <v>2889</v>
      </c>
      <c r="C356" s="717">
        <v>9.5719999999999996E-4</v>
      </c>
      <c r="D356" s="717">
        <v>8.5320000000000003E-4</v>
      </c>
      <c r="E356" s="718">
        <v>1462336</v>
      </c>
      <c r="F356" s="718"/>
      <c r="G356" s="719">
        <v>84244</v>
      </c>
      <c r="H356" s="720">
        <v>355057</v>
      </c>
      <c r="I356" s="719">
        <v>208842</v>
      </c>
      <c r="J356" s="718">
        <v>48292</v>
      </c>
      <c r="K356" s="720">
        <f t="shared" si="10"/>
        <v>696435</v>
      </c>
      <c r="L356" s="718"/>
      <c r="M356" s="719">
        <v>41394</v>
      </c>
      <c r="N356" s="719">
        <v>0</v>
      </c>
      <c r="O356" s="718">
        <v>79767</v>
      </c>
      <c r="P356" s="720">
        <f t="shared" si="11"/>
        <v>121161</v>
      </c>
      <c r="Q356" s="718"/>
      <c r="R356" s="719">
        <v>492809</v>
      </c>
      <c r="S356" s="721">
        <v>-26570</v>
      </c>
      <c r="T356" s="721">
        <f>466238+1</f>
        <v>466239</v>
      </c>
    </row>
    <row r="357" spans="1:20" x14ac:dyDescent="0.25">
      <c r="A357" s="715">
        <v>93623</v>
      </c>
      <c r="B357" s="716" t="s">
        <v>2890</v>
      </c>
      <c r="C357" s="717">
        <v>1.2799999999999999E-5</v>
      </c>
      <c r="D357" s="717">
        <v>1.2500000000000001E-5</v>
      </c>
      <c r="E357" s="718">
        <v>19555</v>
      </c>
      <c r="F357" s="718"/>
      <c r="G357" s="719">
        <v>1127</v>
      </c>
      <c r="H357" s="720">
        <v>4748</v>
      </c>
      <c r="I357" s="719">
        <v>2793</v>
      </c>
      <c r="J357" s="718">
        <v>5501</v>
      </c>
      <c r="K357" s="720">
        <f t="shared" si="10"/>
        <v>14169</v>
      </c>
      <c r="L357" s="718"/>
      <c r="M357" s="719">
        <v>554</v>
      </c>
      <c r="N357" s="719">
        <v>0</v>
      </c>
      <c r="O357" s="718">
        <v>1</v>
      </c>
      <c r="P357" s="720">
        <f t="shared" si="11"/>
        <v>555</v>
      </c>
      <c r="Q357" s="718"/>
      <c r="R357" s="719">
        <v>6590</v>
      </c>
      <c r="S357" s="721">
        <v>1908</v>
      </c>
      <c r="T357" s="721">
        <v>8498</v>
      </c>
    </row>
    <row r="358" spans="1:20" x14ac:dyDescent="0.25">
      <c r="A358" s="715">
        <v>93631</v>
      </c>
      <c r="B358" s="716" t="s">
        <v>2891</v>
      </c>
      <c r="C358" s="717">
        <v>2.252E-4</v>
      </c>
      <c r="D358" s="717">
        <v>2.3440000000000001E-4</v>
      </c>
      <c r="E358" s="718">
        <v>344043</v>
      </c>
      <c r="F358" s="718"/>
      <c r="G358" s="719">
        <v>19820</v>
      </c>
      <c r="H358" s="720">
        <v>83534</v>
      </c>
      <c r="I358" s="719">
        <v>49134</v>
      </c>
      <c r="J358" s="718">
        <v>435</v>
      </c>
      <c r="K358" s="720">
        <f t="shared" si="10"/>
        <v>152923</v>
      </c>
      <c r="L358" s="718"/>
      <c r="M358" s="719">
        <v>9739</v>
      </c>
      <c r="N358" s="719">
        <v>0</v>
      </c>
      <c r="O358" s="718">
        <v>20459</v>
      </c>
      <c r="P358" s="720">
        <f t="shared" si="11"/>
        <v>30198</v>
      </c>
      <c r="Q358" s="718"/>
      <c r="R358" s="719">
        <v>115943</v>
      </c>
      <c r="S358" s="721">
        <v>-7001</v>
      </c>
      <c r="T358" s="721">
        <v>108942</v>
      </c>
    </row>
    <row r="359" spans="1:20" x14ac:dyDescent="0.25">
      <c r="A359" s="715">
        <v>93641</v>
      </c>
      <c r="B359" s="716" t="s">
        <v>2892</v>
      </c>
      <c r="C359" s="717">
        <v>4.0450000000000002E-4</v>
      </c>
      <c r="D359" s="717">
        <v>4.3550000000000001E-4</v>
      </c>
      <c r="E359" s="718">
        <v>617964</v>
      </c>
      <c r="F359" s="718"/>
      <c r="G359" s="719">
        <v>35600</v>
      </c>
      <c r="H359" s="720">
        <v>150042</v>
      </c>
      <c r="I359" s="719">
        <v>88254</v>
      </c>
      <c r="J359" s="718">
        <v>14033</v>
      </c>
      <c r="K359" s="720">
        <f t="shared" si="10"/>
        <v>287929</v>
      </c>
      <c r="L359" s="718"/>
      <c r="M359" s="719">
        <v>17493</v>
      </c>
      <c r="N359" s="719">
        <v>0</v>
      </c>
      <c r="O359" s="718">
        <v>11062</v>
      </c>
      <c r="P359" s="720">
        <f t="shared" si="11"/>
        <v>28555</v>
      </c>
      <c r="Q359" s="718"/>
      <c r="R359" s="719">
        <v>208254</v>
      </c>
      <c r="S359" s="721">
        <v>4772</v>
      </c>
      <c r="T359" s="721">
        <v>213026</v>
      </c>
    </row>
    <row r="360" spans="1:20" x14ac:dyDescent="0.25">
      <c r="A360" s="715">
        <v>93647</v>
      </c>
      <c r="B360" s="716" t="s">
        <v>2893</v>
      </c>
      <c r="C360" s="717">
        <v>6.0000000000000002E-6</v>
      </c>
      <c r="D360" s="717">
        <v>6.1E-6</v>
      </c>
      <c r="E360" s="718">
        <v>9166</v>
      </c>
      <c r="F360" s="718"/>
      <c r="G360" s="719">
        <v>528</v>
      </c>
      <c r="H360" s="720">
        <v>2226</v>
      </c>
      <c r="I360" s="719">
        <v>1309</v>
      </c>
      <c r="J360" s="718">
        <v>12039</v>
      </c>
      <c r="K360" s="720">
        <f t="shared" si="10"/>
        <v>16102</v>
      </c>
      <c r="L360" s="718"/>
      <c r="M360" s="719">
        <v>259</v>
      </c>
      <c r="N360" s="719">
        <v>0</v>
      </c>
      <c r="O360" s="718">
        <v>0</v>
      </c>
      <c r="P360" s="720">
        <f t="shared" si="11"/>
        <v>259</v>
      </c>
      <c r="Q360" s="718"/>
      <c r="R360" s="719">
        <v>3089</v>
      </c>
      <c r="S360" s="721">
        <v>4642</v>
      </c>
      <c r="T360" s="721">
        <v>7731</v>
      </c>
    </row>
    <row r="361" spans="1:20" x14ac:dyDescent="0.25">
      <c r="A361" s="715">
        <v>93651</v>
      </c>
      <c r="B361" s="716" t="s">
        <v>2894</v>
      </c>
      <c r="C361" s="717">
        <v>4.3800000000000002E-4</v>
      </c>
      <c r="D361" s="717">
        <v>4.282E-4</v>
      </c>
      <c r="E361" s="718">
        <v>669143</v>
      </c>
      <c r="F361" s="718"/>
      <c r="G361" s="719">
        <v>38549</v>
      </c>
      <c r="H361" s="720">
        <v>162468</v>
      </c>
      <c r="I361" s="719">
        <v>95563</v>
      </c>
      <c r="J361" s="718">
        <v>5830</v>
      </c>
      <c r="K361" s="720">
        <f t="shared" si="10"/>
        <v>302410</v>
      </c>
      <c r="L361" s="718"/>
      <c r="M361" s="719">
        <v>18941</v>
      </c>
      <c r="N361" s="719">
        <v>0</v>
      </c>
      <c r="O361" s="718">
        <v>13910</v>
      </c>
      <c r="P361" s="720">
        <f t="shared" si="11"/>
        <v>32851</v>
      </c>
      <c r="Q361" s="718"/>
      <c r="R361" s="719">
        <v>225502</v>
      </c>
      <c r="S361" s="721">
        <v>-1521</v>
      </c>
      <c r="T361" s="721">
        <f>223980+1</f>
        <v>223981</v>
      </c>
    </row>
    <row r="362" spans="1:20" x14ac:dyDescent="0.25">
      <c r="A362" s="715">
        <v>93661</v>
      </c>
      <c r="B362" s="716" t="s">
        <v>2895</v>
      </c>
      <c r="C362" s="717">
        <v>1.3410000000000001E-4</v>
      </c>
      <c r="D362" s="717">
        <v>1.3420000000000001E-4</v>
      </c>
      <c r="E362" s="718">
        <v>204868</v>
      </c>
      <c r="F362" s="718"/>
      <c r="G362" s="719">
        <v>11802</v>
      </c>
      <c r="H362" s="720">
        <v>49742</v>
      </c>
      <c r="I362" s="719">
        <v>29258</v>
      </c>
      <c r="J362" s="718">
        <v>11769</v>
      </c>
      <c r="K362" s="720">
        <f t="shared" si="10"/>
        <v>102571</v>
      </c>
      <c r="L362" s="718"/>
      <c r="M362" s="719">
        <v>5799</v>
      </c>
      <c r="N362" s="719">
        <v>0</v>
      </c>
      <c r="O362" s="718">
        <v>0</v>
      </c>
      <c r="P362" s="720">
        <f t="shared" si="11"/>
        <v>5799</v>
      </c>
      <c r="Q362" s="718"/>
      <c r="R362" s="719">
        <v>69041</v>
      </c>
      <c r="S362" s="721">
        <v>4842</v>
      </c>
      <c r="T362" s="721">
        <v>73883</v>
      </c>
    </row>
    <row r="363" spans="1:20" x14ac:dyDescent="0.25">
      <c r="A363" s="715">
        <v>93671</v>
      </c>
      <c r="B363" s="716" t="s">
        <v>2896</v>
      </c>
      <c r="C363" s="717">
        <v>3.5530000000000002E-4</v>
      </c>
      <c r="D363" s="717">
        <v>3.6900000000000002E-4</v>
      </c>
      <c r="E363" s="718">
        <v>542800</v>
      </c>
      <c r="F363" s="718"/>
      <c r="G363" s="719">
        <v>31270</v>
      </c>
      <c r="H363" s="720">
        <v>131793</v>
      </c>
      <c r="I363" s="719">
        <v>77519</v>
      </c>
      <c r="J363" s="718">
        <v>38666</v>
      </c>
      <c r="K363" s="720">
        <f t="shared" si="10"/>
        <v>279248</v>
      </c>
      <c r="L363" s="718"/>
      <c r="M363" s="719">
        <v>15365</v>
      </c>
      <c r="N363" s="719">
        <v>0</v>
      </c>
      <c r="O363" s="718">
        <v>2899</v>
      </c>
      <c r="P363" s="720">
        <f t="shared" si="11"/>
        <v>18264</v>
      </c>
      <c r="Q363" s="718"/>
      <c r="R363" s="719">
        <v>182924</v>
      </c>
      <c r="S363" s="721">
        <v>28467</v>
      </c>
      <c r="T363" s="721">
        <v>211391</v>
      </c>
    </row>
    <row r="364" spans="1:20" x14ac:dyDescent="0.25">
      <c r="A364" s="715">
        <v>93677</v>
      </c>
      <c r="B364" s="716" t="s">
        <v>1497</v>
      </c>
      <c r="C364" s="717">
        <v>0</v>
      </c>
      <c r="D364" s="717">
        <v>0</v>
      </c>
      <c r="E364" s="718">
        <v>0</v>
      </c>
      <c r="F364" s="718"/>
      <c r="G364" s="719">
        <v>0</v>
      </c>
      <c r="H364" s="720">
        <v>0</v>
      </c>
      <c r="I364" s="719">
        <v>0</v>
      </c>
      <c r="J364" s="718">
        <v>0</v>
      </c>
      <c r="K364" s="720">
        <f t="shared" si="10"/>
        <v>0</v>
      </c>
      <c r="L364" s="718"/>
      <c r="M364" s="719">
        <v>0</v>
      </c>
      <c r="N364" s="719">
        <v>0</v>
      </c>
      <c r="O364" s="718">
        <v>718</v>
      </c>
      <c r="P364" s="720">
        <f t="shared" si="11"/>
        <v>718</v>
      </c>
      <c r="Q364" s="718"/>
      <c r="R364" s="719">
        <v>0</v>
      </c>
      <c r="S364" s="721">
        <v>-725</v>
      </c>
      <c r="T364" s="721">
        <v>-725</v>
      </c>
    </row>
    <row r="365" spans="1:20" x14ac:dyDescent="0.25">
      <c r="A365" s="715">
        <v>93681</v>
      </c>
      <c r="B365" s="716" t="s">
        <v>2897</v>
      </c>
      <c r="C365" s="717">
        <v>1.1179999999999999E-4</v>
      </c>
      <c r="D365" s="717">
        <v>1.1010000000000001E-4</v>
      </c>
      <c r="E365" s="718">
        <v>170799</v>
      </c>
      <c r="F365" s="718"/>
      <c r="G365" s="719">
        <v>9840</v>
      </c>
      <c r="H365" s="720">
        <v>41470</v>
      </c>
      <c r="I365" s="719">
        <v>24393</v>
      </c>
      <c r="J365" s="718">
        <v>264</v>
      </c>
      <c r="K365" s="720">
        <f t="shared" si="10"/>
        <v>75967</v>
      </c>
      <c r="L365" s="718"/>
      <c r="M365" s="719">
        <v>4835</v>
      </c>
      <c r="N365" s="719">
        <v>0</v>
      </c>
      <c r="O365" s="718">
        <v>12629</v>
      </c>
      <c r="P365" s="720">
        <f t="shared" si="11"/>
        <v>17464</v>
      </c>
      <c r="Q365" s="718"/>
      <c r="R365" s="719">
        <v>57560</v>
      </c>
      <c r="S365" s="721">
        <v>-6498</v>
      </c>
      <c r="T365" s="721">
        <f>51061+1</f>
        <v>51062</v>
      </c>
    </row>
    <row r="366" spans="1:20" x14ac:dyDescent="0.25">
      <c r="A366" s="715">
        <v>93691</v>
      </c>
      <c r="B366" s="716" t="s">
        <v>2898</v>
      </c>
      <c r="C366" s="717">
        <v>1.0858E-3</v>
      </c>
      <c r="D366" s="717">
        <v>1.1251E-3</v>
      </c>
      <c r="E366" s="718">
        <v>1658802</v>
      </c>
      <c r="F366" s="718"/>
      <c r="G366" s="719">
        <v>95562</v>
      </c>
      <c r="H366" s="720">
        <v>402759</v>
      </c>
      <c r="I366" s="719">
        <v>236900</v>
      </c>
      <c r="J366" s="718">
        <v>0</v>
      </c>
      <c r="K366" s="720">
        <f t="shared" si="10"/>
        <v>735221</v>
      </c>
      <c r="L366" s="718"/>
      <c r="M366" s="719">
        <v>46955</v>
      </c>
      <c r="N366" s="719">
        <v>0</v>
      </c>
      <c r="O366" s="718">
        <v>115438</v>
      </c>
      <c r="P366" s="720">
        <f t="shared" si="11"/>
        <v>162393</v>
      </c>
      <c r="Q366" s="718"/>
      <c r="R366" s="719">
        <v>559018</v>
      </c>
      <c r="S366" s="721">
        <v>-42411</v>
      </c>
      <c r="T366" s="721">
        <v>516607</v>
      </c>
    </row>
    <row r="367" spans="1:20" x14ac:dyDescent="0.25">
      <c r="A367" s="715">
        <v>93701</v>
      </c>
      <c r="B367" s="716" t="s">
        <v>3554</v>
      </c>
      <c r="C367" s="717">
        <v>4.5800000000000002E-4</v>
      </c>
      <c r="D367" s="717">
        <v>4.6200000000000001E-4</v>
      </c>
      <c r="E367" s="718">
        <v>699697</v>
      </c>
      <c r="F367" s="718"/>
      <c r="G367" s="719">
        <v>40309</v>
      </c>
      <c r="H367" s="720">
        <v>169888</v>
      </c>
      <c r="I367" s="719">
        <v>99926</v>
      </c>
      <c r="J367" s="718">
        <v>7923</v>
      </c>
      <c r="K367" s="720">
        <f t="shared" si="10"/>
        <v>318046</v>
      </c>
      <c r="L367" s="718"/>
      <c r="M367" s="719">
        <v>19806</v>
      </c>
      <c r="N367" s="719">
        <v>0</v>
      </c>
      <c r="O367" s="718">
        <v>17631</v>
      </c>
      <c r="P367" s="720">
        <f t="shared" si="11"/>
        <v>37437</v>
      </c>
      <c r="Q367" s="718"/>
      <c r="R367" s="719">
        <v>235799</v>
      </c>
      <c r="S367" s="721">
        <v>566</v>
      </c>
      <c r="T367" s="721">
        <v>236365</v>
      </c>
    </row>
    <row r="368" spans="1:20" x14ac:dyDescent="0.25">
      <c r="A368" s="715">
        <v>93704</v>
      </c>
      <c r="B368" s="716" t="s">
        <v>2900</v>
      </c>
      <c r="C368" s="717">
        <v>3.0000000000000001E-6</v>
      </c>
      <c r="D368" s="717">
        <v>3.3000000000000002E-6</v>
      </c>
      <c r="E368" s="718">
        <v>4583</v>
      </c>
      <c r="F368" s="718"/>
      <c r="G368" s="719">
        <v>264</v>
      </c>
      <c r="H368" s="720">
        <v>1113</v>
      </c>
      <c r="I368" s="719">
        <v>655</v>
      </c>
      <c r="J368" s="718">
        <v>578</v>
      </c>
      <c r="K368" s="720">
        <f t="shared" si="10"/>
        <v>2610</v>
      </c>
      <c r="L368" s="718"/>
      <c r="M368" s="719">
        <v>130</v>
      </c>
      <c r="N368" s="719">
        <v>0</v>
      </c>
      <c r="O368" s="718">
        <v>49</v>
      </c>
      <c r="P368" s="720">
        <f t="shared" si="11"/>
        <v>179</v>
      </c>
      <c r="Q368" s="718"/>
      <c r="R368" s="719">
        <v>1545</v>
      </c>
      <c r="S368" s="721">
        <v>136</v>
      </c>
      <c r="T368" s="721">
        <v>1681</v>
      </c>
    </row>
    <row r="369" spans="1:20" x14ac:dyDescent="0.25">
      <c r="A369" s="715">
        <v>93801</v>
      </c>
      <c r="B369" s="716" t="s">
        <v>2901</v>
      </c>
      <c r="C369" s="717">
        <v>4.7889999999999999E-4</v>
      </c>
      <c r="D369" s="717">
        <v>5.4180000000000005E-4</v>
      </c>
      <c r="E369" s="718">
        <v>731627</v>
      </c>
      <c r="F369" s="718"/>
      <c r="G369" s="719">
        <v>42148</v>
      </c>
      <c r="H369" s="720">
        <v>177639</v>
      </c>
      <c r="I369" s="719">
        <v>104486</v>
      </c>
      <c r="J369" s="718">
        <v>113630</v>
      </c>
      <c r="K369" s="720">
        <f t="shared" si="10"/>
        <v>437903</v>
      </c>
      <c r="L369" s="718"/>
      <c r="M369" s="719">
        <v>20710</v>
      </c>
      <c r="N369" s="719">
        <v>0</v>
      </c>
      <c r="O369" s="718">
        <v>54734</v>
      </c>
      <c r="P369" s="720">
        <f t="shared" si="11"/>
        <v>75444</v>
      </c>
      <c r="Q369" s="718"/>
      <c r="R369" s="719">
        <v>246559</v>
      </c>
      <c r="S369" s="721">
        <v>28052</v>
      </c>
      <c r="T369" s="721">
        <v>274611</v>
      </c>
    </row>
    <row r="370" spans="1:20" x14ac:dyDescent="0.25">
      <c r="A370" s="715">
        <v>93803</v>
      </c>
      <c r="B370" s="716" t="s">
        <v>2902</v>
      </c>
      <c r="C370" s="717">
        <v>1.1900000000000001E-4</v>
      </c>
      <c r="D370" s="717">
        <v>1.4469999999999999E-4</v>
      </c>
      <c r="E370" s="718">
        <v>181799</v>
      </c>
      <c r="F370" s="718"/>
      <c r="G370" s="719">
        <v>10473</v>
      </c>
      <c r="H370" s="720">
        <v>44141</v>
      </c>
      <c r="I370" s="719">
        <v>25963</v>
      </c>
      <c r="J370" s="718">
        <v>0</v>
      </c>
      <c r="K370" s="720">
        <f t="shared" si="10"/>
        <v>80577</v>
      </c>
      <c r="L370" s="718"/>
      <c r="M370" s="719">
        <v>5146</v>
      </c>
      <c r="N370" s="719">
        <v>0</v>
      </c>
      <c r="O370" s="718">
        <v>42594</v>
      </c>
      <c r="P370" s="720">
        <f t="shared" si="11"/>
        <v>47740</v>
      </c>
      <c r="Q370" s="718"/>
      <c r="R370" s="719">
        <v>61266</v>
      </c>
      <c r="S370" s="721">
        <v>-17510</v>
      </c>
      <c r="T370" s="721">
        <v>43756</v>
      </c>
    </row>
    <row r="371" spans="1:20" x14ac:dyDescent="0.25">
      <c r="A371" s="715">
        <v>93806</v>
      </c>
      <c r="B371" s="716" t="s">
        <v>2903</v>
      </c>
      <c r="C371" s="717">
        <v>9.3900000000000006E-5</v>
      </c>
      <c r="D371" s="717">
        <v>7.3700000000000002E-5</v>
      </c>
      <c r="E371" s="718">
        <v>143453</v>
      </c>
      <c r="F371" s="718"/>
      <c r="G371" s="719">
        <v>8264</v>
      </c>
      <c r="H371" s="720">
        <v>34831</v>
      </c>
      <c r="I371" s="719">
        <v>20487</v>
      </c>
      <c r="J371" s="718">
        <v>13283</v>
      </c>
      <c r="K371" s="720">
        <f t="shared" si="10"/>
        <v>76865</v>
      </c>
      <c r="L371" s="718"/>
      <c r="M371" s="719">
        <v>4061</v>
      </c>
      <c r="N371" s="719">
        <v>0</v>
      </c>
      <c r="O371" s="718">
        <v>10049</v>
      </c>
      <c r="P371" s="720">
        <f t="shared" si="11"/>
        <v>14110</v>
      </c>
      <c r="Q371" s="718"/>
      <c r="R371" s="719">
        <v>48344</v>
      </c>
      <c r="S371" s="721">
        <v>-6121</v>
      </c>
      <c r="T371" s="721">
        <v>42223</v>
      </c>
    </row>
    <row r="372" spans="1:20" x14ac:dyDescent="0.25">
      <c r="A372" s="715">
        <v>93821</v>
      </c>
      <c r="B372" s="716" t="s">
        <v>2904</v>
      </c>
      <c r="C372" s="717">
        <v>2.9899999999999998E-5</v>
      </c>
      <c r="D372" s="717">
        <v>5.7200000000000001E-5</v>
      </c>
      <c r="E372" s="718">
        <v>45679</v>
      </c>
      <c r="F372" s="718"/>
      <c r="G372" s="719">
        <v>2632</v>
      </c>
      <c r="H372" s="720">
        <v>11090</v>
      </c>
      <c r="I372" s="719">
        <v>6524</v>
      </c>
      <c r="J372" s="718">
        <v>18424</v>
      </c>
      <c r="K372" s="720">
        <f t="shared" si="10"/>
        <v>38670</v>
      </c>
      <c r="L372" s="718"/>
      <c r="M372" s="719">
        <v>1293</v>
      </c>
      <c r="N372" s="719">
        <v>0</v>
      </c>
      <c r="O372" s="718">
        <v>343</v>
      </c>
      <c r="P372" s="720">
        <f t="shared" si="11"/>
        <v>1636</v>
      </c>
      <c r="Q372" s="718"/>
      <c r="R372" s="719">
        <v>15394</v>
      </c>
      <c r="S372" s="721">
        <v>7633</v>
      </c>
      <c r="T372" s="721">
        <f>23026+1</f>
        <v>23027</v>
      </c>
    </row>
    <row r="373" spans="1:20" x14ac:dyDescent="0.25">
      <c r="A373" s="715">
        <v>93901</v>
      </c>
      <c r="B373" s="716" t="s">
        <v>2905</v>
      </c>
      <c r="C373" s="717">
        <v>1.7974E-3</v>
      </c>
      <c r="D373" s="717">
        <v>1.8059E-3</v>
      </c>
      <c r="E373" s="718">
        <v>2745929</v>
      </c>
      <c r="F373" s="718"/>
      <c r="G373" s="719">
        <v>158191</v>
      </c>
      <c r="H373" s="720">
        <v>666715</v>
      </c>
      <c r="I373" s="719">
        <v>392157</v>
      </c>
      <c r="J373" s="718">
        <v>89069</v>
      </c>
      <c r="K373" s="720">
        <f t="shared" si="10"/>
        <v>1306132</v>
      </c>
      <c r="L373" s="718"/>
      <c r="M373" s="719">
        <v>77729</v>
      </c>
      <c r="N373" s="719">
        <v>0</v>
      </c>
      <c r="O373" s="718">
        <v>0</v>
      </c>
      <c r="P373" s="720">
        <f t="shared" si="11"/>
        <v>77729</v>
      </c>
      <c r="Q373" s="718"/>
      <c r="R373" s="719">
        <v>925381</v>
      </c>
      <c r="S373" s="721">
        <v>32657</v>
      </c>
      <c r="T373" s="721">
        <v>958038</v>
      </c>
    </row>
    <row r="374" spans="1:20" x14ac:dyDescent="0.25">
      <c r="A374" s="715">
        <v>93904</v>
      </c>
      <c r="B374" s="716" t="s">
        <v>2906</v>
      </c>
      <c r="C374" s="717">
        <v>3.0000000000000001E-5</v>
      </c>
      <c r="D374" s="717">
        <v>2.4700000000000001E-5</v>
      </c>
      <c r="E374" s="718">
        <v>45832</v>
      </c>
      <c r="F374" s="718"/>
      <c r="G374" s="719">
        <v>2640</v>
      </c>
      <c r="H374" s="720">
        <v>11128</v>
      </c>
      <c r="I374" s="719">
        <v>6545</v>
      </c>
      <c r="J374" s="718">
        <v>9710</v>
      </c>
      <c r="K374" s="720">
        <f t="shared" si="10"/>
        <v>30023</v>
      </c>
      <c r="L374" s="718"/>
      <c r="M374" s="719">
        <v>1297</v>
      </c>
      <c r="N374" s="719">
        <v>0</v>
      </c>
      <c r="O374" s="718">
        <v>28</v>
      </c>
      <c r="P374" s="720">
        <f t="shared" si="11"/>
        <v>1325</v>
      </c>
      <c r="Q374" s="718"/>
      <c r="R374" s="719">
        <v>15445</v>
      </c>
      <c r="S374" s="721">
        <v>3144</v>
      </c>
      <c r="T374" s="721">
        <v>18589</v>
      </c>
    </row>
    <row r="375" spans="1:20" x14ac:dyDescent="0.25">
      <c r="A375" s="715">
        <v>93906</v>
      </c>
      <c r="B375" s="716" t="s">
        <v>2907</v>
      </c>
      <c r="C375" s="717">
        <v>3.3882000000000001E-3</v>
      </c>
      <c r="D375" s="717">
        <v>3.4513E-3</v>
      </c>
      <c r="E375" s="718">
        <v>5176231</v>
      </c>
      <c r="F375" s="718"/>
      <c r="G375" s="719">
        <v>298199</v>
      </c>
      <c r="H375" s="720">
        <v>1256796</v>
      </c>
      <c r="I375" s="719">
        <v>739237</v>
      </c>
      <c r="J375" s="718">
        <v>14983</v>
      </c>
      <c r="K375" s="720">
        <f t="shared" si="10"/>
        <v>2309215</v>
      </c>
      <c r="L375" s="718"/>
      <c r="M375" s="719">
        <v>146523</v>
      </c>
      <c r="N375" s="719">
        <v>0</v>
      </c>
      <c r="O375" s="718">
        <v>222323</v>
      </c>
      <c r="P375" s="720">
        <f t="shared" si="11"/>
        <v>368846</v>
      </c>
      <c r="Q375" s="718"/>
      <c r="R375" s="719">
        <v>1744394</v>
      </c>
      <c r="S375" s="721">
        <v>-70525</v>
      </c>
      <c r="T375" s="721">
        <v>1673869</v>
      </c>
    </row>
    <row r="376" spans="1:20" x14ac:dyDescent="0.25">
      <c r="A376" s="715">
        <v>93908</v>
      </c>
      <c r="B376" s="716" t="s">
        <v>3555</v>
      </c>
      <c r="C376" s="717">
        <v>5.1219999999999998E-4</v>
      </c>
      <c r="D376" s="717">
        <v>5.0239999999999996E-4</v>
      </c>
      <c r="E376" s="718">
        <v>782500</v>
      </c>
      <c r="F376" s="718"/>
      <c r="G376" s="719">
        <v>45079</v>
      </c>
      <c r="H376" s="720">
        <v>189992</v>
      </c>
      <c r="I376" s="719">
        <v>111752</v>
      </c>
      <c r="J376" s="718">
        <v>12340</v>
      </c>
      <c r="K376" s="720">
        <f t="shared" si="10"/>
        <v>359163</v>
      </c>
      <c r="L376" s="718"/>
      <c r="M376" s="719">
        <v>22150</v>
      </c>
      <c r="N376" s="719">
        <v>0</v>
      </c>
      <c r="O376" s="718">
        <v>16479</v>
      </c>
      <c r="P376" s="720">
        <f t="shared" si="11"/>
        <v>38629</v>
      </c>
      <c r="Q376" s="718"/>
      <c r="R376" s="719">
        <v>263703</v>
      </c>
      <c r="S376" s="721">
        <v>-2302</v>
      </c>
      <c r="T376" s="721">
        <v>261401</v>
      </c>
    </row>
    <row r="377" spans="1:20" x14ac:dyDescent="0.25">
      <c r="A377" s="715">
        <v>93910</v>
      </c>
      <c r="B377" s="716" t="s">
        <v>2909</v>
      </c>
      <c r="C377" s="717">
        <v>2.786E-4</v>
      </c>
      <c r="D377" s="717">
        <v>2.9129999999999998E-4</v>
      </c>
      <c r="E377" s="718">
        <v>425624</v>
      </c>
      <c r="F377" s="718"/>
      <c r="G377" s="719">
        <v>24520</v>
      </c>
      <c r="H377" s="720">
        <v>103342</v>
      </c>
      <c r="I377" s="719">
        <v>60785</v>
      </c>
      <c r="J377" s="718">
        <v>0</v>
      </c>
      <c r="K377" s="720">
        <f t="shared" si="10"/>
        <v>188647</v>
      </c>
      <c r="L377" s="718"/>
      <c r="M377" s="719">
        <v>12048</v>
      </c>
      <c r="N377" s="719">
        <v>0</v>
      </c>
      <c r="O377" s="718">
        <v>34002</v>
      </c>
      <c r="P377" s="720">
        <f t="shared" si="11"/>
        <v>46050</v>
      </c>
      <c r="Q377" s="718"/>
      <c r="R377" s="719">
        <v>143436</v>
      </c>
      <c r="S377" s="721">
        <v>-14513</v>
      </c>
      <c r="T377" s="721">
        <v>128923</v>
      </c>
    </row>
    <row r="378" spans="1:20" x14ac:dyDescent="0.25">
      <c r="A378" s="715">
        <v>93911</v>
      </c>
      <c r="B378" s="716" t="s">
        <v>2910</v>
      </c>
      <c r="C378" s="717">
        <v>6.3429999999999997E-4</v>
      </c>
      <c r="D378" s="717">
        <v>6.9890000000000002E-4</v>
      </c>
      <c r="E378" s="718">
        <v>969035</v>
      </c>
      <c r="F378" s="718"/>
      <c r="G378" s="719">
        <v>55825</v>
      </c>
      <c r="H378" s="720">
        <v>235283</v>
      </c>
      <c r="I378" s="719">
        <v>138392</v>
      </c>
      <c r="J378" s="718">
        <v>13175</v>
      </c>
      <c r="K378" s="720">
        <f t="shared" si="10"/>
        <v>442675</v>
      </c>
      <c r="L378" s="718"/>
      <c r="M378" s="719">
        <v>27430</v>
      </c>
      <c r="N378" s="719">
        <v>0</v>
      </c>
      <c r="O378" s="718">
        <v>54353</v>
      </c>
      <c r="P378" s="720">
        <f t="shared" si="11"/>
        <v>81783</v>
      </c>
      <c r="Q378" s="718"/>
      <c r="R378" s="719">
        <v>326566</v>
      </c>
      <c r="S378" s="721">
        <v>-6922</v>
      </c>
      <c r="T378" s="721">
        <v>319644</v>
      </c>
    </row>
    <row r="379" spans="1:20" x14ac:dyDescent="0.25">
      <c r="A379" s="715">
        <v>93913</v>
      </c>
      <c r="B379" s="716" t="s">
        <v>2911</v>
      </c>
      <c r="C379" s="717">
        <v>5.8799999999999999E-5</v>
      </c>
      <c r="D379" s="717">
        <v>6.2600000000000004E-5</v>
      </c>
      <c r="E379" s="718">
        <v>89830</v>
      </c>
      <c r="F379" s="718"/>
      <c r="G379" s="719">
        <v>5175</v>
      </c>
      <c r="H379" s="720">
        <v>21810</v>
      </c>
      <c r="I379" s="719">
        <v>12829</v>
      </c>
      <c r="J379" s="718">
        <v>2902</v>
      </c>
      <c r="K379" s="720">
        <f t="shared" si="10"/>
        <v>42716</v>
      </c>
      <c r="L379" s="718"/>
      <c r="M379" s="719">
        <v>2543</v>
      </c>
      <c r="N379" s="719">
        <v>0</v>
      </c>
      <c r="O379" s="718">
        <v>1064</v>
      </c>
      <c r="P379" s="720">
        <f t="shared" si="11"/>
        <v>3607</v>
      </c>
      <c r="Q379" s="718"/>
      <c r="R379" s="719">
        <v>30273</v>
      </c>
      <c r="S379" s="721">
        <v>476</v>
      </c>
      <c r="T379" s="721">
        <v>30749</v>
      </c>
    </row>
    <row r="380" spans="1:20" x14ac:dyDescent="0.25">
      <c r="A380" s="715">
        <v>93914</v>
      </c>
      <c r="B380" s="716" t="s">
        <v>2912</v>
      </c>
      <c r="C380" s="717">
        <v>8.1000000000000004E-6</v>
      </c>
      <c r="D380" s="717">
        <v>9.0999999999999993E-6</v>
      </c>
      <c r="E380" s="718">
        <v>12375</v>
      </c>
      <c r="F380" s="718"/>
      <c r="G380" s="719">
        <v>713</v>
      </c>
      <c r="H380" s="720">
        <v>3005</v>
      </c>
      <c r="I380" s="719">
        <v>1767</v>
      </c>
      <c r="J380" s="718">
        <v>3568</v>
      </c>
      <c r="K380" s="720">
        <f t="shared" si="10"/>
        <v>9053</v>
      </c>
      <c r="L380" s="718"/>
      <c r="M380" s="719">
        <v>350</v>
      </c>
      <c r="N380" s="719">
        <v>0</v>
      </c>
      <c r="O380" s="718">
        <v>0</v>
      </c>
      <c r="P380" s="720">
        <f t="shared" si="11"/>
        <v>350</v>
      </c>
      <c r="Q380" s="718"/>
      <c r="R380" s="719">
        <v>4170</v>
      </c>
      <c r="S380" s="721">
        <v>1520</v>
      </c>
      <c r="T380" s="721">
        <v>5690</v>
      </c>
    </row>
    <row r="381" spans="1:20" x14ac:dyDescent="0.25">
      <c r="A381" s="715">
        <v>93921</v>
      </c>
      <c r="B381" s="716" t="s">
        <v>2913</v>
      </c>
      <c r="C381" s="717">
        <v>2.9020000000000001E-4</v>
      </c>
      <c r="D381" s="717">
        <v>2.7139999999999998E-4</v>
      </c>
      <c r="E381" s="718">
        <v>443345</v>
      </c>
      <c r="F381" s="718"/>
      <c r="G381" s="719">
        <v>25541</v>
      </c>
      <c r="H381" s="720">
        <v>107645</v>
      </c>
      <c r="I381" s="719">
        <v>63316</v>
      </c>
      <c r="J381" s="718">
        <v>16222</v>
      </c>
      <c r="K381" s="720">
        <f t="shared" si="10"/>
        <v>212724</v>
      </c>
      <c r="L381" s="718"/>
      <c r="M381" s="719">
        <v>12550</v>
      </c>
      <c r="N381" s="719">
        <v>0</v>
      </c>
      <c r="O381" s="718">
        <v>5036</v>
      </c>
      <c r="P381" s="720">
        <f t="shared" si="11"/>
        <v>17586</v>
      </c>
      <c r="Q381" s="718"/>
      <c r="R381" s="719">
        <v>149408</v>
      </c>
      <c r="S381" s="721">
        <v>6326</v>
      </c>
      <c r="T381" s="721">
        <v>155734</v>
      </c>
    </row>
    <row r="382" spans="1:20" x14ac:dyDescent="0.25">
      <c r="A382" s="715">
        <v>93931</v>
      </c>
      <c r="B382" s="716" t="s">
        <v>2914</v>
      </c>
      <c r="C382" s="717">
        <v>5.0029999999999996E-4</v>
      </c>
      <c r="D382" s="717">
        <v>5.2260000000000002E-4</v>
      </c>
      <c r="E382" s="718">
        <v>764320</v>
      </c>
      <c r="F382" s="718"/>
      <c r="G382" s="719">
        <v>44032</v>
      </c>
      <c r="H382" s="720">
        <v>185578</v>
      </c>
      <c r="I382" s="719">
        <v>109155</v>
      </c>
      <c r="J382" s="718">
        <v>107572</v>
      </c>
      <c r="K382" s="720">
        <f t="shared" si="10"/>
        <v>446337</v>
      </c>
      <c r="L382" s="718"/>
      <c r="M382" s="719">
        <v>21635</v>
      </c>
      <c r="N382" s="719">
        <v>0</v>
      </c>
      <c r="O382" s="718">
        <v>39017</v>
      </c>
      <c r="P382" s="720">
        <f t="shared" si="11"/>
        <v>60652</v>
      </c>
      <c r="Q382" s="718"/>
      <c r="R382" s="719">
        <v>257576</v>
      </c>
      <c r="S382" s="721">
        <v>79129</v>
      </c>
      <c r="T382" s="721">
        <v>336705</v>
      </c>
    </row>
    <row r="383" spans="1:20" x14ac:dyDescent="0.25">
      <c r="A383" s="715">
        <v>94001</v>
      </c>
      <c r="B383" s="716" t="s">
        <v>2915</v>
      </c>
      <c r="C383" s="717">
        <v>9.209E-4</v>
      </c>
      <c r="D383" s="717">
        <v>9.0240000000000003E-4</v>
      </c>
      <c r="E383" s="718">
        <v>1406880</v>
      </c>
      <c r="F383" s="718"/>
      <c r="G383" s="719">
        <v>81049</v>
      </c>
      <c r="H383" s="720">
        <v>341592</v>
      </c>
      <c r="I383" s="719">
        <v>200922</v>
      </c>
      <c r="J383" s="718">
        <v>45532</v>
      </c>
      <c r="K383" s="720">
        <f t="shared" si="10"/>
        <v>669095</v>
      </c>
      <c r="L383" s="718"/>
      <c r="M383" s="719">
        <v>39824</v>
      </c>
      <c r="N383" s="719">
        <v>0</v>
      </c>
      <c r="O383" s="718">
        <v>27168</v>
      </c>
      <c r="P383" s="720">
        <f t="shared" si="11"/>
        <v>66992</v>
      </c>
      <c r="Q383" s="718"/>
      <c r="R383" s="719">
        <v>474120</v>
      </c>
      <c r="S383" s="721">
        <v>-12411</v>
      </c>
      <c r="T383" s="721">
        <v>461709</v>
      </c>
    </row>
    <row r="384" spans="1:20" x14ac:dyDescent="0.25">
      <c r="A384" s="715">
        <v>94002</v>
      </c>
      <c r="B384" s="716" t="s">
        <v>2916</v>
      </c>
      <c r="C384" s="717">
        <v>7.0999999999999998E-6</v>
      </c>
      <c r="D384" s="717">
        <v>7.6000000000000001E-6</v>
      </c>
      <c r="E384" s="718">
        <v>10847</v>
      </c>
      <c r="F384" s="718"/>
      <c r="G384" s="719">
        <v>625</v>
      </c>
      <c r="H384" s="720">
        <v>2633</v>
      </c>
      <c r="I384" s="719">
        <v>1549</v>
      </c>
      <c r="J384" s="718">
        <v>1428</v>
      </c>
      <c r="K384" s="720">
        <f t="shared" si="10"/>
        <v>6235</v>
      </c>
      <c r="L384" s="718"/>
      <c r="M384" s="719">
        <v>307</v>
      </c>
      <c r="N384" s="719">
        <v>0</v>
      </c>
      <c r="O384" s="718">
        <v>214</v>
      </c>
      <c r="P384" s="720">
        <f t="shared" si="11"/>
        <v>521</v>
      </c>
      <c r="Q384" s="718"/>
      <c r="R384" s="719">
        <v>3655</v>
      </c>
      <c r="S384" s="721">
        <v>237</v>
      </c>
      <c r="T384" s="721">
        <v>3892</v>
      </c>
    </row>
    <row r="385" spans="1:20" x14ac:dyDescent="0.25">
      <c r="A385" s="715">
        <v>94004</v>
      </c>
      <c r="B385" s="716" t="s">
        <v>2917</v>
      </c>
      <c r="C385" s="717">
        <v>7.3000000000000004E-6</v>
      </c>
      <c r="D385" s="717">
        <v>2.7999999999999999E-6</v>
      </c>
      <c r="E385" s="718">
        <v>11152</v>
      </c>
      <c r="F385" s="718"/>
      <c r="G385" s="719">
        <v>642</v>
      </c>
      <c r="H385" s="720">
        <v>2708</v>
      </c>
      <c r="I385" s="719">
        <v>1593</v>
      </c>
      <c r="J385" s="718">
        <v>4768</v>
      </c>
      <c r="K385" s="720">
        <f t="shared" si="10"/>
        <v>9711</v>
      </c>
      <c r="L385" s="718"/>
      <c r="M385" s="719">
        <v>316</v>
      </c>
      <c r="N385" s="719">
        <v>0</v>
      </c>
      <c r="O385" s="718">
        <v>626</v>
      </c>
      <c r="P385" s="720">
        <f t="shared" si="11"/>
        <v>942</v>
      </c>
      <c r="Q385" s="718"/>
      <c r="R385" s="719">
        <v>3758</v>
      </c>
      <c r="S385" s="721">
        <v>706</v>
      </c>
      <c r="T385" s="721">
        <v>4464</v>
      </c>
    </row>
    <row r="386" spans="1:20" x14ac:dyDescent="0.25">
      <c r="A386" s="715">
        <v>94005</v>
      </c>
      <c r="B386" s="716" t="s">
        <v>2918</v>
      </c>
      <c r="C386" s="717">
        <v>0</v>
      </c>
      <c r="D386" s="717">
        <v>5.4999999999999999E-6</v>
      </c>
      <c r="E386" s="718">
        <v>0</v>
      </c>
      <c r="F386" s="718"/>
      <c r="G386" s="719">
        <v>0</v>
      </c>
      <c r="H386" s="720">
        <v>0</v>
      </c>
      <c r="I386" s="719">
        <v>0</v>
      </c>
      <c r="J386" s="718">
        <v>0</v>
      </c>
      <c r="K386" s="720">
        <f t="shared" si="10"/>
        <v>0</v>
      </c>
      <c r="L386" s="718"/>
      <c r="M386" s="719">
        <v>0</v>
      </c>
      <c r="N386" s="719">
        <v>0</v>
      </c>
      <c r="O386" s="718">
        <v>5864</v>
      </c>
      <c r="P386" s="720">
        <f t="shared" si="11"/>
        <v>5864</v>
      </c>
      <c r="Q386" s="718"/>
      <c r="R386" s="719">
        <v>0</v>
      </c>
      <c r="S386" s="721">
        <v>-1984</v>
      </c>
      <c r="T386" s="721">
        <v>-1984</v>
      </c>
    </row>
    <row r="387" spans="1:20" x14ac:dyDescent="0.25">
      <c r="A387" s="715">
        <v>94011</v>
      </c>
      <c r="B387" s="716" t="s">
        <v>2919</v>
      </c>
      <c r="C387" s="717">
        <v>2.3600000000000001E-5</v>
      </c>
      <c r="D387" s="717">
        <v>2.5599999999999999E-5</v>
      </c>
      <c r="E387" s="718">
        <v>36054</v>
      </c>
      <c r="F387" s="718"/>
      <c r="G387" s="719">
        <v>2077</v>
      </c>
      <c r="H387" s="720">
        <v>8754</v>
      </c>
      <c r="I387" s="719">
        <v>5149</v>
      </c>
      <c r="J387" s="718">
        <v>3216</v>
      </c>
      <c r="K387" s="720">
        <f t="shared" si="10"/>
        <v>19196</v>
      </c>
      <c r="L387" s="718"/>
      <c r="M387" s="719">
        <v>1021</v>
      </c>
      <c r="N387" s="719">
        <v>0</v>
      </c>
      <c r="O387" s="718">
        <v>3156</v>
      </c>
      <c r="P387" s="720">
        <f t="shared" si="11"/>
        <v>4177</v>
      </c>
      <c r="Q387" s="718"/>
      <c r="R387" s="719">
        <v>12150</v>
      </c>
      <c r="S387" s="721">
        <v>-16</v>
      </c>
      <c r="T387" s="721">
        <v>12134</v>
      </c>
    </row>
    <row r="388" spans="1:20" x14ac:dyDescent="0.25">
      <c r="A388" s="715">
        <v>94021</v>
      </c>
      <c r="B388" s="716" t="s">
        <v>2920</v>
      </c>
      <c r="C388" s="717">
        <v>9.3399999999999993E-5</v>
      </c>
      <c r="D388" s="717">
        <v>8.1699999999999994E-5</v>
      </c>
      <c r="E388" s="718">
        <v>142689</v>
      </c>
      <c r="F388" s="718"/>
      <c r="G388" s="719">
        <v>8220</v>
      </c>
      <c r="H388" s="720">
        <v>34645</v>
      </c>
      <c r="I388" s="719">
        <v>20378</v>
      </c>
      <c r="J388" s="718">
        <v>20025</v>
      </c>
      <c r="K388" s="720">
        <f t="shared" si="10"/>
        <v>83268</v>
      </c>
      <c r="L388" s="718"/>
      <c r="M388" s="719">
        <v>4039</v>
      </c>
      <c r="N388" s="719">
        <v>0</v>
      </c>
      <c r="O388" s="718">
        <v>0</v>
      </c>
      <c r="P388" s="720">
        <f t="shared" si="11"/>
        <v>4039</v>
      </c>
      <c r="Q388" s="718"/>
      <c r="R388" s="719">
        <v>48086</v>
      </c>
      <c r="S388" s="721">
        <v>8567</v>
      </c>
      <c r="T388" s="721">
        <v>56653</v>
      </c>
    </row>
    <row r="389" spans="1:20" x14ac:dyDescent="0.25">
      <c r="A389" s="715">
        <v>94031</v>
      </c>
      <c r="B389" s="716" t="s">
        <v>2921</v>
      </c>
      <c r="C389" s="717">
        <v>5.4E-6</v>
      </c>
      <c r="D389" s="717">
        <v>8.1000000000000004E-6</v>
      </c>
      <c r="E389" s="718">
        <v>8250</v>
      </c>
      <c r="F389" s="718"/>
      <c r="G389" s="719">
        <v>475</v>
      </c>
      <c r="H389" s="720">
        <v>2003</v>
      </c>
      <c r="I389" s="719">
        <v>1178</v>
      </c>
      <c r="J389" s="718">
        <v>7232</v>
      </c>
      <c r="K389" s="720">
        <f t="shared" si="10"/>
        <v>10888</v>
      </c>
      <c r="L389" s="718"/>
      <c r="M389" s="719">
        <v>234</v>
      </c>
      <c r="N389" s="719">
        <v>0</v>
      </c>
      <c r="O389" s="718">
        <v>41</v>
      </c>
      <c r="P389" s="720">
        <f t="shared" si="11"/>
        <v>275</v>
      </c>
      <c r="Q389" s="718"/>
      <c r="R389" s="719">
        <v>2780</v>
      </c>
      <c r="S389" s="721">
        <v>2829</v>
      </c>
      <c r="T389" s="721">
        <v>5609</v>
      </c>
    </row>
    <row r="390" spans="1:20" x14ac:dyDescent="0.25">
      <c r="A390" s="715">
        <v>94101</v>
      </c>
      <c r="B390" s="716" t="s">
        <v>2922</v>
      </c>
      <c r="C390" s="717">
        <v>1.8321799999999999E-2</v>
      </c>
      <c r="D390" s="717">
        <v>1.85028E-2</v>
      </c>
      <c r="E390" s="718">
        <v>27990635</v>
      </c>
      <c r="F390" s="718"/>
      <c r="G390" s="719">
        <v>1612520</v>
      </c>
      <c r="H390" s="720">
        <v>6796161</v>
      </c>
      <c r="I390" s="719">
        <v>3997450</v>
      </c>
      <c r="J390" s="718">
        <v>271577</v>
      </c>
      <c r="K390" s="720">
        <f t="shared" si="10"/>
        <v>12677708</v>
      </c>
      <c r="L390" s="718"/>
      <c r="M390" s="719">
        <v>792326</v>
      </c>
      <c r="N390" s="719">
        <v>0</v>
      </c>
      <c r="O390" s="718">
        <v>721969</v>
      </c>
      <c r="P390" s="720">
        <f t="shared" si="11"/>
        <v>1514295</v>
      </c>
      <c r="Q390" s="718"/>
      <c r="R390" s="719">
        <v>9432869</v>
      </c>
      <c r="S390" s="721">
        <v>-270678</v>
      </c>
      <c r="T390" s="721">
        <v>9162191</v>
      </c>
    </row>
    <row r="391" spans="1:20" x14ac:dyDescent="0.25">
      <c r="A391" s="715">
        <v>94102</v>
      </c>
      <c r="B391" s="716" t="s">
        <v>2923</v>
      </c>
      <c r="C391" s="717">
        <v>2.965E-4</v>
      </c>
      <c r="D391" s="717">
        <v>2.7569999999999998E-4</v>
      </c>
      <c r="E391" s="718">
        <v>452970</v>
      </c>
      <c r="F391" s="718"/>
      <c r="G391" s="719">
        <v>26095</v>
      </c>
      <c r="H391" s="720">
        <v>109981</v>
      </c>
      <c r="I391" s="719">
        <v>64690</v>
      </c>
      <c r="J391" s="718">
        <v>2570</v>
      </c>
      <c r="K391" s="720">
        <f t="shared" ref="K391:K454" si="12">G391+H391+I391+J391</f>
        <v>203336</v>
      </c>
      <c r="L391" s="718"/>
      <c r="M391" s="719">
        <v>12822</v>
      </c>
      <c r="N391" s="719">
        <v>0</v>
      </c>
      <c r="O391" s="718">
        <v>36856</v>
      </c>
      <c r="P391" s="720">
        <f t="shared" ref="P391:P454" si="13">M391+N391+O391</f>
        <v>49678</v>
      </c>
      <c r="Q391" s="718"/>
      <c r="R391" s="719">
        <v>152651</v>
      </c>
      <c r="S391" s="721">
        <v>-11311</v>
      </c>
      <c r="T391" s="721">
        <v>141340</v>
      </c>
    </row>
    <row r="392" spans="1:20" x14ac:dyDescent="0.25">
      <c r="A392" s="715">
        <v>94108</v>
      </c>
      <c r="B392" s="716" t="s">
        <v>2924</v>
      </c>
      <c r="C392" s="717">
        <v>3.1389999999999999E-4</v>
      </c>
      <c r="D392" s="717">
        <v>3.1809999999999998E-4</v>
      </c>
      <c r="E392" s="718">
        <v>479552</v>
      </c>
      <c r="F392" s="718"/>
      <c r="G392" s="719">
        <v>27627</v>
      </c>
      <c r="H392" s="720">
        <v>116436</v>
      </c>
      <c r="I392" s="719">
        <v>68487</v>
      </c>
      <c r="J392" s="718">
        <v>0</v>
      </c>
      <c r="K392" s="720">
        <f t="shared" si="12"/>
        <v>212550</v>
      </c>
      <c r="L392" s="718"/>
      <c r="M392" s="719">
        <v>13575</v>
      </c>
      <c r="N392" s="719">
        <v>0</v>
      </c>
      <c r="O392" s="718">
        <v>108607</v>
      </c>
      <c r="P392" s="720">
        <f t="shared" si="13"/>
        <v>122182</v>
      </c>
      <c r="Q392" s="718"/>
      <c r="R392" s="719">
        <v>161610</v>
      </c>
      <c r="S392" s="721">
        <v>-47459</v>
      </c>
      <c r="T392" s="721">
        <v>114151</v>
      </c>
    </row>
    <row r="393" spans="1:20" x14ac:dyDescent="0.25">
      <c r="A393" s="715">
        <v>94109</v>
      </c>
      <c r="B393" s="716" t="s">
        <v>2925</v>
      </c>
      <c r="C393" s="717">
        <v>9.09E-5</v>
      </c>
      <c r="D393" s="717">
        <v>1.0399999999999999E-4</v>
      </c>
      <c r="E393" s="718">
        <v>138870</v>
      </c>
      <c r="F393" s="718"/>
      <c r="G393" s="719">
        <v>8000</v>
      </c>
      <c r="H393" s="720">
        <v>33718</v>
      </c>
      <c r="I393" s="719">
        <v>19833</v>
      </c>
      <c r="J393" s="718">
        <v>796</v>
      </c>
      <c r="K393" s="720">
        <f t="shared" si="12"/>
        <v>62347</v>
      </c>
      <c r="L393" s="718"/>
      <c r="M393" s="719">
        <v>3931</v>
      </c>
      <c r="N393" s="719">
        <v>0</v>
      </c>
      <c r="O393" s="718">
        <v>41294</v>
      </c>
      <c r="P393" s="720">
        <f t="shared" si="13"/>
        <v>45225</v>
      </c>
      <c r="Q393" s="718"/>
      <c r="R393" s="719">
        <v>46799</v>
      </c>
      <c r="S393" s="721">
        <v>-12890</v>
      </c>
      <c r="T393" s="721">
        <v>33909</v>
      </c>
    </row>
    <row r="394" spans="1:20" x14ac:dyDescent="0.25">
      <c r="A394" s="715">
        <v>94111</v>
      </c>
      <c r="B394" s="716" t="s">
        <v>2926</v>
      </c>
      <c r="C394" s="717">
        <v>2.5682300000000002E-2</v>
      </c>
      <c r="D394" s="717">
        <v>2.5623300000000002E-2</v>
      </c>
      <c r="E394" s="718">
        <v>39235440</v>
      </c>
      <c r="F394" s="718"/>
      <c r="G394" s="719">
        <v>2260325</v>
      </c>
      <c r="H394" s="720">
        <v>9526412</v>
      </c>
      <c r="I394" s="719">
        <v>5603364</v>
      </c>
      <c r="J394" s="718">
        <v>7528</v>
      </c>
      <c r="K394" s="720">
        <f t="shared" si="12"/>
        <v>17397629</v>
      </c>
      <c r="L394" s="718"/>
      <c r="M394" s="719">
        <v>1110631</v>
      </c>
      <c r="N394" s="719">
        <v>0</v>
      </c>
      <c r="O394" s="718">
        <v>1491627</v>
      </c>
      <c r="P394" s="720">
        <f t="shared" si="13"/>
        <v>2602258</v>
      </c>
      <c r="Q394" s="718"/>
      <c r="R394" s="719">
        <v>13222378</v>
      </c>
      <c r="S394" s="721">
        <v>-524586</v>
      </c>
      <c r="T394" s="721">
        <v>12697792</v>
      </c>
    </row>
    <row r="395" spans="1:20" x14ac:dyDescent="0.25">
      <c r="A395" s="715">
        <v>94112</v>
      </c>
      <c r="B395" s="716" t="s">
        <v>2927</v>
      </c>
      <c r="C395" s="717">
        <v>1.6699999999999999E-4</v>
      </c>
      <c r="D395" s="717">
        <v>1.6530000000000001E-4</v>
      </c>
      <c r="E395" s="718">
        <v>255130</v>
      </c>
      <c r="F395" s="718"/>
      <c r="G395" s="719">
        <v>14698</v>
      </c>
      <c r="H395" s="720">
        <v>61946</v>
      </c>
      <c r="I395" s="719">
        <v>36436</v>
      </c>
      <c r="J395" s="718">
        <v>0</v>
      </c>
      <c r="K395" s="720">
        <f t="shared" si="12"/>
        <v>113080</v>
      </c>
      <c r="L395" s="718"/>
      <c r="M395" s="719">
        <v>7222</v>
      </c>
      <c r="N395" s="719">
        <v>0</v>
      </c>
      <c r="O395" s="718">
        <v>18973</v>
      </c>
      <c r="P395" s="720">
        <f t="shared" si="13"/>
        <v>26195</v>
      </c>
      <c r="Q395" s="718"/>
      <c r="R395" s="719">
        <v>85979</v>
      </c>
      <c r="S395" s="721">
        <v>-8534</v>
      </c>
      <c r="T395" s="721">
        <v>77445</v>
      </c>
    </row>
    <row r="396" spans="1:20" x14ac:dyDescent="0.25">
      <c r="A396" s="715">
        <v>94117</v>
      </c>
      <c r="B396" s="716" t="s">
        <v>2928</v>
      </c>
      <c r="C396" s="717">
        <v>3.9809999999999997E-4</v>
      </c>
      <c r="D396" s="717">
        <v>4.0709999999999997E-4</v>
      </c>
      <c r="E396" s="718">
        <v>608187</v>
      </c>
      <c r="F396" s="718"/>
      <c r="G396" s="719">
        <v>35037</v>
      </c>
      <c r="H396" s="720">
        <v>147669</v>
      </c>
      <c r="I396" s="719">
        <v>86857</v>
      </c>
      <c r="J396" s="718">
        <v>8133</v>
      </c>
      <c r="K396" s="720">
        <f t="shared" si="12"/>
        <v>277696</v>
      </c>
      <c r="L396" s="718"/>
      <c r="M396" s="719">
        <v>17216</v>
      </c>
      <c r="N396" s="719">
        <v>0</v>
      </c>
      <c r="O396" s="718">
        <v>15587</v>
      </c>
      <c r="P396" s="720">
        <f t="shared" si="13"/>
        <v>32803</v>
      </c>
      <c r="Q396" s="718"/>
      <c r="R396" s="719">
        <v>204959</v>
      </c>
      <c r="S396" s="721">
        <v>-79</v>
      </c>
      <c r="T396" s="721">
        <v>204880</v>
      </c>
    </row>
    <row r="397" spans="1:20" x14ac:dyDescent="0.25">
      <c r="A397" s="715">
        <v>94118</v>
      </c>
      <c r="B397" s="716" t="s">
        <v>2929</v>
      </c>
      <c r="C397" s="717">
        <v>1.494E-4</v>
      </c>
      <c r="D397" s="717">
        <v>1.63E-4</v>
      </c>
      <c r="E397" s="718">
        <v>228242</v>
      </c>
      <c r="F397" s="718"/>
      <c r="G397" s="719">
        <v>13149</v>
      </c>
      <c r="H397" s="720">
        <v>55417</v>
      </c>
      <c r="I397" s="719">
        <v>32596</v>
      </c>
      <c r="J397" s="718">
        <v>0</v>
      </c>
      <c r="K397" s="720">
        <f t="shared" si="12"/>
        <v>101162</v>
      </c>
      <c r="L397" s="718"/>
      <c r="M397" s="719">
        <v>6461</v>
      </c>
      <c r="N397" s="719">
        <v>0</v>
      </c>
      <c r="O397" s="718">
        <v>56599</v>
      </c>
      <c r="P397" s="720">
        <f t="shared" si="13"/>
        <v>63060</v>
      </c>
      <c r="Q397" s="718"/>
      <c r="R397" s="719">
        <v>76918</v>
      </c>
      <c r="S397" s="721">
        <v>-24768</v>
      </c>
      <c r="T397" s="721">
        <v>52150</v>
      </c>
    </row>
    <row r="398" spans="1:20" x14ac:dyDescent="0.25">
      <c r="A398" s="715">
        <v>94121</v>
      </c>
      <c r="B398" s="716" t="s">
        <v>2930</v>
      </c>
      <c r="C398" s="717">
        <v>1.1246000000000001E-2</v>
      </c>
      <c r="D398" s="717">
        <v>1.12823E-2</v>
      </c>
      <c r="E398" s="718">
        <v>17180773</v>
      </c>
      <c r="F398" s="718"/>
      <c r="G398" s="719">
        <v>989772</v>
      </c>
      <c r="H398" s="720">
        <v>4171512</v>
      </c>
      <c r="I398" s="719">
        <v>2453652</v>
      </c>
      <c r="J398" s="718">
        <v>65556</v>
      </c>
      <c r="K398" s="720">
        <f t="shared" si="12"/>
        <v>7680492</v>
      </c>
      <c r="L398" s="718"/>
      <c r="M398" s="719">
        <v>486333</v>
      </c>
      <c r="N398" s="719">
        <v>0</v>
      </c>
      <c r="O398" s="718">
        <v>276825</v>
      </c>
      <c r="P398" s="720">
        <f t="shared" si="13"/>
        <v>763158</v>
      </c>
      <c r="Q398" s="718"/>
      <c r="R398" s="719">
        <v>5789936</v>
      </c>
      <c r="S398" s="721">
        <v>-128084</v>
      </c>
      <c r="T398" s="721">
        <v>5661852</v>
      </c>
    </row>
    <row r="399" spans="1:20" x14ac:dyDescent="0.25">
      <c r="A399" s="715">
        <v>94127</v>
      </c>
      <c r="B399" s="716" t="s">
        <v>2931</v>
      </c>
      <c r="C399" s="717">
        <v>1.7310000000000001E-4</v>
      </c>
      <c r="D399" s="717">
        <v>1.528E-4</v>
      </c>
      <c r="E399" s="718">
        <v>264449</v>
      </c>
      <c r="F399" s="718"/>
      <c r="G399" s="719">
        <v>15235</v>
      </c>
      <c r="H399" s="720">
        <v>64208</v>
      </c>
      <c r="I399" s="719">
        <v>37767</v>
      </c>
      <c r="J399" s="718">
        <v>8697</v>
      </c>
      <c r="K399" s="720">
        <f t="shared" si="12"/>
        <v>125907</v>
      </c>
      <c r="L399" s="718"/>
      <c r="M399" s="719">
        <v>7486</v>
      </c>
      <c r="N399" s="719">
        <v>0</v>
      </c>
      <c r="O399" s="718">
        <v>398</v>
      </c>
      <c r="P399" s="720">
        <f t="shared" si="13"/>
        <v>7884</v>
      </c>
      <c r="Q399" s="718"/>
      <c r="R399" s="719">
        <v>89119</v>
      </c>
      <c r="S399" s="721">
        <v>2605</v>
      </c>
      <c r="T399" s="721">
        <v>91724</v>
      </c>
    </row>
    <row r="400" spans="1:20" x14ac:dyDescent="0.25">
      <c r="A400" s="715">
        <v>94131</v>
      </c>
      <c r="B400" s="716" t="s">
        <v>2932</v>
      </c>
      <c r="C400" s="717">
        <v>1.7479999999999999E-4</v>
      </c>
      <c r="D400" s="717">
        <v>2.0049999999999999E-4</v>
      </c>
      <c r="E400" s="718">
        <v>267046</v>
      </c>
      <c r="F400" s="718"/>
      <c r="G400" s="719">
        <v>15384</v>
      </c>
      <c r="H400" s="720">
        <v>64840</v>
      </c>
      <c r="I400" s="719">
        <v>38138</v>
      </c>
      <c r="J400" s="718">
        <v>3004</v>
      </c>
      <c r="K400" s="720">
        <f t="shared" si="12"/>
        <v>121366</v>
      </c>
      <c r="L400" s="718"/>
      <c r="M400" s="719">
        <v>7559</v>
      </c>
      <c r="N400" s="719">
        <v>0</v>
      </c>
      <c r="O400" s="718">
        <v>9062</v>
      </c>
      <c r="P400" s="720">
        <f t="shared" si="13"/>
        <v>16621</v>
      </c>
      <c r="Q400" s="718"/>
      <c r="R400" s="719">
        <v>89995</v>
      </c>
      <c r="S400" s="721">
        <v>-1148</v>
      </c>
      <c r="T400" s="721">
        <v>88847</v>
      </c>
    </row>
    <row r="401" spans="1:20" x14ac:dyDescent="0.25">
      <c r="A401" s="715">
        <v>94151</v>
      </c>
      <c r="B401" s="716" t="s">
        <v>2933</v>
      </c>
      <c r="C401" s="717">
        <v>4.1590000000000003E-4</v>
      </c>
      <c r="D401" s="717">
        <v>4.2870000000000001E-4</v>
      </c>
      <c r="E401" s="718">
        <v>635380</v>
      </c>
      <c r="F401" s="718"/>
      <c r="G401" s="719">
        <v>36604</v>
      </c>
      <c r="H401" s="720">
        <v>154271</v>
      </c>
      <c r="I401" s="719">
        <v>90741</v>
      </c>
      <c r="J401" s="718">
        <v>0</v>
      </c>
      <c r="K401" s="720">
        <f t="shared" si="12"/>
        <v>281616</v>
      </c>
      <c r="L401" s="718"/>
      <c r="M401" s="719">
        <v>17986</v>
      </c>
      <c r="N401" s="719">
        <v>0</v>
      </c>
      <c r="O401" s="718">
        <v>36672</v>
      </c>
      <c r="P401" s="720">
        <f t="shared" si="13"/>
        <v>54658</v>
      </c>
      <c r="Q401" s="718"/>
      <c r="R401" s="719">
        <v>214124</v>
      </c>
      <c r="S401" s="721">
        <v>-12878</v>
      </c>
      <c r="T401" s="721">
        <v>201246</v>
      </c>
    </row>
    <row r="402" spans="1:20" x14ac:dyDescent="0.25">
      <c r="A402" s="715">
        <v>94157</v>
      </c>
      <c r="B402" s="716" t="s">
        <v>2934</v>
      </c>
      <c r="C402" s="717">
        <v>8.8999999999999995E-6</v>
      </c>
      <c r="D402" s="717">
        <v>9.3999999999999998E-6</v>
      </c>
      <c r="E402" s="718">
        <v>13597</v>
      </c>
      <c r="F402" s="718"/>
      <c r="G402" s="719">
        <v>783</v>
      </c>
      <c r="H402" s="720">
        <v>3302</v>
      </c>
      <c r="I402" s="719">
        <v>1942</v>
      </c>
      <c r="J402" s="718">
        <v>3748</v>
      </c>
      <c r="K402" s="720">
        <f t="shared" si="12"/>
        <v>9775</v>
      </c>
      <c r="L402" s="718"/>
      <c r="M402" s="719">
        <v>385</v>
      </c>
      <c r="N402" s="719">
        <v>0</v>
      </c>
      <c r="O402" s="718">
        <v>0</v>
      </c>
      <c r="P402" s="720">
        <f t="shared" si="13"/>
        <v>385</v>
      </c>
      <c r="Q402" s="718"/>
      <c r="R402" s="719">
        <v>4582</v>
      </c>
      <c r="S402" s="721">
        <v>2084</v>
      </c>
      <c r="T402" s="721">
        <v>6666</v>
      </c>
    </row>
    <row r="403" spans="1:20" x14ac:dyDescent="0.25">
      <c r="A403" s="715">
        <v>94161</v>
      </c>
      <c r="B403" s="716" t="s">
        <v>2935</v>
      </c>
      <c r="C403" s="717">
        <v>5.1900000000000001E-5</v>
      </c>
      <c r="D403" s="717">
        <v>5.7899999999999998E-5</v>
      </c>
      <c r="E403" s="718">
        <v>79289</v>
      </c>
      <c r="F403" s="718"/>
      <c r="G403" s="719">
        <v>4568</v>
      </c>
      <c r="H403" s="720">
        <v>19252</v>
      </c>
      <c r="I403" s="719">
        <v>11324</v>
      </c>
      <c r="J403" s="718">
        <v>5455</v>
      </c>
      <c r="K403" s="720">
        <f t="shared" si="12"/>
        <v>40599</v>
      </c>
      <c r="L403" s="718"/>
      <c r="M403" s="719">
        <v>2244</v>
      </c>
      <c r="N403" s="719">
        <v>0</v>
      </c>
      <c r="O403" s="718">
        <v>3144</v>
      </c>
      <c r="P403" s="720">
        <f t="shared" si="13"/>
        <v>5388</v>
      </c>
      <c r="Q403" s="718"/>
      <c r="R403" s="719">
        <v>26720</v>
      </c>
      <c r="S403" s="721">
        <v>2302</v>
      </c>
      <c r="T403" s="721">
        <v>29022</v>
      </c>
    </row>
    <row r="404" spans="1:20" x14ac:dyDescent="0.25">
      <c r="A404" s="715">
        <v>94168</v>
      </c>
      <c r="B404" s="716" t="s">
        <v>2936</v>
      </c>
      <c r="C404" s="717">
        <v>2.5899999999999999E-5</v>
      </c>
      <c r="D404" s="717">
        <v>3.4E-5</v>
      </c>
      <c r="E404" s="718">
        <v>39568</v>
      </c>
      <c r="F404" s="718"/>
      <c r="G404" s="719">
        <v>2279</v>
      </c>
      <c r="H404" s="720">
        <v>9607</v>
      </c>
      <c r="I404" s="719">
        <v>5651</v>
      </c>
      <c r="J404" s="718">
        <v>0</v>
      </c>
      <c r="K404" s="720">
        <f t="shared" si="12"/>
        <v>17537</v>
      </c>
      <c r="L404" s="718"/>
      <c r="M404" s="719">
        <v>1120</v>
      </c>
      <c r="N404" s="719">
        <v>0</v>
      </c>
      <c r="O404" s="718">
        <v>11664</v>
      </c>
      <c r="P404" s="720">
        <f t="shared" si="13"/>
        <v>12784</v>
      </c>
      <c r="Q404" s="718"/>
      <c r="R404" s="719">
        <v>13334</v>
      </c>
      <c r="S404" s="721">
        <v>-5442</v>
      </c>
      <c r="T404" s="721">
        <v>7892</v>
      </c>
    </row>
    <row r="405" spans="1:20" x14ac:dyDescent="0.25">
      <c r="A405" s="715">
        <v>94171</v>
      </c>
      <c r="B405" s="716" t="s">
        <v>2937</v>
      </c>
      <c r="C405" s="717">
        <v>6.9800000000000003E-5</v>
      </c>
      <c r="D405" s="717">
        <v>5.5000000000000002E-5</v>
      </c>
      <c r="E405" s="718">
        <v>106635</v>
      </c>
      <c r="F405" s="718"/>
      <c r="G405" s="719">
        <v>6143</v>
      </c>
      <c r="H405" s="720">
        <v>25891</v>
      </c>
      <c r="I405" s="719">
        <v>15229</v>
      </c>
      <c r="J405" s="718">
        <v>10026</v>
      </c>
      <c r="K405" s="720">
        <f t="shared" si="12"/>
        <v>57289</v>
      </c>
      <c r="L405" s="718"/>
      <c r="M405" s="719">
        <v>3019</v>
      </c>
      <c r="N405" s="719">
        <v>0</v>
      </c>
      <c r="O405" s="718">
        <v>862</v>
      </c>
      <c r="P405" s="720">
        <f t="shared" si="13"/>
        <v>3881</v>
      </c>
      <c r="Q405" s="718"/>
      <c r="R405" s="719">
        <v>35936</v>
      </c>
      <c r="S405" s="721">
        <v>2780</v>
      </c>
      <c r="T405" s="721">
        <v>38716</v>
      </c>
    </row>
    <row r="406" spans="1:20" x14ac:dyDescent="0.25">
      <c r="A406" s="715">
        <v>94172</v>
      </c>
      <c r="B406" s="716" t="s">
        <v>2938</v>
      </c>
      <c r="C406" s="717">
        <v>2.6289999999999999E-4</v>
      </c>
      <c r="D406" s="717">
        <v>2.6699999999999998E-4</v>
      </c>
      <c r="E406" s="718">
        <v>401638</v>
      </c>
      <c r="F406" s="718"/>
      <c r="G406" s="719">
        <v>23138</v>
      </c>
      <c r="H406" s="720">
        <v>97518</v>
      </c>
      <c r="I406" s="719">
        <v>57360</v>
      </c>
      <c r="J406" s="718">
        <v>0</v>
      </c>
      <c r="K406" s="720">
        <f t="shared" si="12"/>
        <v>178016</v>
      </c>
      <c r="L406" s="718"/>
      <c r="M406" s="719">
        <v>11369</v>
      </c>
      <c r="N406" s="719">
        <v>0</v>
      </c>
      <c r="O406" s="718">
        <v>90059</v>
      </c>
      <c r="P406" s="720">
        <f t="shared" si="13"/>
        <v>101428</v>
      </c>
      <c r="Q406" s="718"/>
      <c r="R406" s="719">
        <v>135352</v>
      </c>
      <c r="S406" s="721">
        <v>-41178</v>
      </c>
      <c r="T406" s="721">
        <v>94174</v>
      </c>
    </row>
    <row r="407" spans="1:20" x14ac:dyDescent="0.25">
      <c r="A407" s="715">
        <v>94201</v>
      </c>
      <c r="B407" s="716" t="s">
        <v>2939</v>
      </c>
      <c r="C407" s="717">
        <v>3.3658999999999998E-3</v>
      </c>
      <c r="D407" s="717">
        <v>3.4813000000000001E-3</v>
      </c>
      <c r="E407" s="718">
        <v>5142163</v>
      </c>
      <c r="F407" s="718"/>
      <c r="G407" s="719">
        <v>296236</v>
      </c>
      <c r="H407" s="720">
        <v>1248524</v>
      </c>
      <c r="I407" s="719">
        <v>734372</v>
      </c>
      <c r="J407" s="718">
        <v>37947</v>
      </c>
      <c r="K407" s="720">
        <f t="shared" si="12"/>
        <v>2317079</v>
      </c>
      <c r="L407" s="718"/>
      <c r="M407" s="719">
        <v>145558</v>
      </c>
      <c r="N407" s="719">
        <v>0</v>
      </c>
      <c r="O407" s="718">
        <v>70514</v>
      </c>
      <c r="P407" s="720">
        <f t="shared" si="13"/>
        <v>216072</v>
      </c>
      <c r="Q407" s="718"/>
      <c r="R407" s="719">
        <v>1732913</v>
      </c>
      <c r="S407" s="721">
        <v>-942</v>
      </c>
      <c r="T407" s="721">
        <v>1731971</v>
      </c>
    </row>
    <row r="408" spans="1:20" x14ac:dyDescent="0.25">
      <c r="A408" s="715">
        <v>94204</v>
      </c>
      <c r="B408" s="716" t="s">
        <v>2940</v>
      </c>
      <c r="C408" s="717">
        <v>2.5899999999999999E-5</v>
      </c>
      <c r="D408" s="717">
        <v>2.4899999999999999E-5</v>
      </c>
      <c r="E408" s="718">
        <v>39568</v>
      </c>
      <c r="F408" s="718"/>
      <c r="G408" s="719">
        <v>2279</v>
      </c>
      <c r="H408" s="720">
        <v>9607</v>
      </c>
      <c r="I408" s="719">
        <v>5651</v>
      </c>
      <c r="J408" s="718">
        <v>12190</v>
      </c>
      <c r="K408" s="720">
        <f t="shared" si="12"/>
        <v>29727</v>
      </c>
      <c r="L408" s="718"/>
      <c r="M408" s="719">
        <v>1120</v>
      </c>
      <c r="N408" s="719">
        <v>0</v>
      </c>
      <c r="O408" s="718">
        <v>0</v>
      </c>
      <c r="P408" s="720">
        <f t="shared" si="13"/>
        <v>1120</v>
      </c>
      <c r="Q408" s="718"/>
      <c r="R408" s="719">
        <v>13334</v>
      </c>
      <c r="S408" s="721">
        <v>4996</v>
      </c>
      <c r="T408" s="721">
        <v>18330</v>
      </c>
    </row>
    <row r="409" spans="1:20" x14ac:dyDescent="0.25">
      <c r="A409" s="715">
        <v>94205</v>
      </c>
      <c r="B409" s="716" t="s">
        <v>2941</v>
      </c>
      <c r="C409" s="717">
        <v>2.0699999999999998E-5</v>
      </c>
      <c r="D409" s="717">
        <v>2.6100000000000001E-5</v>
      </c>
      <c r="E409" s="718">
        <v>31624</v>
      </c>
      <c r="F409" s="718"/>
      <c r="G409" s="719">
        <v>1822</v>
      </c>
      <c r="H409" s="720">
        <v>7678</v>
      </c>
      <c r="I409" s="719">
        <v>4516</v>
      </c>
      <c r="J409" s="718">
        <v>1652</v>
      </c>
      <c r="K409" s="720">
        <f t="shared" si="12"/>
        <v>15668</v>
      </c>
      <c r="L409" s="718"/>
      <c r="M409" s="719">
        <v>895</v>
      </c>
      <c r="N409" s="719">
        <v>0</v>
      </c>
      <c r="O409" s="718">
        <v>5048</v>
      </c>
      <c r="P409" s="720">
        <f t="shared" si="13"/>
        <v>5943</v>
      </c>
      <c r="Q409" s="718"/>
      <c r="R409" s="719">
        <v>10657</v>
      </c>
      <c r="S409" s="721">
        <v>-3026</v>
      </c>
      <c r="T409" s="721">
        <v>7631</v>
      </c>
    </row>
    <row r="410" spans="1:20" x14ac:dyDescent="0.25">
      <c r="A410" s="715">
        <v>94209</v>
      </c>
      <c r="B410" s="716" t="s">
        <v>2942</v>
      </c>
      <c r="C410" s="717">
        <v>3.4190000000000002E-4</v>
      </c>
      <c r="D410" s="717">
        <v>3.2909999999999998E-4</v>
      </c>
      <c r="E410" s="718">
        <v>522328</v>
      </c>
      <c r="F410" s="718"/>
      <c r="G410" s="719">
        <v>30091</v>
      </c>
      <c r="H410" s="720">
        <v>126822</v>
      </c>
      <c r="I410" s="719">
        <v>74596</v>
      </c>
      <c r="J410" s="718">
        <v>23431</v>
      </c>
      <c r="K410" s="720">
        <f t="shared" si="12"/>
        <v>254940</v>
      </c>
      <c r="L410" s="718"/>
      <c r="M410" s="719">
        <v>14785</v>
      </c>
      <c r="N410" s="719">
        <v>0</v>
      </c>
      <c r="O410" s="718">
        <v>7196</v>
      </c>
      <c r="P410" s="720">
        <f t="shared" si="13"/>
        <v>21981</v>
      </c>
      <c r="Q410" s="718"/>
      <c r="R410" s="719">
        <v>176025</v>
      </c>
      <c r="S410" s="721">
        <v>9128</v>
      </c>
      <c r="T410" s="721">
        <v>185153</v>
      </c>
    </row>
    <row r="411" spans="1:20" x14ac:dyDescent="0.25">
      <c r="A411" s="715">
        <v>94211</v>
      </c>
      <c r="B411" s="716" t="s">
        <v>2943</v>
      </c>
      <c r="C411" s="717">
        <v>1.3660000000000001E-4</v>
      </c>
      <c r="D411" s="717">
        <v>1.2400000000000001E-4</v>
      </c>
      <c r="E411" s="718">
        <v>208687</v>
      </c>
      <c r="F411" s="718"/>
      <c r="G411" s="719">
        <v>12022</v>
      </c>
      <c r="H411" s="720">
        <v>50669</v>
      </c>
      <c r="I411" s="719">
        <v>29803</v>
      </c>
      <c r="J411" s="718">
        <v>7857</v>
      </c>
      <c r="K411" s="720">
        <f t="shared" si="12"/>
        <v>100351</v>
      </c>
      <c r="L411" s="718"/>
      <c r="M411" s="719">
        <v>5907</v>
      </c>
      <c r="N411" s="719">
        <v>0</v>
      </c>
      <c r="O411" s="718">
        <v>17326</v>
      </c>
      <c r="P411" s="720">
        <f t="shared" si="13"/>
        <v>23233</v>
      </c>
      <c r="Q411" s="718"/>
      <c r="R411" s="719">
        <v>70328</v>
      </c>
      <c r="S411" s="721">
        <v>-11553</v>
      </c>
      <c r="T411" s="721">
        <v>58775</v>
      </c>
    </row>
    <row r="412" spans="1:20" x14ac:dyDescent="0.25">
      <c r="A412" s="715">
        <v>94221</v>
      </c>
      <c r="B412" s="716" t="s">
        <v>2944</v>
      </c>
      <c r="C412" s="717">
        <v>1.0436E-3</v>
      </c>
      <c r="D412" s="717">
        <v>1.0705999999999999E-3</v>
      </c>
      <c r="E412" s="718">
        <v>1594332</v>
      </c>
      <c r="F412" s="718"/>
      <c r="G412" s="719">
        <v>91848</v>
      </c>
      <c r="H412" s="720">
        <v>387106</v>
      </c>
      <c r="I412" s="719">
        <v>227693</v>
      </c>
      <c r="J412" s="718">
        <v>63725</v>
      </c>
      <c r="K412" s="720">
        <f t="shared" si="12"/>
        <v>770372</v>
      </c>
      <c r="L412" s="718"/>
      <c r="M412" s="719">
        <v>45130</v>
      </c>
      <c r="N412" s="719">
        <v>0</v>
      </c>
      <c r="O412" s="718">
        <v>120971</v>
      </c>
      <c r="P412" s="720">
        <f t="shared" si="13"/>
        <v>166101</v>
      </c>
      <c r="Q412" s="718"/>
      <c r="R412" s="719">
        <v>537291</v>
      </c>
      <c r="S412" s="721">
        <v>-24799</v>
      </c>
      <c r="T412" s="721">
        <v>512492</v>
      </c>
    </row>
    <row r="413" spans="1:20" x14ac:dyDescent="0.25">
      <c r="A413" s="715">
        <v>94231</v>
      </c>
      <c r="B413" s="716" t="s">
        <v>2945</v>
      </c>
      <c r="C413" s="717">
        <v>2.2609999999999999E-4</v>
      </c>
      <c r="D413" s="717">
        <v>2.1269999999999999E-4</v>
      </c>
      <c r="E413" s="718">
        <v>345418</v>
      </c>
      <c r="F413" s="718"/>
      <c r="G413" s="719">
        <v>19899</v>
      </c>
      <c r="H413" s="720">
        <v>83868</v>
      </c>
      <c r="I413" s="719">
        <v>49330</v>
      </c>
      <c r="J413" s="718">
        <v>8354</v>
      </c>
      <c r="K413" s="720">
        <f t="shared" si="12"/>
        <v>161451</v>
      </c>
      <c r="L413" s="718"/>
      <c r="M413" s="719">
        <v>9778</v>
      </c>
      <c r="N413" s="719">
        <v>0</v>
      </c>
      <c r="O413" s="718">
        <v>6714</v>
      </c>
      <c r="P413" s="720">
        <f t="shared" si="13"/>
        <v>16492</v>
      </c>
      <c r="Q413" s="718"/>
      <c r="R413" s="719">
        <v>116406</v>
      </c>
      <c r="S413" s="721">
        <v>-2799</v>
      </c>
      <c r="T413" s="721">
        <v>113607</v>
      </c>
    </row>
    <row r="414" spans="1:20" x14ac:dyDescent="0.25">
      <c r="A414" s="715">
        <v>94241</v>
      </c>
      <c r="B414" s="716" t="s">
        <v>2946</v>
      </c>
      <c r="C414" s="717">
        <v>1.2669999999999999E-4</v>
      </c>
      <c r="D414" s="717">
        <v>8.4099999999999998E-5</v>
      </c>
      <c r="E414" s="718">
        <v>193563</v>
      </c>
      <c r="F414" s="718"/>
      <c r="G414" s="719">
        <v>11151</v>
      </c>
      <c r="H414" s="720">
        <v>46997</v>
      </c>
      <c r="I414" s="719">
        <v>27643</v>
      </c>
      <c r="J414" s="718">
        <v>26711</v>
      </c>
      <c r="K414" s="720">
        <f t="shared" si="12"/>
        <v>112502</v>
      </c>
      <c r="L414" s="718"/>
      <c r="M414" s="719">
        <v>5479</v>
      </c>
      <c r="N414" s="719">
        <v>0</v>
      </c>
      <c r="O414" s="718">
        <v>856</v>
      </c>
      <c r="P414" s="720">
        <f t="shared" si="13"/>
        <v>6335</v>
      </c>
      <c r="Q414" s="718"/>
      <c r="R414" s="719">
        <v>65231</v>
      </c>
      <c r="S414" s="721">
        <v>6835</v>
      </c>
      <c r="T414" s="721">
        <v>72066</v>
      </c>
    </row>
    <row r="415" spans="1:20" x14ac:dyDescent="0.25">
      <c r="A415" s="715">
        <v>94251</v>
      </c>
      <c r="B415" s="716" t="s">
        <v>2947</v>
      </c>
      <c r="C415" s="717">
        <v>1.95E-5</v>
      </c>
      <c r="D415" s="717">
        <v>1.4E-5</v>
      </c>
      <c r="E415" s="718">
        <v>29791</v>
      </c>
      <c r="F415" s="718"/>
      <c r="G415" s="719">
        <v>1716</v>
      </c>
      <c r="H415" s="720">
        <v>7233</v>
      </c>
      <c r="I415" s="719">
        <v>4255</v>
      </c>
      <c r="J415" s="718">
        <v>3290</v>
      </c>
      <c r="K415" s="720">
        <f t="shared" si="12"/>
        <v>16494</v>
      </c>
      <c r="L415" s="718"/>
      <c r="M415" s="719">
        <v>843</v>
      </c>
      <c r="N415" s="719">
        <v>0</v>
      </c>
      <c r="O415" s="718">
        <v>6508</v>
      </c>
      <c r="P415" s="720">
        <f t="shared" si="13"/>
        <v>7351</v>
      </c>
      <c r="Q415" s="718"/>
      <c r="R415" s="719">
        <v>10039</v>
      </c>
      <c r="S415" s="721">
        <v>-2297</v>
      </c>
      <c r="T415" s="721">
        <v>7742</v>
      </c>
    </row>
    <row r="416" spans="1:20" x14ac:dyDescent="0.25">
      <c r="A416" s="715">
        <v>94261</v>
      </c>
      <c r="B416" s="716" t="s">
        <v>2948</v>
      </c>
      <c r="C416" s="717">
        <v>3.9199999999999997E-5</v>
      </c>
      <c r="D416" s="717">
        <v>2.9499999999999999E-5</v>
      </c>
      <c r="E416" s="718">
        <v>59887</v>
      </c>
      <c r="F416" s="718"/>
      <c r="G416" s="719">
        <v>3450</v>
      </c>
      <c r="H416" s="720">
        <v>14541</v>
      </c>
      <c r="I416" s="719">
        <v>8553</v>
      </c>
      <c r="J416" s="718">
        <v>15518</v>
      </c>
      <c r="K416" s="720">
        <f t="shared" si="12"/>
        <v>42062</v>
      </c>
      <c r="L416" s="718"/>
      <c r="M416" s="719">
        <v>1695</v>
      </c>
      <c r="N416" s="719">
        <v>0</v>
      </c>
      <c r="O416" s="718">
        <v>0</v>
      </c>
      <c r="P416" s="720">
        <f t="shared" si="13"/>
        <v>1695</v>
      </c>
      <c r="Q416" s="718"/>
      <c r="R416" s="719">
        <v>20182</v>
      </c>
      <c r="S416" s="721">
        <v>5508</v>
      </c>
      <c r="T416" s="721">
        <v>25690</v>
      </c>
    </row>
    <row r="417" spans="1:20" x14ac:dyDescent="0.25">
      <c r="A417" s="715">
        <v>94301</v>
      </c>
      <c r="B417" s="716" t="s">
        <v>2949</v>
      </c>
      <c r="C417" s="717">
        <v>6.2988999999999996E-3</v>
      </c>
      <c r="D417" s="717">
        <v>6.0746999999999997E-3</v>
      </c>
      <c r="E417" s="718">
        <v>9622974</v>
      </c>
      <c r="F417" s="718"/>
      <c r="G417" s="719">
        <v>554372</v>
      </c>
      <c r="H417" s="720">
        <v>2336470</v>
      </c>
      <c r="I417" s="719">
        <v>1374294</v>
      </c>
      <c r="J417" s="718">
        <v>85982</v>
      </c>
      <c r="K417" s="720">
        <f t="shared" si="12"/>
        <v>4351118</v>
      </c>
      <c r="L417" s="718"/>
      <c r="M417" s="719">
        <v>272396</v>
      </c>
      <c r="N417" s="719">
        <v>0</v>
      </c>
      <c r="O417" s="718">
        <v>117980</v>
      </c>
      <c r="P417" s="720">
        <f t="shared" si="13"/>
        <v>390376</v>
      </c>
      <c r="Q417" s="718"/>
      <c r="R417" s="719">
        <v>3242951</v>
      </c>
      <c r="S417" s="721">
        <v>-22710</v>
      </c>
      <c r="T417" s="721">
        <v>3220241</v>
      </c>
    </row>
    <row r="418" spans="1:20" x14ac:dyDescent="0.25">
      <c r="A418" s="715">
        <v>94311</v>
      </c>
      <c r="B418" s="716" t="s">
        <v>2950</v>
      </c>
      <c r="C418" s="717">
        <v>7.8540000000000001E-4</v>
      </c>
      <c r="D418" s="717">
        <v>7.4399999999999998E-4</v>
      </c>
      <c r="E418" s="718">
        <v>1199874</v>
      </c>
      <c r="F418" s="718"/>
      <c r="G418" s="719">
        <v>69124</v>
      </c>
      <c r="H418" s="720">
        <v>291331</v>
      </c>
      <c r="I418" s="719">
        <v>171359</v>
      </c>
      <c r="J418" s="718">
        <v>26150</v>
      </c>
      <c r="K418" s="720">
        <f t="shared" si="12"/>
        <v>557964</v>
      </c>
      <c r="L418" s="718"/>
      <c r="M418" s="719">
        <v>33965</v>
      </c>
      <c r="N418" s="719">
        <v>0</v>
      </c>
      <c r="O418" s="718">
        <v>52115</v>
      </c>
      <c r="P418" s="720">
        <f t="shared" si="13"/>
        <v>86080</v>
      </c>
      <c r="Q418" s="718"/>
      <c r="R418" s="719">
        <v>404358</v>
      </c>
      <c r="S418" s="721">
        <v>-13365</v>
      </c>
      <c r="T418" s="721">
        <v>390993</v>
      </c>
    </row>
    <row r="419" spans="1:20" x14ac:dyDescent="0.25">
      <c r="A419" s="715">
        <v>94313</v>
      </c>
      <c r="B419" s="716" t="s">
        <v>2951</v>
      </c>
      <c r="C419" s="717">
        <v>1.8700000000000001E-5</v>
      </c>
      <c r="D419" s="717">
        <v>2.0299999999999999E-5</v>
      </c>
      <c r="E419" s="718">
        <v>28568</v>
      </c>
      <c r="F419" s="718"/>
      <c r="G419" s="719">
        <v>1646</v>
      </c>
      <c r="H419" s="720">
        <v>6936</v>
      </c>
      <c r="I419" s="719">
        <v>4080</v>
      </c>
      <c r="J419" s="718">
        <v>7421</v>
      </c>
      <c r="K419" s="720">
        <f t="shared" si="12"/>
        <v>20083</v>
      </c>
      <c r="L419" s="718"/>
      <c r="M419" s="719">
        <v>809</v>
      </c>
      <c r="N419" s="719">
        <v>0</v>
      </c>
      <c r="O419" s="718">
        <v>0</v>
      </c>
      <c r="P419" s="720">
        <f t="shared" si="13"/>
        <v>809</v>
      </c>
      <c r="Q419" s="718"/>
      <c r="R419" s="719">
        <v>9628</v>
      </c>
      <c r="S419" s="721">
        <v>3124</v>
      </c>
      <c r="T419" s="721">
        <v>12752</v>
      </c>
    </row>
    <row r="420" spans="1:20" x14ac:dyDescent="0.25">
      <c r="A420" s="715">
        <v>94317</v>
      </c>
      <c r="B420" s="716" t="s">
        <v>2952</v>
      </c>
      <c r="C420" s="717">
        <v>1.2E-5</v>
      </c>
      <c r="D420" s="717">
        <v>1.2099999999999999E-5</v>
      </c>
      <c r="E420" s="718">
        <v>18333</v>
      </c>
      <c r="F420" s="718"/>
      <c r="G420" s="719">
        <v>1056</v>
      </c>
      <c r="H420" s="720">
        <v>4451</v>
      </c>
      <c r="I420" s="719">
        <v>2618</v>
      </c>
      <c r="J420" s="718">
        <v>7663</v>
      </c>
      <c r="K420" s="720">
        <f t="shared" si="12"/>
        <v>15788</v>
      </c>
      <c r="L420" s="718"/>
      <c r="M420" s="719">
        <v>519</v>
      </c>
      <c r="N420" s="719">
        <v>0</v>
      </c>
      <c r="O420" s="718">
        <v>0</v>
      </c>
      <c r="P420" s="720">
        <f t="shared" si="13"/>
        <v>519</v>
      </c>
      <c r="Q420" s="718"/>
      <c r="R420" s="719">
        <v>6178</v>
      </c>
      <c r="S420" s="721">
        <v>3130</v>
      </c>
      <c r="T420" s="721">
        <v>9308</v>
      </c>
    </row>
    <row r="421" spans="1:20" x14ac:dyDescent="0.25">
      <c r="A421" s="715">
        <v>94321</v>
      </c>
      <c r="B421" s="716" t="s">
        <v>2953</v>
      </c>
      <c r="C421" s="717">
        <v>2.7760000000000003E-4</v>
      </c>
      <c r="D421" s="717">
        <v>2.7070000000000002E-4</v>
      </c>
      <c r="E421" s="718">
        <v>424096</v>
      </c>
      <c r="F421" s="718"/>
      <c r="G421" s="719">
        <v>24432</v>
      </c>
      <c r="H421" s="720">
        <v>102971</v>
      </c>
      <c r="I421" s="719">
        <v>60567</v>
      </c>
      <c r="J421" s="718">
        <v>1692</v>
      </c>
      <c r="K421" s="720">
        <f t="shared" si="12"/>
        <v>189662</v>
      </c>
      <c r="L421" s="718"/>
      <c r="M421" s="719">
        <v>12005</v>
      </c>
      <c r="N421" s="719">
        <v>0</v>
      </c>
      <c r="O421" s="718">
        <v>19924</v>
      </c>
      <c r="P421" s="720">
        <f t="shared" si="13"/>
        <v>31929</v>
      </c>
      <c r="Q421" s="718"/>
      <c r="R421" s="719">
        <v>142921</v>
      </c>
      <c r="S421" s="721">
        <v>-5646</v>
      </c>
      <c r="T421" s="721">
        <v>137275</v>
      </c>
    </row>
    <row r="422" spans="1:20" x14ac:dyDescent="0.25">
      <c r="A422" s="715">
        <v>94331</v>
      </c>
      <c r="B422" s="716" t="s">
        <v>2954</v>
      </c>
      <c r="C422" s="717">
        <v>1.3569999999999999E-4</v>
      </c>
      <c r="D422" s="717">
        <v>1.517E-4</v>
      </c>
      <c r="E422" s="718">
        <v>207312</v>
      </c>
      <c r="F422" s="718"/>
      <c r="G422" s="719">
        <v>11943</v>
      </c>
      <c r="H422" s="720">
        <v>50336</v>
      </c>
      <c r="I422" s="719">
        <v>29607</v>
      </c>
      <c r="J422" s="718">
        <v>7715</v>
      </c>
      <c r="K422" s="720">
        <f t="shared" si="12"/>
        <v>99601</v>
      </c>
      <c r="L422" s="718"/>
      <c r="M422" s="719">
        <v>5868</v>
      </c>
      <c r="N422" s="719">
        <v>0</v>
      </c>
      <c r="O422" s="718">
        <v>10557</v>
      </c>
      <c r="P422" s="720">
        <f t="shared" si="13"/>
        <v>16425</v>
      </c>
      <c r="Q422" s="718"/>
      <c r="R422" s="719">
        <v>69864</v>
      </c>
      <c r="S422" s="721">
        <v>2981</v>
      </c>
      <c r="T422" s="721">
        <v>72845</v>
      </c>
    </row>
    <row r="423" spans="1:20" x14ac:dyDescent="0.25">
      <c r="A423" s="715">
        <v>94341</v>
      </c>
      <c r="B423" s="716" t="s">
        <v>2955</v>
      </c>
      <c r="C423" s="717">
        <v>9.4699999999999998E-5</v>
      </c>
      <c r="D423" s="717">
        <v>8.1000000000000004E-5</v>
      </c>
      <c r="E423" s="718">
        <v>144675</v>
      </c>
      <c r="F423" s="718"/>
      <c r="G423" s="719">
        <v>8335</v>
      </c>
      <c r="H423" s="720">
        <v>35127</v>
      </c>
      <c r="I423" s="719">
        <v>20662</v>
      </c>
      <c r="J423" s="718">
        <v>5564</v>
      </c>
      <c r="K423" s="720">
        <f t="shared" si="12"/>
        <v>69688</v>
      </c>
      <c r="L423" s="718"/>
      <c r="M423" s="719">
        <v>4095</v>
      </c>
      <c r="N423" s="719">
        <v>0</v>
      </c>
      <c r="O423" s="718">
        <v>5713</v>
      </c>
      <c r="P423" s="720">
        <f t="shared" si="13"/>
        <v>9808</v>
      </c>
      <c r="Q423" s="718"/>
      <c r="R423" s="719">
        <v>48756</v>
      </c>
      <c r="S423" s="721">
        <v>-1783</v>
      </c>
      <c r="T423" s="721">
        <v>46973</v>
      </c>
    </row>
    <row r="424" spans="1:20" x14ac:dyDescent="0.25">
      <c r="A424" s="715">
        <v>94347</v>
      </c>
      <c r="B424" s="716" t="s">
        <v>2956</v>
      </c>
      <c r="C424" s="717">
        <v>1.22E-5</v>
      </c>
      <c r="D424" s="717">
        <v>1.2300000000000001E-5</v>
      </c>
      <c r="E424" s="718">
        <v>18638</v>
      </c>
      <c r="F424" s="718"/>
      <c r="G424" s="719">
        <v>1074</v>
      </c>
      <c r="H424" s="720">
        <v>4526</v>
      </c>
      <c r="I424" s="719">
        <v>2662</v>
      </c>
      <c r="J424" s="718">
        <v>4271</v>
      </c>
      <c r="K424" s="720">
        <f t="shared" si="12"/>
        <v>12533</v>
      </c>
      <c r="L424" s="718"/>
      <c r="M424" s="719">
        <v>528</v>
      </c>
      <c r="N424" s="719">
        <v>0</v>
      </c>
      <c r="O424" s="718">
        <v>0</v>
      </c>
      <c r="P424" s="720">
        <f t="shared" si="13"/>
        <v>528</v>
      </c>
      <c r="Q424" s="718"/>
      <c r="R424" s="719">
        <v>6281</v>
      </c>
      <c r="S424" s="721">
        <v>1892</v>
      </c>
      <c r="T424" s="721">
        <v>8173</v>
      </c>
    </row>
    <row r="425" spans="1:20" x14ac:dyDescent="0.25">
      <c r="A425" s="715">
        <v>94351</v>
      </c>
      <c r="B425" s="716" t="s">
        <v>2957</v>
      </c>
      <c r="C425" s="717">
        <v>2.433E-4</v>
      </c>
      <c r="D425" s="717">
        <v>2.377E-4</v>
      </c>
      <c r="E425" s="718">
        <v>371695</v>
      </c>
      <c r="F425" s="718"/>
      <c r="G425" s="719">
        <v>21413</v>
      </c>
      <c r="H425" s="720">
        <v>90248</v>
      </c>
      <c r="I425" s="719">
        <v>53083</v>
      </c>
      <c r="J425" s="718">
        <v>1592</v>
      </c>
      <c r="K425" s="720">
        <f t="shared" si="12"/>
        <v>166336</v>
      </c>
      <c r="L425" s="718"/>
      <c r="M425" s="719">
        <v>10522</v>
      </c>
      <c r="N425" s="719">
        <v>0</v>
      </c>
      <c r="O425" s="718">
        <v>4723</v>
      </c>
      <c r="P425" s="720">
        <f t="shared" si="13"/>
        <v>15245</v>
      </c>
      <c r="Q425" s="718"/>
      <c r="R425" s="719">
        <v>125262</v>
      </c>
      <c r="S425" s="721">
        <v>-1683</v>
      </c>
      <c r="T425" s="721">
        <v>123579</v>
      </c>
    </row>
    <row r="426" spans="1:20" x14ac:dyDescent="0.25">
      <c r="A426" s="715">
        <v>94401</v>
      </c>
      <c r="B426" s="716" t="s">
        <v>3556</v>
      </c>
      <c r="C426" s="717">
        <v>3.2718000000000001E-3</v>
      </c>
      <c r="D426" s="717">
        <v>3.4548999999999999E-3</v>
      </c>
      <c r="E426" s="718">
        <v>4998404</v>
      </c>
      <c r="F426" s="718"/>
      <c r="G426" s="719">
        <v>287954</v>
      </c>
      <c r="H426" s="720">
        <v>1213619</v>
      </c>
      <c r="I426" s="719">
        <v>713841</v>
      </c>
      <c r="J426" s="718">
        <v>20795</v>
      </c>
      <c r="K426" s="720">
        <f t="shared" si="12"/>
        <v>2236209</v>
      </c>
      <c r="L426" s="718"/>
      <c r="M426" s="719">
        <v>141489</v>
      </c>
      <c r="N426" s="719">
        <v>0</v>
      </c>
      <c r="O426" s="718">
        <v>83776</v>
      </c>
      <c r="P426" s="720">
        <f t="shared" si="13"/>
        <v>225265</v>
      </c>
      <c r="Q426" s="718"/>
      <c r="R426" s="719">
        <v>1684467</v>
      </c>
      <c r="S426" s="721">
        <v>-11283</v>
      </c>
      <c r="T426" s="721">
        <v>1673184</v>
      </c>
    </row>
    <row r="427" spans="1:20" x14ac:dyDescent="0.25">
      <c r="A427" s="715">
        <v>94402</v>
      </c>
      <c r="B427" s="716" t="s">
        <v>2959</v>
      </c>
      <c r="C427" s="717">
        <v>0</v>
      </c>
      <c r="D427" s="717">
        <v>0</v>
      </c>
      <c r="E427" s="718">
        <v>0</v>
      </c>
      <c r="F427" s="718"/>
      <c r="G427" s="719">
        <v>0</v>
      </c>
      <c r="H427" s="720">
        <v>0</v>
      </c>
      <c r="I427" s="719">
        <v>0</v>
      </c>
      <c r="J427" s="718">
        <v>0</v>
      </c>
      <c r="K427" s="720">
        <f t="shared" si="12"/>
        <v>0</v>
      </c>
      <c r="L427" s="718"/>
      <c r="M427" s="719">
        <v>0</v>
      </c>
      <c r="N427" s="719">
        <v>0</v>
      </c>
      <c r="O427" s="718">
        <v>1774367</v>
      </c>
      <c r="P427" s="720">
        <f t="shared" si="13"/>
        <v>1774367</v>
      </c>
      <c r="Q427" s="718"/>
      <c r="R427" s="719">
        <v>0</v>
      </c>
      <c r="S427" s="721">
        <v>-1007431</v>
      </c>
      <c r="T427" s="721">
        <v>-1007431</v>
      </c>
    </row>
    <row r="428" spans="1:20" x14ac:dyDescent="0.25">
      <c r="A428" s="715">
        <v>94403</v>
      </c>
      <c r="B428" s="716" t="s">
        <v>3557</v>
      </c>
      <c r="C428" s="717">
        <v>2.2099999999999998E-5</v>
      </c>
      <c r="D428" s="717">
        <v>0</v>
      </c>
      <c r="E428" s="718">
        <v>33763</v>
      </c>
      <c r="F428" s="718"/>
      <c r="G428" s="719">
        <v>1945</v>
      </c>
      <c r="H428" s="720">
        <v>8198</v>
      </c>
      <c r="I428" s="719">
        <v>4822</v>
      </c>
      <c r="J428" s="718">
        <v>14624</v>
      </c>
      <c r="K428" s="720">
        <f t="shared" si="12"/>
        <v>29589</v>
      </c>
      <c r="L428" s="718"/>
      <c r="M428" s="719">
        <v>956</v>
      </c>
      <c r="N428" s="719">
        <v>0</v>
      </c>
      <c r="O428" s="718">
        <v>0</v>
      </c>
      <c r="P428" s="720">
        <f t="shared" si="13"/>
        <v>956</v>
      </c>
      <c r="Q428" s="718"/>
      <c r="R428" s="719">
        <v>11378</v>
      </c>
      <c r="S428" s="721">
        <v>3656</v>
      </c>
      <c r="T428" s="721">
        <v>15034</v>
      </c>
    </row>
    <row r="429" spans="1:20" x14ac:dyDescent="0.25">
      <c r="A429" s="715">
        <v>94408</v>
      </c>
      <c r="B429" s="716" t="s">
        <v>2960</v>
      </c>
      <c r="C429" s="717">
        <v>4.2400000000000001E-5</v>
      </c>
      <c r="D429" s="717">
        <v>4.0099999999999999E-5</v>
      </c>
      <c r="E429" s="718">
        <v>64775</v>
      </c>
      <c r="F429" s="718"/>
      <c r="G429" s="719">
        <v>3732</v>
      </c>
      <c r="H429" s="720">
        <v>15728</v>
      </c>
      <c r="I429" s="719">
        <v>9251</v>
      </c>
      <c r="J429" s="718">
        <v>7577</v>
      </c>
      <c r="K429" s="720">
        <f t="shared" si="12"/>
        <v>36288</v>
      </c>
      <c r="L429" s="718"/>
      <c r="M429" s="719">
        <v>1834</v>
      </c>
      <c r="N429" s="719">
        <v>0</v>
      </c>
      <c r="O429" s="718">
        <v>4064</v>
      </c>
      <c r="P429" s="720">
        <f t="shared" si="13"/>
        <v>5898</v>
      </c>
      <c r="Q429" s="718"/>
      <c r="R429" s="719">
        <v>21829</v>
      </c>
      <c r="S429" s="721">
        <v>382</v>
      </c>
      <c r="T429" s="721">
        <v>22211</v>
      </c>
    </row>
    <row r="430" spans="1:20" x14ac:dyDescent="0.25">
      <c r="A430" s="715">
        <v>94411</v>
      </c>
      <c r="B430" s="716" t="s">
        <v>2961</v>
      </c>
      <c r="C430" s="717">
        <v>1.2672E-3</v>
      </c>
      <c r="D430" s="717">
        <v>1.1592E-3</v>
      </c>
      <c r="E430" s="718">
        <v>1935931</v>
      </c>
      <c r="F430" s="718"/>
      <c r="G430" s="719">
        <v>111528</v>
      </c>
      <c r="H430" s="720">
        <v>470046</v>
      </c>
      <c r="I430" s="719">
        <v>276478</v>
      </c>
      <c r="J430" s="718">
        <v>63511</v>
      </c>
      <c r="K430" s="720">
        <f t="shared" si="12"/>
        <v>921563</v>
      </c>
      <c r="L430" s="718"/>
      <c r="M430" s="719">
        <v>54800</v>
      </c>
      <c r="N430" s="719">
        <v>0</v>
      </c>
      <c r="O430" s="718">
        <v>4125</v>
      </c>
      <c r="P430" s="720">
        <f t="shared" si="13"/>
        <v>58925</v>
      </c>
      <c r="Q430" s="718"/>
      <c r="R430" s="719">
        <v>652410</v>
      </c>
      <c r="S430" s="721">
        <v>18114</v>
      </c>
      <c r="T430" s="721">
        <v>670524</v>
      </c>
    </row>
    <row r="431" spans="1:20" x14ac:dyDescent="0.25">
      <c r="A431" s="715">
        <v>94412</v>
      </c>
      <c r="B431" s="716" t="s">
        <v>2962</v>
      </c>
      <c r="C431" s="717">
        <v>1.5099999999999999E-5</v>
      </c>
      <c r="D431" s="717">
        <v>1.63E-5</v>
      </c>
      <c r="E431" s="718">
        <v>23069</v>
      </c>
      <c r="F431" s="718"/>
      <c r="G431" s="719">
        <v>1329</v>
      </c>
      <c r="H431" s="720">
        <v>5602</v>
      </c>
      <c r="I431" s="719">
        <v>3295</v>
      </c>
      <c r="J431" s="718">
        <v>12533</v>
      </c>
      <c r="K431" s="720">
        <f t="shared" si="12"/>
        <v>22759</v>
      </c>
      <c r="L431" s="718"/>
      <c r="M431" s="719">
        <v>653</v>
      </c>
      <c r="N431" s="719">
        <v>0</v>
      </c>
      <c r="O431" s="718">
        <v>0</v>
      </c>
      <c r="P431" s="720">
        <f t="shared" si="13"/>
        <v>653</v>
      </c>
      <c r="Q431" s="718"/>
      <c r="R431" s="719">
        <v>7774</v>
      </c>
      <c r="S431" s="721">
        <v>5893</v>
      </c>
      <c r="T431" s="721">
        <v>13667</v>
      </c>
    </row>
    <row r="432" spans="1:20" x14ac:dyDescent="0.25">
      <c r="A432" s="715">
        <v>94421</v>
      </c>
      <c r="B432" s="716" t="s">
        <v>2963</v>
      </c>
      <c r="C432" s="717">
        <v>1.6679999999999999E-4</v>
      </c>
      <c r="D432" s="717">
        <v>1.6899999999999999E-4</v>
      </c>
      <c r="E432" s="718">
        <v>254824</v>
      </c>
      <c r="F432" s="718"/>
      <c r="G432" s="719">
        <v>14680</v>
      </c>
      <c r="H432" s="720">
        <v>61871</v>
      </c>
      <c r="I432" s="719">
        <v>36392</v>
      </c>
      <c r="J432" s="718">
        <v>4157</v>
      </c>
      <c r="K432" s="720">
        <f t="shared" si="12"/>
        <v>117100</v>
      </c>
      <c r="L432" s="718"/>
      <c r="M432" s="719">
        <v>7213</v>
      </c>
      <c r="N432" s="719">
        <v>0</v>
      </c>
      <c r="O432" s="718">
        <v>6763</v>
      </c>
      <c r="P432" s="720">
        <f t="shared" si="13"/>
        <v>13976</v>
      </c>
      <c r="Q432" s="718"/>
      <c r="R432" s="719">
        <v>85876</v>
      </c>
      <c r="S432" s="721">
        <v>-3870</v>
      </c>
      <c r="T432" s="721">
        <v>82006</v>
      </c>
    </row>
    <row r="433" spans="1:20" x14ac:dyDescent="0.25">
      <c r="A433" s="715">
        <v>94427</v>
      </c>
      <c r="B433" s="716" t="s">
        <v>2964</v>
      </c>
      <c r="C433" s="717">
        <v>1.5699999999999999E-5</v>
      </c>
      <c r="D433" s="717">
        <v>1.29E-5</v>
      </c>
      <c r="E433" s="718">
        <v>23985</v>
      </c>
      <c r="F433" s="718"/>
      <c r="G433" s="719">
        <v>1382</v>
      </c>
      <c r="H433" s="720">
        <v>5824</v>
      </c>
      <c r="I433" s="719">
        <v>3425</v>
      </c>
      <c r="J433" s="718">
        <v>4090</v>
      </c>
      <c r="K433" s="720">
        <f t="shared" si="12"/>
        <v>14721</v>
      </c>
      <c r="L433" s="718"/>
      <c r="M433" s="719">
        <v>679</v>
      </c>
      <c r="N433" s="719">
        <v>0</v>
      </c>
      <c r="O433" s="718">
        <v>478</v>
      </c>
      <c r="P433" s="720">
        <f t="shared" si="13"/>
        <v>1157</v>
      </c>
      <c r="Q433" s="718"/>
      <c r="R433" s="719">
        <v>8083</v>
      </c>
      <c r="S433" s="721">
        <v>943</v>
      </c>
      <c r="T433" s="721">
        <v>9026</v>
      </c>
    </row>
    <row r="434" spans="1:20" x14ac:dyDescent="0.25">
      <c r="A434" s="715">
        <v>94428</v>
      </c>
      <c r="B434" s="716" t="s">
        <v>2965</v>
      </c>
      <c r="C434" s="717">
        <v>6.5199999999999999E-5</v>
      </c>
      <c r="D434" s="717">
        <v>7.4400000000000006E-5</v>
      </c>
      <c r="E434" s="718">
        <v>99608</v>
      </c>
      <c r="F434" s="718"/>
      <c r="G434" s="719">
        <v>5738</v>
      </c>
      <c r="H434" s="720">
        <v>24185</v>
      </c>
      <c r="I434" s="719">
        <v>14225</v>
      </c>
      <c r="J434" s="718">
        <v>2315</v>
      </c>
      <c r="K434" s="720">
        <f t="shared" si="12"/>
        <v>46463</v>
      </c>
      <c r="L434" s="718"/>
      <c r="M434" s="719">
        <v>2820</v>
      </c>
      <c r="N434" s="719">
        <v>0</v>
      </c>
      <c r="O434" s="718">
        <v>3346</v>
      </c>
      <c r="P434" s="720">
        <f t="shared" si="13"/>
        <v>6166</v>
      </c>
      <c r="Q434" s="718"/>
      <c r="R434" s="719">
        <v>33568</v>
      </c>
      <c r="S434" s="721">
        <v>366</v>
      </c>
      <c r="T434" s="721">
        <v>33934</v>
      </c>
    </row>
    <row r="435" spans="1:20" x14ac:dyDescent="0.25">
      <c r="A435" s="715">
        <v>94431</v>
      </c>
      <c r="B435" s="716" t="s">
        <v>2966</v>
      </c>
      <c r="C435" s="717">
        <v>4.2440000000000002E-4</v>
      </c>
      <c r="D435" s="717">
        <v>3.7589999999999998E-4</v>
      </c>
      <c r="E435" s="718">
        <v>648366</v>
      </c>
      <c r="F435" s="718"/>
      <c r="G435" s="719">
        <v>37352</v>
      </c>
      <c r="H435" s="720">
        <v>157424</v>
      </c>
      <c r="I435" s="719">
        <v>92596</v>
      </c>
      <c r="J435" s="718">
        <v>210809</v>
      </c>
      <c r="K435" s="720">
        <f t="shared" si="12"/>
        <v>498181</v>
      </c>
      <c r="L435" s="718"/>
      <c r="M435" s="719">
        <v>18353</v>
      </c>
      <c r="N435" s="719">
        <v>0</v>
      </c>
      <c r="O435" s="718">
        <v>611</v>
      </c>
      <c r="P435" s="720">
        <f t="shared" si="13"/>
        <v>18964</v>
      </c>
      <c r="Q435" s="718"/>
      <c r="R435" s="719">
        <v>218500</v>
      </c>
      <c r="S435" s="721">
        <v>68328</v>
      </c>
      <c r="T435" s="721">
        <v>286828</v>
      </c>
    </row>
    <row r="436" spans="1:20" x14ac:dyDescent="0.25">
      <c r="A436" s="715">
        <v>94437</v>
      </c>
      <c r="B436" s="716" t="s">
        <v>2967</v>
      </c>
      <c r="C436" s="717">
        <v>1.5299999999999999E-5</v>
      </c>
      <c r="D436" s="717">
        <v>1.34E-5</v>
      </c>
      <c r="E436" s="718">
        <v>23374</v>
      </c>
      <c r="F436" s="718"/>
      <c r="G436" s="719">
        <v>1347</v>
      </c>
      <c r="H436" s="720">
        <v>5675</v>
      </c>
      <c r="I436" s="719">
        <v>3338</v>
      </c>
      <c r="J436" s="718">
        <v>13868</v>
      </c>
      <c r="K436" s="720">
        <f t="shared" si="12"/>
        <v>24228</v>
      </c>
      <c r="L436" s="718"/>
      <c r="M436" s="719">
        <v>662</v>
      </c>
      <c r="N436" s="719">
        <v>0</v>
      </c>
      <c r="O436" s="718">
        <v>0</v>
      </c>
      <c r="P436" s="720">
        <f t="shared" si="13"/>
        <v>662</v>
      </c>
      <c r="Q436" s="718"/>
      <c r="R436" s="719">
        <v>7877</v>
      </c>
      <c r="S436" s="721">
        <v>5640</v>
      </c>
      <c r="T436" s="721">
        <v>13517</v>
      </c>
    </row>
    <row r="437" spans="1:20" x14ac:dyDescent="0.25">
      <c r="A437" s="715">
        <v>94501</v>
      </c>
      <c r="B437" s="716" t="s">
        <v>2968</v>
      </c>
      <c r="C437" s="717">
        <v>5.6991000000000003E-3</v>
      </c>
      <c r="D437" s="717">
        <v>5.8474E-3</v>
      </c>
      <c r="E437" s="718">
        <v>8706646</v>
      </c>
      <c r="F437" s="718"/>
      <c r="G437" s="719">
        <v>501583</v>
      </c>
      <c r="H437" s="720">
        <v>2113984</v>
      </c>
      <c r="I437" s="719">
        <v>1243430</v>
      </c>
      <c r="J437" s="718">
        <v>145440</v>
      </c>
      <c r="K437" s="720">
        <f t="shared" si="12"/>
        <v>4004437</v>
      </c>
      <c r="L437" s="718"/>
      <c r="M437" s="719">
        <v>246458</v>
      </c>
      <c r="N437" s="719">
        <v>0</v>
      </c>
      <c r="O437" s="718">
        <v>11569</v>
      </c>
      <c r="P437" s="720">
        <f t="shared" si="13"/>
        <v>258027</v>
      </c>
      <c r="Q437" s="718"/>
      <c r="R437" s="719">
        <v>2934147</v>
      </c>
      <c r="S437" s="721">
        <v>99795</v>
      </c>
      <c r="T437" s="721">
        <v>3033942</v>
      </c>
    </row>
    <row r="438" spans="1:20" x14ac:dyDescent="0.25">
      <c r="A438" s="715">
        <v>94511</v>
      </c>
      <c r="B438" s="716" t="s">
        <v>2969</v>
      </c>
      <c r="C438" s="717">
        <v>1.8538999999999999E-3</v>
      </c>
      <c r="D438" s="717">
        <v>1.7432000000000001E-3</v>
      </c>
      <c r="E438" s="718">
        <v>2832246</v>
      </c>
      <c r="F438" s="718"/>
      <c r="G438" s="719">
        <v>163164</v>
      </c>
      <c r="H438" s="720">
        <v>687673</v>
      </c>
      <c r="I438" s="719">
        <v>404484</v>
      </c>
      <c r="J438" s="718">
        <v>155537</v>
      </c>
      <c r="K438" s="720">
        <f t="shared" si="12"/>
        <v>1410858</v>
      </c>
      <c r="L438" s="718"/>
      <c r="M438" s="719">
        <v>80172</v>
      </c>
      <c r="N438" s="719">
        <v>0</v>
      </c>
      <c r="O438" s="718">
        <v>31633</v>
      </c>
      <c r="P438" s="720">
        <f t="shared" si="13"/>
        <v>111805</v>
      </c>
      <c r="Q438" s="718"/>
      <c r="R438" s="719">
        <v>954469</v>
      </c>
      <c r="S438" s="721">
        <v>72914</v>
      </c>
      <c r="T438" s="721">
        <v>1027383</v>
      </c>
    </row>
    <row r="439" spans="1:20" x14ac:dyDescent="0.25">
      <c r="A439" s="715">
        <v>94512</v>
      </c>
      <c r="B439" s="716" t="s">
        <v>2970</v>
      </c>
      <c r="C439" s="717">
        <v>0</v>
      </c>
      <c r="D439" s="717">
        <v>0</v>
      </c>
      <c r="E439" s="718">
        <v>0</v>
      </c>
      <c r="F439" s="718"/>
      <c r="G439" s="719">
        <v>0</v>
      </c>
      <c r="H439" s="720">
        <v>0</v>
      </c>
      <c r="I439" s="719">
        <v>0</v>
      </c>
      <c r="J439" s="718">
        <v>0</v>
      </c>
      <c r="K439" s="720">
        <f t="shared" si="12"/>
        <v>0</v>
      </c>
      <c r="L439" s="718"/>
      <c r="M439" s="719">
        <v>0</v>
      </c>
      <c r="N439" s="719">
        <v>0</v>
      </c>
      <c r="O439" s="718">
        <v>138579</v>
      </c>
      <c r="P439" s="720">
        <f t="shared" si="13"/>
        <v>138579</v>
      </c>
      <c r="Q439" s="718"/>
      <c r="R439" s="719">
        <v>0</v>
      </c>
      <c r="S439" s="721">
        <v>-78713</v>
      </c>
      <c r="T439" s="721">
        <v>-78713</v>
      </c>
    </row>
    <row r="440" spans="1:20" x14ac:dyDescent="0.25">
      <c r="A440" s="715">
        <v>94517</v>
      </c>
      <c r="B440" s="716" t="s">
        <v>2971</v>
      </c>
      <c r="C440" s="717">
        <v>4.7599999999999998E-5</v>
      </c>
      <c r="D440" s="717">
        <v>4.9599999999999999E-5</v>
      </c>
      <c r="E440" s="718">
        <v>72720</v>
      </c>
      <c r="F440" s="718"/>
      <c r="G440" s="719">
        <v>4189</v>
      </c>
      <c r="H440" s="720">
        <v>17656</v>
      </c>
      <c r="I440" s="719">
        <v>10385</v>
      </c>
      <c r="J440" s="718">
        <v>18702</v>
      </c>
      <c r="K440" s="720">
        <f t="shared" si="12"/>
        <v>50932</v>
      </c>
      <c r="L440" s="718"/>
      <c r="M440" s="719">
        <v>2058</v>
      </c>
      <c r="N440" s="719">
        <v>0</v>
      </c>
      <c r="O440" s="718">
        <v>0</v>
      </c>
      <c r="P440" s="720">
        <f t="shared" si="13"/>
        <v>2058</v>
      </c>
      <c r="Q440" s="718"/>
      <c r="R440" s="719">
        <v>24507</v>
      </c>
      <c r="S440" s="721">
        <v>9021</v>
      </c>
      <c r="T440" s="721">
        <v>33528</v>
      </c>
    </row>
    <row r="441" spans="1:20" x14ac:dyDescent="0.25">
      <c r="A441" s="715">
        <v>94521</v>
      </c>
      <c r="B441" s="716" t="s">
        <v>2972</v>
      </c>
      <c r="C441" s="717">
        <v>1.517E-4</v>
      </c>
      <c r="D441" s="717">
        <v>1.2410000000000001E-4</v>
      </c>
      <c r="E441" s="718">
        <v>231756</v>
      </c>
      <c r="F441" s="718"/>
      <c r="G441" s="719">
        <v>13351</v>
      </c>
      <c r="H441" s="720">
        <v>56271</v>
      </c>
      <c r="I441" s="719">
        <v>33098</v>
      </c>
      <c r="J441" s="718">
        <v>15354</v>
      </c>
      <c r="K441" s="720">
        <f t="shared" si="12"/>
        <v>118074</v>
      </c>
      <c r="L441" s="718"/>
      <c r="M441" s="719">
        <v>6560</v>
      </c>
      <c r="N441" s="719">
        <v>0</v>
      </c>
      <c r="O441" s="718">
        <v>13856</v>
      </c>
      <c r="P441" s="720">
        <f t="shared" si="13"/>
        <v>20416</v>
      </c>
      <c r="Q441" s="718"/>
      <c r="R441" s="719">
        <v>78102</v>
      </c>
      <c r="S441" s="721">
        <v>429</v>
      </c>
      <c r="T441" s="721">
        <v>78531</v>
      </c>
    </row>
    <row r="442" spans="1:20" x14ac:dyDescent="0.25">
      <c r="A442" s="715">
        <v>94527</v>
      </c>
      <c r="B442" s="716" t="s">
        <v>2973</v>
      </c>
      <c r="C442" s="717">
        <v>5.4E-6</v>
      </c>
      <c r="D442" s="717">
        <v>6.3999999999999997E-6</v>
      </c>
      <c r="E442" s="718">
        <v>8250</v>
      </c>
      <c r="F442" s="718"/>
      <c r="G442" s="719">
        <v>475</v>
      </c>
      <c r="H442" s="720">
        <v>2003</v>
      </c>
      <c r="I442" s="719">
        <v>1178</v>
      </c>
      <c r="J442" s="718">
        <v>308</v>
      </c>
      <c r="K442" s="720">
        <f t="shared" si="12"/>
        <v>3964</v>
      </c>
      <c r="L442" s="718"/>
      <c r="M442" s="719">
        <v>234</v>
      </c>
      <c r="N442" s="719">
        <v>0</v>
      </c>
      <c r="O442" s="718">
        <v>3369</v>
      </c>
      <c r="P442" s="720">
        <f t="shared" si="13"/>
        <v>3603</v>
      </c>
      <c r="Q442" s="718"/>
      <c r="R442" s="719">
        <v>2780</v>
      </c>
      <c r="S442" s="721">
        <v>-953</v>
      </c>
      <c r="T442" s="721">
        <v>1827</v>
      </c>
    </row>
    <row r="443" spans="1:20" x14ac:dyDescent="0.25">
      <c r="A443" s="715">
        <v>94531</v>
      </c>
      <c r="B443" s="716" t="s">
        <v>2974</v>
      </c>
      <c r="C443" s="717">
        <v>1.5E-5</v>
      </c>
      <c r="D443" s="717">
        <v>1.5500000000000001E-5</v>
      </c>
      <c r="E443" s="718">
        <v>22916</v>
      </c>
      <c r="F443" s="718"/>
      <c r="G443" s="719">
        <v>1320</v>
      </c>
      <c r="H443" s="720">
        <v>5564</v>
      </c>
      <c r="I443" s="719">
        <v>3273</v>
      </c>
      <c r="J443" s="718">
        <v>6665</v>
      </c>
      <c r="K443" s="720">
        <f t="shared" si="12"/>
        <v>16822</v>
      </c>
      <c r="L443" s="718"/>
      <c r="M443" s="719">
        <v>649</v>
      </c>
      <c r="N443" s="719">
        <v>0</v>
      </c>
      <c r="O443" s="718">
        <v>0</v>
      </c>
      <c r="P443" s="720">
        <f t="shared" si="13"/>
        <v>649</v>
      </c>
      <c r="Q443" s="718"/>
      <c r="R443" s="719">
        <v>7723</v>
      </c>
      <c r="S443" s="721">
        <v>2681</v>
      </c>
      <c r="T443" s="721">
        <v>10404</v>
      </c>
    </row>
    <row r="444" spans="1:20" x14ac:dyDescent="0.25">
      <c r="A444" s="715">
        <v>94532</v>
      </c>
      <c r="B444" s="716" t="s">
        <v>2975</v>
      </c>
      <c r="C444" s="717">
        <v>8.7800000000000006E-5</v>
      </c>
      <c r="D444" s="717">
        <v>9.4099999999999997E-5</v>
      </c>
      <c r="E444" s="718">
        <v>134134</v>
      </c>
      <c r="F444" s="718"/>
      <c r="G444" s="719">
        <v>7727</v>
      </c>
      <c r="H444" s="720">
        <v>32568</v>
      </c>
      <c r="I444" s="719">
        <v>19156</v>
      </c>
      <c r="J444" s="718">
        <v>0</v>
      </c>
      <c r="K444" s="720">
        <f t="shared" si="12"/>
        <v>59451</v>
      </c>
      <c r="L444" s="718"/>
      <c r="M444" s="719">
        <v>3797</v>
      </c>
      <c r="N444" s="719">
        <v>0</v>
      </c>
      <c r="O444" s="718">
        <v>10367</v>
      </c>
      <c r="P444" s="720">
        <f t="shared" si="13"/>
        <v>14164</v>
      </c>
      <c r="Q444" s="718"/>
      <c r="R444" s="719">
        <v>45203</v>
      </c>
      <c r="S444" s="721">
        <v>-5525</v>
      </c>
      <c r="T444" s="721">
        <v>39678</v>
      </c>
    </row>
    <row r="445" spans="1:20" x14ac:dyDescent="0.25">
      <c r="A445" s="715">
        <v>94541</v>
      </c>
      <c r="B445" s="716" t="s">
        <v>2976</v>
      </c>
      <c r="C445" s="717">
        <v>2.9300000000000002E-4</v>
      </c>
      <c r="D445" s="717">
        <v>2.9839999999999999E-4</v>
      </c>
      <c r="E445" s="718">
        <v>447623</v>
      </c>
      <c r="F445" s="718"/>
      <c r="G445" s="719">
        <v>25787</v>
      </c>
      <c r="H445" s="720">
        <v>108683</v>
      </c>
      <c r="I445" s="719">
        <v>63927</v>
      </c>
      <c r="J445" s="718">
        <v>0</v>
      </c>
      <c r="K445" s="720">
        <f t="shared" si="12"/>
        <v>198397</v>
      </c>
      <c r="L445" s="718"/>
      <c r="M445" s="719">
        <v>12671</v>
      </c>
      <c r="N445" s="719">
        <v>0</v>
      </c>
      <c r="O445" s="718">
        <v>27614</v>
      </c>
      <c r="P445" s="720">
        <f t="shared" si="13"/>
        <v>40285</v>
      </c>
      <c r="Q445" s="718"/>
      <c r="R445" s="719">
        <v>150849</v>
      </c>
      <c r="S445" s="721">
        <v>-10625</v>
      </c>
      <c r="T445" s="721">
        <v>140224</v>
      </c>
    </row>
    <row r="446" spans="1:20" x14ac:dyDescent="0.25">
      <c r="A446" s="715">
        <v>94547</v>
      </c>
      <c r="B446" s="716" t="s">
        <v>2977</v>
      </c>
      <c r="C446" s="717">
        <v>1.08E-5</v>
      </c>
      <c r="D446" s="717">
        <v>1.24E-5</v>
      </c>
      <c r="E446" s="718">
        <v>16499</v>
      </c>
      <c r="F446" s="718"/>
      <c r="G446" s="719">
        <v>951</v>
      </c>
      <c r="H446" s="720">
        <v>4006</v>
      </c>
      <c r="I446" s="719">
        <v>2356</v>
      </c>
      <c r="J446" s="718">
        <v>2853</v>
      </c>
      <c r="K446" s="720">
        <f t="shared" si="12"/>
        <v>10166</v>
      </c>
      <c r="L446" s="718"/>
      <c r="M446" s="719">
        <v>467</v>
      </c>
      <c r="N446" s="719">
        <v>0</v>
      </c>
      <c r="O446" s="718">
        <v>0</v>
      </c>
      <c r="P446" s="720">
        <f t="shared" si="13"/>
        <v>467</v>
      </c>
      <c r="Q446" s="718"/>
      <c r="R446" s="719">
        <v>5560</v>
      </c>
      <c r="S446" s="721">
        <v>1000</v>
      </c>
      <c r="T446" s="721">
        <v>6560</v>
      </c>
    </row>
    <row r="447" spans="1:20" x14ac:dyDescent="0.25">
      <c r="A447" s="715">
        <v>94551</v>
      </c>
      <c r="B447" s="716" t="s">
        <v>2978</v>
      </c>
      <c r="C447" s="717">
        <v>4.1900000000000002E-5</v>
      </c>
      <c r="D447" s="717">
        <v>4.5899999999999998E-5</v>
      </c>
      <c r="E447" s="718">
        <v>64012</v>
      </c>
      <c r="F447" s="718"/>
      <c r="G447" s="719">
        <v>3688</v>
      </c>
      <c r="H447" s="720">
        <v>15543</v>
      </c>
      <c r="I447" s="719">
        <v>9142</v>
      </c>
      <c r="J447" s="718">
        <v>11600</v>
      </c>
      <c r="K447" s="720">
        <f t="shared" si="12"/>
        <v>39973</v>
      </c>
      <c r="L447" s="718"/>
      <c r="M447" s="719">
        <v>1812</v>
      </c>
      <c r="N447" s="719">
        <v>0</v>
      </c>
      <c r="O447" s="718">
        <v>1576</v>
      </c>
      <c r="P447" s="720">
        <f t="shared" si="13"/>
        <v>3388</v>
      </c>
      <c r="Q447" s="718"/>
      <c r="R447" s="719">
        <v>21572</v>
      </c>
      <c r="S447" s="721">
        <v>4116</v>
      </c>
      <c r="T447" s="721">
        <v>25688</v>
      </c>
    </row>
    <row r="448" spans="1:20" x14ac:dyDescent="0.25">
      <c r="A448" s="715">
        <v>94601</v>
      </c>
      <c r="B448" s="716" t="s">
        <v>2979</v>
      </c>
      <c r="C448" s="717">
        <v>1.0602999999999999E-3</v>
      </c>
      <c r="D448" s="717">
        <v>1.0011E-3</v>
      </c>
      <c r="E448" s="718">
        <v>1619845</v>
      </c>
      <c r="F448" s="718"/>
      <c r="G448" s="719">
        <v>93318</v>
      </c>
      <c r="H448" s="720">
        <v>393300</v>
      </c>
      <c r="I448" s="719">
        <v>231336</v>
      </c>
      <c r="J448" s="718">
        <v>77480</v>
      </c>
      <c r="K448" s="720">
        <f t="shared" si="12"/>
        <v>795434</v>
      </c>
      <c r="L448" s="718"/>
      <c r="M448" s="719">
        <v>45853</v>
      </c>
      <c r="N448" s="719">
        <v>0</v>
      </c>
      <c r="O448" s="718">
        <v>2182</v>
      </c>
      <c r="P448" s="720">
        <f t="shared" si="13"/>
        <v>48035</v>
      </c>
      <c r="Q448" s="718"/>
      <c r="R448" s="719">
        <v>545889</v>
      </c>
      <c r="S448" s="721">
        <v>21640</v>
      </c>
      <c r="T448" s="721">
        <v>567529</v>
      </c>
    </row>
    <row r="449" spans="1:20" x14ac:dyDescent="0.25">
      <c r="A449" s="715">
        <v>94604</v>
      </c>
      <c r="B449" s="716" t="s">
        <v>2980</v>
      </c>
      <c r="C449" s="717">
        <v>2.62E-5</v>
      </c>
      <c r="D449" s="717">
        <v>2.65E-5</v>
      </c>
      <c r="E449" s="718">
        <v>40026</v>
      </c>
      <c r="F449" s="718"/>
      <c r="G449" s="719">
        <v>2306</v>
      </c>
      <c r="H449" s="720">
        <v>9718</v>
      </c>
      <c r="I449" s="719">
        <v>5716</v>
      </c>
      <c r="J449" s="718">
        <v>2471</v>
      </c>
      <c r="K449" s="720">
        <f t="shared" si="12"/>
        <v>20211</v>
      </c>
      <c r="L449" s="718"/>
      <c r="M449" s="719">
        <v>1133</v>
      </c>
      <c r="N449" s="719">
        <v>0</v>
      </c>
      <c r="O449" s="718">
        <v>26</v>
      </c>
      <c r="P449" s="720">
        <f t="shared" si="13"/>
        <v>1159</v>
      </c>
      <c r="Q449" s="718"/>
      <c r="R449" s="719">
        <v>13489</v>
      </c>
      <c r="S449" s="721">
        <v>697</v>
      </c>
      <c r="T449" s="721">
        <v>14186</v>
      </c>
    </row>
    <row r="450" spans="1:20" x14ac:dyDescent="0.25">
      <c r="A450" s="715">
        <v>94606</v>
      </c>
      <c r="B450" s="716" t="s">
        <v>2981</v>
      </c>
      <c r="C450" s="717">
        <v>2.3550000000000001E-4</v>
      </c>
      <c r="D450" s="717">
        <v>2.6229999999999998E-4</v>
      </c>
      <c r="E450" s="718">
        <v>359779</v>
      </c>
      <c r="F450" s="718"/>
      <c r="G450" s="719">
        <v>20727</v>
      </c>
      <c r="H450" s="720">
        <v>87355</v>
      </c>
      <c r="I450" s="719">
        <v>51381</v>
      </c>
      <c r="J450" s="718">
        <v>0</v>
      </c>
      <c r="K450" s="720">
        <f t="shared" si="12"/>
        <v>159463</v>
      </c>
      <c r="L450" s="718"/>
      <c r="M450" s="719">
        <v>10184</v>
      </c>
      <c r="N450" s="719">
        <v>0</v>
      </c>
      <c r="O450" s="718">
        <v>51703</v>
      </c>
      <c r="P450" s="720">
        <f t="shared" si="13"/>
        <v>61887</v>
      </c>
      <c r="Q450" s="718"/>
      <c r="R450" s="719">
        <v>121246</v>
      </c>
      <c r="S450" s="721">
        <v>-24169</v>
      </c>
      <c r="T450" s="721">
        <v>97077</v>
      </c>
    </row>
    <row r="451" spans="1:20" x14ac:dyDescent="0.25">
      <c r="A451" s="715">
        <v>94611</v>
      </c>
      <c r="B451" s="716" t="s">
        <v>2982</v>
      </c>
      <c r="C451" s="717">
        <v>3.6850000000000001E-4</v>
      </c>
      <c r="D451" s="717">
        <v>4.4450000000000002E-4</v>
      </c>
      <c r="E451" s="718">
        <v>562966</v>
      </c>
      <c r="F451" s="718"/>
      <c r="G451" s="719">
        <v>32432</v>
      </c>
      <c r="H451" s="720">
        <v>136689</v>
      </c>
      <c r="I451" s="719">
        <v>80399</v>
      </c>
      <c r="J451" s="718">
        <v>2567</v>
      </c>
      <c r="K451" s="720">
        <f t="shared" si="12"/>
        <v>252087</v>
      </c>
      <c r="L451" s="718"/>
      <c r="M451" s="719">
        <v>15936</v>
      </c>
      <c r="N451" s="719">
        <v>0</v>
      </c>
      <c r="O451" s="718">
        <v>35426</v>
      </c>
      <c r="P451" s="720">
        <f t="shared" si="13"/>
        <v>51362</v>
      </c>
      <c r="Q451" s="718"/>
      <c r="R451" s="719">
        <v>189720</v>
      </c>
      <c r="S451" s="721">
        <v>-9323</v>
      </c>
      <c r="T451" s="721">
        <v>180397</v>
      </c>
    </row>
    <row r="452" spans="1:20" x14ac:dyDescent="0.25">
      <c r="A452" s="715">
        <v>94621</v>
      </c>
      <c r="B452" s="716" t="s">
        <v>2983</v>
      </c>
      <c r="C452" s="717">
        <v>9.7600000000000001E-5</v>
      </c>
      <c r="D452" s="717">
        <v>1.3119999999999999E-4</v>
      </c>
      <c r="E452" s="718">
        <v>149106</v>
      </c>
      <c r="F452" s="718"/>
      <c r="G452" s="719">
        <v>8590</v>
      </c>
      <c r="H452" s="720">
        <v>36203</v>
      </c>
      <c r="I452" s="719">
        <v>21294</v>
      </c>
      <c r="J452" s="718">
        <v>6585</v>
      </c>
      <c r="K452" s="720">
        <f t="shared" si="12"/>
        <v>72672</v>
      </c>
      <c r="L452" s="718"/>
      <c r="M452" s="719">
        <v>4221</v>
      </c>
      <c r="N452" s="719">
        <v>0</v>
      </c>
      <c r="O452" s="718">
        <v>18055</v>
      </c>
      <c r="P452" s="720">
        <f t="shared" si="13"/>
        <v>22276</v>
      </c>
      <c r="Q452" s="718"/>
      <c r="R452" s="719">
        <v>50249</v>
      </c>
      <c r="S452" s="721">
        <v>-1288</v>
      </c>
      <c r="T452" s="721">
        <v>48961</v>
      </c>
    </row>
    <row r="453" spans="1:20" x14ac:dyDescent="0.25">
      <c r="A453" s="715">
        <v>94631</v>
      </c>
      <c r="B453" s="716" t="s">
        <v>2984</v>
      </c>
      <c r="C453" s="717">
        <v>3.9100000000000002E-5</v>
      </c>
      <c r="D453" s="717">
        <v>3.9799999999999998E-5</v>
      </c>
      <c r="E453" s="718">
        <v>59734</v>
      </c>
      <c r="F453" s="718"/>
      <c r="G453" s="719">
        <v>3441</v>
      </c>
      <c r="H453" s="720">
        <v>14504</v>
      </c>
      <c r="I453" s="719">
        <v>8531</v>
      </c>
      <c r="J453" s="718">
        <v>6569</v>
      </c>
      <c r="K453" s="720">
        <f t="shared" si="12"/>
        <v>33045</v>
      </c>
      <c r="L453" s="718"/>
      <c r="M453" s="719">
        <v>1691</v>
      </c>
      <c r="N453" s="719">
        <v>0</v>
      </c>
      <c r="O453" s="718">
        <v>0</v>
      </c>
      <c r="P453" s="720">
        <f t="shared" si="13"/>
        <v>1691</v>
      </c>
      <c r="Q453" s="718"/>
      <c r="R453" s="719">
        <v>20130</v>
      </c>
      <c r="S453" s="721">
        <v>2517</v>
      </c>
      <c r="T453" s="721">
        <v>22647</v>
      </c>
    </row>
    <row r="454" spans="1:20" x14ac:dyDescent="0.25">
      <c r="A454" s="715">
        <v>94641</v>
      </c>
      <c r="B454" s="716" t="s">
        <v>2985</v>
      </c>
      <c r="C454" s="717">
        <v>3.8999999999999999E-6</v>
      </c>
      <c r="D454" s="717">
        <v>4.6999999999999999E-6</v>
      </c>
      <c r="E454" s="718">
        <v>5958</v>
      </c>
      <c r="F454" s="718"/>
      <c r="G454" s="719">
        <v>343</v>
      </c>
      <c r="H454" s="720">
        <v>1446</v>
      </c>
      <c r="I454" s="719">
        <v>851</v>
      </c>
      <c r="J454" s="718">
        <v>5156</v>
      </c>
      <c r="K454" s="720">
        <f t="shared" si="12"/>
        <v>7796</v>
      </c>
      <c r="L454" s="718"/>
      <c r="M454" s="719">
        <v>169</v>
      </c>
      <c r="N454" s="719">
        <v>0</v>
      </c>
      <c r="O454" s="718">
        <v>0</v>
      </c>
      <c r="P454" s="720">
        <f t="shared" si="13"/>
        <v>169</v>
      </c>
      <c r="Q454" s="718"/>
      <c r="R454" s="719">
        <v>2008</v>
      </c>
      <c r="S454" s="721">
        <v>2187</v>
      </c>
      <c r="T454" s="721">
        <v>4195</v>
      </c>
    </row>
    <row r="455" spans="1:20" x14ac:dyDescent="0.25">
      <c r="A455" s="715">
        <v>94701</v>
      </c>
      <c r="B455" s="716" t="s">
        <v>2986</v>
      </c>
      <c r="C455" s="717">
        <v>2.5446000000000002E-3</v>
      </c>
      <c r="D455" s="717">
        <v>2.5636000000000001E-3</v>
      </c>
      <c r="E455" s="718">
        <v>3887444</v>
      </c>
      <c r="F455" s="718"/>
      <c r="G455" s="719">
        <v>223953</v>
      </c>
      <c r="H455" s="720">
        <v>943877</v>
      </c>
      <c r="I455" s="719">
        <v>555181</v>
      </c>
      <c r="J455" s="718">
        <v>45251</v>
      </c>
      <c r="K455" s="720">
        <f t="shared" ref="K455:K518" si="14">G455+H455+I455+J455</f>
        <v>1768262</v>
      </c>
      <c r="L455" s="718"/>
      <c r="M455" s="719">
        <v>110041</v>
      </c>
      <c r="N455" s="719">
        <v>0</v>
      </c>
      <c r="O455" s="718">
        <v>103182</v>
      </c>
      <c r="P455" s="720">
        <f t="shared" ref="P455:P518" si="15">M455+N455+O455</f>
        <v>213223</v>
      </c>
      <c r="Q455" s="718"/>
      <c r="R455" s="719">
        <v>1310072</v>
      </c>
      <c r="S455" s="721">
        <v>-2731</v>
      </c>
      <c r="T455" s="721">
        <v>1307341</v>
      </c>
    </row>
    <row r="456" spans="1:20" x14ac:dyDescent="0.25">
      <c r="A456" s="715">
        <v>94704</v>
      </c>
      <c r="B456" s="716" t="s">
        <v>2987</v>
      </c>
      <c r="C456" s="717">
        <v>9.5000000000000005E-6</v>
      </c>
      <c r="D456" s="717">
        <v>1.04E-5</v>
      </c>
      <c r="E456" s="718">
        <v>14513</v>
      </c>
      <c r="F456" s="718"/>
      <c r="G456" s="719">
        <v>836</v>
      </c>
      <c r="H456" s="720">
        <v>3524</v>
      </c>
      <c r="I456" s="719">
        <v>2073</v>
      </c>
      <c r="J456" s="718">
        <v>77</v>
      </c>
      <c r="K456" s="720">
        <f t="shared" si="14"/>
        <v>6510</v>
      </c>
      <c r="L456" s="718"/>
      <c r="M456" s="719">
        <v>411</v>
      </c>
      <c r="N456" s="719">
        <v>0</v>
      </c>
      <c r="O456" s="718">
        <v>100</v>
      </c>
      <c r="P456" s="720">
        <f t="shared" si="15"/>
        <v>511</v>
      </c>
      <c r="Q456" s="718"/>
      <c r="R456" s="719">
        <v>4891</v>
      </c>
      <c r="S456" s="721">
        <v>38</v>
      </c>
      <c r="T456" s="721">
        <v>4929</v>
      </c>
    </row>
    <row r="457" spans="1:20" x14ac:dyDescent="0.25">
      <c r="A457" s="715">
        <v>94711</v>
      </c>
      <c r="B457" s="716" t="s">
        <v>2988</v>
      </c>
      <c r="C457" s="717">
        <v>3.3599999999999998E-4</v>
      </c>
      <c r="D457" s="717">
        <v>3.5110000000000002E-4</v>
      </c>
      <c r="E457" s="718">
        <v>513315</v>
      </c>
      <c r="F457" s="718"/>
      <c r="G457" s="719">
        <v>29572</v>
      </c>
      <c r="H457" s="720">
        <v>124633</v>
      </c>
      <c r="I457" s="719">
        <v>73308</v>
      </c>
      <c r="J457" s="718">
        <v>9113</v>
      </c>
      <c r="K457" s="720">
        <f t="shared" si="14"/>
        <v>236626</v>
      </c>
      <c r="L457" s="718"/>
      <c r="M457" s="719">
        <v>14530</v>
      </c>
      <c r="N457" s="719">
        <v>0</v>
      </c>
      <c r="O457" s="718">
        <v>6693</v>
      </c>
      <c r="P457" s="720">
        <f t="shared" si="15"/>
        <v>21223</v>
      </c>
      <c r="Q457" s="718"/>
      <c r="R457" s="719">
        <v>172988</v>
      </c>
      <c r="S457" s="721">
        <v>1163</v>
      </c>
      <c r="T457" s="721">
        <v>174151</v>
      </c>
    </row>
    <row r="458" spans="1:20" x14ac:dyDescent="0.25">
      <c r="A458" s="715">
        <v>94801</v>
      </c>
      <c r="B458" s="716" t="s">
        <v>2989</v>
      </c>
      <c r="C458" s="717">
        <v>7.2440000000000004E-4</v>
      </c>
      <c r="D458" s="717">
        <v>7.6539999999999996E-4</v>
      </c>
      <c r="E458" s="718">
        <v>1106683</v>
      </c>
      <c r="F458" s="718"/>
      <c r="G458" s="719">
        <v>63755</v>
      </c>
      <c r="H458" s="720">
        <v>268704</v>
      </c>
      <c r="I458" s="719">
        <v>158050</v>
      </c>
      <c r="J458" s="718">
        <v>40380</v>
      </c>
      <c r="K458" s="720">
        <f t="shared" si="14"/>
        <v>530889</v>
      </c>
      <c r="L458" s="718"/>
      <c r="M458" s="719">
        <v>31327</v>
      </c>
      <c r="N458" s="719">
        <v>0</v>
      </c>
      <c r="O458" s="718">
        <v>19605</v>
      </c>
      <c r="P458" s="720">
        <f t="shared" si="15"/>
        <v>50932</v>
      </c>
      <c r="Q458" s="718"/>
      <c r="R458" s="719">
        <v>372953</v>
      </c>
      <c r="S458" s="721">
        <v>17711</v>
      </c>
      <c r="T458" s="721">
        <v>390664</v>
      </c>
    </row>
    <row r="459" spans="1:20" x14ac:dyDescent="0.25">
      <c r="A459" s="715">
        <v>94804</v>
      </c>
      <c r="B459" s="716" t="s">
        <v>2990</v>
      </c>
      <c r="C459" s="717">
        <v>3.8E-6</v>
      </c>
      <c r="D459" s="717">
        <v>3.8E-6</v>
      </c>
      <c r="E459" s="718">
        <v>5805</v>
      </c>
      <c r="F459" s="718"/>
      <c r="G459" s="719">
        <v>334</v>
      </c>
      <c r="H459" s="720">
        <v>1409</v>
      </c>
      <c r="I459" s="719">
        <v>829</v>
      </c>
      <c r="J459" s="718">
        <v>2556</v>
      </c>
      <c r="K459" s="720">
        <f t="shared" si="14"/>
        <v>5128</v>
      </c>
      <c r="L459" s="718"/>
      <c r="M459" s="719">
        <v>164</v>
      </c>
      <c r="N459" s="719">
        <v>0</v>
      </c>
      <c r="O459" s="718">
        <v>218</v>
      </c>
      <c r="P459" s="720">
        <f t="shared" si="15"/>
        <v>382</v>
      </c>
      <c r="Q459" s="718"/>
      <c r="R459" s="719">
        <v>1956</v>
      </c>
      <c r="S459" s="721">
        <v>1879</v>
      </c>
      <c r="T459" s="721">
        <v>3835</v>
      </c>
    </row>
    <row r="460" spans="1:20" x14ac:dyDescent="0.25">
      <c r="A460" s="715">
        <v>94812</v>
      </c>
      <c r="B460" s="716" t="s">
        <v>2991</v>
      </c>
      <c r="C460" s="717">
        <v>3.3000000000000003E-5</v>
      </c>
      <c r="D460" s="717">
        <v>3.3500000000000001E-5</v>
      </c>
      <c r="E460" s="718">
        <v>50415</v>
      </c>
      <c r="F460" s="718"/>
      <c r="G460" s="719">
        <v>2904</v>
      </c>
      <c r="H460" s="720">
        <v>12241</v>
      </c>
      <c r="I460" s="719">
        <v>7200</v>
      </c>
      <c r="J460" s="718">
        <v>10442</v>
      </c>
      <c r="K460" s="720">
        <f t="shared" si="14"/>
        <v>32787</v>
      </c>
      <c r="L460" s="718"/>
      <c r="M460" s="719">
        <v>1427</v>
      </c>
      <c r="N460" s="719">
        <v>0</v>
      </c>
      <c r="O460" s="718">
        <v>0</v>
      </c>
      <c r="P460" s="720">
        <f t="shared" si="15"/>
        <v>1427</v>
      </c>
      <c r="Q460" s="718"/>
      <c r="R460" s="719">
        <v>16990</v>
      </c>
      <c r="S460" s="721">
        <v>4040</v>
      </c>
      <c r="T460" s="721">
        <v>21030</v>
      </c>
    </row>
    <row r="461" spans="1:20" x14ac:dyDescent="0.25">
      <c r="A461" s="715">
        <v>94901</v>
      </c>
      <c r="B461" s="716" t="s">
        <v>2992</v>
      </c>
      <c r="C461" s="717">
        <v>6.7841999999999998E-3</v>
      </c>
      <c r="D461" s="717">
        <v>7.0014999999999999E-3</v>
      </c>
      <c r="E461" s="718">
        <v>10364378</v>
      </c>
      <c r="F461" s="718"/>
      <c r="G461" s="719">
        <v>597084</v>
      </c>
      <c r="H461" s="720">
        <v>2516484</v>
      </c>
      <c r="I461" s="719">
        <v>1480177</v>
      </c>
      <c r="J461" s="718">
        <v>16760</v>
      </c>
      <c r="K461" s="720">
        <f t="shared" si="14"/>
        <v>4610505</v>
      </c>
      <c r="L461" s="718"/>
      <c r="M461" s="719">
        <v>293383</v>
      </c>
      <c r="N461" s="719">
        <v>0</v>
      </c>
      <c r="O461" s="718">
        <v>129476</v>
      </c>
      <c r="P461" s="720">
        <f t="shared" si="15"/>
        <v>422859</v>
      </c>
      <c r="Q461" s="718"/>
      <c r="R461" s="719">
        <v>3492805</v>
      </c>
      <c r="S461" s="721">
        <v>-36324</v>
      </c>
      <c r="T461" s="721">
        <v>3456481</v>
      </c>
    </row>
    <row r="462" spans="1:20" x14ac:dyDescent="0.25">
      <c r="A462" s="715">
        <v>94908</v>
      </c>
      <c r="B462" s="716" t="s">
        <v>2993</v>
      </c>
      <c r="C462" s="717">
        <v>7.7000000000000008E-6</v>
      </c>
      <c r="D462" s="717">
        <v>3.9799999999999998E-5</v>
      </c>
      <c r="E462" s="718">
        <v>11763</v>
      </c>
      <c r="F462" s="718"/>
      <c r="G462" s="719">
        <v>678</v>
      </c>
      <c r="H462" s="720">
        <v>2857</v>
      </c>
      <c r="I462" s="719">
        <v>1680</v>
      </c>
      <c r="J462" s="718">
        <v>0</v>
      </c>
      <c r="K462" s="720">
        <f t="shared" si="14"/>
        <v>5215</v>
      </c>
      <c r="L462" s="718"/>
      <c r="M462" s="719">
        <v>333</v>
      </c>
      <c r="N462" s="719">
        <v>0</v>
      </c>
      <c r="O462" s="718">
        <v>21664</v>
      </c>
      <c r="P462" s="720">
        <f t="shared" si="15"/>
        <v>21997</v>
      </c>
      <c r="Q462" s="718"/>
      <c r="R462" s="719">
        <v>3964</v>
      </c>
      <c r="S462" s="721">
        <v>-6783</v>
      </c>
      <c r="T462" s="721">
        <v>-2819</v>
      </c>
    </row>
    <row r="463" spans="1:20" x14ac:dyDescent="0.25">
      <c r="A463" s="715">
        <v>94911</v>
      </c>
      <c r="B463" s="716" t="s">
        <v>2994</v>
      </c>
      <c r="C463" s="717">
        <v>2.8311E-3</v>
      </c>
      <c r="D463" s="717">
        <v>2.7745999999999999E-3</v>
      </c>
      <c r="E463" s="718">
        <v>4325137</v>
      </c>
      <c r="F463" s="718"/>
      <c r="G463" s="719">
        <v>249168</v>
      </c>
      <c r="H463" s="720">
        <v>1050149</v>
      </c>
      <c r="I463" s="719">
        <v>617689</v>
      </c>
      <c r="J463" s="718">
        <v>39747</v>
      </c>
      <c r="K463" s="720">
        <f t="shared" si="14"/>
        <v>1956753</v>
      </c>
      <c r="L463" s="718"/>
      <c r="M463" s="719">
        <v>122431</v>
      </c>
      <c r="N463" s="719">
        <v>0</v>
      </c>
      <c r="O463" s="718">
        <v>40147</v>
      </c>
      <c r="P463" s="720">
        <f t="shared" si="15"/>
        <v>162578</v>
      </c>
      <c r="Q463" s="718"/>
      <c r="R463" s="719">
        <v>1457575</v>
      </c>
      <c r="S463" s="721">
        <v>-7457</v>
      </c>
      <c r="T463" s="721">
        <v>1450118</v>
      </c>
    </row>
    <row r="464" spans="1:20" x14ac:dyDescent="0.25">
      <c r="A464" s="715">
        <v>94917</v>
      </c>
      <c r="B464" s="716" t="s">
        <v>2995</v>
      </c>
      <c r="C464" s="717">
        <v>3.5099999999999999E-5</v>
      </c>
      <c r="D464" s="717">
        <v>3.7400000000000001E-5</v>
      </c>
      <c r="E464" s="718">
        <v>53623</v>
      </c>
      <c r="F464" s="718"/>
      <c r="G464" s="719">
        <v>3089</v>
      </c>
      <c r="H464" s="720">
        <v>13020</v>
      </c>
      <c r="I464" s="719">
        <v>7658</v>
      </c>
      <c r="J464" s="718">
        <v>16574</v>
      </c>
      <c r="K464" s="720">
        <f t="shared" si="14"/>
        <v>40341</v>
      </c>
      <c r="L464" s="718"/>
      <c r="M464" s="719">
        <v>1518</v>
      </c>
      <c r="N464" s="719">
        <v>0</v>
      </c>
      <c r="O464" s="718">
        <v>0</v>
      </c>
      <c r="P464" s="720">
        <f t="shared" si="15"/>
        <v>1518</v>
      </c>
      <c r="Q464" s="718"/>
      <c r="R464" s="719">
        <v>18071</v>
      </c>
      <c r="S464" s="721">
        <v>7114</v>
      </c>
      <c r="T464" s="721">
        <v>25185</v>
      </c>
    </row>
    <row r="465" spans="1:20" x14ac:dyDescent="0.25">
      <c r="A465" s="715">
        <v>94921</v>
      </c>
      <c r="B465" s="716" t="s">
        <v>2996</v>
      </c>
      <c r="C465" s="717">
        <v>3.9515000000000002E-3</v>
      </c>
      <c r="D465" s="717">
        <v>3.7063E-3</v>
      </c>
      <c r="E465" s="718">
        <v>6036797</v>
      </c>
      <c r="F465" s="718"/>
      <c r="G465" s="719">
        <v>347775</v>
      </c>
      <c r="H465" s="720">
        <v>1465741</v>
      </c>
      <c r="I465" s="719">
        <v>862138</v>
      </c>
      <c r="J465" s="718">
        <v>19200</v>
      </c>
      <c r="K465" s="720">
        <f t="shared" si="14"/>
        <v>2694854</v>
      </c>
      <c r="L465" s="718"/>
      <c r="M465" s="719">
        <v>170883</v>
      </c>
      <c r="N465" s="719">
        <v>0</v>
      </c>
      <c r="O465" s="718">
        <v>350239</v>
      </c>
      <c r="P465" s="720">
        <f t="shared" si="15"/>
        <v>521122</v>
      </c>
      <c r="Q465" s="718"/>
      <c r="R465" s="719">
        <v>2034406</v>
      </c>
      <c r="S465" s="721">
        <v>-150626</v>
      </c>
      <c r="T465" s="721">
        <v>1883780</v>
      </c>
    </row>
    <row r="466" spans="1:20" x14ac:dyDescent="0.25">
      <c r="A466" s="715">
        <v>94923</v>
      </c>
      <c r="B466" s="716" t="s">
        <v>2997</v>
      </c>
      <c r="C466" s="717">
        <v>3.0700000000000001E-5</v>
      </c>
      <c r="D466" s="717">
        <v>2.4499999999999999E-5</v>
      </c>
      <c r="E466" s="718">
        <v>46901</v>
      </c>
      <c r="F466" s="718"/>
      <c r="G466" s="719">
        <v>2702</v>
      </c>
      <c r="H466" s="720">
        <v>11387</v>
      </c>
      <c r="I466" s="719">
        <v>6698</v>
      </c>
      <c r="J466" s="718">
        <v>5727</v>
      </c>
      <c r="K466" s="720">
        <f t="shared" si="14"/>
        <v>26514</v>
      </c>
      <c r="L466" s="718"/>
      <c r="M466" s="719">
        <v>1328</v>
      </c>
      <c r="N466" s="719">
        <v>0</v>
      </c>
      <c r="O466" s="718">
        <v>86</v>
      </c>
      <c r="P466" s="720">
        <f t="shared" si="15"/>
        <v>1414</v>
      </c>
      <c r="Q466" s="718"/>
      <c r="R466" s="719">
        <v>15806</v>
      </c>
      <c r="S466" s="721">
        <v>1556</v>
      </c>
      <c r="T466" s="721">
        <v>17362</v>
      </c>
    </row>
    <row r="467" spans="1:20" x14ac:dyDescent="0.25">
      <c r="A467" s="715">
        <v>94927</v>
      </c>
      <c r="B467" s="716" t="s">
        <v>2998</v>
      </c>
      <c r="C467" s="717">
        <v>3.0599999999999998E-5</v>
      </c>
      <c r="D467" s="717">
        <v>3.3899999999999997E-5</v>
      </c>
      <c r="E467" s="718">
        <v>46748</v>
      </c>
      <c r="F467" s="718"/>
      <c r="G467" s="719">
        <v>2693</v>
      </c>
      <c r="H467" s="720">
        <v>11350</v>
      </c>
      <c r="I467" s="719">
        <v>6676</v>
      </c>
      <c r="J467" s="718">
        <v>2683</v>
      </c>
      <c r="K467" s="720">
        <f t="shared" si="14"/>
        <v>23402</v>
      </c>
      <c r="L467" s="718"/>
      <c r="M467" s="719">
        <v>1323</v>
      </c>
      <c r="N467" s="719">
        <v>0</v>
      </c>
      <c r="O467" s="718">
        <v>26</v>
      </c>
      <c r="P467" s="720">
        <f t="shared" si="15"/>
        <v>1349</v>
      </c>
      <c r="Q467" s="718"/>
      <c r="R467" s="719">
        <v>15754</v>
      </c>
      <c r="S467" s="721">
        <v>911</v>
      </c>
      <c r="T467" s="721">
        <v>16665</v>
      </c>
    </row>
    <row r="468" spans="1:20" x14ac:dyDescent="0.25">
      <c r="A468" s="715">
        <v>94931</v>
      </c>
      <c r="B468" s="716" t="s">
        <v>2999</v>
      </c>
      <c r="C468" s="717">
        <v>2.163E-4</v>
      </c>
      <c r="D468" s="717">
        <v>2.1130000000000001E-4</v>
      </c>
      <c r="E468" s="718">
        <v>330446</v>
      </c>
      <c r="F468" s="718"/>
      <c r="G468" s="719">
        <v>19037</v>
      </c>
      <c r="H468" s="720">
        <v>80233</v>
      </c>
      <c r="I468" s="719">
        <v>47192</v>
      </c>
      <c r="J468" s="718">
        <v>954</v>
      </c>
      <c r="K468" s="720">
        <f t="shared" si="14"/>
        <v>147416</v>
      </c>
      <c r="L468" s="718"/>
      <c r="M468" s="719">
        <v>9354</v>
      </c>
      <c r="N468" s="719">
        <v>0</v>
      </c>
      <c r="O468" s="718">
        <v>15740</v>
      </c>
      <c r="P468" s="720">
        <f t="shared" si="15"/>
        <v>25094</v>
      </c>
      <c r="Q468" s="718"/>
      <c r="R468" s="719">
        <v>111361</v>
      </c>
      <c r="S468" s="721">
        <v>-7901</v>
      </c>
      <c r="T468" s="721">
        <v>103460</v>
      </c>
    </row>
    <row r="469" spans="1:20" x14ac:dyDescent="0.25">
      <c r="A469" s="715">
        <v>94941</v>
      </c>
      <c r="B469" s="716" t="s">
        <v>3000</v>
      </c>
      <c r="C469" s="717">
        <v>5.7879999999999997E-4</v>
      </c>
      <c r="D469" s="717">
        <v>5.2959999999999997E-4</v>
      </c>
      <c r="E469" s="718">
        <v>884246</v>
      </c>
      <c r="F469" s="718"/>
      <c r="G469" s="719">
        <v>50941</v>
      </c>
      <c r="H469" s="720">
        <v>214696</v>
      </c>
      <c r="I469" s="719">
        <v>126283</v>
      </c>
      <c r="J469" s="718">
        <v>68775</v>
      </c>
      <c r="K469" s="720">
        <f t="shared" si="14"/>
        <v>460695</v>
      </c>
      <c r="L469" s="718"/>
      <c r="M469" s="719">
        <v>25030</v>
      </c>
      <c r="N469" s="719">
        <v>0</v>
      </c>
      <c r="O469" s="718">
        <v>0</v>
      </c>
      <c r="P469" s="720">
        <f t="shared" si="15"/>
        <v>25030</v>
      </c>
      <c r="Q469" s="718"/>
      <c r="R469" s="719">
        <v>297992</v>
      </c>
      <c r="S469" s="721">
        <v>46151</v>
      </c>
      <c r="T469" s="721">
        <v>344143</v>
      </c>
    </row>
    <row r="470" spans="1:20" x14ac:dyDescent="0.25">
      <c r="A470" s="715">
        <v>95001</v>
      </c>
      <c r="B470" s="716" t="s">
        <v>3001</v>
      </c>
      <c r="C470" s="717">
        <v>2.4867000000000001E-3</v>
      </c>
      <c r="D470" s="717">
        <v>2.3779000000000001E-3</v>
      </c>
      <c r="E470" s="718">
        <v>3798989</v>
      </c>
      <c r="F470" s="718"/>
      <c r="G470" s="719">
        <v>218857</v>
      </c>
      <c r="H470" s="720">
        <v>922399</v>
      </c>
      <c r="I470" s="719">
        <v>542548</v>
      </c>
      <c r="J470" s="718">
        <v>176888</v>
      </c>
      <c r="K470" s="720">
        <f t="shared" si="14"/>
        <v>1860692</v>
      </c>
      <c r="L470" s="718"/>
      <c r="M470" s="719">
        <v>107537</v>
      </c>
      <c r="N470" s="719">
        <v>0</v>
      </c>
      <c r="O470" s="718">
        <v>3991</v>
      </c>
      <c r="P470" s="720">
        <f t="shared" si="15"/>
        <v>111528</v>
      </c>
      <c r="Q470" s="718"/>
      <c r="R470" s="719">
        <v>1280263</v>
      </c>
      <c r="S470" s="721">
        <v>51652</v>
      </c>
      <c r="T470" s="721">
        <v>1331915</v>
      </c>
    </row>
    <row r="471" spans="1:20" x14ac:dyDescent="0.25">
      <c r="A471" s="715">
        <v>95002</v>
      </c>
      <c r="B471" s="716" t="s">
        <v>3002</v>
      </c>
      <c r="C471" s="717">
        <v>1.907E-4</v>
      </c>
      <c r="D471" s="717">
        <v>2.0120000000000001E-4</v>
      </c>
      <c r="E471" s="718">
        <v>291337</v>
      </c>
      <c r="F471" s="718"/>
      <c r="G471" s="719">
        <v>16784</v>
      </c>
      <c r="H471" s="720">
        <v>70737</v>
      </c>
      <c r="I471" s="719">
        <v>41607</v>
      </c>
      <c r="J471" s="718">
        <v>15647</v>
      </c>
      <c r="K471" s="720">
        <f t="shared" si="14"/>
        <v>144775</v>
      </c>
      <c r="L471" s="718"/>
      <c r="M471" s="719">
        <v>8247</v>
      </c>
      <c r="N471" s="719">
        <v>0</v>
      </c>
      <c r="O471" s="718">
        <v>0</v>
      </c>
      <c r="P471" s="720">
        <f t="shared" si="15"/>
        <v>8247</v>
      </c>
      <c r="Q471" s="718"/>
      <c r="R471" s="719">
        <v>98181</v>
      </c>
      <c r="S471" s="721">
        <v>6293</v>
      </c>
      <c r="T471" s="721">
        <v>104474</v>
      </c>
    </row>
    <row r="472" spans="1:20" x14ac:dyDescent="0.25">
      <c r="A472" s="715">
        <v>95005</v>
      </c>
      <c r="B472" s="716" t="s">
        <v>3003</v>
      </c>
      <c r="C472" s="717">
        <v>2.2949999999999999E-4</v>
      </c>
      <c r="D472" s="717">
        <v>2.3829999999999999E-4</v>
      </c>
      <c r="E472" s="718">
        <v>350612</v>
      </c>
      <c r="F472" s="718"/>
      <c r="G472" s="719">
        <v>20199</v>
      </c>
      <c r="H472" s="720">
        <v>85129</v>
      </c>
      <c r="I472" s="719">
        <v>50072</v>
      </c>
      <c r="J472" s="718">
        <v>13727</v>
      </c>
      <c r="K472" s="720">
        <f t="shared" si="14"/>
        <v>169127</v>
      </c>
      <c r="L472" s="718"/>
      <c r="M472" s="719">
        <v>9925</v>
      </c>
      <c r="N472" s="719">
        <v>0</v>
      </c>
      <c r="O472" s="718">
        <v>1630</v>
      </c>
      <c r="P472" s="720">
        <f t="shared" si="15"/>
        <v>11555</v>
      </c>
      <c r="Q472" s="718"/>
      <c r="R472" s="719">
        <v>118157</v>
      </c>
      <c r="S472" s="721">
        <v>9042</v>
      </c>
      <c r="T472" s="721">
        <v>127199</v>
      </c>
    </row>
    <row r="473" spans="1:20" x14ac:dyDescent="0.25">
      <c r="A473" s="715">
        <v>95008</v>
      </c>
      <c r="B473" s="716" t="s">
        <v>3004</v>
      </c>
      <c r="C473" s="717">
        <v>1.1519999999999999E-4</v>
      </c>
      <c r="D473" s="717">
        <v>1.169E-4</v>
      </c>
      <c r="E473" s="718">
        <v>175994</v>
      </c>
      <c r="F473" s="718"/>
      <c r="G473" s="719">
        <v>10139</v>
      </c>
      <c r="H473" s="720">
        <v>42731</v>
      </c>
      <c r="I473" s="719">
        <v>25134</v>
      </c>
      <c r="J473" s="718">
        <v>19189</v>
      </c>
      <c r="K473" s="720">
        <f t="shared" si="14"/>
        <v>97193</v>
      </c>
      <c r="L473" s="718"/>
      <c r="M473" s="719">
        <v>4982</v>
      </c>
      <c r="N473" s="719">
        <v>0</v>
      </c>
      <c r="O473" s="718">
        <v>6239</v>
      </c>
      <c r="P473" s="720">
        <f t="shared" si="15"/>
        <v>11221</v>
      </c>
      <c r="Q473" s="718"/>
      <c r="R473" s="719">
        <v>59310</v>
      </c>
      <c r="S473" s="721">
        <v>9098</v>
      </c>
      <c r="T473" s="721">
        <v>68408</v>
      </c>
    </row>
    <row r="474" spans="1:20" x14ac:dyDescent="0.25">
      <c r="A474" s="715">
        <v>95009</v>
      </c>
      <c r="B474" s="716" t="s">
        <v>3558</v>
      </c>
      <c r="C474" s="717">
        <v>4.2208999999999997E-3</v>
      </c>
      <c r="D474" s="717">
        <v>3.9902000000000002E-3</v>
      </c>
      <c r="E474" s="718">
        <v>6448366</v>
      </c>
      <c r="F474" s="718"/>
      <c r="G474" s="719">
        <v>371486</v>
      </c>
      <c r="H474" s="720">
        <v>1565671</v>
      </c>
      <c r="I474" s="719">
        <v>920916</v>
      </c>
      <c r="J474" s="718">
        <v>897451</v>
      </c>
      <c r="K474" s="720">
        <f t="shared" si="14"/>
        <v>3755524</v>
      </c>
      <c r="L474" s="718"/>
      <c r="M474" s="719">
        <v>182533</v>
      </c>
      <c r="N474" s="719">
        <v>0</v>
      </c>
      <c r="O474" s="718">
        <v>0</v>
      </c>
      <c r="P474" s="720">
        <f t="shared" si="15"/>
        <v>182533</v>
      </c>
      <c r="Q474" s="718"/>
      <c r="R474" s="719">
        <v>2173105</v>
      </c>
      <c r="S474" s="721">
        <v>582135</v>
      </c>
      <c r="T474" s="721">
        <v>2755240</v>
      </c>
    </row>
    <row r="475" spans="1:20" x14ac:dyDescent="0.25">
      <c r="A475" s="715">
        <v>95011</v>
      </c>
      <c r="B475" s="716" t="s">
        <v>3006</v>
      </c>
      <c r="C475" s="717">
        <v>1.8000000000000001E-4</v>
      </c>
      <c r="D475" s="717">
        <v>1.707E-4</v>
      </c>
      <c r="E475" s="718">
        <v>274990</v>
      </c>
      <c r="F475" s="718"/>
      <c r="G475" s="719">
        <v>15842</v>
      </c>
      <c r="H475" s="720">
        <v>66768</v>
      </c>
      <c r="I475" s="719">
        <v>39272</v>
      </c>
      <c r="J475" s="718">
        <v>3275</v>
      </c>
      <c r="K475" s="720">
        <f t="shared" si="14"/>
        <v>125157</v>
      </c>
      <c r="L475" s="718"/>
      <c r="M475" s="719">
        <v>7784</v>
      </c>
      <c r="N475" s="719">
        <v>0</v>
      </c>
      <c r="O475" s="718">
        <v>8909</v>
      </c>
      <c r="P475" s="720">
        <f t="shared" si="15"/>
        <v>16693</v>
      </c>
      <c r="Q475" s="718"/>
      <c r="R475" s="719">
        <v>92672</v>
      </c>
      <c r="S475" s="721">
        <v>-3840</v>
      </c>
      <c r="T475" s="721">
        <v>88832</v>
      </c>
    </row>
    <row r="476" spans="1:20" x14ac:dyDescent="0.25">
      <c r="A476" s="715">
        <v>95017</v>
      </c>
      <c r="B476" s="716" t="s">
        <v>3007</v>
      </c>
      <c r="C476" s="717">
        <v>3.8800000000000001E-5</v>
      </c>
      <c r="D476" s="717">
        <v>3.5800000000000003E-5</v>
      </c>
      <c r="E476" s="718">
        <v>59276</v>
      </c>
      <c r="F476" s="718"/>
      <c r="G476" s="719">
        <v>3415</v>
      </c>
      <c r="H476" s="720">
        <v>14392</v>
      </c>
      <c r="I476" s="719">
        <v>8465</v>
      </c>
      <c r="J476" s="718">
        <v>13339</v>
      </c>
      <c r="K476" s="720">
        <f t="shared" si="14"/>
        <v>39611</v>
      </c>
      <c r="L476" s="718"/>
      <c r="M476" s="719">
        <v>1678</v>
      </c>
      <c r="N476" s="719">
        <v>0</v>
      </c>
      <c r="O476" s="718">
        <v>0</v>
      </c>
      <c r="P476" s="720">
        <f t="shared" si="15"/>
        <v>1678</v>
      </c>
      <c r="Q476" s="718"/>
      <c r="R476" s="719">
        <v>19976</v>
      </c>
      <c r="S476" s="721">
        <v>7635</v>
      </c>
      <c r="T476" s="721">
        <v>27611</v>
      </c>
    </row>
    <row r="477" spans="1:20" x14ac:dyDescent="0.25">
      <c r="A477" s="715">
        <v>95101</v>
      </c>
      <c r="B477" s="716" t="s">
        <v>3008</v>
      </c>
      <c r="C477" s="717">
        <v>8.3750999999999999E-3</v>
      </c>
      <c r="D477" s="717">
        <v>8.0955999999999997E-3</v>
      </c>
      <c r="E477" s="718">
        <v>12794833</v>
      </c>
      <c r="F477" s="718"/>
      <c r="G477" s="719">
        <v>737101</v>
      </c>
      <c r="H477" s="720">
        <v>3106601</v>
      </c>
      <c r="I477" s="719">
        <v>1827279</v>
      </c>
      <c r="J477" s="718">
        <v>39562</v>
      </c>
      <c r="K477" s="720">
        <f t="shared" si="14"/>
        <v>5710543</v>
      </c>
      <c r="L477" s="718"/>
      <c r="M477" s="719">
        <v>362181</v>
      </c>
      <c r="N477" s="719">
        <v>0</v>
      </c>
      <c r="O477" s="718">
        <v>114122</v>
      </c>
      <c r="P477" s="720">
        <f t="shared" si="15"/>
        <v>476303</v>
      </c>
      <c r="Q477" s="718"/>
      <c r="R477" s="719">
        <v>4311870</v>
      </c>
      <c r="S477" s="721">
        <v>1978</v>
      </c>
      <c r="T477" s="721">
        <v>4313848</v>
      </c>
    </row>
    <row r="478" spans="1:20" x14ac:dyDescent="0.25">
      <c r="A478" s="715">
        <v>95103</v>
      </c>
      <c r="B478" s="716" t="s">
        <v>3009</v>
      </c>
      <c r="C478" s="717">
        <v>4.9100000000000001E-5</v>
      </c>
      <c r="D478" s="717">
        <v>6.02E-5</v>
      </c>
      <c r="E478" s="718">
        <v>75011</v>
      </c>
      <c r="F478" s="718"/>
      <c r="G478" s="719">
        <v>4321</v>
      </c>
      <c r="H478" s="720">
        <v>18213</v>
      </c>
      <c r="I478" s="719">
        <v>10713</v>
      </c>
      <c r="J478" s="718">
        <v>24203</v>
      </c>
      <c r="K478" s="720">
        <f t="shared" si="14"/>
        <v>57450</v>
      </c>
      <c r="L478" s="718"/>
      <c r="M478" s="719">
        <v>2123</v>
      </c>
      <c r="N478" s="719">
        <v>0</v>
      </c>
      <c r="O478" s="718">
        <v>0</v>
      </c>
      <c r="P478" s="720">
        <f t="shared" si="15"/>
        <v>2123</v>
      </c>
      <c r="Q478" s="718"/>
      <c r="R478" s="719">
        <v>25279</v>
      </c>
      <c r="S478" s="721">
        <v>18053</v>
      </c>
      <c r="T478" s="721">
        <v>43332</v>
      </c>
    </row>
    <row r="479" spans="1:20" x14ac:dyDescent="0.25">
      <c r="A479" s="715">
        <v>95104</v>
      </c>
      <c r="B479" s="716" t="s">
        <v>3010</v>
      </c>
      <c r="C479" s="717">
        <v>1.02E-4</v>
      </c>
      <c r="D479" s="717">
        <v>1.011E-4</v>
      </c>
      <c r="E479" s="718">
        <v>155828</v>
      </c>
      <c r="F479" s="718"/>
      <c r="G479" s="719">
        <v>8977</v>
      </c>
      <c r="H479" s="720">
        <v>37835</v>
      </c>
      <c r="I479" s="719">
        <v>22254</v>
      </c>
      <c r="J479" s="718">
        <v>19729</v>
      </c>
      <c r="K479" s="720">
        <f t="shared" si="14"/>
        <v>88795</v>
      </c>
      <c r="L479" s="718"/>
      <c r="M479" s="719">
        <v>4411</v>
      </c>
      <c r="N479" s="719">
        <v>0</v>
      </c>
      <c r="O479" s="718">
        <v>0</v>
      </c>
      <c r="P479" s="720">
        <f t="shared" si="15"/>
        <v>4411</v>
      </c>
      <c r="Q479" s="718"/>
      <c r="R479" s="719">
        <v>52514</v>
      </c>
      <c r="S479" s="721">
        <v>8399</v>
      </c>
      <c r="T479" s="721">
        <v>60913</v>
      </c>
    </row>
    <row r="480" spans="1:20" x14ac:dyDescent="0.25">
      <c r="A480" s="715">
        <v>95105</v>
      </c>
      <c r="B480" s="716" t="s">
        <v>3011</v>
      </c>
      <c r="C480" s="717">
        <v>6.1099999999999994E-5</v>
      </c>
      <c r="D480" s="717">
        <v>6.3700000000000003E-5</v>
      </c>
      <c r="E480" s="718">
        <v>93344</v>
      </c>
      <c r="F480" s="718"/>
      <c r="G480" s="719">
        <v>5377</v>
      </c>
      <c r="H480" s="720">
        <v>22664</v>
      </c>
      <c r="I480" s="719">
        <v>13331</v>
      </c>
      <c r="J480" s="718">
        <v>8129</v>
      </c>
      <c r="K480" s="720">
        <f t="shared" si="14"/>
        <v>49501</v>
      </c>
      <c r="L480" s="718"/>
      <c r="M480" s="719">
        <v>2642</v>
      </c>
      <c r="N480" s="719">
        <v>0</v>
      </c>
      <c r="O480" s="718">
        <v>0</v>
      </c>
      <c r="P480" s="720">
        <f t="shared" si="15"/>
        <v>2642</v>
      </c>
      <c r="Q480" s="718"/>
      <c r="R480" s="719">
        <v>31457</v>
      </c>
      <c r="S480" s="721">
        <v>4018</v>
      </c>
      <c r="T480" s="721">
        <v>35475</v>
      </c>
    </row>
    <row r="481" spans="1:20" x14ac:dyDescent="0.25">
      <c r="A481" s="715">
        <v>95106</v>
      </c>
      <c r="B481" s="716" t="s">
        <v>3012</v>
      </c>
      <c r="C481" s="717">
        <v>1.2099999999999999E-5</v>
      </c>
      <c r="D481" s="717">
        <v>1.3900000000000001E-5</v>
      </c>
      <c r="E481" s="718">
        <v>18485</v>
      </c>
      <c r="F481" s="718"/>
      <c r="G481" s="719">
        <v>1065</v>
      </c>
      <c r="H481" s="720">
        <v>4488</v>
      </c>
      <c r="I481" s="719">
        <v>2640</v>
      </c>
      <c r="J481" s="718">
        <v>4918</v>
      </c>
      <c r="K481" s="720">
        <f t="shared" si="14"/>
        <v>13111</v>
      </c>
      <c r="L481" s="718"/>
      <c r="M481" s="719">
        <v>523</v>
      </c>
      <c r="N481" s="719">
        <v>0</v>
      </c>
      <c r="O481" s="718">
        <v>1433</v>
      </c>
      <c r="P481" s="720">
        <f t="shared" si="15"/>
        <v>1956</v>
      </c>
      <c r="Q481" s="718"/>
      <c r="R481" s="719">
        <v>6230</v>
      </c>
      <c r="S481" s="721">
        <v>2234</v>
      </c>
      <c r="T481" s="721">
        <v>8464</v>
      </c>
    </row>
    <row r="482" spans="1:20" x14ac:dyDescent="0.25">
      <c r="A482" s="715">
        <v>95110</v>
      </c>
      <c r="B482" s="716" t="s">
        <v>3013</v>
      </c>
      <c r="C482" s="717">
        <v>4.2902000000000001E-3</v>
      </c>
      <c r="D482" s="717">
        <v>4.4609000000000003E-3</v>
      </c>
      <c r="E482" s="718">
        <v>6554237</v>
      </c>
      <c r="F482" s="718"/>
      <c r="G482" s="719">
        <v>377585</v>
      </c>
      <c r="H482" s="720">
        <v>1591377</v>
      </c>
      <c r="I482" s="719">
        <v>936036</v>
      </c>
      <c r="J482" s="718">
        <v>0</v>
      </c>
      <c r="K482" s="720">
        <f t="shared" si="14"/>
        <v>2904998</v>
      </c>
      <c r="L482" s="718"/>
      <c r="M482" s="719">
        <v>185530</v>
      </c>
      <c r="N482" s="719">
        <v>0</v>
      </c>
      <c r="O482" s="718">
        <v>1097124</v>
      </c>
      <c r="P482" s="720">
        <f t="shared" si="15"/>
        <v>1282654</v>
      </c>
      <c r="Q482" s="718"/>
      <c r="R482" s="719">
        <v>2208784</v>
      </c>
      <c r="S482" s="721">
        <v>-636198</v>
      </c>
      <c r="T482" s="721">
        <v>1572586</v>
      </c>
    </row>
    <row r="483" spans="1:20" x14ac:dyDescent="0.25">
      <c r="A483" s="715">
        <v>95111</v>
      </c>
      <c r="B483" s="716" t="s">
        <v>3014</v>
      </c>
      <c r="C483" s="717">
        <v>1.0778999999999999E-3</v>
      </c>
      <c r="D483" s="717">
        <v>1.0709000000000001E-3</v>
      </c>
      <c r="E483" s="718">
        <v>1646733</v>
      </c>
      <c r="F483" s="718"/>
      <c r="G483" s="719">
        <v>94867</v>
      </c>
      <c r="H483" s="720">
        <v>399829</v>
      </c>
      <c r="I483" s="719">
        <v>235176</v>
      </c>
      <c r="J483" s="718">
        <v>0</v>
      </c>
      <c r="K483" s="720">
        <f t="shared" si="14"/>
        <v>729872</v>
      </c>
      <c r="L483" s="718"/>
      <c r="M483" s="719">
        <v>46614</v>
      </c>
      <c r="N483" s="719">
        <v>0</v>
      </c>
      <c r="O483" s="718">
        <v>120462</v>
      </c>
      <c r="P483" s="720">
        <f t="shared" si="15"/>
        <v>167076</v>
      </c>
      <c r="Q483" s="718"/>
      <c r="R483" s="719">
        <v>554950</v>
      </c>
      <c r="S483" s="721">
        <v>-59518</v>
      </c>
      <c r="T483" s="721">
        <v>495432</v>
      </c>
    </row>
    <row r="484" spans="1:20" x14ac:dyDescent="0.25">
      <c r="A484" s="715">
        <v>95113</v>
      </c>
      <c r="B484" s="716" t="s">
        <v>3015</v>
      </c>
      <c r="C484" s="717">
        <v>4.6699999999999997E-5</v>
      </c>
      <c r="D484" s="717">
        <v>4.7500000000000003E-5</v>
      </c>
      <c r="E484" s="718">
        <v>71345</v>
      </c>
      <c r="F484" s="718"/>
      <c r="G484" s="719">
        <v>4110</v>
      </c>
      <c r="H484" s="720">
        <v>17322</v>
      </c>
      <c r="I484" s="719">
        <v>10189</v>
      </c>
      <c r="J484" s="718">
        <v>82563</v>
      </c>
      <c r="K484" s="720">
        <f t="shared" si="14"/>
        <v>114184</v>
      </c>
      <c r="L484" s="718"/>
      <c r="M484" s="719">
        <v>2020</v>
      </c>
      <c r="N484" s="719">
        <v>0</v>
      </c>
      <c r="O484" s="718">
        <v>0</v>
      </c>
      <c r="P484" s="720">
        <f t="shared" si="15"/>
        <v>2020</v>
      </c>
      <c r="Q484" s="718"/>
      <c r="R484" s="719">
        <v>24043</v>
      </c>
      <c r="S484" s="721">
        <v>31359</v>
      </c>
      <c r="T484" s="721">
        <v>55402</v>
      </c>
    </row>
    <row r="485" spans="1:20" x14ac:dyDescent="0.25">
      <c r="A485" s="715">
        <v>95121</v>
      </c>
      <c r="B485" s="716" t="s">
        <v>3016</v>
      </c>
      <c r="C485" s="717">
        <v>4.9770000000000001E-4</v>
      </c>
      <c r="D485" s="717">
        <v>4.9580000000000002E-4</v>
      </c>
      <c r="E485" s="718">
        <v>760348</v>
      </c>
      <c r="F485" s="718"/>
      <c r="G485" s="719">
        <v>43803</v>
      </c>
      <c r="H485" s="720">
        <v>184613</v>
      </c>
      <c r="I485" s="719">
        <v>108588</v>
      </c>
      <c r="J485" s="718">
        <v>12640</v>
      </c>
      <c r="K485" s="720">
        <f t="shared" si="14"/>
        <v>349644</v>
      </c>
      <c r="L485" s="718"/>
      <c r="M485" s="719">
        <v>21523</v>
      </c>
      <c r="N485" s="719">
        <v>0</v>
      </c>
      <c r="O485" s="718">
        <v>14371</v>
      </c>
      <c r="P485" s="720">
        <f t="shared" si="15"/>
        <v>35894</v>
      </c>
      <c r="Q485" s="718"/>
      <c r="R485" s="719">
        <v>256238</v>
      </c>
      <c r="S485" s="721">
        <v>-7628</v>
      </c>
      <c r="T485" s="721">
        <v>248610</v>
      </c>
    </row>
    <row r="486" spans="1:20" x14ac:dyDescent="0.25">
      <c r="A486" s="715">
        <v>95122</v>
      </c>
      <c r="B486" s="716" t="s">
        <v>3017</v>
      </c>
      <c r="C486" s="717">
        <v>6.4999999999999996E-6</v>
      </c>
      <c r="D486" s="717">
        <v>2.7999999999999999E-6</v>
      </c>
      <c r="E486" s="718">
        <v>9930</v>
      </c>
      <c r="F486" s="718"/>
      <c r="G486" s="719">
        <v>572</v>
      </c>
      <c r="H486" s="720">
        <v>2411</v>
      </c>
      <c r="I486" s="719">
        <v>1418</v>
      </c>
      <c r="J486" s="718">
        <v>3675</v>
      </c>
      <c r="K486" s="720">
        <f t="shared" si="14"/>
        <v>8076</v>
      </c>
      <c r="L486" s="718"/>
      <c r="M486" s="719">
        <v>281</v>
      </c>
      <c r="N486" s="719">
        <v>0</v>
      </c>
      <c r="O486" s="718">
        <v>0</v>
      </c>
      <c r="P486" s="720">
        <f t="shared" si="15"/>
        <v>281</v>
      </c>
      <c r="Q486" s="718"/>
      <c r="R486" s="719">
        <v>3346</v>
      </c>
      <c r="S486" s="721">
        <v>1103</v>
      </c>
      <c r="T486" s="721">
        <v>4449</v>
      </c>
    </row>
    <row r="487" spans="1:20" x14ac:dyDescent="0.25">
      <c r="A487" s="715">
        <v>95123</v>
      </c>
      <c r="B487" s="716" t="s">
        <v>3018</v>
      </c>
      <c r="C487" s="717">
        <v>5.7399999999999999E-5</v>
      </c>
      <c r="D487" s="717">
        <v>5.6700000000000003E-5</v>
      </c>
      <c r="E487" s="718">
        <v>87691</v>
      </c>
      <c r="F487" s="718"/>
      <c r="G487" s="719">
        <v>5052</v>
      </c>
      <c r="H487" s="720">
        <v>21291</v>
      </c>
      <c r="I487" s="719">
        <v>12524</v>
      </c>
      <c r="J487" s="718">
        <v>8811</v>
      </c>
      <c r="K487" s="720">
        <f t="shared" si="14"/>
        <v>47678</v>
      </c>
      <c r="L487" s="718"/>
      <c r="M487" s="719">
        <v>2482</v>
      </c>
      <c r="N487" s="719">
        <v>0</v>
      </c>
      <c r="O487" s="718">
        <v>1459</v>
      </c>
      <c r="P487" s="720">
        <f t="shared" si="15"/>
        <v>3941</v>
      </c>
      <c r="Q487" s="718"/>
      <c r="R487" s="719">
        <v>29552</v>
      </c>
      <c r="S487" s="721">
        <v>1830</v>
      </c>
      <c r="T487" s="721">
        <v>31382</v>
      </c>
    </row>
    <row r="488" spans="1:20" x14ac:dyDescent="0.25">
      <c r="A488" s="715">
        <v>95131</v>
      </c>
      <c r="B488" s="716" t="s">
        <v>3019</v>
      </c>
      <c r="C488" s="717">
        <v>1.6682999999999999E-3</v>
      </c>
      <c r="D488" s="717">
        <v>1.5451E-3</v>
      </c>
      <c r="E488" s="718">
        <v>2548700</v>
      </c>
      <c r="F488" s="718"/>
      <c r="G488" s="719">
        <v>146829</v>
      </c>
      <c r="H488" s="720">
        <v>618827</v>
      </c>
      <c r="I488" s="719">
        <v>363990</v>
      </c>
      <c r="J488" s="718">
        <v>105945</v>
      </c>
      <c r="K488" s="720">
        <f t="shared" si="14"/>
        <v>1235591</v>
      </c>
      <c r="L488" s="718"/>
      <c r="M488" s="719">
        <v>72146</v>
      </c>
      <c r="N488" s="719">
        <v>0</v>
      </c>
      <c r="O488" s="718">
        <v>846</v>
      </c>
      <c r="P488" s="720">
        <f t="shared" si="15"/>
        <v>72992</v>
      </c>
      <c r="Q488" s="718"/>
      <c r="R488" s="719">
        <v>858914</v>
      </c>
      <c r="S488" s="721">
        <v>33842</v>
      </c>
      <c r="T488" s="721">
        <v>892756</v>
      </c>
    </row>
    <row r="489" spans="1:20" x14ac:dyDescent="0.25">
      <c r="A489" s="715">
        <v>95141</v>
      </c>
      <c r="B489" s="716" t="s">
        <v>3020</v>
      </c>
      <c r="C489" s="717">
        <v>3.2220000000000003E-4</v>
      </c>
      <c r="D489" s="717">
        <v>3.1819999999999998E-4</v>
      </c>
      <c r="E489" s="718">
        <v>492232</v>
      </c>
      <c r="F489" s="718"/>
      <c r="G489" s="719">
        <v>28357</v>
      </c>
      <c r="H489" s="720">
        <v>119515</v>
      </c>
      <c r="I489" s="719">
        <v>70298</v>
      </c>
      <c r="J489" s="718">
        <v>1251</v>
      </c>
      <c r="K489" s="720">
        <f t="shared" si="14"/>
        <v>219421</v>
      </c>
      <c r="L489" s="718"/>
      <c r="M489" s="719">
        <v>13934</v>
      </c>
      <c r="N489" s="719">
        <v>0</v>
      </c>
      <c r="O489" s="718">
        <v>29129</v>
      </c>
      <c r="P489" s="720">
        <f t="shared" si="15"/>
        <v>43063</v>
      </c>
      <c r="Q489" s="718"/>
      <c r="R489" s="719">
        <v>165883</v>
      </c>
      <c r="S489" s="721">
        <v>-11233</v>
      </c>
      <c r="T489" s="721">
        <v>154650</v>
      </c>
    </row>
    <row r="490" spans="1:20" x14ac:dyDescent="0.25">
      <c r="A490" s="715">
        <v>95151</v>
      </c>
      <c r="B490" s="716" t="s">
        <v>3021</v>
      </c>
      <c r="C490" s="717">
        <v>1.092E-4</v>
      </c>
      <c r="D490" s="717">
        <v>1.158E-4</v>
      </c>
      <c r="E490" s="718">
        <v>166827</v>
      </c>
      <c r="F490" s="718"/>
      <c r="G490" s="719">
        <v>9611</v>
      </c>
      <c r="H490" s="720">
        <v>40506</v>
      </c>
      <c r="I490" s="719">
        <v>23825</v>
      </c>
      <c r="J490" s="718">
        <v>364</v>
      </c>
      <c r="K490" s="720">
        <f t="shared" si="14"/>
        <v>74306</v>
      </c>
      <c r="L490" s="718"/>
      <c r="M490" s="719">
        <v>4722</v>
      </c>
      <c r="N490" s="719">
        <v>0</v>
      </c>
      <c r="O490" s="718">
        <v>10802</v>
      </c>
      <c r="P490" s="720">
        <f t="shared" si="15"/>
        <v>15524</v>
      </c>
      <c r="Q490" s="718"/>
      <c r="R490" s="719">
        <v>56221</v>
      </c>
      <c r="S490" s="721">
        <v>-3332</v>
      </c>
      <c r="T490" s="721">
        <v>52889</v>
      </c>
    </row>
    <row r="491" spans="1:20" x14ac:dyDescent="0.25">
      <c r="A491" s="715">
        <v>95161</v>
      </c>
      <c r="B491" s="716" t="s">
        <v>3022</v>
      </c>
      <c r="C491" s="717">
        <v>6.8100000000000002E-5</v>
      </c>
      <c r="D491" s="717">
        <v>7.4800000000000002E-5</v>
      </c>
      <c r="E491" s="718">
        <v>104038</v>
      </c>
      <c r="F491" s="718"/>
      <c r="G491" s="719">
        <v>5994</v>
      </c>
      <c r="H491" s="720">
        <v>25261</v>
      </c>
      <c r="I491" s="719">
        <v>14858</v>
      </c>
      <c r="J491" s="718">
        <v>5468</v>
      </c>
      <c r="K491" s="720">
        <f t="shared" si="14"/>
        <v>51581</v>
      </c>
      <c r="L491" s="718"/>
      <c r="M491" s="719">
        <v>2945</v>
      </c>
      <c r="N491" s="719">
        <v>0</v>
      </c>
      <c r="O491" s="718">
        <v>1353</v>
      </c>
      <c r="P491" s="720">
        <f t="shared" si="15"/>
        <v>4298</v>
      </c>
      <c r="Q491" s="718"/>
      <c r="R491" s="719">
        <v>35061</v>
      </c>
      <c r="S491" s="721">
        <v>1287</v>
      </c>
      <c r="T491" s="721">
        <v>36348</v>
      </c>
    </row>
    <row r="492" spans="1:20" x14ac:dyDescent="0.25">
      <c r="A492" s="715">
        <v>95171</v>
      </c>
      <c r="B492" s="716" t="s">
        <v>3023</v>
      </c>
      <c r="C492" s="717">
        <v>1.0459999999999999E-4</v>
      </c>
      <c r="D492" s="717">
        <v>1.2300000000000001E-4</v>
      </c>
      <c r="E492" s="718">
        <v>159800</v>
      </c>
      <c r="F492" s="718"/>
      <c r="G492" s="719">
        <v>9206</v>
      </c>
      <c r="H492" s="720">
        <v>38799</v>
      </c>
      <c r="I492" s="719">
        <v>22822</v>
      </c>
      <c r="J492" s="718">
        <v>6705</v>
      </c>
      <c r="K492" s="720">
        <f t="shared" si="14"/>
        <v>77532</v>
      </c>
      <c r="L492" s="718"/>
      <c r="M492" s="719">
        <v>4523</v>
      </c>
      <c r="N492" s="719">
        <v>0</v>
      </c>
      <c r="O492" s="718">
        <v>14987</v>
      </c>
      <c r="P492" s="720">
        <f t="shared" si="15"/>
        <v>19510</v>
      </c>
      <c r="Q492" s="718"/>
      <c r="R492" s="719">
        <v>53853</v>
      </c>
      <c r="S492" s="721">
        <v>-3646</v>
      </c>
      <c r="T492" s="721">
        <v>50207</v>
      </c>
    </row>
    <row r="493" spans="1:20" x14ac:dyDescent="0.25">
      <c r="A493" s="715">
        <v>95181</v>
      </c>
      <c r="B493" s="716" t="s">
        <v>3024</v>
      </c>
      <c r="C493" s="717">
        <v>7.7100000000000004E-5</v>
      </c>
      <c r="D493" s="717">
        <v>7.7899999999999996E-5</v>
      </c>
      <c r="E493" s="718">
        <v>117787</v>
      </c>
      <c r="F493" s="718"/>
      <c r="G493" s="719">
        <v>6786</v>
      </c>
      <c r="H493" s="720">
        <v>28599</v>
      </c>
      <c r="I493" s="719">
        <v>16822</v>
      </c>
      <c r="J493" s="718">
        <v>1069</v>
      </c>
      <c r="K493" s="720">
        <f t="shared" si="14"/>
        <v>53276</v>
      </c>
      <c r="L493" s="718"/>
      <c r="M493" s="719">
        <v>3334</v>
      </c>
      <c r="N493" s="719">
        <v>0</v>
      </c>
      <c r="O493" s="718">
        <v>9474</v>
      </c>
      <c r="P493" s="720">
        <f t="shared" si="15"/>
        <v>12808</v>
      </c>
      <c r="Q493" s="718"/>
      <c r="R493" s="719">
        <v>39694</v>
      </c>
      <c r="S493" s="721">
        <v>-2444</v>
      </c>
      <c r="T493" s="721">
        <v>37250</v>
      </c>
    </row>
    <row r="494" spans="1:20" x14ac:dyDescent="0.25">
      <c r="A494" s="715">
        <v>95191</v>
      </c>
      <c r="B494" s="716" t="s">
        <v>3025</v>
      </c>
      <c r="C494" s="717">
        <v>5.3999999999999998E-5</v>
      </c>
      <c r="D494" s="717">
        <v>5.3999999999999998E-5</v>
      </c>
      <c r="E494" s="718">
        <v>82497</v>
      </c>
      <c r="F494" s="718"/>
      <c r="G494" s="719">
        <v>4753</v>
      </c>
      <c r="H494" s="720">
        <v>20031</v>
      </c>
      <c r="I494" s="719">
        <v>11782</v>
      </c>
      <c r="J494" s="718">
        <v>12522</v>
      </c>
      <c r="K494" s="720">
        <f t="shared" si="14"/>
        <v>49088</v>
      </c>
      <c r="L494" s="718"/>
      <c r="M494" s="719">
        <v>2335</v>
      </c>
      <c r="N494" s="719">
        <v>0</v>
      </c>
      <c r="O494" s="718">
        <v>5293</v>
      </c>
      <c r="P494" s="720">
        <f t="shared" si="15"/>
        <v>7628</v>
      </c>
      <c r="Q494" s="718"/>
      <c r="R494" s="719">
        <v>27802</v>
      </c>
      <c r="S494" s="721">
        <v>4438</v>
      </c>
      <c r="T494" s="721">
        <v>32240</v>
      </c>
    </row>
    <row r="495" spans="1:20" x14ac:dyDescent="0.25">
      <c r="A495" s="715">
        <v>95201</v>
      </c>
      <c r="B495" s="716" t="s">
        <v>3026</v>
      </c>
      <c r="C495" s="717">
        <v>7.0969999999999996E-4</v>
      </c>
      <c r="D495" s="717">
        <v>6.8329999999999997E-4</v>
      </c>
      <c r="E495" s="718">
        <v>1084225</v>
      </c>
      <c r="F495" s="718"/>
      <c r="G495" s="719">
        <v>62461</v>
      </c>
      <c r="H495" s="720">
        <v>263252</v>
      </c>
      <c r="I495" s="719">
        <v>154842</v>
      </c>
      <c r="J495" s="718">
        <v>6474</v>
      </c>
      <c r="K495" s="720">
        <f t="shared" si="14"/>
        <v>487029</v>
      </c>
      <c r="L495" s="718"/>
      <c r="M495" s="719">
        <v>30691</v>
      </c>
      <c r="N495" s="719">
        <v>0</v>
      </c>
      <c r="O495" s="718">
        <v>21158</v>
      </c>
      <c r="P495" s="720">
        <f t="shared" si="15"/>
        <v>51849</v>
      </c>
      <c r="Q495" s="718"/>
      <c r="R495" s="719">
        <v>365385</v>
      </c>
      <c r="S495" s="721">
        <v>-9663</v>
      </c>
      <c r="T495" s="721">
        <v>355722</v>
      </c>
    </row>
    <row r="496" spans="1:20" x14ac:dyDescent="0.25">
      <c r="A496" s="715">
        <v>95204</v>
      </c>
      <c r="B496" s="716" t="s">
        <v>3027</v>
      </c>
      <c r="C496" s="717">
        <v>1.26E-5</v>
      </c>
      <c r="D496" s="717">
        <v>1.1600000000000001E-5</v>
      </c>
      <c r="E496" s="718">
        <v>19249</v>
      </c>
      <c r="F496" s="718"/>
      <c r="G496" s="719">
        <v>1109</v>
      </c>
      <c r="H496" s="720">
        <v>4674</v>
      </c>
      <c r="I496" s="719">
        <v>2749</v>
      </c>
      <c r="J496" s="718">
        <v>1824</v>
      </c>
      <c r="K496" s="720">
        <f t="shared" si="14"/>
        <v>10356</v>
      </c>
      <c r="L496" s="718"/>
      <c r="M496" s="719">
        <v>545</v>
      </c>
      <c r="N496" s="719">
        <v>0</v>
      </c>
      <c r="O496" s="718">
        <v>1143</v>
      </c>
      <c r="P496" s="720">
        <f t="shared" si="15"/>
        <v>1688</v>
      </c>
      <c r="Q496" s="718"/>
      <c r="R496" s="719">
        <v>6487</v>
      </c>
      <c r="S496" s="721">
        <v>-195</v>
      </c>
      <c r="T496" s="721">
        <v>6292</v>
      </c>
    </row>
    <row r="497" spans="1:20" x14ac:dyDescent="0.25">
      <c r="A497" s="715">
        <v>95205</v>
      </c>
      <c r="B497" s="716" t="s">
        <v>3028</v>
      </c>
      <c r="C497" s="717">
        <v>4.5000000000000001E-6</v>
      </c>
      <c r="D497" s="717">
        <v>4.7999999999999998E-6</v>
      </c>
      <c r="E497" s="718">
        <v>6875</v>
      </c>
      <c r="F497" s="718"/>
      <c r="G497" s="719">
        <v>396</v>
      </c>
      <c r="H497" s="720">
        <v>1669</v>
      </c>
      <c r="I497" s="719">
        <v>982</v>
      </c>
      <c r="J497" s="718">
        <v>605</v>
      </c>
      <c r="K497" s="720">
        <f t="shared" si="14"/>
        <v>3652</v>
      </c>
      <c r="L497" s="718"/>
      <c r="M497" s="719">
        <v>195</v>
      </c>
      <c r="N497" s="719">
        <v>0</v>
      </c>
      <c r="O497" s="718">
        <v>0</v>
      </c>
      <c r="P497" s="720">
        <f t="shared" si="15"/>
        <v>195</v>
      </c>
      <c r="Q497" s="718"/>
      <c r="R497" s="719">
        <v>2317</v>
      </c>
      <c r="S497" s="721">
        <v>311</v>
      </c>
      <c r="T497" s="721">
        <v>2628</v>
      </c>
    </row>
    <row r="498" spans="1:20" x14ac:dyDescent="0.25">
      <c r="A498" s="715">
        <v>95211</v>
      </c>
      <c r="B498" s="716" t="s">
        <v>3029</v>
      </c>
      <c r="C498" s="717">
        <v>8.3999999999999992E-6</v>
      </c>
      <c r="D498" s="717">
        <v>9.2E-6</v>
      </c>
      <c r="E498" s="718">
        <v>12833</v>
      </c>
      <c r="F498" s="718"/>
      <c r="G498" s="719">
        <v>739</v>
      </c>
      <c r="H498" s="720">
        <v>3115</v>
      </c>
      <c r="I498" s="719">
        <v>1833</v>
      </c>
      <c r="J498" s="718">
        <v>1455</v>
      </c>
      <c r="K498" s="720">
        <f t="shared" si="14"/>
        <v>7142</v>
      </c>
      <c r="L498" s="718"/>
      <c r="M498" s="719">
        <v>363</v>
      </c>
      <c r="N498" s="719">
        <v>0</v>
      </c>
      <c r="O498" s="718">
        <v>1231</v>
      </c>
      <c r="P498" s="720">
        <f t="shared" si="15"/>
        <v>1594</v>
      </c>
      <c r="Q498" s="718"/>
      <c r="R498" s="719">
        <v>4325</v>
      </c>
      <c r="S498" s="721">
        <v>-523</v>
      </c>
      <c r="T498" s="721">
        <v>3802</v>
      </c>
    </row>
    <row r="499" spans="1:20" x14ac:dyDescent="0.25">
      <c r="A499" s="715">
        <v>95221</v>
      </c>
      <c r="B499" s="716" t="s">
        <v>3030</v>
      </c>
      <c r="C499" s="717">
        <v>4.4100000000000001E-5</v>
      </c>
      <c r="D499" s="717">
        <v>1.6900000000000001E-5</v>
      </c>
      <c r="E499" s="718">
        <v>67373</v>
      </c>
      <c r="F499" s="718"/>
      <c r="G499" s="719">
        <v>3881</v>
      </c>
      <c r="H499" s="720">
        <v>16358</v>
      </c>
      <c r="I499" s="719">
        <v>9622</v>
      </c>
      <c r="J499" s="718">
        <v>21037</v>
      </c>
      <c r="K499" s="720">
        <f t="shared" si="14"/>
        <v>50898</v>
      </c>
      <c r="L499" s="718"/>
      <c r="M499" s="719">
        <v>1907</v>
      </c>
      <c r="N499" s="719">
        <v>0</v>
      </c>
      <c r="O499" s="718">
        <v>11299</v>
      </c>
      <c r="P499" s="720">
        <f t="shared" si="15"/>
        <v>13206</v>
      </c>
      <c r="Q499" s="718"/>
      <c r="R499" s="719">
        <v>22705</v>
      </c>
      <c r="S499" s="721">
        <v>2535</v>
      </c>
      <c r="T499" s="721">
        <v>25240</v>
      </c>
    </row>
    <row r="500" spans="1:20" x14ac:dyDescent="0.25">
      <c r="A500" s="715">
        <v>95301</v>
      </c>
      <c r="B500" s="716" t="s">
        <v>3031</v>
      </c>
      <c r="C500" s="717">
        <v>2.3917999999999999E-3</v>
      </c>
      <c r="D500" s="717">
        <v>2.4063999999999999E-3</v>
      </c>
      <c r="E500" s="718">
        <v>3654008</v>
      </c>
      <c r="F500" s="718"/>
      <c r="G500" s="719">
        <v>210505</v>
      </c>
      <c r="H500" s="720">
        <v>887197</v>
      </c>
      <c r="I500" s="719">
        <v>521843</v>
      </c>
      <c r="J500" s="718">
        <v>73478</v>
      </c>
      <c r="K500" s="720">
        <f t="shared" si="14"/>
        <v>1693023</v>
      </c>
      <c r="L500" s="718"/>
      <c r="M500" s="719">
        <v>103433</v>
      </c>
      <c r="N500" s="719">
        <v>0</v>
      </c>
      <c r="O500" s="718">
        <v>11228</v>
      </c>
      <c r="P500" s="720">
        <f t="shared" si="15"/>
        <v>114661</v>
      </c>
      <c r="Q500" s="718"/>
      <c r="R500" s="719">
        <v>1231404</v>
      </c>
      <c r="S500" s="721">
        <v>19362</v>
      </c>
      <c r="T500" s="721">
        <f>1250765+1</f>
        <v>1250766</v>
      </c>
    </row>
    <row r="501" spans="1:20" x14ac:dyDescent="0.25">
      <c r="A501" s="715">
        <v>95311</v>
      </c>
      <c r="B501" s="716" t="s">
        <v>3032</v>
      </c>
      <c r="C501" s="717">
        <v>2.6873999999999999E-3</v>
      </c>
      <c r="D501" s="717">
        <v>2.6841999999999999E-3</v>
      </c>
      <c r="E501" s="718">
        <v>4105603</v>
      </c>
      <c r="F501" s="718"/>
      <c r="G501" s="719">
        <v>236521</v>
      </c>
      <c r="H501" s="720">
        <v>996846</v>
      </c>
      <c r="I501" s="719">
        <v>586337</v>
      </c>
      <c r="J501" s="718">
        <v>41083</v>
      </c>
      <c r="K501" s="720">
        <f t="shared" si="14"/>
        <v>1860787</v>
      </c>
      <c r="L501" s="718"/>
      <c r="M501" s="719">
        <v>116217</v>
      </c>
      <c r="N501" s="719">
        <v>0</v>
      </c>
      <c r="O501" s="718">
        <v>117171</v>
      </c>
      <c r="P501" s="720">
        <f t="shared" si="15"/>
        <v>233388</v>
      </c>
      <c r="Q501" s="718"/>
      <c r="R501" s="719">
        <v>1383592</v>
      </c>
      <c r="S501" s="721">
        <v>-46704</v>
      </c>
      <c r="T501" s="721">
        <v>1336888</v>
      </c>
    </row>
    <row r="502" spans="1:20" x14ac:dyDescent="0.25">
      <c r="A502" s="715">
        <v>95317</v>
      </c>
      <c r="B502" s="716" t="s">
        <v>3033</v>
      </c>
      <c r="C502" s="717">
        <v>4.8900000000000003E-5</v>
      </c>
      <c r="D502" s="717">
        <v>5.1400000000000003E-5</v>
      </c>
      <c r="E502" s="718">
        <v>74706</v>
      </c>
      <c r="F502" s="718"/>
      <c r="G502" s="719">
        <v>4304</v>
      </c>
      <c r="H502" s="720">
        <v>18138</v>
      </c>
      <c r="I502" s="719">
        <v>10669</v>
      </c>
      <c r="J502" s="718">
        <v>6328</v>
      </c>
      <c r="K502" s="720">
        <f t="shared" si="14"/>
        <v>39439</v>
      </c>
      <c r="L502" s="718"/>
      <c r="M502" s="719">
        <v>2115</v>
      </c>
      <c r="N502" s="719">
        <v>0</v>
      </c>
      <c r="O502" s="718">
        <v>38</v>
      </c>
      <c r="P502" s="720">
        <f t="shared" si="15"/>
        <v>2153</v>
      </c>
      <c r="Q502" s="718"/>
      <c r="R502" s="719">
        <v>25176</v>
      </c>
      <c r="S502" s="721">
        <v>2474</v>
      </c>
      <c r="T502" s="721">
        <v>27650</v>
      </c>
    </row>
    <row r="503" spans="1:20" x14ac:dyDescent="0.25">
      <c r="A503" s="715">
        <v>95321</v>
      </c>
      <c r="B503" s="716" t="s">
        <v>3034</v>
      </c>
      <c r="C503" s="717">
        <v>4.71E-5</v>
      </c>
      <c r="D503" s="717">
        <v>5.7000000000000003E-5</v>
      </c>
      <c r="E503" s="718">
        <v>71956</v>
      </c>
      <c r="F503" s="718"/>
      <c r="G503" s="719">
        <v>4145</v>
      </c>
      <c r="H503" s="720">
        <v>17471</v>
      </c>
      <c r="I503" s="719">
        <v>10276</v>
      </c>
      <c r="J503" s="718">
        <v>3087</v>
      </c>
      <c r="K503" s="720">
        <f t="shared" si="14"/>
        <v>34979</v>
      </c>
      <c r="L503" s="718"/>
      <c r="M503" s="719">
        <v>2037</v>
      </c>
      <c r="N503" s="719">
        <v>0</v>
      </c>
      <c r="O503" s="718">
        <v>2158</v>
      </c>
      <c r="P503" s="720">
        <f t="shared" si="15"/>
        <v>4195</v>
      </c>
      <c r="Q503" s="718"/>
      <c r="R503" s="719">
        <v>24249</v>
      </c>
      <c r="S503" s="721">
        <v>1089</v>
      </c>
      <c r="T503" s="721">
        <v>25338</v>
      </c>
    </row>
    <row r="504" spans="1:20" x14ac:dyDescent="0.25">
      <c r="A504" s="715">
        <v>95401</v>
      </c>
      <c r="B504" s="716" t="s">
        <v>3035</v>
      </c>
      <c r="C504" s="717">
        <v>2.9992E-3</v>
      </c>
      <c r="D504" s="717">
        <v>2.9979999999999998E-3</v>
      </c>
      <c r="E504" s="718">
        <v>4581947</v>
      </c>
      <c r="F504" s="718"/>
      <c r="G504" s="719">
        <v>263963</v>
      </c>
      <c r="H504" s="720">
        <v>1112502</v>
      </c>
      <c r="I504" s="719">
        <v>654365</v>
      </c>
      <c r="J504" s="718">
        <v>27695</v>
      </c>
      <c r="K504" s="720">
        <f t="shared" si="14"/>
        <v>2058525</v>
      </c>
      <c r="L504" s="718"/>
      <c r="M504" s="719">
        <v>129700</v>
      </c>
      <c r="N504" s="719">
        <v>0</v>
      </c>
      <c r="O504" s="718">
        <v>19902</v>
      </c>
      <c r="P504" s="720">
        <f t="shared" si="15"/>
        <v>149602</v>
      </c>
      <c r="Q504" s="718"/>
      <c r="R504" s="719">
        <v>1544120</v>
      </c>
      <c r="S504" s="721">
        <v>10089</v>
      </c>
      <c r="T504" s="721">
        <v>1554209</v>
      </c>
    </row>
    <row r="505" spans="1:20" x14ac:dyDescent="0.25">
      <c r="A505" s="715">
        <v>95404</v>
      </c>
      <c r="B505" s="716" t="s">
        <v>3036</v>
      </c>
      <c r="C505" s="717">
        <v>5.3100000000000003E-5</v>
      </c>
      <c r="D505" s="717">
        <v>4.9799999999999998E-5</v>
      </c>
      <c r="E505" s="718">
        <v>81122</v>
      </c>
      <c r="F505" s="718"/>
      <c r="G505" s="719">
        <v>4673</v>
      </c>
      <c r="H505" s="720">
        <v>19697</v>
      </c>
      <c r="I505" s="719">
        <v>11585</v>
      </c>
      <c r="J505" s="718">
        <v>5158</v>
      </c>
      <c r="K505" s="720">
        <f t="shared" si="14"/>
        <v>41113</v>
      </c>
      <c r="L505" s="718"/>
      <c r="M505" s="719">
        <v>2296</v>
      </c>
      <c r="N505" s="719">
        <v>0</v>
      </c>
      <c r="O505" s="718">
        <v>0</v>
      </c>
      <c r="P505" s="720">
        <f t="shared" si="15"/>
        <v>2296</v>
      </c>
      <c r="Q505" s="718"/>
      <c r="R505" s="719">
        <v>27338</v>
      </c>
      <c r="S505" s="721">
        <v>1949</v>
      </c>
      <c r="T505" s="721">
        <v>29287</v>
      </c>
    </row>
    <row r="506" spans="1:20" x14ac:dyDescent="0.25">
      <c r="A506" s="715">
        <v>95405</v>
      </c>
      <c r="B506" s="716" t="s">
        <v>3037</v>
      </c>
      <c r="C506" s="717">
        <v>1.84E-5</v>
      </c>
      <c r="D506" s="717">
        <v>1.84E-5</v>
      </c>
      <c r="E506" s="718">
        <v>28110</v>
      </c>
      <c r="F506" s="718"/>
      <c r="G506" s="719">
        <v>1619</v>
      </c>
      <c r="H506" s="720">
        <v>6826</v>
      </c>
      <c r="I506" s="719">
        <v>4015</v>
      </c>
      <c r="J506" s="718">
        <v>15544</v>
      </c>
      <c r="K506" s="720">
        <f t="shared" si="14"/>
        <v>28004</v>
      </c>
      <c r="L506" s="718"/>
      <c r="M506" s="719">
        <v>796</v>
      </c>
      <c r="N506" s="719">
        <v>0</v>
      </c>
      <c r="O506" s="718">
        <v>0</v>
      </c>
      <c r="P506" s="720">
        <f t="shared" si="15"/>
        <v>796</v>
      </c>
      <c r="Q506" s="718"/>
      <c r="R506" s="719">
        <v>9473</v>
      </c>
      <c r="S506" s="721">
        <v>5475</v>
      </c>
      <c r="T506" s="721">
        <v>14948</v>
      </c>
    </row>
    <row r="507" spans="1:20" x14ac:dyDescent="0.25">
      <c r="A507" s="715">
        <v>95411</v>
      </c>
      <c r="B507" s="716" t="s">
        <v>3038</v>
      </c>
      <c r="C507" s="717">
        <v>2.2173000000000002E-3</v>
      </c>
      <c r="D507" s="717">
        <v>2.3272000000000002E-3</v>
      </c>
      <c r="E507" s="718">
        <v>3387420</v>
      </c>
      <c r="F507" s="718"/>
      <c r="G507" s="719">
        <v>195147</v>
      </c>
      <c r="H507" s="720">
        <v>822470</v>
      </c>
      <c r="I507" s="719">
        <v>483771</v>
      </c>
      <c r="J507" s="718">
        <v>14015</v>
      </c>
      <c r="K507" s="720">
        <f t="shared" si="14"/>
        <v>1515403</v>
      </c>
      <c r="L507" s="718"/>
      <c r="M507" s="719">
        <v>95887</v>
      </c>
      <c r="N507" s="719">
        <v>0</v>
      </c>
      <c r="O507" s="718">
        <v>60237</v>
      </c>
      <c r="P507" s="720">
        <f t="shared" si="15"/>
        <v>156124</v>
      </c>
      <c r="Q507" s="718"/>
      <c r="R507" s="719">
        <v>1141564</v>
      </c>
      <c r="S507" s="721">
        <v>-23907</v>
      </c>
      <c r="T507" s="721">
        <f>1117656+1</f>
        <v>1117657</v>
      </c>
    </row>
    <row r="508" spans="1:20" x14ac:dyDescent="0.25">
      <c r="A508" s="715">
        <v>95412</v>
      </c>
      <c r="B508" s="716" t="s">
        <v>3039</v>
      </c>
      <c r="C508" s="717">
        <v>0</v>
      </c>
      <c r="D508" s="717">
        <v>0</v>
      </c>
      <c r="E508" s="718">
        <v>0</v>
      </c>
      <c r="F508" s="718"/>
      <c r="G508" s="719">
        <v>0</v>
      </c>
      <c r="H508" s="720">
        <v>0</v>
      </c>
      <c r="I508" s="719">
        <v>0</v>
      </c>
      <c r="J508" s="718">
        <v>0</v>
      </c>
      <c r="K508" s="720">
        <f t="shared" si="14"/>
        <v>0</v>
      </c>
      <c r="L508" s="718"/>
      <c r="M508" s="719">
        <v>0</v>
      </c>
      <c r="N508" s="719">
        <v>0</v>
      </c>
      <c r="O508" s="718">
        <v>27831</v>
      </c>
      <c r="P508" s="720">
        <f t="shared" si="15"/>
        <v>27831</v>
      </c>
      <c r="Q508" s="718"/>
      <c r="R508" s="719">
        <v>0</v>
      </c>
      <c r="S508" s="721">
        <v>-18518</v>
      </c>
      <c r="T508" s="721">
        <v>-18518</v>
      </c>
    </row>
    <row r="509" spans="1:20" x14ac:dyDescent="0.25">
      <c r="A509" s="715">
        <v>95413</v>
      </c>
      <c r="B509" s="716" t="s">
        <v>3040</v>
      </c>
      <c r="C509" s="717">
        <v>2.5809999999999999E-4</v>
      </c>
      <c r="D509" s="717">
        <v>2.945E-4</v>
      </c>
      <c r="E509" s="718">
        <v>394305</v>
      </c>
      <c r="F509" s="718"/>
      <c r="G509" s="719">
        <v>22716</v>
      </c>
      <c r="H509" s="720">
        <v>95737</v>
      </c>
      <c r="I509" s="719">
        <v>56312</v>
      </c>
      <c r="J509" s="718">
        <v>247679</v>
      </c>
      <c r="K509" s="720">
        <f t="shared" si="14"/>
        <v>422444</v>
      </c>
      <c r="L509" s="718"/>
      <c r="M509" s="719">
        <v>11162</v>
      </c>
      <c r="N509" s="719">
        <v>0</v>
      </c>
      <c r="O509" s="718">
        <v>9401</v>
      </c>
      <c r="P509" s="720">
        <f t="shared" si="15"/>
        <v>20563</v>
      </c>
      <c r="Q509" s="718"/>
      <c r="R509" s="719">
        <v>132881</v>
      </c>
      <c r="S509" s="721">
        <v>77340</v>
      </c>
      <c r="T509" s="721">
        <v>210221</v>
      </c>
    </row>
    <row r="510" spans="1:20" x14ac:dyDescent="0.25">
      <c r="A510" s="715">
        <v>95415</v>
      </c>
      <c r="B510" s="716" t="s">
        <v>3041</v>
      </c>
      <c r="C510" s="717">
        <v>6.2899999999999997E-5</v>
      </c>
      <c r="D510" s="717">
        <v>7.9499999999999994E-5</v>
      </c>
      <c r="E510" s="718">
        <v>96094</v>
      </c>
      <c r="F510" s="718"/>
      <c r="G510" s="719">
        <v>5536</v>
      </c>
      <c r="H510" s="720">
        <v>23331</v>
      </c>
      <c r="I510" s="719">
        <v>13724</v>
      </c>
      <c r="J510" s="718">
        <v>5301</v>
      </c>
      <c r="K510" s="720">
        <f t="shared" si="14"/>
        <v>47892</v>
      </c>
      <c r="L510" s="718"/>
      <c r="M510" s="719">
        <v>2720</v>
      </c>
      <c r="N510" s="719">
        <v>0</v>
      </c>
      <c r="O510" s="718">
        <v>16874</v>
      </c>
      <c r="P510" s="720">
        <f t="shared" si="15"/>
        <v>19594</v>
      </c>
      <c r="Q510" s="718"/>
      <c r="R510" s="719">
        <v>32384</v>
      </c>
      <c r="S510" s="721">
        <v>-165</v>
      </c>
      <c r="T510" s="721">
        <v>32219</v>
      </c>
    </row>
    <row r="511" spans="1:20" x14ac:dyDescent="0.25">
      <c r="A511" s="715">
        <v>95421</v>
      </c>
      <c r="B511" s="716" t="s">
        <v>3042</v>
      </c>
      <c r="C511" s="717">
        <v>3.8699999999999999E-5</v>
      </c>
      <c r="D511" s="717">
        <v>3.9100000000000002E-5</v>
      </c>
      <c r="E511" s="718">
        <v>59123</v>
      </c>
      <c r="F511" s="718"/>
      <c r="G511" s="719">
        <v>3406</v>
      </c>
      <c r="H511" s="720">
        <v>14355</v>
      </c>
      <c r="I511" s="719">
        <v>8444</v>
      </c>
      <c r="J511" s="718">
        <v>226</v>
      </c>
      <c r="K511" s="720">
        <f t="shared" si="14"/>
        <v>26431</v>
      </c>
      <c r="L511" s="718"/>
      <c r="M511" s="719">
        <v>1674</v>
      </c>
      <c r="N511" s="719">
        <v>0</v>
      </c>
      <c r="O511" s="718">
        <v>9353</v>
      </c>
      <c r="P511" s="720">
        <f t="shared" si="15"/>
        <v>11027</v>
      </c>
      <c r="Q511" s="718"/>
      <c r="R511" s="719">
        <v>19924</v>
      </c>
      <c r="S511" s="721">
        <v>-4913</v>
      </c>
      <c r="T511" s="721">
        <f>15012-1</f>
        <v>15011</v>
      </c>
    </row>
    <row r="512" spans="1:20" x14ac:dyDescent="0.25">
      <c r="A512" s="715">
        <v>95431</v>
      </c>
      <c r="B512" s="716" t="s">
        <v>3043</v>
      </c>
      <c r="C512" s="717">
        <v>1.5300000000000001E-4</v>
      </c>
      <c r="D512" s="717">
        <v>1.8009999999999999E-4</v>
      </c>
      <c r="E512" s="718">
        <v>233742</v>
      </c>
      <c r="F512" s="718"/>
      <c r="G512" s="719">
        <v>13466</v>
      </c>
      <c r="H512" s="720">
        <v>56753</v>
      </c>
      <c r="I512" s="719">
        <v>33382</v>
      </c>
      <c r="J512" s="718">
        <v>224</v>
      </c>
      <c r="K512" s="720">
        <f t="shared" si="14"/>
        <v>103825</v>
      </c>
      <c r="L512" s="718"/>
      <c r="M512" s="719">
        <v>6616</v>
      </c>
      <c r="N512" s="719">
        <v>0</v>
      </c>
      <c r="O512" s="718">
        <v>34003</v>
      </c>
      <c r="P512" s="720">
        <f t="shared" si="15"/>
        <v>40619</v>
      </c>
      <c r="Q512" s="718"/>
      <c r="R512" s="719">
        <v>78771</v>
      </c>
      <c r="S512" s="721">
        <v>-9919</v>
      </c>
      <c r="T512" s="721">
        <v>68852</v>
      </c>
    </row>
    <row r="513" spans="1:20" x14ac:dyDescent="0.25">
      <c r="A513" s="715">
        <v>95501</v>
      </c>
      <c r="B513" s="716" t="s">
        <v>3044</v>
      </c>
      <c r="C513" s="717">
        <v>4.8764999999999998E-3</v>
      </c>
      <c r="D513" s="717">
        <v>4.7917999999999997E-3</v>
      </c>
      <c r="E513" s="718">
        <v>7449941</v>
      </c>
      <c r="F513" s="718"/>
      <c r="G513" s="719">
        <v>429186</v>
      </c>
      <c r="H513" s="720">
        <v>1808855</v>
      </c>
      <c r="I513" s="719">
        <v>1063955</v>
      </c>
      <c r="J513" s="718">
        <v>31695</v>
      </c>
      <c r="K513" s="720">
        <f t="shared" si="14"/>
        <v>3333691</v>
      </c>
      <c r="L513" s="718"/>
      <c r="M513" s="719">
        <v>210884</v>
      </c>
      <c r="N513" s="719">
        <v>0</v>
      </c>
      <c r="O513" s="718">
        <v>124610</v>
      </c>
      <c r="P513" s="720">
        <f t="shared" si="15"/>
        <v>335494</v>
      </c>
      <c r="Q513" s="718"/>
      <c r="R513" s="719">
        <v>2510637</v>
      </c>
      <c r="S513" s="721">
        <v>-8646</v>
      </c>
      <c r="T513" s="721">
        <v>2501991</v>
      </c>
    </row>
    <row r="514" spans="1:20" x14ac:dyDescent="0.25">
      <c r="A514" s="715">
        <v>95504</v>
      </c>
      <c r="B514" s="716" t="s">
        <v>3045</v>
      </c>
      <c r="C514" s="717">
        <v>9.3999999999999998E-6</v>
      </c>
      <c r="D514" s="717">
        <v>8.8999999999999995E-6</v>
      </c>
      <c r="E514" s="718">
        <v>14361</v>
      </c>
      <c r="F514" s="718"/>
      <c r="G514" s="719">
        <v>827</v>
      </c>
      <c r="H514" s="720">
        <v>3487</v>
      </c>
      <c r="I514" s="719">
        <v>2051</v>
      </c>
      <c r="J514" s="718">
        <v>7912</v>
      </c>
      <c r="K514" s="720">
        <f t="shared" si="14"/>
        <v>14277</v>
      </c>
      <c r="L514" s="718"/>
      <c r="M514" s="719">
        <v>407</v>
      </c>
      <c r="N514" s="719">
        <v>0</v>
      </c>
      <c r="O514" s="718">
        <v>0</v>
      </c>
      <c r="P514" s="720">
        <f t="shared" si="15"/>
        <v>407</v>
      </c>
      <c r="Q514" s="718"/>
      <c r="R514" s="719">
        <v>4840</v>
      </c>
      <c r="S514" s="721">
        <v>2952</v>
      </c>
      <c r="T514" s="721">
        <f>7791+1</f>
        <v>7792</v>
      </c>
    </row>
    <row r="515" spans="1:20" x14ac:dyDescent="0.25">
      <c r="A515" s="715">
        <v>95511</v>
      </c>
      <c r="B515" s="716" t="s">
        <v>3046</v>
      </c>
      <c r="C515" s="717">
        <v>9.7460000000000005E-4</v>
      </c>
      <c r="D515" s="717">
        <v>9.6049999999999998E-4</v>
      </c>
      <c r="E515" s="718">
        <v>1488919</v>
      </c>
      <c r="F515" s="718"/>
      <c r="G515" s="719">
        <v>85776</v>
      </c>
      <c r="H515" s="720">
        <v>361511</v>
      </c>
      <c r="I515" s="719">
        <v>212638</v>
      </c>
      <c r="J515" s="718">
        <v>44242</v>
      </c>
      <c r="K515" s="720">
        <f t="shared" si="14"/>
        <v>704167</v>
      </c>
      <c r="L515" s="718"/>
      <c r="M515" s="719">
        <v>42147</v>
      </c>
      <c r="N515" s="719">
        <v>0</v>
      </c>
      <c r="O515" s="718">
        <v>52155</v>
      </c>
      <c r="P515" s="720">
        <f t="shared" si="15"/>
        <v>94302</v>
      </c>
      <c r="Q515" s="718"/>
      <c r="R515" s="719">
        <v>501767</v>
      </c>
      <c r="S515" s="721">
        <v>-4607</v>
      </c>
      <c r="T515" s="721">
        <v>497160</v>
      </c>
    </row>
    <row r="516" spans="1:20" x14ac:dyDescent="0.25">
      <c r="A516" s="715">
        <v>95513</v>
      </c>
      <c r="B516" s="716" t="s">
        <v>3047</v>
      </c>
      <c r="C516" s="717">
        <v>4.6699999999999997E-5</v>
      </c>
      <c r="D516" s="717">
        <v>4.5500000000000001E-5</v>
      </c>
      <c r="E516" s="718">
        <v>71345</v>
      </c>
      <c r="F516" s="718"/>
      <c r="G516" s="719">
        <v>4110</v>
      </c>
      <c r="H516" s="720">
        <v>17322</v>
      </c>
      <c r="I516" s="719">
        <v>10189</v>
      </c>
      <c r="J516" s="718">
        <v>21773</v>
      </c>
      <c r="K516" s="720">
        <f t="shared" si="14"/>
        <v>53394</v>
      </c>
      <c r="L516" s="718"/>
      <c r="M516" s="719">
        <v>2020</v>
      </c>
      <c r="N516" s="719">
        <v>0</v>
      </c>
      <c r="O516" s="718">
        <v>0</v>
      </c>
      <c r="P516" s="720">
        <f t="shared" si="15"/>
        <v>2020</v>
      </c>
      <c r="Q516" s="718"/>
      <c r="R516" s="719">
        <v>24043</v>
      </c>
      <c r="S516" s="721">
        <v>9103</v>
      </c>
      <c r="T516" s="721">
        <v>33146</v>
      </c>
    </row>
    <row r="517" spans="1:20" x14ac:dyDescent="0.25">
      <c r="A517" s="715">
        <v>95517</v>
      </c>
      <c r="B517" s="716" t="s">
        <v>3048</v>
      </c>
      <c r="C517" s="717">
        <v>2.4499999999999999E-5</v>
      </c>
      <c r="D517" s="717">
        <v>1.66E-5</v>
      </c>
      <c r="E517" s="718">
        <v>37429</v>
      </c>
      <c r="F517" s="718"/>
      <c r="G517" s="719">
        <v>2156</v>
      </c>
      <c r="H517" s="720">
        <v>9087</v>
      </c>
      <c r="I517" s="719">
        <v>5345</v>
      </c>
      <c r="J517" s="718">
        <v>17989</v>
      </c>
      <c r="K517" s="720">
        <f t="shared" si="14"/>
        <v>34577</v>
      </c>
      <c r="L517" s="718"/>
      <c r="M517" s="719">
        <v>1060</v>
      </c>
      <c r="N517" s="719">
        <v>0</v>
      </c>
      <c r="O517" s="718">
        <v>0</v>
      </c>
      <c r="P517" s="720">
        <f t="shared" si="15"/>
        <v>1060</v>
      </c>
      <c r="Q517" s="718"/>
      <c r="R517" s="719">
        <v>12614</v>
      </c>
      <c r="S517" s="721">
        <v>6544</v>
      </c>
      <c r="T517" s="721">
        <v>19158</v>
      </c>
    </row>
    <row r="518" spans="1:20" x14ac:dyDescent="0.25">
      <c r="A518" s="715">
        <v>95601</v>
      </c>
      <c r="B518" s="716" t="s">
        <v>3049</v>
      </c>
      <c r="C518" s="717">
        <v>2.6280000000000001E-3</v>
      </c>
      <c r="D518" s="717">
        <v>2.6592999999999999E-3</v>
      </c>
      <c r="E518" s="718">
        <v>4014856</v>
      </c>
      <c r="F518" s="718"/>
      <c r="G518" s="719">
        <v>231293</v>
      </c>
      <c r="H518" s="720">
        <v>974812</v>
      </c>
      <c r="I518" s="719">
        <v>573377</v>
      </c>
      <c r="J518" s="718">
        <v>85590</v>
      </c>
      <c r="K518" s="720">
        <f t="shared" si="14"/>
        <v>1865072</v>
      </c>
      <c r="L518" s="718"/>
      <c r="M518" s="719">
        <v>113648</v>
      </c>
      <c r="N518" s="719">
        <v>0</v>
      </c>
      <c r="O518" s="718">
        <v>19082</v>
      </c>
      <c r="P518" s="720">
        <f t="shared" si="15"/>
        <v>132730</v>
      </c>
      <c r="Q518" s="718"/>
      <c r="R518" s="719">
        <v>1353010</v>
      </c>
      <c r="S518" s="721">
        <v>47697</v>
      </c>
      <c r="T518" s="721">
        <v>1400707</v>
      </c>
    </row>
    <row r="519" spans="1:20" x14ac:dyDescent="0.25">
      <c r="A519" s="715">
        <v>95611</v>
      </c>
      <c r="B519" s="716" t="s">
        <v>3050</v>
      </c>
      <c r="C519" s="717">
        <v>4.0660000000000002E-4</v>
      </c>
      <c r="D519" s="717">
        <v>3.9540000000000002E-4</v>
      </c>
      <c r="E519" s="718">
        <v>621172</v>
      </c>
      <c r="F519" s="718"/>
      <c r="G519" s="719">
        <v>35785</v>
      </c>
      <c r="H519" s="720">
        <v>150821</v>
      </c>
      <c r="I519" s="719">
        <v>88712</v>
      </c>
      <c r="J519" s="718">
        <v>8653</v>
      </c>
      <c r="K519" s="720">
        <f t="shared" ref="K519:K582" si="16">G519+H519+I519+J519</f>
        <v>283971</v>
      </c>
      <c r="L519" s="718"/>
      <c r="M519" s="719">
        <v>17583</v>
      </c>
      <c r="N519" s="719">
        <v>0</v>
      </c>
      <c r="O519" s="718">
        <v>3649</v>
      </c>
      <c r="P519" s="720">
        <f t="shared" ref="P519:P582" si="17">M519+N519+O519</f>
        <v>21232</v>
      </c>
      <c r="Q519" s="718"/>
      <c r="R519" s="719">
        <v>209336</v>
      </c>
      <c r="S519" s="721">
        <v>1212</v>
      </c>
      <c r="T519" s="721">
        <f>210547+1</f>
        <v>210548</v>
      </c>
    </row>
    <row r="520" spans="1:20" x14ac:dyDescent="0.25">
      <c r="A520" s="715">
        <v>95617</v>
      </c>
      <c r="B520" s="716" t="s">
        <v>3051</v>
      </c>
      <c r="C520" s="717">
        <v>1.6399999999999999E-5</v>
      </c>
      <c r="D520" s="717">
        <v>1.6500000000000001E-5</v>
      </c>
      <c r="E520" s="718">
        <v>25055</v>
      </c>
      <c r="F520" s="718"/>
      <c r="G520" s="719">
        <v>1443</v>
      </c>
      <c r="H520" s="720">
        <v>6084</v>
      </c>
      <c r="I520" s="719">
        <v>3578</v>
      </c>
      <c r="J520" s="718">
        <v>722</v>
      </c>
      <c r="K520" s="720">
        <f t="shared" si="16"/>
        <v>11827</v>
      </c>
      <c r="L520" s="718"/>
      <c r="M520" s="719">
        <v>709</v>
      </c>
      <c r="N520" s="719">
        <v>0</v>
      </c>
      <c r="O520" s="718">
        <v>1277</v>
      </c>
      <c r="P520" s="720">
        <f t="shared" si="17"/>
        <v>1986</v>
      </c>
      <c r="Q520" s="718"/>
      <c r="R520" s="719">
        <v>8443</v>
      </c>
      <c r="S520" s="721">
        <v>-659</v>
      </c>
      <c r="T520" s="721">
        <v>7784</v>
      </c>
    </row>
    <row r="521" spans="1:20" x14ac:dyDescent="0.25">
      <c r="A521" s="715">
        <v>95621</v>
      </c>
      <c r="B521" s="716" t="s">
        <v>3052</v>
      </c>
      <c r="C521" s="717">
        <v>4.5360000000000002E-4</v>
      </c>
      <c r="D521" s="717">
        <v>4.8020000000000002E-4</v>
      </c>
      <c r="E521" s="718">
        <v>692975</v>
      </c>
      <c r="F521" s="718"/>
      <c r="G521" s="719">
        <v>39922</v>
      </c>
      <c r="H521" s="720">
        <v>168255</v>
      </c>
      <c r="I521" s="719">
        <v>98966</v>
      </c>
      <c r="J521" s="718">
        <v>3166</v>
      </c>
      <c r="K521" s="720">
        <f t="shared" si="16"/>
        <v>310309</v>
      </c>
      <c r="L521" s="718"/>
      <c r="M521" s="719">
        <v>19616</v>
      </c>
      <c r="N521" s="719">
        <v>0</v>
      </c>
      <c r="O521" s="718">
        <v>4423</v>
      </c>
      <c r="P521" s="720">
        <f t="shared" si="17"/>
        <v>24039</v>
      </c>
      <c r="Q521" s="718"/>
      <c r="R521" s="719">
        <v>233533</v>
      </c>
      <c r="S521" s="721">
        <v>1481</v>
      </c>
      <c r="T521" s="721">
        <f>235015-1</f>
        <v>235014</v>
      </c>
    </row>
    <row r="522" spans="1:20" x14ac:dyDescent="0.25">
      <c r="A522" s="715">
        <v>95701</v>
      </c>
      <c r="B522" s="716" t="s">
        <v>3053</v>
      </c>
      <c r="C522" s="717">
        <v>1.3747E-3</v>
      </c>
      <c r="D522" s="717">
        <v>1.291E-3</v>
      </c>
      <c r="E522" s="718">
        <v>2100161</v>
      </c>
      <c r="F522" s="718"/>
      <c r="G522" s="719">
        <v>120989</v>
      </c>
      <c r="H522" s="720">
        <v>509922</v>
      </c>
      <c r="I522" s="719">
        <v>299932</v>
      </c>
      <c r="J522" s="718">
        <v>62898</v>
      </c>
      <c r="K522" s="720">
        <f t="shared" si="16"/>
        <v>993741</v>
      </c>
      <c r="L522" s="718"/>
      <c r="M522" s="719">
        <v>59449</v>
      </c>
      <c r="N522" s="719">
        <v>0</v>
      </c>
      <c r="O522" s="718">
        <v>0</v>
      </c>
      <c r="P522" s="720">
        <f t="shared" si="17"/>
        <v>59449</v>
      </c>
      <c r="Q522" s="718"/>
      <c r="R522" s="719">
        <v>707756</v>
      </c>
      <c r="S522" s="721">
        <v>28646</v>
      </c>
      <c r="T522" s="721">
        <v>736402</v>
      </c>
    </row>
    <row r="523" spans="1:20" x14ac:dyDescent="0.25">
      <c r="A523" s="715">
        <v>95711</v>
      </c>
      <c r="B523" s="716" t="s">
        <v>3054</v>
      </c>
      <c r="C523" s="717">
        <v>1.394E-4</v>
      </c>
      <c r="D523" s="717">
        <v>1.382E-4</v>
      </c>
      <c r="E523" s="718">
        <v>212965</v>
      </c>
      <c r="F523" s="718"/>
      <c r="G523" s="719">
        <v>12269</v>
      </c>
      <c r="H523" s="720">
        <v>51708</v>
      </c>
      <c r="I523" s="719">
        <v>30414</v>
      </c>
      <c r="J523" s="718">
        <v>6056</v>
      </c>
      <c r="K523" s="720">
        <f t="shared" si="16"/>
        <v>100447</v>
      </c>
      <c r="L523" s="718"/>
      <c r="M523" s="719">
        <v>6028</v>
      </c>
      <c r="N523" s="719">
        <v>0</v>
      </c>
      <c r="O523" s="718">
        <v>5836</v>
      </c>
      <c r="P523" s="720">
        <f t="shared" si="17"/>
        <v>11864</v>
      </c>
      <c r="Q523" s="718"/>
      <c r="R523" s="719">
        <v>71769</v>
      </c>
      <c r="S523" s="721">
        <v>1663</v>
      </c>
      <c r="T523" s="721">
        <v>73432</v>
      </c>
    </row>
    <row r="524" spans="1:20" x14ac:dyDescent="0.25">
      <c r="A524" s="715">
        <v>95721</v>
      </c>
      <c r="B524" s="716" t="s">
        <v>3055</v>
      </c>
      <c r="C524" s="717">
        <v>6.7600000000000003E-5</v>
      </c>
      <c r="D524" s="717">
        <v>6.6199999999999996E-5</v>
      </c>
      <c r="E524" s="718">
        <v>103274</v>
      </c>
      <c r="F524" s="718"/>
      <c r="G524" s="719">
        <v>5950</v>
      </c>
      <c r="H524" s="720">
        <v>25075</v>
      </c>
      <c r="I524" s="719">
        <v>14749</v>
      </c>
      <c r="J524" s="718">
        <v>0</v>
      </c>
      <c r="K524" s="720">
        <f t="shared" si="16"/>
        <v>45774</v>
      </c>
      <c r="L524" s="718"/>
      <c r="M524" s="719">
        <v>2923</v>
      </c>
      <c r="N524" s="719">
        <v>0</v>
      </c>
      <c r="O524" s="718">
        <v>9622</v>
      </c>
      <c r="P524" s="720">
        <f t="shared" si="17"/>
        <v>12545</v>
      </c>
      <c r="Q524" s="718"/>
      <c r="R524" s="719">
        <v>34803</v>
      </c>
      <c r="S524" s="721">
        <v>-4619</v>
      </c>
      <c r="T524" s="721">
        <f>30185-1</f>
        <v>30184</v>
      </c>
    </row>
    <row r="525" spans="1:20" x14ac:dyDescent="0.25">
      <c r="A525" s="715">
        <v>95733</v>
      </c>
      <c r="B525" s="716" t="s">
        <v>3056</v>
      </c>
      <c r="C525" s="717">
        <v>1.5400000000000002E-5</v>
      </c>
      <c r="D525" s="717">
        <v>1.56E-5</v>
      </c>
      <c r="E525" s="718">
        <v>23527</v>
      </c>
      <c r="F525" s="718"/>
      <c r="G525" s="719">
        <v>1355</v>
      </c>
      <c r="H525" s="720">
        <v>5712</v>
      </c>
      <c r="I525" s="719">
        <v>3360</v>
      </c>
      <c r="J525" s="718">
        <v>581</v>
      </c>
      <c r="K525" s="720">
        <f t="shared" si="16"/>
        <v>11008</v>
      </c>
      <c r="L525" s="718"/>
      <c r="M525" s="719">
        <v>666</v>
      </c>
      <c r="N525" s="719">
        <v>0</v>
      </c>
      <c r="O525" s="718">
        <v>464</v>
      </c>
      <c r="P525" s="720">
        <f t="shared" si="17"/>
        <v>1130</v>
      </c>
      <c r="Q525" s="718"/>
      <c r="R525" s="719">
        <v>7929</v>
      </c>
      <c r="S525" s="721">
        <v>209</v>
      </c>
      <c r="T525" s="721">
        <v>8138</v>
      </c>
    </row>
    <row r="526" spans="1:20" x14ac:dyDescent="0.25">
      <c r="A526" s="715">
        <v>95801</v>
      </c>
      <c r="B526" s="716" t="s">
        <v>3057</v>
      </c>
      <c r="C526" s="717">
        <v>9.6310000000000005E-4</v>
      </c>
      <c r="D526" s="717">
        <v>8.9349999999999998E-4</v>
      </c>
      <c r="E526" s="718">
        <v>1471350</v>
      </c>
      <c r="F526" s="718"/>
      <c r="G526" s="719">
        <v>84763</v>
      </c>
      <c r="H526" s="720">
        <v>357246</v>
      </c>
      <c r="I526" s="719">
        <v>210129</v>
      </c>
      <c r="J526" s="718">
        <v>62205</v>
      </c>
      <c r="K526" s="720">
        <f t="shared" si="16"/>
        <v>714343</v>
      </c>
      <c r="L526" s="718"/>
      <c r="M526" s="719">
        <v>41649</v>
      </c>
      <c r="N526" s="719">
        <v>0</v>
      </c>
      <c r="O526" s="718">
        <v>4103</v>
      </c>
      <c r="P526" s="720">
        <f t="shared" si="17"/>
        <v>45752</v>
      </c>
      <c r="Q526" s="718"/>
      <c r="R526" s="719">
        <v>495846</v>
      </c>
      <c r="S526" s="721">
        <v>14399</v>
      </c>
      <c r="T526" s="721">
        <v>510245</v>
      </c>
    </row>
    <row r="527" spans="1:20" x14ac:dyDescent="0.25">
      <c r="A527" s="715">
        <v>95802</v>
      </c>
      <c r="B527" s="716" t="s">
        <v>3058</v>
      </c>
      <c r="C527" s="717">
        <v>6.1E-6</v>
      </c>
      <c r="D527" s="717">
        <v>6.8000000000000001E-6</v>
      </c>
      <c r="E527" s="718">
        <v>9319</v>
      </c>
      <c r="F527" s="718"/>
      <c r="G527" s="719">
        <v>537</v>
      </c>
      <c r="H527" s="720">
        <v>2263</v>
      </c>
      <c r="I527" s="719">
        <v>1331</v>
      </c>
      <c r="J527" s="718">
        <v>3297</v>
      </c>
      <c r="K527" s="720">
        <f t="shared" si="16"/>
        <v>7428</v>
      </c>
      <c r="L527" s="718"/>
      <c r="M527" s="719">
        <v>264</v>
      </c>
      <c r="N527" s="719">
        <v>0</v>
      </c>
      <c r="O527" s="718">
        <v>1248</v>
      </c>
      <c r="P527" s="720">
        <f t="shared" si="17"/>
        <v>1512</v>
      </c>
      <c r="Q527" s="718"/>
      <c r="R527" s="719">
        <v>3141</v>
      </c>
      <c r="S527" s="721">
        <v>-81</v>
      </c>
      <c r="T527" s="721">
        <v>3060</v>
      </c>
    </row>
    <row r="528" spans="1:20" x14ac:dyDescent="0.25">
      <c r="A528" s="715">
        <v>95804</v>
      </c>
      <c r="B528" s="716" t="s">
        <v>3059</v>
      </c>
      <c r="C528" s="717">
        <v>2.19E-5</v>
      </c>
      <c r="D528" s="717">
        <v>1.63E-5</v>
      </c>
      <c r="E528" s="718">
        <v>33457</v>
      </c>
      <c r="F528" s="718"/>
      <c r="G528" s="719">
        <v>1927</v>
      </c>
      <c r="H528" s="720">
        <v>8123</v>
      </c>
      <c r="I528" s="719">
        <v>4778</v>
      </c>
      <c r="J528" s="718">
        <v>3631</v>
      </c>
      <c r="K528" s="720">
        <f t="shared" si="16"/>
        <v>18459</v>
      </c>
      <c r="L528" s="718"/>
      <c r="M528" s="719">
        <v>947</v>
      </c>
      <c r="N528" s="719">
        <v>0</v>
      </c>
      <c r="O528" s="718">
        <v>0</v>
      </c>
      <c r="P528" s="720">
        <f t="shared" si="17"/>
        <v>947</v>
      </c>
      <c r="Q528" s="718"/>
      <c r="R528" s="719">
        <v>11275</v>
      </c>
      <c r="S528" s="721">
        <v>1628</v>
      </c>
      <c r="T528" s="721">
        <f>12904-1</f>
        <v>12903</v>
      </c>
    </row>
    <row r="529" spans="1:20" x14ac:dyDescent="0.25">
      <c r="A529" s="715">
        <v>95811</v>
      </c>
      <c r="B529" s="716" t="s">
        <v>3060</v>
      </c>
      <c r="C529" s="717">
        <v>5.3129999999999996E-4</v>
      </c>
      <c r="D529" s="717">
        <v>5.3410000000000003E-4</v>
      </c>
      <c r="E529" s="718">
        <v>811679</v>
      </c>
      <c r="F529" s="718"/>
      <c r="G529" s="719">
        <v>46760</v>
      </c>
      <c r="H529" s="720">
        <v>197076</v>
      </c>
      <c r="I529" s="719">
        <v>115919</v>
      </c>
      <c r="J529" s="718">
        <v>1678</v>
      </c>
      <c r="K529" s="720">
        <f t="shared" si="16"/>
        <v>361433</v>
      </c>
      <c r="L529" s="718"/>
      <c r="M529" s="719">
        <v>22976</v>
      </c>
      <c r="N529" s="719">
        <v>0</v>
      </c>
      <c r="O529" s="718">
        <v>5329</v>
      </c>
      <c r="P529" s="720">
        <f t="shared" si="17"/>
        <v>28305</v>
      </c>
      <c r="Q529" s="718"/>
      <c r="R529" s="719">
        <v>273537</v>
      </c>
      <c r="S529" s="721">
        <v>-1501</v>
      </c>
      <c r="T529" s="721">
        <f>272035+1</f>
        <v>272036</v>
      </c>
    </row>
    <row r="530" spans="1:20" x14ac:dyDescent="0.25">
      <c r="A530" s="715">
        <v>95813</v>
      </c>
      <c r="B530" s="716" t="s">
        <v>3061</v>
      </c>
      <c r="C530" s="717">
        <v>4.88E-5</v>
      </c>
      <c r="D530" s="717">
        <v>4.4400000000000002E-5</v>
      </c>
      <c r="E530" s="718">
        <v>74553</v>
      </c>
      <c r="F530" s="718"/>
      <c r="G530" s="719">
        <v>4295</v>
      </c>
      <c r="H530" s="720">
        <v>18101</v>
      </c>
      <c r="I530" s="719">
        <v>10647</v>
      </c>
      <c r="J530" s="718">
        <v>72000</v>
      </c>
      <c r="K530" s="720">
        <f t="shared" si="16"/>
        <v>105043</v>
      </c>
      <c r="L530" s="718"/>
      <c r="M530" s="719">
        <v>2110</v>
      </c>
      <c r="N530" s="719">
        <v>0</v>
      </c>
      <c r="O530" s="718">
        <v>0</v>
      </c>
      <c r="P530" s="720">
        <f t="shared" si="17"/>
        <v>2110</v>
      </c>
      <c r="Q530" s="718"/>
      <c r="R530" s="719">
        <v>25124</v>
      </c>
      <c r="S530" s="721">
        <v>24457</v>
      </c>
      <c r="T530" s="721">
        <v>49581</v>
      </c>
    </row>
    <row r="531" spans="1:20" x14ac:dyDescent="0.25">
      <c r="A531" s="715">
        <v>95821</v>
      </c>
      <c r="B531" s="716" t="s">
        <v>3062</v>
      </c>
      <c r="C531" s="717">
        <v>0</v>
      </c>
      <c r="D531" s="717">
        <v>1.7E-6</v>
      </c>
      <c r="E531" s="718">
        <v>0</v>
      </c>
      <c r="F531" s="718"/>
      <c r="G531" s="719">
        <v>0</v>
      </c>
      <c r="H531" s="720">
        <v>0</v>
      </c>
      <c r="I531" s="719">
        <v>0</v>
      </c>
      <c r="J531" s="718">
        <v>1293</v>
      </c>
      <c r="K531" s="720">
        <f t="shared" si="16"/>
        <v>1293</v>
      </c>
      <c r="L531" s="718"/>
      <c r="M531" s="719">
        <v>0</v>
      </c>
      <c r="N531" s="719">
        <v>0</v>
      </c>
      <c r="O531" s="718">
        <v>652</v>
      </c>
      <c r="P531" s="720">
        <f t="shared" si="17"/>
        <v>652</v>
      </c>
      <c r="Q531" s="718"/>
      <c r="R531" s="719">
        <v>0</v>
      </c>
      <c r="S531" s="721">
        <v>460</v>
      </c>
      <c r="T531" s="721">
        <v>460</v>
      </c>
    </row>
    <row r="532" spans="1:20" x14ac:dyDescent="0.25">
      <c r="A532" s="715">
        <v>95831</v>
      </c>
      <c r="B532" s="716" t="s">
        <v>3063</v>
      </c>
      <c r="C532" s="717">
        <v>1.6799999999999998E-5</v>
      </c>
      <c r="D532" s="717">
        <v>1.36E-5</v>
      </c>
      <c r="E532" s="718">
        <v>25666</v>
      </c>
      <c r="F532" s="718"/>
      <c r="G532" s="719">
        <v>1479</v>
      </c>
      <c r="H532" s="720">
        <v>6232</v>
      </c>
      <c r="I532" s="719">
        <v>3665</v>
      </c>
      <c r="J532" s="718">
        <v>23962</v>
      </c>
      <c r="K532" s="720">
        <f t="shared" si="16"/>
        <v>35338</v>
      </c>
      <c r="L532" s="718"/>
      <c r="M532" s="719">
        <v>727</v>
      </c>
      <c r="N532" s="719">
        <v>0</v>
      </c>
      <c r="O532" s="718">
        <v>0</v>
      </c>
      <c r="P532" s="720">
        <f t="shared" si="17"/>
        <v>727</v>
      </c>
      <c r="Q532" s="718"/>
      <c r="R532" s="719">
        <v>8649</v>
      </c>
      <c r="S532" s="721">
        <v>8068</v>
      </c>
      <c r="T532" s="721">
        <v>16717</v>
      </c>
    </row>
    <row r="533" spans="1:20" x14ac:dyDescent="0.25">
      <c r="A533" s="715">
        <v>95841</v>
      </c>
      <c r="B533" s="716" t="s">
        <v>3064</v>
      </c>
      <c r="C533" s="717">
        <v>2.0999999999999999E-5</v>
      </c>
      <c r="D533" s="717">
        <v>2.1100000000000001E-5</v>
      </c>
      <c r="E533" s="718">
        <v>32082</v>
      </c>
      <c r="F533" s="718"/>
      <c r="G533" s="719">
        <v>1848</v>
      </c>
      <c r="H533" s="720">
        <v>7790</v>
      </c>
      <c r="I533" s="719">
        <v>4582</v>
      </c>
      <c r="J533" s="718">
        <v>2103</v>
      </c>
      <c r="K533" s="720">
        <f t="shared" si="16"/>
        <v>16323</v>
      </c>
      <c r="L533" s="718"/>
      <c r="M533" s="719">
        <v>908</v>
      </c>
      <c r="N533" s="719">
        <v>0</v>
      </c>
      <c r="O533" s="718">
        <v>0</v>
      </c>
      <c r="P533" s="720">
        <f t="shared" si="17"/>
        <v>908</v>
      </c>
      <c r="Q533" s="718"/>
      <c r="R533" s="719">
        <v>10812</v>
      </c>
      <c r="S533" s="721">
        <v>817</v>
      </c>
      <c r="T533" s="721">
        <v>11629</v>
      </c>
    </row>
    <row r="534" spans="1:20" x14ac:dyDescent="0.25">
      <c r="A534" s="715">
        <v>95851</v>
      </c>
      <c r="B534" s="716" t="s">
        <v>3065</v>
      </c>
      <c r="C534" s="717">
        <v>1.327E-4</v>
      </c>
      <c r="D534" s="717">
        <v>1.3009999999999999E-4</v>
      </c>
      <c r="E534" s="718">
        <v>202729</v>
      </c>
      <c r="F534" s="718"/>
      <c r="G534" s="719">
        <v>11679</v>
      </c>
      <c r="H534" s="720">
        <v>49223</v>
      </c>
      <c r="I534" s="719">
        <v>28952</v>
      </c>
      <c r="J534" s="718">
        <v>130637</v>
      </c>
      <c r="K534" s="720">
        <f t="shared" si="16"/>
        <v>220491</v>
      </c>
      <c r="L534" s="718"/>
      <c r="M534" s="719">
        <v>5739</v>
      </c>
      <c r="N534" s="719">
        <v>0</v>
      </c>
      <c r="O534" s="718">
        <v>4180</v>
      </c>
      <c r="P534" s="720">
        <f t="shared" si="17"/>
        <v>9919</v>
      </c>
      <c r="Q534" s="718"/>
      <c r="R534" s="719">
        <v>68320</v>
      </c>
      <c r="S534" s="721">
        <v>39831</v>
      </c>
      <c r="T534" s="721">
        <v>108151</v>
      </c>
    </row>
    <row r="535" spans="1:20" x14ac:dyDescent="0.25">
      <c r="A535" s="715">
        <v>95853</v>
      </c>
      <c r="B535" s="716" t="s">
        <v>3066</v>
      </c>
      <c r="C535" s="717">
        <v>2.69E-5</v>
      </c>
      <c r="D535" s="717">
        <v>2.4000000000000001E-5</v>
      </c>
      <c r="E535" s="718">
        <v>41096</v>
      </c>
      <c r="F535" s="718"/>
      <c r="G535" s="719">
        <v>2367</v>
      </c>
      <c r="H535" s="720">
        <v>9978</v>
      </c>
      <c r="I535" s="719">
        <v>5869</v>
      </c>
      <c r="J535" s="718">
        <v>8793</v>
      </c>
      <c r="K535" s="720">
        <f t="shared" si="16"/>
        <v>27007</v>
      </c>
      <c r="L535" s="718"/>
      <c r="M535" s="719">
        <v>1163</v>
      </c>
      <c r="N535" s="719">
        <v>0</v>
      </c>
      <c r="O535" s="718">
        <v>0</v>
      </c>
      <c r="P535" s="720">
        <f t="shared" si="17"/>
        <v>1163</v>
      </c>
      <c r="Q535" s="718"/>
      <c r="R535" s="719">
        <v>13849</v>
      </c>
      <c r="S535" s="721">
        <v>3675</v>
      </c>
      <c r="T535" s="721">
        <f>17525-1</f>
        <v>17524</v>
      </c>
    </row>
    <row r="536" spans="1:20" x14ac:dyDescent="0.25">
      <c r="A536" s="715">
        <v>95901</v>
      </c>
      <c r="B536" s="716" t="s">
        <v>3067</v>
      </c>
      <c r="C536" s="717">
        <v>1.8714999999999999E-3</v>
      </c>
      <c r="D536" s="717">
        <v>1.8266999999999999E-3</v>
      </c>
      <c r="E536" s="718">
        <v>2859134</v>
      </c>
      <c r="F536" s="718"/>
      <c r="G536" s="719">
        <v>164713</v>
      </c>
      <c r="H536" s="720">
        <v>694201</v>
      </c>
      <c r="I536" s="719">
        <v>408324</v>
      </c>
      <c r="J536" s="718">
        <v>36652</v>
      </c>
      <c r="K536" s="720">
        <f t="shared" si="16"/>
        <v>1303890</v>
      </c>
      <c r="L536" s="718"/>
      <c r="M536" s="719">
        <v>80933</v>
      </c>
      <c r="N536" s="719">
        <v>0</v>
      </c>
      <c r="O536" s="718">
        <v>13191</v>
      </c>
      <c r="P536" s="720">
        <f t="shared" si="17"/>
        <v>94124</v>
      </c>
      <c r="Q536" s="718"/>
      <c r="R536" s="719">
        <v>963531</v>
      </c>
      <c r="S536" s="721">
        <v>28466</v>
      </c>
      <c r="T536" s="721">
        <v>991997</v>
      </c>
    </row>
    <row r="537" spans="1:20" x14ac:dyDescent="0.25">
      <c r="A537" s="715">
        <v>95908</v>
      </c>
      <c r="B537" s="716" t="s">
        <v>3068</v>
      </c>
      <c r="C537" s="717">
        <v>7.2200000000000007E-5</v>
      </c>
      <c r="D537" s="717">
        <v>7.2000000000000002E-5</v>
      </c>
      <c r="E537" s="718">
        <v>110302</v>
      </c>
      <c r="F537" s="718"/>
      <c r="G537" s="719">
        <v>6354</v>
      </c>
      <c r="H537" s="720">
        <v>26781</v>
      </c>
      <c r="I537" s="719">
        <v>15753</v>
      </c>
      <c r="J537" s="718">
        <v>0</v>
      </c>
      <c r="K537" s="720">
        <f t="shared" si="16"/>
        <v>48888</v>
      </c>
      <c r="L537" s="718"/>
      <c r="M537" s="719">
        <v>3122</v>
      </c>
      <c r="N537" s="719">
        <v>0</v>
      </c>
      <c r="O537" s="718">
        <v>22164</v>
      </c>
      <c r="P537" s="720">
        <f t="shared" si="17"/>
        <v>25286</v>
      </c>
      <c r="Q537" s="718"/>
      <c r="R537" s="719">
        <v>37172</v>
      </c>
      <c r="S537" s="721">
        <v>-10736</v>
      </c>
      <c r="T537" s="721">
        <v>26436</v>
      </c>
    </row>
    <row r="538" spans="1:20" x14ac:dyDescent="0.25">
      <c r="A538" s="715">
        <v>95911</v>
      </c>
      <c r="B538" s="716" t="s">
        <v>3069</v>
      </c>
      <c r="C538" s="717">
        <v>5.7450000000000003E-4</v>
      </c>
      <c r="D538" s="717">
        <v>5.6979999999999997E-4</v>
      </c>
      <c r="E538" s="718">
        <v>877677</v>
      </c>
      <c r="F538" s="718"/>
      <c r="G538" s="719">
        <v>50562</v>
      </c>
      <c r="H538" s="720">
        <v>213101</v>
      </c>
      <c r="I538" s="719">
        <v>125344</v>
      </c>
      <c r="J538" s="718">
        <v>2898</v>
      </c>
      <c r="K538" s="720">
        <f t="shared" si="16"/>
        <v>391905</v>
      </c>
      <c r="L538" s="718"/>
      <c r="M538" s="719">
        <v>24844</v>
      </c>
      <c r="N538" s="719">
        <v>0</v>
      </c>
      <c r="O538" s="718">
        <v>40952</v>
      </c>
      <c r="P538" s="720">
        <f t="shared" si="17"/>
        <v>65796</v>
      </c>
      <c r="Q538" s="718"/>
      <c r="R538" s="719">
        <v>295778</v>
      </c>
      <c r="S538" s="721">
        <v>-14076</v>
      </c>
      <c r="T538" s="721">
        <v>281702</v>
      </c>
    </row>
    <row r="539" spans="1:20" x14ac:dyDescent="0.25">
      <c r="A539" s="715">
        <v>95917</v>
      </c>
      <c r="B539" s="716" t="s">
        <v>3070</v>
      </c>
      <c r="C539" s="717">
        <v>2.6699999999999998E-5</v>
      </c>
      <c r="D539" s="717">
        <v>2.2399999999999999E-5</v>
      </c>
      <c r="E539" s="718">
        <v>40790</v>
      </c>
      <c r="F539" s="718"/>
      <c r="G539" s="719">
        <v>2350</v>
      </c>
      <c r="H539" s="720">
        <v>9904</v>
      </c>
      <c r="I539" s="719">
        <v>5825</v>
      </c>
      <c r="J539" s="718">
        <v>4378</v>
      </c>
      <c r="K539" s="720">
        <f t="shared" si="16"/>
        <v>22457</v>
      </c>
      <c r="L539" s="718"/>
      <c r="M539" s="719">
        <v>1155</v>
      </c>
      <c r="N539" s="719">
        <v>0</v>
      </c>
      <c r="O539" s="718">
        <v>501</v>
      </c>
      <c r="P539" s="720">
        <f t="shared" si="17"/>
        <v>1656</v>
      </c>
      <c r="Q539" s="718"/>
      <c r="R539" s="719">
        <v>13746</v>
      </c>
      <c r="S539" s="721">
        <v>2216</v>
      </c>
      <c r="T539" s="721">
        <v>15962</v>
      </c>
    </row>
    <row r="540" spans="1:20" x14ac:dyDescent="0.25">
      <c r="A540" s="715">
        <v>95921</v>
      </c>
      <c r="B540" s="716" t="s">
        <v>3071</v>
      </c>
      <c r="C540" s="717">
        <v>4.7500000000000003E-5</v>
      </c>
      <c r="D540" s="717">
        <v>4.4700000000000002E-5</v>
      </c>
      <c r="E540" s="718">
        <v>72567</v>
      </c>
      <c r="F540" s="718"/>
      <c r="G540" s="719">
        <v>4181</v>
      </c>
      <c r="H540" s="720">
        <v>17619</v>
      </c>
      <c r="I540" s="719">
        <v>10364</v>
      </c>
      <c r="J540" s="718">
        <v>3925</v>
      </c>
      <c r="K540" s="720">
        <f t="shared" si="16"/>
        <v>36089</v>
      </c>
      <c r="L540" s="718"/>
      <c r="M540" s="719">
        <v>2054</v>
      </c>
      <c r="N540" s="719">
        <v>0</v>
      </c>
      <c r="O540" s="718">
        <v>948</v>
      </c>
      <c r="P540" s="720">
        <f t="shared" si="17"/>
        <v>3002</v>
      </c>
      <c r="Q540" s="718"/>
      <c r="R540" s="719">
        <v>24455</v>
      </c>
      <c r="S540" s="721">
        <v>526</v>
      </c>
      <c r="T540" s="721">
        <v>24981</v>
      </c>
    </row>
    <row r="541" spans="1:20" x14ac:dyDescent="0.25">
      <c r="A541" s="715">
        <v>96001</v>
      </c>
      <c r="B541" s="716" t="s">
        <v>3072</v>
      </c>
      <c r="C541" s="717">
        <v>4.4386399999999999E-2</v>
      </c>
      <c r="D541" s="717">
        <v>4.43519E-2</v>
      </c>
      <c r="E541" s="718">
        <v>67810124</v>
      </c>
      <c r="F541" s="718"/>
      <c r="G541" s="719">
        <v>3906491</v>
      </c>
      <c r="H541" s="720">
        <v>16464380</v>
      </c>
      <c r="I541" s="719">
        <v>9684225</v>
      </c>
      <c r="J541" s="718">
        <v>1457342</v>
      </c>
      <c r="K541" s="720">
        <f t="shared" si="16"/>
        <v>31512438</v>
      </c>
      <c r="L541" s="718"/>
      <c r="M541" s="719">
        <v>1919490</v>
      </c>
      <c r="N541" s="719">
        <v>0</v>
      </c>
      <c r="O541" s="718">
        <v>477903</v>
      </c>
      <c r="P541" s="720">
        <f t="shared" si="17"/>
        <v>2397393</v>
      </c>
      <c r="Q541" s="718"/>
      <c r="R541" s="719">
        <v>22852072</v>
      </c>
      <c r="S541" s="721">
        <v>1208760</v>
      </c>
      <c r="T541" s="721">
        <v>24060832</v>
      </c>
    </row>
    <row r="542" spans="1:20" x14ac:dyDescent="0.25">
      <c r="A542" s="715">
        <v>96003</v>
      </c>
      <c r="B542" s="716" t="s">
        <v>3073</v>
      </c>
      <c r="C542" s="717">
        <v>1.6523E-3</v>
      </c>
      <c r="D542" s="717">
        <v>1.7309000000000001E-3</v>
      </c>
      <c r="E542" s="718">
        <v>2524257</v>
      </c>
      <c r="F542" s="718"/>
      <c r="G542" s="719">
        <v>145421</v>
      </c>
      <c r="H542" s="720">
        <v>612893</v>
      </c>
      <c r="I542" s="719">
        <v>360499</v>
      </c>
      <c r="J542" s="718">
        <v>3089</v>
      </c>
      <c r="K542" s="720">
        <f t="shared" si="16"/>
        <v>1121902</v>
      </c>
      <c r="L542" s="718"/>
      <c r="M542" s="719">
        <v>71454</v>
      </c>
      <c r="N542" s="719">
        <v>0</v>
      </c>
      <c r="O542" s="718">
        <v>135978</v>
      </c>
      <c r="P542" s="720">
        <f t="shared" si="17"/>
        <v>207432</v>
      </c>
      <c r="Q542" s="718"/>
      <c r="R542" s="719">
        <v>850677</v>
      </c>
      <c r="S542" s="721">
        <v>-56030</v>
      </c>
      <c r="T542" s="721">
        <v>794647</v>
      </c>
    </row>
    <row r="543" spans="1:20" x14ac:dyDescent="0.25">
      <c r="A543" s="715">
        <v>96004</v>
      </c>
      <c r="B543" s="716" t="s">
        <v>3074</v>
      </c>
      <c r="C543" s="717">
        <v>8.9439999999999995E-4</v>
      </c>
      <c r="D543" s="717">
        <v>8.7699999999999996E-4</v>
      </c>
      <c r="E543" s="718">
        <v>1366395</v>
      </c>
      <c r="F543" s="718"/>
      <c r="G543" s="719">
        <v>78717</v>
      </c>
      <c r="H543" s="720">
        <v>331762</v>
      </c>
      <c r="I543" s="719">
        <v>195140</v>
      </c>
      <c r="J543" s="718">
        <v>149546</v>
      </c>
      <c r="K543" s="720">
        <f t="shared" si="16"/>
        <v>755165</v>
      </c>
      <c r="L543" s="718"/>
      <c r="M543" s="719">
        <v>38678</v>
      </c>
      <c r="N543" s="719">
        <v>0</v>
      </c>
      <c r="O543" s="718">
        <v>0</v>
      </c>
      <c r="P543" s="720">
        <f t="shared" si="17"/>
        <v>38678</v>
      </c>
      <c r="Q543" s="718"/>
      <c r="R543" s="719">
        <v>460476</v>
      </c>
      <c r="S543" s="721">
        <v>65505</v>
      </c>
      <c r="T543" s="721">
        <f>525982-1</f>
        <v>525981</v>
      </c>
    </row>
    <row r="544" spans="1:20" x14ac:dyDescent="0.25">
      <c r="A544" s="715">
        <v>96005</v>
      </c>
      <c r="B544" s="716" t="s">
        <v>3075</v>
      </c>
      <c r="C544" s="717">
        <v>2.6733999999999998E-3</v>
      </c>
      <c r="D544" s="717">
        <v>2.6457E-3</v>
      </c>
      <c r="E544" s="718">
        <v>4084215</v>
      </c>
      <c r="F544" s="718"/>
      <c r="G544" s="719">
        <v>235289</v>
      </c>
      <c r="H544" s="720">
        <v>991653</v>
      </c>
      <c r="I544" s="719">
        <v>583282</v>
      </c>
      <c r="J544" s="718">
        <v>222285</v>
      </c>
      <c r="K544" s="720">
        <f t="shared" si="16"/>
        <v>2032509</v>
      </c>
      <c r="L544" s="718"/>
      <c r="M544" s="719">
        <v>115611</v>
      </c>
      <c r="N544" s="719">
        <v>0</v>
      </c>
      <c r="O544" s="718">
        <v>0</v>
      </c>
      <c r="P544" s="720">
        <f t="shared" si="17"/>
        <v>115611</v>
      </c>
      <c r="Q544" s="718"/>
      <c r="R544" s="719">
        <v>1376384</v>
      </c>
      <c r="S544" s="721">
        <v>159087</v>
      </c>
      <c r="T544" s="721">
        <v>1535471</v>
      </c>
    </row>
    <row r="545" spans="1:20" x14ac:dyDescent="0.25">
      <c r="A545" s="715">
        <v>96008</v>
      </c>
      <c r="B545" s="716" t="s">
        <v>3076</v>
      </c>
      <c r="C545" s="717">
        <v>5.9955E-3</v>
      </c>
      <c r="D545" s="717">
        <v>5.9388000000000002E-3</v>
      </c>
      <c r="E545" s="718">
        <v>9159463</v>
      </c>
      <c r="F545" s="718"/>
      <c r="G545" s="719">
        <v>527670</v>
      </c>
      <c r="H545" s="720">
        <v>2223929</v>
      </c>
      <c r="I545" s="719">
        <v>1308098</v>
      </c>
      <c r="J545" s="718">
        <v>0</v>
      </c>
      <c r="K545" s="720">
        <f t="shared" si="16"/>
        <v>4059697</v>
      </c>
      <c r="L545" s="718"/>
      <c r="M545" s="719">
        <v>259275</v>
      </c>
      <c r="N545" s="719">
        <v>0</v>
      </c>
      <c r="O545" s="718">
        <v>767021</v>
      </c>
      <c r="P545" s="720">
        <f t="shared" si="17"/>
        <v>1026296</v>
      </c>
      <c r="Q545" s="718"/>
      <c r="R545" s="719">
        <v>3086747</v>
      </c>
      <c r="S545" s="721">
        <v>-274630</v>
      </c>
      <c r="T545" s="721">
        <v>2812117</v>
      </c>
    </row>
    <row r="546" spans="1:20" x14ac:dyDescent="0.25">
      <c r="A546" s="715">
        <v>96009</v>
      </c>
      <c r="B546" s="716" t="s">
        <v>3077</v>
      </c>
      <c r="C546" s="717">
        <v>3.7609999999999998E-4</v>
      </c>
      <c r="D546" s="717">
        <v>3.5980000000000002E-4</v>
      </c>
      <c r="E546" s="718">
        <v>574577</v>
      </c>
      <c r="F546" s="718"/>
      <c r="G546" s="719">
        <v>33101</v>
      </c>
      <c r="H546" s="720">
        <v>139508</v>
      </c>
      <c r="I546" s="719">
        <v>82057</v>
      </c>
      <c r="J546" s="718">
        <v>33181</v>
      </c>
      <c r="K546" s="720">
        <f t="shared" si="16"/>
        <v>287847</v>
      </c>
      <c r="L546" s="718"/>
      <c r="M546" s="719">
        <v>16264</v>
      </c>
      <c r="N546" s="719">
        <v>0</v>
      </c>
      <c r="O546" s="718">
        <v>2595</v>
      </c>
      <c r="P546" s="720">
        <f t="shared" si="17"/>
        <v>18859</v>
      </c>
      <c r="Q546" s="718"/>
      <c r="R546" s="719">
        <v>193633</v>
      </c>
      <c r="S546" s="721">
        <v>11508</v>
      </c>
      <c r="T546" s="721">
        <v>205141</v>
      </c>
    </row>
    <row r="547" spans="1:20" x14ac:dyDescent="0.25">
      <c r="A547" s="715">
        <v>96011</v>
      </c>
      <c r="B547" s="716" t="s">
        <v>3078</v>
      </c>
      <c r="C547" s="717">
        <v>6.1150400000000001E-2</v>
      </c>
      <c r="D547" s="717">
        <v>6.0489000000000001E-2</v>
      </c>
      <c r="E547" s="718">
        <v>93420873</v>
      </c>
      <c r="F547" s="718"/>
      <c r="G547" s="719">
        <v>5381908</v>
      </c>
      <c r="H547" s="720">
        <v>22682701</v>
      </c>
      <c r="I547" s="719">
        <v>13341794</v>
      </c>
      <c r="J547" s="718">
        <v>796221</v>
      </c>
      <c r="K547" s="720">
        <f t="shared" si="16"/>
        <v>42202624</v>
      </c>
      <c r="L547" s="718"/>
      <c r="M547" s="719">
        <v>2644449</v>
      </c>
      <c r="N547" s="719">
        <v>0</v>
      </c>
      <c r="O547" s="718">
        <v>51460</v>
      </c>
      <c r="P547" s="720">
        <f t="shared" si="17"/>
        <v>2695909</v>
      </c>
      <c r="Q547" s="718"/>
      <c r="R547" s="719">
        <v>31482917</v>
      </c>
      <c r="S547" s="721">
        <v>212508</v>
      </c>
      <c r="T547" s="721">
        <v>31695425</v>
      </c>
    </row>
    <row r="548" spans="1:20" x14ac:dyDescent="0.25">
      <c r="A548" s="715">
        <v>96012</v>
      </c>
      <c r="B548" s="716" t="s">
        <v>3079</v>
      </c>
      <c r="C548" s="717">
        <v>2.4417000000000002E-3</v>
      </c>
      <c r="D548" s="717">
        <v>2.4095000000000002E-3</v>
      </c>
      <c r="E548" s="718">
        <v>3730241</v>
      </c>
      <c r="F548" s="718"/>
      <c r="G548" s="719">
        <v>214896</v>
      </c>
      <c r="H548" s="720">
        <v>905707</v>
      </c>
      <c r="I548" s="719">
        <v>532730</v>
      </c>
      <c r="J548" s="718">
        <v>77080</v>
      </c>
      <c r="K548" s="720">
        <f t="shared" si="16"/>
        <v>1730413</v>
      </c>
      <c r="L548" s="718"/>
      <c r="M548" s="719">
        <v>105591</v>
      </c>
      <c r="N548" s="719">
        <v>0</v>
      </c>
      <c r="O548" s="718">
        <v>937</v>
      </c>
      <c r="P548" s="720">
        <f t="shared" si="17"/>
        <v>106528</v>
      </c>
      <c r="Q548" s="718"/>
      <c r="R548" s="719">
        <v>1257095</v>
      </c>
      <c r="S548" s="721">
        <v>35595</v>
      </c>
      <c r="T548" s="721">
        <v>1292690</v>
      </c>
    </row>
    <row r="549" spans="1:20" x14ac:dyDescent="0.25">
      <c r="A549" s="715">
        <v>96018</v>
      </c>
      <c r="B549" s="716" t="s">
        <v>3080</v>
      </c>
      <c r="C549" s="717">
        <v>4.3600000000000003E-5</v>
      </c>
      <c r="D549" s="717">
        <v>3.6199999999999999E-5</v>
      </c>
      <c r="E549" s="718">
        <v>66609</v>
      </c>
      <c r="F549" s="718"/>
      <c r="G549" s="719">
        <v>3837</v>
      </c>
      <c r="H549" s="720">
        <v>16173</v>
      </c>
      <c r="I549" s="719">
        <v>9513</v>
      </c>
      <c r="J549" s="718">
        <v>9704</v>
      </c>
      <c r="K549" s="720">
        <f t="shared" si="16"/>
        <v>39227</v>
      </c>
      <c r="L549" s="718"/>
      <c r="M549" s="719">
        <v>1885</v>
      </c>
      <c r="N549" s="719">
        <v>0</v>
      </c>
      <c r="O549" s="718">
        <v>0</v>
      </c>
      <c r="P549" s="720">
        <f t="shared" si="17"/>
        <v>1885</v>
      </c>
      <c r="Q549" s="718"/>
      <c r="R549" s="719">
        <v>22447</v>
      </c>
      <c r="S549" s="721">
        <v>5913</v>
      </c>
      <c r="T549" s="721">
        <v>28360</v>
      </c>
    </row>
    <row r="550" spans="1:20" x14ac:dyDescent="0.25">
      <c r="A550" s="715">
        <v>96021</v>
      </c>
      <c r="B550" s="716" t="s">
        <v>3081</v>
      </c>
      <c r="C550" s="717">
        <v>7.2090000000000001E-4</v>
      </c>
      <c r="D550" s="717">
        <v>8.5829999999999999E-4</v>
      </c>
      <c r="E550" s="718">
        <v>1101336</v>
      </c>
      <c r="F550" s="718"/>
      <c r="G550" s="719">
        <v>63447</v>
      </c>
      <c r="H550" s="720">
        <v>267406</v>
      </c>
      <c r="I550" s="719">
        <v>157286</v>
      </c>
      <c r="J550" s="718">
        <v>31959</v>
      </c>
      <c r="K550" s="720">
        <f t="shared" si="16"/>
        <v>520098</v>
      </c>
      <c r="L550" s="718"/>
      <c r="M550" s="719">
        <v>31175</v>
      </c>
      <c r="N550" s="719">
        <v>0</v>
      </c>
      <c r="O550" s="718">
        <v>119309</v>
      </c>
      <c r="P550" s="720">
        <f t="shared" si="17"/>
        <v>150484</v>
      </c>
      <c r="Q550" s="718"/>
      <c r="R550" s="719">
        <v>371151</v>
      </c>
      <c r="S550" s="721">
        <v>-13869</v>
      </c>
      <c r="T550" s="721">
        <v>357282</v>
      </c>
    </row>
    <row r="551" spans="1:20" x14ac:dyDescent="0.25">
      <c r="A551" s="715">
        <v>96031</v>
      </c>
      <c r="B551" s="716" t="s">
        <v>3082</v>
      </c>
      <c r="C551" s="717">
        <v>8.2580000000000001E-4</v>
      </c>
      <c r="D551" s="717">
        <v>9.0189999999999997E-4</v>
      </c>
      <c r="E551" s="718">
        <v>1261594</v>
      </c>
      <c r="F551" s="718"/>
      <c r="G551" s="719">
        <v>72679</v>
      </c>
      <c r="H551" s="720">
        <v>306317</v>
      </c>
      <c r="I551" s="719">
        <v>180173</v>
      </c>
      <c r="J551" s="718">
        <v>0</v>
      </c>
      <c r="K551" s="720">
        <f t="shared" si="16"/>
        <v>559169</v>
      </c>
      <c r="L551" s="718"/>
      <c r="M551" s="719">
        <v>35712</v>
      </c>
      <c r="N551" s="719">
        <v>0</v>
      </c>
      <c r="O551" s="718">
        <v>179263</v>
      </c>
      <c r="P551" s="720">
        <f t="shared" si="17"/>
        <v>214975</v>
      </c>
      <c r="Q551" s="718"/>
      <c r="R551" s="719">
        <v>425158</v>
      </c>
      <c r="S551" s="721">
        <v>-74461</v>
      </c>
      <c r="T551" s="721">
        <v>350697</v>
      </c>
    </row>
    <row r="552" spans="1:20" x14ac:dyDescent="0.25">
      <c r="A552" s="715">
        <v>96041</v>
      </c>
      <c r="B552" s="716" t="s">
        <v>3083</v>
      </c>
      <c r="C552" s="717">
        <v>1.7361E-3</v>
      </c>
      <c r="D552" s="717">
        <v>1.7323E-3</v>
      </c>
      <c r="E552" s="718">
        <v>2652280</v>
      </c>
      <c r="F552" s="718"/>
      <c r="G552" s="719">
        <v>152796</v>
      </c>
      <c r="H552" s="720">
        <v>643977</v>
      </c>
      <c r="I552" s="719">
        <v>378782</v>
      </c>
      <c r="J552" s="718">
        <v>0</v>
      </c>
      <c r="K552" s="720">
        <f t="shared" si="16"/>
        <v>1175555</v>
      </c>
      <c r="L552" s="718"/>
      <c r="M552" s="719">
        <v>75078</v>
      </c>
      <c r="N552" s="719">
        <v>0</v>
      </c>
      <c r="O552" s="718">
        <v>139404</v>
      </c>
      <c r="P552" s="720">
        <f t="shared" si="17"/>
        <v>214482</v>
      </c>
      <c r="Q552" s="718"/>
      <c r="R552" s="719">
        <v>893821</v>
      </c>
      <c r="S552" s="721">
        <v>-60075</v>
      </c>
      <c r="T552" s="721">
        <v>833746</v>
      </c>
    </row>
    <row r="553" spans="1:20" x14ac:dyDescent="0.25">
      <c r="A553" s="715">
        <v>96051</v>
      </c>
      <c r="B553" s="716" t="s">
        <v>3084</v>
      </c>
      <c r="C553" s="717">
        <v>1.0062000000000001E-3</v>
      </c>
      <c r="D553" s="717">
        <v>1.0258000000000001E-3</v>
      </c>
      <c r="E553" s="718">
        <v>1537195</v>
      </c>
      <c r="F553" s="718"/>
      <c r="G553" s="719">
        <v>88557</v>
      </c>
      <c r="H553" s="720">
        <v>373233</v>
      </c>
      <c r="I553" s="719">
        <v>219533</v>
      </c>
      <c r="J553" s="718">
        <v>0</v>
      </c>
      <c r="K553" s="720">
        <f t="shared" si="16"/>
        <v>681323</v>
      </c>
      <c r="L553" s="718"/>
      <c r="M553" s="719">
        <v>43513</v>
      </c>
      <c r="N553" s="719">
        <v>0</v>
      </c>
      <c r="O553" s="718">
        <v>109605</v>
      </c>
      <c r="P553" s="720">
        <f t="shared" si="17"/>
        <v>153118</v>
      </c>
      <c r="Q553" s="718"/>
      <c r="R553" s="719">
        <v>518036</v>
      </c>
      <c r="S553" s="721">
        <v>-44751</v>
      </c>
      <c r="T553" s="721">
        <v>473285</v>
      </c>
    </row>
    <row r="554" spans="1:20" x14ac:dyDescent="0.25">
      <c r="A554" s="715">
        <v>96061</v>
      </c>
      <c r="B554" s="716" t="s">
        <v>3085</v>
      </c>
      <c r="C554" s="717">
        <v>3.3950000000000001E-4</v>
      </c>
      <c r="D554" s="717">
        <v>3.0800000000000001E-4</v>
      </c>
      <c r="E554" s="718">
        <v>518662</v>
      </c>
      <c r="F554" s="718"/>
      <c r="G554" s="719">
        <v>29880</v>
      </c>
      <c r="H554" s="720">
        <v>125932</v>
      </c>
      <c r="I554" s="719">
        <v>74072</v>
      </c>
      <c r="J554" s="718">
        <v>21868</v>
      </c>
      <c r="K554" s="720">
        <f t="shared" si="16"/>
        <v>251752</v>
      </c>
      <c r="L554" s="718"/>
      <c r="M554" s="719">
        <v>14682</v>
      </c>
      <c r="N554" s="719">
        <v>0</v>
      </c>
      <c r="O554" s="718">
        <v>7447</v>
      </c>
      <c r="P554" s="720">
        <f t="shared" si="17"/>
        <v>22129</v>
      </c>
      <c r="Q554" s="718"/>
      <c r="R554" s="719">
        <v>174790</v>
      </c>
      <c r="S554" s="721">
        <v>2241</v>
      </c>
      <c r="T554" s="721">
        <v>177031</v>
      </c>
    </row>
    <row r="555" spans="1:20" x14ac:dyDescent="0.25">
      <c r="A555" s="715">
        <v>96071</v>
      </c>
      <c r="B555" s="716" t="s">
        <v>3086</v>
      </c>
      <c r="C555" s="717">
        <v>1.1367E-3</v>
      </c>
      <c r="D555" s="717">
        <v>1.1280999999999999E-3</v>
      </c>
      <c r="E555" s="718">
        <v>1736563</v>
      </c>
      <c r="F555" s="718"/>
      <c r="G555" s="719">
        <v>100042</v>
      </c>
      <c r="H555" s="720">
        <v>421639</v>
      </c>
      <c r="I555" s="719">
        <v>248005</v>
      </c>
      <c r="J555" s="718">
        <v>72999</v>
      </c>
      <c r="K555" s="720">
        <f t="shared" si="16"/>
        <v>842685</v>
      </c>
      <c r="L555" s="718"/>
      <c r="M555" s="719">
        <v>49157</v>
      </c>
      <c r="N555" s="719">
        <v>0</v>
      </c>
      <c r="O555" s="718">
        <v>71715</v>
      </c>
      <c r="P555" s="720">
        <f t="shared" si="17"/>
        <v>120872</v>
      </c>
      <c r="Q555" s="718"/>
      <c r="R555" s="719">
        <v>585223</v>
      </c>
      <c r="S555" s="721">
        <v>-1282</v>
      </c>
      <c r="T555" s="721">
        <v>583941</v>
      </c>
    </row>
    <row r="556" spans="1:20" x14ac:dyDescent="0.25">
      <c r="A556" s="715">
        <v>96081</v>
      </c>
      <c r="B556" s="716" t="s">
        <v>3087</v>
      </c>
      <c r="C556" s="717">
        <v>5.0900000000000001E-4</v>
      </c>
      <c r="D556" s="717">
        <v>4.7820000000000002E-4</v>
      </c>
      <c r="E556" s="718">
        <v>777611</v>
      </c>
      <c r="F556" s="718"/>
      <c r="G556" s="719">
        <v>44798</v>
      </c>
      <c r="H556" s="720">
        <v>188805</v>
      </c>
      <c r="I556" s="719">
        <v>111054</v>
      </c>
      <c r="J556" s="718">
        <v>10640</v>
      </c>
      <c r="K556" s="720">
        <f t="shared" si="16"/>
        <v>355297</v>
      </c>
      <c r="L556" s="718"/>
      <c r="M556" s="719">
        <v>22012</v>
      </c>
      <c r="N556" s="719">
        <v>0</v>
      </c>
      <c r="O556" s="718">
        <v>4115</v>
      </c>
      <c r="P556" s="720">
        <f t="shared" si="17"/>
        <v>26127</v>
      </c>
      <c r="Q556" s="718"/>
      <c r="R556" s="719">
        <v>262056</v>
      </c>
      <c r="S556" s="721">
        <v>5137</v>
      </c>
      <c r="T556" s="721">
        <v>267193</v>
      </c>
    </row>
    <row r="557" spans="1:20" x14ac:dyDescent="0.25">
      <c r="A557" s="715">
        <v>96101</v>
      </c>
      <c r="B557" s="716" t="s">
        <v>3088</v>
      </c>
      <c r="C557" s="717">
        <v>7.6749999999999995E-4</v>
      </c>
      <c r="D557" s="717">
        <v>7.5860000000000001E-4</v>
      </c>
      <c r="E557" s="718">
        <v>1172527</v>
      </c>
      <c r="F557" s="718"/>
      <c r="G557" s="719">
        <v>67548</v>
      </c>
      <c r="H557" s="720">
        <v>284691</v>
      </c>
      <c r="I557" s="719">
        <v>167453</v>
      </c>
      <c r="J557" s="718">
        <v>39221</v>
      </c>
      <c r="K557" s="720">
        <f t="shared" si="16"/>
        <v>558913</v>
      </c>
      <c r="L557" s="718"/>
      <c r="M557" s="719">
        <v>33191</v>
      </c>
      <c r="N557" s="719">
        <v>0</v>
      </c>
      <c r="O557" s="718">
        <v>3498</v>
      </c>
      <c r="P557" s="720">
        <f t="shared" si="17"/>
        <v>36689</v>
      </c>
      <c r="Q557" s="718"/>
      <c r="R557" s="719">
        <v>395143</v>
      </c>
      <c r="S557" s="721">
        <v>17230</v>
      </c>
      <c r="T557" s="721">
        <v>412373</v>
      </c>
    </row>
    <row r="558" spans="1:20" x14ac:dyDescent="0.25">
      <c r="A558" s="715">
        <v>96102</v>
      </c>
      <c r="B558" s="716" t="s">
        <v>3089</v>
      </c>
      <c r="C558" s="717">
        <v>1.36E-5</v>
      </c>
      <c r="D558" s="717">
        <v>1.42E-5</v>
      </c>
      <c r="E558" s="718">
        <v>20777</v>
      </c>
      <c r="F558" s="718"/>
      <c r="G558" s="719">
        <v>1197</v>
      </c>
      <c r="H558" s="720">
        <v>5045</v>
      </c>
      <c r="I558" s="719">
        <v>2967</v>
      </c>
      <c r="J558" s="718">
        <v>0</v>
      </c>
      <c r="K558" s="720">
        <f t="shared" si="16"/>
        <v>9209</v>
      </c>
      <c r="L558" s="718"/>
      <c r="M558" s="719">
        <v>588</v>
      </c>
      <c r="N558" s="719">
        <v>0</v>
      </c>
      <c r="O558" s="718">
        <v>3137</v>
      </c>
      <c r="P558" s="720">
        <f t="shared" si="17"/>
        <v>3725</v>
      </c>
      <c r="Q558" s="718"/>
      <c r="R558" s="719">
        <v>7002</v>
      </c>
      <c r="S558" s="721">
        <v>-1435</v>
      </c>
      <c r="T558" s="721">
        <v>5567</v>
      </c>
    </row>
    <row r="559" spans="1:20" x14ac:dyDescent="0.25">
      <c r="A559" s="715">
        <v>96111</v>
      </c>
      <c r="B559" s="716" t="s">
        <v>3090</v>
      </c>
      <c r="C559" s="717">
        <v>1.5349999999999999E-4</v>
      </c>
      <c r="D559" s="717">
        <v>1.6119999999999999E-4</v>
      </c>
      <c r="E559" s="718">
        <v>234505</v>
      </c>
      <c r="F559" s="718"/>
      <c r="G559" s="719">
        <v>13510</v>
      </c>
      <c r="H559" s="720">
        <v>56938</v>
      </c>
      <c r="I559" s="719">
        <v>33491</v>
      </c>
      <c r="J559" s="718">
        <v>9403</v>
      </c>
      <c r="K559" s="720">
        <f t="shared" si="16"/>
        <v>113342</v>
      </c>
      <c r="L559" s="718"/>
      <c r="M559" s="719">
        <v>6638</v>
      </c>
      <c r="N559" s="719">
        <v>0</v>
      </c>
      <c r="O559" s="718">
        <v>1683</v>
      </c>
      <c r="P559" s="720">
        <f t="shared" si="17"/>
        <v>8321</v>
      </c>
      <c r="Q559" s="718"/>
      <c r="R559" s="719">
        <v>79029</v>
      </c>
      <c r="S559" s="721">
        <v>6754</v>
      </c>
      <c r="T559" s="721">
        <v>85783</v>
      </c>
    </row>
    <row r="560" spans="1:20" x14ac:dyDescent="0.25">
      <c r="A560" s="715">
        <v>96121</v>
      </c>
      <c r="B560" s="716" t="s">
        <v>3091</v>
      </c>
      <c r="C560" s="717">
        <v>2.2500000000000001E-5</v>
      </c>
      <c r="D560" s="717">
        <v>2.2099999999999998E-5</v>
      </c>
      <c r="E560" s="718">
        <v>34374</v>
      </c>
      <c r="F560" s="718"/>
      <c r="G560" s="719">
        <v>1980</v>
      </c>
      <c r="H560" s="720">
        <v>8346</v>
      </c>
      <c r="I560" s="719">
        <v>4909</v>
      </c>
      <c r="J560" s="718">
        <v>397</v>
      </c>
      <c r="K560" s="720">
        <f t="shared" si="16"/>
        <v>15632</v>
      </c>
      <c r="L560" s="718"/>
      <c r="M560" s="719">
        <v>973</v>
      </c>
      <c r="N560" s="719">
        <v>0</v>
      </c>
      <c r="O560" s="718">
        <v>1764</v>
      </c>
      <c r="P560" s="720">
        <f t="shared" si="17"/>
        <v>2737</v>
      </c>
      <c r="Q560" s="718"/>
      <c r="R560" s="719">
        <v>11584</v>
      </c>
      <c r="S560" s="721">
        <v>-946</v>
      </c>
      <c r="T560" s="721">
        <v>10638</v>
      </c>
    </row>
    <row r="561" spans="1:20" x14ac:dyDescent="0.25">
      <c r="A561" s="715">
        <v>96201</v>
      </c>
      <c r="B561" s="716" t="s">
        <v>3092</v>
      </c>
      <c r="C561" s="717">
        <v>1.1788E-3</v>
      </c>
      <c r="D561" s="717">
        <v>1.2302999999999999E-3</v>
      </c>
      <c r="E561" s="718">
        <v>1800880</v>
      </c>
      <c r="F561" s="718"/>
      <c r="G561" s="719">
        <v>103747</v>
      </c>
      <c r="H561" s="720">
        <v>437256</v>
      </c>
      <c r="I561" s="719">
        <v>257191</v>
      </c>
      <c r="J561" s="718">
        <v>0</v>
      </c>
      <c r="K561" s="720">
        <f t="shared" si="16"/>
        <v>798194</v>
      </c>
      <c r="L561" s="718"/>
      <c r="M561" s="719">
        <v>50977</v>
      </c>
      <c r="N561" s="719">
        <v>0</v>
      </c>
      <c r="O561" s="718">
        <v>73119</v>
      </c>
      <c r="P561" s="720">
        <f t="shared" si="17"/>
        <v>124096</v>
      </c>
      <c r="Q561" s="718"/>
      <c r="R561" s="719">
        <v>606898</v>
      </c>
      <c r="S561" s="721">
        <v>-23257</v>
      </c>
      <c r="T561" s="721">
        <v>583641</v>
      </c>
    </row>
    <row r="562" spans="1:20" x14ac:dyDescent="0.25">
      <c r="A562" s="715">
        <v>96204</v>
      </c>
      <c r="B562" s="716" t="s">
        <v>3093</v>
      </c>
      <c r="C562" s="717">
        <v>1.5099999999999999E-5</v>
      </c>
      <c r="D562" s="717">
        <v>1.5400000000000002E-5</v>
      </c>
      <c r="E562" s="718">
        <v>23069</v>
      </c>
      <c r="F562" s="718"/>
      <c r="G562" s="719">
        <v>1329</v>
      </c>
      <c r="H562" s="720">
        <v>5602</v>
      </c>
      <c r="I562" s="719">
        <v>3295</v>
      </c>
      <c r="J562" s="718">
        <v>3517</v>
      </c>
      <c r="K562" s="720">
        <f t="shared" si="16"/>
        <v>13743</v>
      </c>
      <c r="L562" s="718"/>
      <c r="M562" s="719">
        <v>653</v>
      </c>
      <c r="N562" s="719">
        <v>0</v>
      </c>
      <c r="O562" s="718">
        <v>0</v>
      </c>
      <c r="P562" s="720">
        <f t="shared" si="17"/>
        <v>653</v>
      </c>
      <c r="Q562" s="718"/>
      <c r="R562" s="719">
        <v>7774</v>
      </c>
      <c r="S562" s="721">
        <v>1655</v>
      </c>
      <c r="T562" s="721">
        <f>9430-1</f>
        <v>9429</v>
      </c>
    </row>
    <row r="563" spans="1:20" x14ac:dyDescent="0.25">
      <c r="A563" s="715">
        <v>96211</v>
      </c>
      <c r="B563" s="716" t="s">
        <v>3094</v>
      </c>
      <c r="C563" s="717">
        <v>2.62E-5</v>
      </c>
      <c r="D563" s="717">
        <v>3.0700000000000001E-5</v>
      </c>
      <c r="E563" s="718">
        <v>40026</v>
      </c>
      <c r="F563" s="718"/>
      <c r="G563" s="719">
        <v>2306</v>
      </c>
      <c r="H563" s="720">
        <v>9718</v>
      </c>
      <c r="I563" s="719">
        <v>5716</v>
      </c>
      <c r="J563" s="718">
        <v>4494</v>
      </c>
      <c r="K563" s="720">
        <f t="shared" si="16"/>
        <v>22234</v>
      </c>
      <c r="L563" s="718"/>
      <c r="M563" s="719">
        <v>1133</v>
      </c>
      <c r="N563" s="719">
        <v>0</v>
      </c>
      <c r="O563" s="718">
        <v>4462</v>
      </c>
      <c r="P563" s="720">
        <f t="shared" si="17"/>
        <v>5595</v>
      </c>
      <c r="Q563" s="718"/>
      <c r="R563" s="719">
        <v>13489</v>
      </c>
      <c r="S563" s="721">
        <v>-2681</v>
      </c>
      <c r="T563" s="721">
        <v>10808</v>
      </c>
    </row>
    <row r="564" spans="1:20" x14ac:dyDescent="0.25">
      <c r="A564" s="715">
        <v>96221</v>
      </c>
      <c r="B564" s="716" t="s">
        <v>3095</v>
      </c>
      <c r="C564" s="717">
        <v>2.3350000000000001E-4</v>
      </c>
      <c r="D564" s="717">
        <v>2.287E-4</v>
      </c>
      <c r="E564" s="718">
        <v>356723</v>
      </c>
      <c r="F564" s="718"/>
      <c r="G564" s="719">
        <v>20551</v>
      </c>
      <c r="H564" s="720">
        <v>86613</v>
      </c>
      <c r="I564" s="719">
        <v>50945</v>
      </c>
      <c r="J564" s="718">
        <v>2439</v>
      </c>
      <c r="K564" s="720">
        <f t="shared" si="16"/>
        <v>160548</v>
      </c>
      <c r="L564" s="718"/>
      <c r="M564" s="719">
        <v>10098</v>
      </c>
      <c r="N564" s="719">
        <v>0</v>
      </c>
      <c r="O564" s="718">
        <v>15042</v>
      </c>
      <c r="P564" s="720">
        <f t="shared" si="17"/>
        <v>25140</v>
      </c>
      <c r="Q564" s="718"/>
      <c r="R564" s="719">
        <v>120216</v>
      </c>
      <c r="S564" s="721">
        <v>-3357</v>
      </c>
      <c r="T564" s="721">
        <f>116860-1</f>
        <v>116859</v>
      </c>
    </row>
    <row r="565" spans="1:20" x14ac:dyDescent="0.25">
      <c r="A565" s="715">
        <v>96231</v>
      </c>
      <c r="B565" s="716" t="s">
        <v>3096</v>
      </c>
      <c r="C565" s="717">
        <v>1.3339999999999999E-4</v>
      </c>
      <c r="D565" s="717">
        <v>1.145E-4</v>
      </c>
      <c r="E565" s="718">
        <v>203798</v>
      </c>
      <c r="F565" s="718"/>
      <c r="G565" s="719">
        <v>11741</v>
      </c>
      <c r="H565" s="720">
        <v>49482</v>
      </c>
      <c r="I565" s="719">
        <v>29105</v>
      </c>
      <c r="J565" s="718">
        <v>2554</v>
      </c>
      <c r="K565" s="720">
        <f t="shared" si="16"/>
        <v>92882</v>
      </c>
      <c r="L565" s="718"/>
      <c r="M565" s="719">
        <v>5769</v>
      </c>
      <c r="N565" s="719">
        <v>0</v>
      </c>
      <c r="O565" s="718">
        <v>14959</v>
      </c>
      <c r="P565" s="720">
        <f t="shared" si="17"/>
        <v>20728</v>
      </c>
      <c r="Q565" s="718"/>
      <c r="R565" s="719">
        <v>68680</v>
      </c>
      <c r="S565" s="721">
        <v>-7094</v>
      </c>
      <c r="T565" s="721">
        <v>61586</v>
      </c>
    </row>
    <row r="566" spans="1:20" x14ac:dyDescent="0.25">
      <c r="A566" s="715">
        <v>96241</v>
      </c>
      <c r="B566" s="716" t="s">
        <v>3097</v>
      </c>
      <c r="C566" s="717">
        <v>4.4700000000000002E-5</v>
      </c>
      <c r="D566" s="717">
        <v>4.6100000000000002E-5</v>
      </c>
      <c r="E566" s="718">
        <v>68289</v>
      </c>
      <c r="F566" s="718"/>
      <c r="G566" s="719">
        <v>3934</v>
      </c>
      <c r="H566" s="720">
        <v>16580</v>
      </c>
      <c r="I566" s="719">
        <v>9753</v>
      </c>
      <c r="J566" s="718">
        <v>5027</v>
      </c>
      <c r="K566" s="720">
        <f t="shared" si="16"/>
        <v>35294</v>
      </c>
      <c r="L566" s="718"/>
      <c r="M566" s="719">
        <v>1933</v>
      </c>
      <c r="N566" s="719">
        <v>0</v>
      </c>
      <c r="O566" s="718">
        <v>4371</v>
      </c>
      <c r="P566" s="720">
        <f t="shared" si="17"/>
        <v>6304</v>
      </c>
      <c r="Q566" s="718"/>
      <c r="R566" s="719">
        <v>23014</v>
      </c>
      <c r="S566" s="721">
        <v>2407</v>
      </c>
      <c r="T566" s="721">
        <f>25420+1</f>
        <v>25421</v>
      </c>
    </row>
    <row r="567" spans="1:20" x14ac:dyDescent="0.25">
      <c r="A567" s="715">
        <v>96251</v>
      </c>
      <c r="B567" s="716" t="s">
        <v>3098</v>
      </c>
      <c r="C567" s="717">
        <v>9.3999999999999994E-5</v>
      </c>
      <c r="D567" s="717">
        <v>7.7100000000000004E-5</v>
      </c>
      <c r="E567" s="718">
        <v>143606</v>
      </c>
      <c r="F567" s="718"/>
      <c r="G567" s="719">
        <v>8273</v>
      </c>
      <c r="H567" s="720">
        <v>34868</v>
      </c>
      <c r="I567" s="719">
        <v>20509</v>
      </c>
      <c r="J567" s="718">
        <v>6198</v>
      </c>
      <c r="K567" s="720">
        <f t="shared" si="16"/>
        <v>69848</v>
      </c>
      <c r="L567" s="718"/>
      <c r="M567" s="719">
        <v>4065</v>
      </c>
      <c r="N567" s="719">
        <v>0</v>
      </c>
      <c r="O567" s="718">
        <v>16886</v>
      </c>
      <c r="P567" s="720">
        <f t="shared" si="17"/>
        <v>20951</v>
      </c>
      <c r="Q567" s="718"/>
      <c r="R567" s="719">
        <v>48395</v>
      </c>
      <c r="S567" s="721">
        <v>-7102</v>
      </c>
      <c r="T567" s="721">
        <v>41293</v>
      </c>
    </row>
    <row r="568" spans="1:20" x14ac:dyDescent="0.25">
      <c r="A568" s="715">
        <v>96301</v>
      </c>
      <c r="B568" s="716" t="s">
        <v>3099</v>
      </c>
      <c r="C568" s="717">
        <v>4.3712999999999998E-3</v>
      </c>
      <c r="D568" s="717">
        <v>4.3785999999999999E-3</v>
      </c>
      <c r="E568" s="718">
        <v>6678136</v>
      </c>
      <c r="F568" s="718"/>
      <c r="G568" s="719">
        <v>384722</v>
      </c>
      <c r="H568" s="720">
        <v>1621460</v>
      </c>
      <c r="I568" s="719">
        <v>953730</v>
      </c>
      <c r="J568" s="718">
        <v>60786</v>
      </c>
      <c r="K568" s="720">
        <f t="shared" si="16"/>
        <v>3020698</v>
      </c>
      <c r="L568" s="718"/>
      <c r="M568" s="719">
        <v>189037</v>
      </c>
      <c r="N568" s="719">
        <v>0</v>
      </c>
      <c r="O568" s="718">
        <v>160488</v>
      </c>
      <c r="P568" s="720">
        <f t="shared" si="17"/>
        <v>349525</v>
      </c>
      <c r="Q568" s="718"/>
      <c r="R568" s="719">
        <v>2250538</v>
      </c>
      <c r="S568" s="721">
        <v>-27776</v>
      </c>
      <c r="T568" s="721">
        <v>2222762</v>
      </c>
    </row>
    <row r="569" spans="1:20" x14ac:dyDescent="0.25">
      <c r="A569" s="715">
        <v>96302</v>
      </c>
      <c r="B569" s="716" t="s">
        <v>3100</v>
      </c>
      <c r="C569" s="717">
        <v>2.5199999999999999E-5</v>
      </c>
      <c r="D569" s="717">
        <v>1.9199999999999999E-5</v>
      </c>
      <c r="E569" s="718">
        <v>38499</v>
      </c>
      <c r="F569" s="718"/>
      <c r="G569" s="719">
        <v>2218</v>
      </c>
      <c r="H569" s="720">
        <v>9347</v>
      </c>
      <c r="I569" s="719">
        <v>5498</v>
      </c>
      <c r="J569" s="718">
        <v>7399</v>
      </c>
      <c r="K569" s="720">
        <f t="shared" si="16"/>
        <v>24462</v>
      </c>
      <c r="L569" s="718"/>
      <c r="M569" s="719">
        <v>1090</v>
      </c>
      <c r="N569" s="719">
        <v>0</v>
      </c>
      <c r="O569" s="718">
        <v>0</v>
      </c>
      <c r="P569" s="720">
        <f t="shared" si="17"/>
        <v>1090</v>
      </c>
      <c r="Q569" s="718"/>
      <c r="R569" s="719">
        <v>12974</v>
      </c>
      <c r="S569" s="721">
        <v>2631</v>
      </c>
      <c r="T569" s="721">
        <v>15605</v>
      </c>
    </row>
    <row r="570" spans="1:20" x14ac:dyDescent="0.25">
      <c r="A570" s="715">
        <v>96304</v>
      </c>
      <c r="B570" s="716" t="s">
        <v>3101</v>
      </c>
      <c r="C570" s="717">
        <v>4.5500000000000001E-5</v>
      </c>
      <c r="D570" s="717">
        <v>5.4599999999999999E-5</v>
      </c>
      <c r="E570" s="718">
        <v>69511</v>
      </c>
      <c r="F570" s="718"/>
      <c r="G570" s="719">
        <v>4005</v>
      </c>
      <c r="H570" s="720">
        <v>16877</v>
      </c>
      <c r="I570" s="719">
        <v>9927</v>
      </c>
      <c r="J570" s="718">
        <v>5469</v>
      </c>
      <c r="K570" s="720">
        <f t="shared" si="16"/>
        <v>36278</v>
      </c>
      <c r="L570" s="718"/>
      <c r="M570" s="719">
        <v>1968</v>
      </c>
      <c r="N570" s="719">
        <v>0</v>
      </c>
      <c r="O570" s="718">
        <v>1092</v>
      </c>
      <c r="P570" s="720">
        <f t="shared" si="17"/>
        <v>3060</v>
      </c>
      <c r="Q570" s="718"/>
      <c r="R570" s="719">
        <v>23425</v>
      </c>
      <c r="S570" s="721">
        <v>2085</v>
      </c>
      <c r="T570" s="721">
        <v>25510</v>
      </c>
    </row>
    <row r="571" spans="1:20" x14ac:dyDescent="0.25">
      <c r="A571" s="715">
        <v>96305</v>
      </c>
      <c r="B571" s="716" t="s">
        <v>3102</v>
      </c>
      <c r="C571" s="717">
        <v>4.5500000000000001E-5</v>
      </c>
      <c r="D571" s="717">
        <v>4.8199999999999999E-5</v>
      </c>
      <c r="E571" s="718">
        <v>69511</v>
      </c>
      <c r="F571" s="718"/>
      <c r="G571" s="719">
        <v>4005</v>
      </c>
      <c r="H571" s="720">
        <v>16877</v>
      </c>
      <c r="I571" s="719">
        <v>9927</v>
      </c>
      <c r="J571" s="718">
        <v>13328</v>
      </c>
      <c r="K571" s="720">
        <f t="shared" si="16"/>
        <v>44137</v>
      </c>
      <c r="L571" s="718"/>
      <c r="M571" s="719">
        <v>1968</v>
      </c>
      <c r="N571" s="719">
        <v>0</v>
      </c>
      <c r="O571" s="718">
        <v>0</v>
      </c>
      <c r="P571" s="720">
        <f t="shared" si="17"/>
        <v>1968</v>
      </c>
      <c r="Q571" s="718"/>
      <c r="R571" s="719">
        <v>23425</v>
      </c>
      <c r="S571" s="721">
        <v>4752</v>
      </c>
      <c r="T571" s="721">
        <v>28177</v>
      </c>
    </row>
    <row r="572" spans="1:20" x14ac:dyDescent="0.25">
      <c r="A572" s="715">
        <v>96310</v>
      </c>
      <c r="B572" s="716" t="s">
        <v>3103</v>
      </c>
      <c r="C572" s="717">
        <v>6.1099999999999994E-5</v>
      </c>
      <c r="D572" s="717">
        <v>4.88E-5</v>
      </c>
      <c r="E572" s="718">
        <v>93344</v>
      </c>
      <c r="F572" s="718"/>
      <c r="G572" s="719">
        <v>5377</v>
      </c>
      <c r="H572" s="720">
        <v>22664</v>
      </c>
      <c r="I572" s="719">
        <v>13331</v>
      </c>
      <c r="J572" s="718">
        <v>10507</v>
      </c>
      <c r="K572" s="720">
        <f t="shared" si="16"/>
        <v>51879</v>
      </c>
      <c r="L572" s="718"/>
      <c r="M572" s="719">
        <v>2642</v>
      </c>
      <c r="N572" s="719">
        <v>0</v>
      </c>
      <c r="O572" s="718">
        <v>3055</v>
      </c>
      <c r="P572" s="720">
        <f t="shared" si="17"/>
        <v>5697</v>
      </c>
      <c r="Q572" s="718"/>
      <c r="R572" s="719">
        <v>31457</v>
      </c>
      <c r="S572" s="721">
        <v>3506</v>
      </c>
      <c r="T572" s="721">
        <v>34963</v>
      </c>
    </row>
    <row r="573" spans="1:20" x14ac:dyDescent="0.25">
      <c r="A573" s="715">
        <v>96311</v>
      </c>
      <c r="B573" s="716" t="s">
        <v>3104</v>
      </c>
      <c r="C573" s="717">
        <v>1.3113000000000001E-3</v>
      </c>
      <c r="D573" s="717">
        <v>1.4082999999999999E-3</v>
      </c>
      <c r="E573" s="718">
        <v>2003303</v>
      </c>
      <c r="F573" s="718"/>
      <c r="G573" s="719">
        <v>115409</v>
      </c>
      <c r="H573" s="720">
        <v>486404</v>
      </c>
      <c r="I573" s="719">
        <v>286099</v>
      </c>
      <c r="J573" s="718">
        <v>11041</v>
      </c>
      <c r="K573" s="720">
        <f t="shared" si="16"/>
        <v>898953</v>
      </c>
      <c r="L573" s="718"/>
      <c r="M573" s="719">
        <v>56707</v>
      </c>
      <c r="N573" s="719">
        <v>0</v>
      </c>
      <c r="O573" s="718">
        <v>139297</v>
      </c>
      <c r="P573" s="720">
        <f t="shared" si="17"/>
        <v>196004</v>
      </c>
      <c r="Q573" s="718"/>
      <c r="R573" s="719">
        <v>675115</v>
      </c>
      <c r="S573" s="721">
        <v>-33999</v>
      </c>
      <c r="T573" s="721">
        <v>641116</v>
      </c>
    </row>
    <row r="574" spans="1:20" x14ac:dyDescent="0.25">
      <c r="A574" s="715">
        <v>96312</v>
      </c>
      <c r="B574" s="716" t="s">
        <v>3105</v>
      </c>
      <c r="C574" s="717">
        <v>1.5999999999999999E-5</v>
      </c>
      <c r="D574" s="717">
        <v>1.5999999999999999E-6</v>
      </c>
      <c r="E574" s="718">
        <v>24444</v>
      </c>
      <c r="F574" s="718"/>
      <c r="G574" s="719">
        <v>1408</v>
      </c>
      <c r="H574" s="720">
        <v>5935</v>
      </c>
      <c r="I574" s="719">
        <v>3491</v>
      </c>
      <c r="J574" s="718">
        <v>7668</v>
      </c>
      <c r="K574" s="720">
        <f t="shared" si="16"/>
        <v>18502</v>
      </c>
      <c r="L574" s="718"/>
      <c r="M574" s="719">
        <v>692</v>
      </c>
      <c r="N574" s="719">
        <v>0</v>
      </c>
      <c r="O574" s="718">
        <v>1864</v>
      </c>
      <c r="P574" s="720">
        <f t="shared" si="17"/>
        <v>2556</v>
      </c>
      <c r="Q574" s="718"/>
      <c r="R574" s="719">
        <v>8238</v>
      </c>
      <c r="S574" s="721">
        <v>374</v>
      </c>
      <c r="T574" s="721">
        <v>8612</v>
      </c>
    </row>
    <row r="575" spans="1:20" x14ac:dyDescent="0.25">
      <c r="A575" s="715">
        <v>96318</v>
      </c>
      <c r="B575" s="716" t="s">
        <v>3106</v>
      </c>
      <c r="C575" s="717">
        <v>2.1684999999999999E-3</v>
      </c>
      <c r="D575" s="717">
        <v>1.7782E-3</v>
      </c>
      <c r="E575" s="718">
        <v>3312867</v>
      </c>
      <c r="F575" s="718"/>
      <c r="G575" s="719">
        <v>190852</v>
      </c>
      <c r="H575" s="720">
        <v>804368</v>
      </c>
      <c r="I575" s="719">
        <v>473123</v>
      </c>
      <c r="J575" s="718">
        <v>7711758</v>
      </c>
      <c r="K575" s="720">
        <f t="shared" si="16"/>
        <v>9180101</v>
      </c>
      <c r="L575" s="718"/>
      <c r="M575" s="719">
        <v>93777</v>
      </c>
      <c r="N575" s="719">
        <v>0</v>
      </c>
      <c r="O575" s="718">
        <v>0</v>
      </c>
      <c r="P575" s="720">
        <f t="shared" si="17"/>
        <v>93777</v>
      </c>
      <c r="Q575" s="718"/>
      <c r="R575" s="719">
        <v>1116439</v>
      </c>
      <c r="S575" s="721">
        <v>2665103</v>
      </c>
      <c r="T575" s="721">
        <v>3781542</v>
      </c>
    </row>
    <row r="576" spans="1:20" x14ac:dyDescent="0.25">
      <c r="A576" s="715">
        <v>96321</v>
      </c>
      <c r="B576" s="716" t="s">
        <v>3107</v>
      </c>
      <c r="C576" s="717">
        <v>3.6900000000000002E-5</v>
      </c>
      <c r="D576" s="717">
        <v>3.7400000000000001E-5</v>
      </c>
      <c r="E576" s="718">
        <v>56373</v>
      </c>
      <c r="F576" s="718"/>
      <c r="G576" s="719">
        <v>3248</v>
      </c>
      <c r="H576" s="720">
        <v>13687</v>
      </c>
      <c r="I576" s="719">
        <v>8051</v>
      </c>
      <c r="J576" s="718">
        <v>1642</v>
      </c>
      <c r="K576" s="720">
        <f t="shared" si="16"/>
        <v>26628</v>
      </c>
      <c r="L576" s="718"/>
      <c r="M576" s="719">
        <v>1596</v>
      </c>
      <c r="N576" s="719">
        <v>0</v>
      </c>
      <c r="O576" s="718">
        <v>2449</v>
      </c>
      <c r="P576" s="720">
        <f t="shared" si="17"/>
        <v>4045</v>
      </c>
      <c r="Q576" s="718"/>
      <c r="R576" s="719">
        <v>18998</v>
      </c>
      <c r="S576" s="721">
        <v>-489</v>
      </c>
      <c r="T576" s="721">
        <v>18509</v>
      </c>
    </row>
    <row r="577" spans="1:20" x14ac:dyDescent="0.25">
      <c r="A577" s="715">
        <v>96331</v>
      </c>
      <c r="B577" s="716" t="s">
        <v>3108</v>
      </c>
      <c r="C577" s="717">
        <v>7.0850000000000004E-4</v>
      </c>
      <c r="D577" s="717">
        <v>7.1699999999999997E-4</v>
      </c>
      <c r="E577" s="718">
        <v>1082392</v>
      </c>
      <c r="F577" s="718"/>
      <c r="G577" s="719">
        <v>62356</v>
      </c>
      <c r="H577" s="720">
        <v>262806</v>
      </c>
      <c r="I577" s="719">
        <v>154581</v>
      </c>
      <c r="J577" s="718">
        <v>3107</v>
      </c>
      <c r="K577" s="720">
        <f t="shared" si="16"/>
        <v>482850</v>
      </c>
      <c r="L577" s="718"/>
      <c r="M577" s="719">
        <v>30639</v>
      </c>
      <c r="N577" s="719">
        <v>0</v>
      </c>
      <c r="O577" s="718">
        <v>53524</v>
      </c>
      <c r="P577" s="720">
        <f t="shared" si="17"/>
        <v>84163</v>
      </c>
      <c r="Q577" s="718"/>
      <c r="R577" s="719">
        <v>364767</v>
      </c>
      <c r="S577" s="721">
        <v>-22322</v>
      </c>
      <c r="T577" s="721">
        <v>342445</v>
      </c>
    </row>
    <row r="578" spans="1:20" x14ac:dyDescent="0.25">
      <c r="A578" s="715">
        <v>96341</v>
      </c>
      <c r="B578" s="716" t="s">
        <v>3109</v>
      </c>
      <c r="C578" s="717">
        <v>8.3800000000000004E-5</v>
      </c>
      <c r="D578" s="717">
        <v>9.1600000000000004E-5</v>
      </c>
      <c r="E578" s="718">
        <v>128023</v>
      </c>
      <c r="F578" s="718"/>
      <c r="G578" s="719">
        <v>7375</v>
      </c>
      <c r="H578" s="720">
        <v>31084</v>
      </c>
      <c r="I578" s="719">
        <v>18283</v>
      </c>
      <c r="J578" s="718">
        <v>8694</v>
      </c>
      <c r="K578" s="720">
        <f t="shared" si="16"/>
        <v>65436</v>
      </c>
      <c r="L578" s="718"/>
      <c r="M578" s="719">
        <v>3624</v>
      </c>
      <c r="N578" s="719">
        <v>0</v>
      </c>
      <c r="O578" s="718">
        <v>13544</v>
      </c>
      <c r="P578" s="720">
        <f t="shared" si="17"/>
        <v>17168</v>
      </c>
      <c r="Q578" s="718"/>
      <c r="R578" s="719">
        <v>43144</v>
      </c>
      <c r="S578" s="721">
        <v>-3090</v>
      </c>
      <c r="T578" s="721">
        <v>40054</v>
      </c>
    </row>
    <row r="579" spans="1:20" x14ac:dyDescent="0.25">
      <c r="A579" s="715">
        <v>96351</v>
      </c>
      <c r="B579" s="716" t="s">
        <v>3110</v>
      </c>
      <c r="C579" s="717">
        <v>1.0616E-3</v>
      </c>
      <c r="D579" s="717">
        <v>1.0736000000000001E-3</v>
      </c>
      <c r="E579" s="718">
        <v>1621831</v>
      </c>
      <c r="F579" s="718"/>
      <c r="G579" s="719">
        <v>93432</v>
      </c>
      <c r="H579" s="720">
        <v>393782</v>
      </c>
      <c r="I579" s="719">
        <v>231620</v>
      </c>
      <c r="J579" s="718">
        <v>5421</v>
      </c>
      <c r="K579" s="720">
        <f t="shared" si="16"/>
        <v>724255</v>
      </c>
      <c r="L579" s="718"/>
      <c r="M579" s="719">
        <v>45909</v>
      </c>
      <c r="N579" s="719">
        <v>0</v>
      </c>
      <c r="O579" s="718">
        <v>28542</v>
      </c>
      <c r="P579" s="720">
        <f t="shared" si="17"/>
        <v>74451</v>
      </c>
      <c r="Q579" s="718"/>
      <c r="R579" s="719">
        <v>546558</v>
      </c>
      <c r="S579" s="721">
        <v>-5218</v>
      </c>
      <c r="T579" s="721">
        <v>541340</v>
      </c>
    </row>
    <row r="580" spans="1:20" x14ac:dyDescent="0.25">
      <c r="A580" s="715">
        <v>96361</v>
      </c>
      <c r="B580" s="716" t="s">
        <v>3111</v>
      </c>
      <c r="C580" s="717">
        <v>5.5699999999999999E-5</v>
      </c>
      <c r="D580" s="717">
        <v>5.8900000000000002E-5</v>
      </c>
      <c r="E580" s="718">
        <v>85094</v>
      </c>
      <c r="F580" s="718"/>
      <c r="G580" s="719">
        <v>4902</v>
      </c>
      <c r="H580" s="720">
        <v>20661</v>
      </c>
      <c r="I580" s="719">
        <v>12153</v>
      </c>
      <c r="J580" s="718">
        <v>3403</v>
      </c>
      <c r="K580" s="720">
        <f t="shared" si="16"/>
        <v>41119</v>
      </c>
      <c r="L580" s="718"/>
      <c r="M580" s="719">
        <v>2409</v>
      </c>
      <c r="N580" s="719">
        <v>0</v>
      </c>
      <c r="O580" s="718">
        <v>3423</v>
      </c>
      <c r="P580" s="720">
        <f t="shared" si="17"/>
        <v>5832</v>
      </c>
      <c r="Q580" s="718"/>
      <c r="R580" s="719">
        <v>28677</v>
      </c>
      <c r="S580" s="721">
        <v>936</v>
      </c>
      <c r="T580" s="721">
        <f>29612+1</f>
        <v>29613</v>
      </c>
    </row>
    <row r="581" spans="1:20" x14ac:dyDescent="0.25">
      <c r="A581" s="715">
        <v>96371</v>
      </c>
      <c r="B581" s="716" t="s">
        <v>3112</v>
      </c>
      <c r="C581" s="717">
        <v>1.5249999999999999E-4</v>
      </c>
      <c r="D581" s="717">
        <v>1.6359999999999999E-4</v>
      </c>
      <c r="E581" s="718">
        <v>232978</v>
      </c>
      <c r="F581" s="718"/>
      <c r="G581" s="719">
        <v>13422</v>
      </c>
      <c r="H581" s="720">
        <v>56568</v>
      </c>
      <c r="I581" s="719">
        <v>33272</v>
      </c>
      <c r="J581" s="718">
        <v>1335</v>
      </c>
      <c r="K581" s="720">
        <f t="shared" si="16"/>
        <v>104597</v>
      </c>
      <c r="L581" s="718"/>
      <c r="M581" s="719">
        <v>6595</v>
      </c>
      <c r="N581" s="719">
        <v>0</v>
      </c>
      <c r="O581" s="718">
        <v>14966</v>
      </c>
      <c r="P581" s="720">
        <f t="shared" si="17"/>
        <v>21561</v>
      </c>
      <c r="Q581" s="718"/>
      <c r="R581" s="719">
        <v>78514</v>
      </c>
      <c r="S581" s="721">
        <v>-3158</v>
      </c>
      <c r="T581" s="721">
        <v>75356</v>
      </c>
    </row>
    <row r="582" spans="1:20" x14ac:dyDescent="0.25">
      <c r="A582" s="715">
        <v>96381</v>
      </c>
      <c r="B582" s="716" t="s">
        <v>3113</v>
      </c>
      <c r="C582" s="717">
        <v>3.2100000000000001E-5</v>
      </c>
      <c r="D582" s="717">
        <v>3.26E-5</v>
      </c>
      <c r="E582" s="718">
        <v>49040</v>
      </c>
      <c r="F582" s="718"/>
      <c r="G582" s="719">
        <v>2825</v>
      </c>
      <c r="H582" s="720">
        <v>11907</v>
      </c>
      <c r="I582" s="719">
        <v>7004</v>
      </c>
      <c r="J582" s="718">
        <v>235</v>
      </c>
      <c r="K582" s="720">
        <f t="shared" si="16"/>
        <v>21971</v>
      </c>
      <c r="L582" s="718"/>
      <c r="M582" s="719">
        <v>1388</v>
      </c>
      <c r="N582" s="719">
        <v>0</v>
      </c>
      <c r="O582" s="718">
        <v>1858</v>
      </c>
      <c r="P582" s="720">
        <f t="shared" si="17"/>
        <v>3246</v>
      </c>
      <c r="Q582" s="718"/>
      <c r="R582" s="719">
        <v>16526</v>
      </c>
      <c r="S582" s="721">
        <v>-1164</v>
      </c>
      <c r="T582" s="721">
        <v>15362</v>
      </c>
    </row>
    <row r="583" spans="1:20" x14ac:dyDescent="0.25">
      <c r="A583" s="715">
        <v>96391</v>
      </c>
      <c r="B583" s="716" t="s">
        <v>3114</v>
      </c>
      <c r="C583" s="717">
        <v>2.029E-4</v>
      </c>
      <c r="D583" s="717">
        <v>1.807E-4</v>
      </c>
      <c r="E583" s="718">
        <v>309975</v>
      </c>
      <c r="F583" s="718"/>
      <c r="G583" s="719">
        <v>17857</v>
      </c>
      <c r="H583" s="720">
        <v>75263</v>
      </c>
      <c r="I583" s="719">
        <v>44269</v>
      </c>
      <c r="J583" s="718">
        <v>9831</v>
      </c>
      <c r="K583" s="720">
        <f t="shared" ref="K583:K646" si="18">G583+H583+I583+J583</f>
        <v>147220</v>
      </c>
      <c r="L583" s="718"/>
      <c r="M583" s="719">
        <v>8774</v>
      </c>
      <c r="N583" s="719">
        <v>0</v>
      </c>
      <c r="O583" s="718">
        <v>18208</v>
      </c>
      <c r="P583" s="720">
        <f t="shared" ref="P583:P646" si="19">M583+N583+O583</f>
        <v>26982</v>
      </c>
      <c r="Q583" s="718"/>
      <c r="R583" s="719">
        <v>104462</v>
      </c>
      <c r="S583" s="721">
        <v>2008</v>
      </c>
      <c r="T583" s="721">
        <v>106470</v>
      </c>
    </row>
    <row r="584" spans="1:20" x14ac:dyDescent="0.25">
      <c r="A584" s="715">
        <v>96401</v>
      </c>
      <c r="B584" s="716" t="s">
        <v>3115</v>
      </c>
      <c r="C584" s="717">
        <v>4.5672000000000004E-3</v>
      </c>
      <c r="D584" s="717">
        <v>4.5900000000000003E-3</v>
      </c>
      <c r="E584" s="718">
        <v>6977416</v>
      </c>
      <c r="F584" s="718"/>
      <c r="G584" s="719">
        <v>401964</v>
      </c>
      <c r="H584" s="720">
        <v>1694125</v>
      </c>
      <c r="I584" s="719">
        <v>996472</v>
      </c>
      <c r="J584" s="718">
        <v>15869</v>
      </c>
      <c r="K584" s="720">
        <f t="shared" si="18"/>
        <v>3108430</v>
      </c>
      <c r="L584" s="718"/>
      <c r="M584" s="719">
        <v>197509</v>
      </c>
      <c r="N584" s="719">
        <v>0</v>
      </c>
      <c r="O584" s="718">
        <v>86285</v>
      </c>
      <c r="P584" s="720">
        <f t="shared" si="19"/>
        <v>283794</v>
      </c>
      <c r="Q584" s="718"/>
      <c r="R584" s="719">
        <v>2351396</v>
      </c>
      <c r="S584" s="721">
        <v>-10848</v>
      </c>
      <c r="T584" s="721">
        <v>2340548</v>
      </c>
    </row>
    <row r="585" spans="1:20" x14ac:dyDescent="0.25">
      <c r="A585" s="715">
        <v>96404</v>
      </c>
      <c r="B585" s="716" t="s">
        <v>3116</v>
      </c>
      <c r="C585" s="717">
        <v>1.026E-4</v>
      </c>
      <c r="D585" s="717">
        <v>9.8800000000000003E-5</v>
      </c>
      <c r="E585" s="718">
        <v>156744</v>
      </c>
      <c r="F585" s="718"/>
      <c r="G585" s="719">
        <v>9030</v>
      </c>
      <c r="H585" s="720">
        <v>38058</v>
      </c>
      <c r="I585" s="719">
        <v>22385</v>
      </c>
      <c r="J585" s="718">
        <v>26983</v>
      </c>
      <c r="K585" s="720">
        <f t="shared" si="18"/>
        <v>96456</v>
      </c>
      <c r="L585" s="718"/>
      <c r="M585" s="719">
        <v>4437</v>
      </c>
      <c r="N585" s="719">
        <v>0</v>
      </c>
      <c r="O585" s="718">
        <v>0</v>
      </c>
      <c r="P585" s="720">
        <f t="shared" si="19"/>
        <v>4437</v>
      </c>
      <c r="Q585" s="718"/>
      <c r="R585" s="719">
        <v>52823</v>
      </c>
      <c r="S585" s="721">
        <v>10540</v>
      </c>
      <c r="T585" s="721">
        <v>63363</v>
      </c>
    </row>
    <row r="586" spans="1:20" x14ac:dyDescent="0.25">
      <c r="A586" s="715">
        <v>96405</v>
      </c>
      <c r="B586" s="716" t="s">
        <v>3117</v>
      </c>
      <c r="C586" s="717">
        <v>1.6139999999999999E-4</v>
      </c>
      <c r="D586" s="717">
        <v>1.7760000000000001E-4</v>
      </c>
      <c r="E586" s="718">
        <v>246574</v>
      </c>
      <c r="F586" s="718"/>
      <c r="G586" s="719">
        <v>14205</v>
      </c>
      <c r="H586" s="720">
        <v>59869</v>
      </c>
      <c r="I586" s="719">
        <v>35214</v>
      </c>
      <c r="J586" s="718">
        <v>10221</v>
      </c>
      <c r="K586" s="720">
        <f t="shared" si="18"/>
        <v>119509</v>
      </c>
      <c r="L586" s="718"/>
      <c r="M586" s="719">
        <v>6980</v>
      </c>
      <c r="N586" s="719">
        <v>0</v>
      </c>
      <c r="O586" s="718">
        <v>2204</v>
      </c>
      <c r="P586" s="720">
        <f t="shared" si="19"/>
        <v>9184</v>
      </c>
      <c r="Q586" s="718"/>
      <c r="R586" s="719">
        <v>83096</v>
      </c>
      <c r="S586" s="721">
        <v>4354</v>
      </c>
      <c r="T586" s="721">
        <v>87450</v>
      </c>
    </row>
    <row r="587" spans="1:20" x14ac:dyDescent="0.25">
      <c r="A587" s="715">
        <v>96411</v>
      </c>
      <c r="B587" s="716" t="s">
        <v>3118</v>
      </c>
      <c r="C587" s="717">
        <v>7.2299999999999996E-5</v>
      </c>
      <c r="D587" s="717">
        <v>5.66E-5</v>
      </c>
      <c r="E587" s="718">
        <v>110454</v>
      </c>
      <c r="F587" s="718"/>
      <c r="G587" s="719">
        <v>6363</v>
      </c>
      <c r="H587" s="720">
        <v>26818</v>
      </c>
      <c r="I587" s="719">
        <v>15774</v>
      </c>
      <c r="J587" s="718">
        <v>12280</v>
      </c>
      <c r="K587" s="720">
        <f t="shared" si="18"/>
        <v>61235</v>
      </c>
      <c r="L587" s="718"/>
      <c r="M587" s="719">
        <v>3127</v>
      </c>
      <c r="N587" s="719">
        <v>0</v>
      </c>
      <c r="O587" s="718">
        <v>4004</v>
      </c>
      <c r="P587" s="720">
        <f t="shared" si="19"/>
        <v>7131</v>
      </c>
      <c r="Q587" s="718"/>
      <c r="R587" s="719">
        <v>37223</v>
      </c>
      <c r="S587" s="721">
        <v>2528</v>
      </c>
      <c r="T587" s="721">
        <v>39751</v>
      </c>
    </row>
    <row r="588" spans="1:20" x14ac:dyDescent="0.25">
      <c r="A588" s="715">
        <v>96421</v>
      </c>
      <c r="B588" s="716" t="s">
        <v>3119</v>
      </c>
      <c r="C588" s="717">
        <v>4.2529999999999998E-4</v>
      </c>
      <c r="D588" s="717">
        <v>4.2860000000000001E-4</v>
      </c>
      <c r="E588" s="718">
        <v>649741</v>
      </c>
      <c r="F588" s="718"/>
      <c r="G588" s="719">
        <v>37431</v>
      </c>
      <c r="H588" s="720">
        <v>157758</v>
      </c>
      <c r="I588" s="719">
        <v>92792</v>
      </c>
      <c r="J588" s="718">
        <v>0</v>
      </c>
      <c r="K588" s="720">
        <f t="shared" si="18"/>
        <v>287981</v>
      </c>
      <c r="L588" s="718"/>
      <c r="M588" s="719">
        <v>18392</v>
      </c>
      <c r="N588" s="719">
        <v>0</v>
      </c>
      <c r="O588" s="718">
        <v>78762</v>
      </c>
      <c r="P588" s="720">
        <f t="shared" si="19"/>
        <v>97154</v>
      </c>
      <c r="Q588" s="718"/>
      <c r="R588" s="719">
        <v>218963</v>
      </c>
      <c r="S588" s="721">
        <v>-35149</v>
      </c>
      <c r="T588" s="721">
        <v>183814</v>
      </c>
    </row>
    <row r="589" spans="1:20" x14ac:dyDescent="0.25">
      <c r="A589" s="715">
        <v>96431</v>
      </c>
      <c r="B589" s="716" t="s">
        <v>3120</v>
      </c>
      <c r="C589" s="717">
        <v>4.2799999999999997E-5</v>
      </c>
      <c r="D589" s="717">
        <v>5.6100000000000002E-5</v>
      </c>
      <c r="E589" s="718">
        <v>65387</v>
      </c>
      <c r="F589" s="718"/>
      <c r="G589" s="719">
        <v>3767</v>
      </c>
      <c r="H589" s="720">
        <v>15876</v>
      </c>
      <c r="I589" s="719">
        <v>9338</v>
      </c>
      <c r="J589" s="718">
        <v>6277</v>
      </c>
      <c r="K589" s="720">
        <f t="shared" si="18"/>
        <v>35258</v>
      </c>
      <c r="L589" s="718"/>
      <c r="M589" s="719">
        <v>1851</v>
      </c>
      <c r="N589" s="719">
        <v>0</v>
      </c>
      <c r="O589" s="718">
        <v>10135</v>
      </c>
      <c r="P589" s="720">
        <f t="shared" si="19"/>
        <v>11986</v>
      </c>
      <c r="Q589" s="718"/>
      <c r="R589" s="719">
        <v>22035</v>
      </c>
      <c r="S589" s="721">
        <v>-1596</v>
      </c>
      <c r="T589" s="721">
        <v>20439</v>
      </c>
    </row>
    <row r="590" spans="1:20" x14ac:dyDescent="0.25">
      <c r="A590" s="715">
        <v>96441</v>
      </c>
      <c r="B590" s="716" t="s">
        <v>3121</v>
      </c>
      <c r="C590" s="717">
        <v>2.97E-5</v>
      </c>
      <c r="D590" s="717">
        <v>3.1199999999999999E-5</v>
      </c>
      <c r="E590" s="718">
        <v>45373</v>
      </c>
      <c r="F590" s="718"/>
      <c r="G590" s="719">
        <v>2614</v>
      </c>
      <c r="H590" s="720">
        <v>11017</v>
      </c>
      <c r="I590" s="719">
        <v>6480</v>
      </c>
      <c r="J590" s="718">
        <v>7489</v>
      </c>
      <c r="K590" s="720">
        <f t="shared" si="18"/>
        <v>27600</v>
      </c>
      <c r="L590" s="718"/>
      <c r="M590" s="719">
        <v>1284</v>
      </c>
      <c r="N590" s="719">
        <v>0</v>
      </c>
      <c r="O590" s="718">
        <v>440</v>
      </c>
      <c r="P590" s="720">
        <f t="shared" si="19"/>
        <v>1724</v>
      </c>
      <c r="Q590" s="718"/>
      <c r="R590" s="719">
        <v>15291</v>
      </c>
      <c r="S590" s="721">
        <v>2815</v>
      </c>
      <c r="T590" s="721">
        <v>18106</v>
      </c>
    </row>
    <row r="591" spans="1:20" x14ac:dyDescent="0.25">
      <c r="A591" s="715">
        <v>96451</v>
      </c>
      <c r="B591" s="716" t="s">
        <v>3122</v>
      </c>
      <c r="C591" s="717">
        <v>2.0299999999999999E-5</v>
      </c>
      <c r="D591" s="717">
        <v>1.38E-5</v>
      </c>
      <c r="E591" s="718">
        <v>31013</v>
      </c>
      <c r="F591" s="718"/>
      <c r="G591" s="719">
        <v>1787</v>
      </c>
      <c r="H591" s="720">
        <v>7530</v>
      </c>
      <c r="I591" s="719">
        <v>4429</v>
      </c>
      <c r="J591" s="718">
        <v>6431</v>
      </c>
      <c r="K591" s="720">
        <f t="shared" si="18"/>
        <v>20177</v>
      </c>
      <c r="L591" s="718"/>
      <c r="M591" s="719">
        <v>878</v>
      </c>
      <c r="N591" s="719">
        <v>0</v>
      </c>
      <c r="O591" s="718">
        <v>1319</v>
      </c>
      <c r="P591" s="720">
        <f t="shared" si="19"/>
        <v>2197</v>
      </c>
      <c r="Q591" s="718"/>
      <c r="R591" s="719">
        <v>10451</v>
      </c>
      <c r="S591" s="721">
        <v>994</v>
      </c>
      <c r="T591" s="721">
        <v>11445</v>
      </c>
    </row>
    <row r="592" spans="1:20" x14ac:dyDescent="0.25">
      <c r="A592" s="715">
        <v>96461</v>
      </c>
      <c r="B592" s="716" t="s">
        <v>3123</v>
      </c>
      <c r="C592" s="717">
        <v>1.361E-4</v>
      </c>
      <c r="D592" s="717">
        <v>1.3410000000000001E-4</v>
      </c>
      <c r="E592" s="718">
        <v>207923</v>
      </c>
      <c r="F592" s="718"/>
      <c r="G592" s="719">
        <v>11978</v>
      </c>
      <c r="H592" s="720">
        <v>50484</v>
      </c>
      <c r="I592" s="719">
        <v>29694</v>
      </c>
      <c r="J592" s="718">
        <v>6504</v>
      </c>
      <c r="K592" s="720">
        <f t="shared" si="18"/>
        <v>98660</v>
      </c>
      <c r="L592" s="718"/>
      <c r="M592" s="719">
        <v>5886</v>
      </c>
      <c r="N592" s="719">
        <v>0</v>
      </c>
      <c r="O592" s="718">
        <v>18452</v>
      </c>
      <c r="P592" s="720">
        <f t="shared" si="19"/>
        <v>24338</v>
      </c>
      <c r="Q592" s="718"/>
      <c r="R592" s="719">
        <v>70070</v>
      </c>
      <c r="S592" s="721">
        <v>-3923</v>
      </c>
      <c r="T592" s="721">
        <f>66148-1</f>
        <v>66147</v>
      </c>
    </row>
    <row r="593" spans="1:20" x14ac:dyDescent="0.25">
      <c r="A593" s="715">
        <v>96501</v>
      </c>
      <c r="B593" s="716" t="s">
        <v>3124</v>
      </c>
      <c r="C593" s="717">
        <v>1.44739E-2</v>
      </c>
      <c r="D593" s="717">
        <v>1.4156999999999999E-2</v>
      </c>
      <c r="E593" s="718">
        <v>22112110</v>
      </c>
      <c r="F593" s="718"/>
      <c r="G593" s="719">
        <v>1273862</v>
      </c>
      <c r="H593" s="720">
        <v>5368847</v>
      </c>
      <c r="I593" s="719">
        <v>3157916</v>
      </c>
      <c r="J593" s="718">
        <v>365065</v>
      </c>
      <c r="K593" s="720">
        <f t="shared" si="18"/>
        <v>10165690</v>
      </c>
      <c r="L593" s="718"/>
      <c r="M593" s="719">
        <v>625924</v>
      </c>
      <c r="N593" s="719">
        <v>0</v>
      </c>
      <c r="O593" s="718">
        <v>292930</v>
      </c>
      <c r="P593" s="720">
        <f t="shared" si="19"/>
        <v>918854</v>
      </c>
      <c r="Q593" s="718"/>
      <c r="R593" s="719">
        <v>7451801</v>
      </c>
      <c r="S593" s="721">
        <v>150498</v>
      </c>
      <c r="T593" s="721">
        <f>7602298+1</f>
        <v>7602299</v>
      </c>
    </row>
    <row r="594" spans="1:20" x14ac:dyDescent="0.25">
      <c r="A594" s="715">
        <v>96502</v>
      </c>
      <c r="B594" s="716" t="s">
        <v>3125</v>
      </c>
      <c r="C594" s="717">
        <v>4.2440000000000002E-4</v>
      </c>
      <c r="D594" s="717">
        <v>4.2309999999999998E-4</v>
      </c>
      <c r="E594" s="718">
        <v>648366</v>
      </c>
      <c r="F594" s="718"/>
      <c r="G594" s="719">
        <v>37352</v>
      </c>
      <c r="H594" s="720">
        <v>157424</v>
      </c>
      <c r="I594" s="719">
        <v>92596</v>
      </c>
      <c r="J594" s="718">
        <v>39317</v>
      </c>
      <c r="K594" s="720">
        <f t="shared" si="18"/>
        <v>326689</v>
      </c>
      <c r="L594" s="718"/>
      <c r="M594" s="719">
        <v>18353</v>
      </c>
      <c r="N594" s="719">
        <v>0</v>
      </c>
      <c r="O594" s="718">
        <v>0</v>
      </c>
      <c r="P594" s="720">
        <f t="shared" si="19"/>
        <v>18353</v>
      </c>
      <c r="Q594" s="718"/>
      <c r="R594" s="719">
        <v>218500</v>
      </c>
      <c r="S594" s="721">
        <v>23185</v>
      </c>
      <c r="T594" s="721">
        <v>241685</v>
      </c>
    </row>
    <row r="595" spans="1:20" x14ac:dyDescent="0.25">
      <c r="A595" s="715">
        <v>96503</v>
      </c>
      <c r="B595" s="716" t="s">
        <v>3559</v>
      </c>
      <c r="C595" s="717">
        <v>3.0039999999999998E-4</v>
      </c>
      <c r="D595" s="717">
        <v>3.3700000000000001E-4</v>
      </c>
      <c r="E595" s="718">
        <v>458928</v>
      </c>
      <c r="F595" s="718"/>
      <c r="G595" s="719">
        <v>26439</v>
      </c>
      <c r="H595" s="720">
        <v>111428</v>
      </c>
      <c r="I595" s="719">
        <v>65541</v>
      </c>
      <c r="J595" s="718">
        <v>240013</v>
      </c>
      <c r="K595" s="720">
        <f t="shared" si="18"/>
        <v>443421</v>
      </c>
      <c r="L595" s="718"/>
      <c r="M595" s="719">
        <v>12991</v>
      </c>
      <c r="N595" s="719">
        <v>0</v>
      </c>
      <c r="O595" s="718">
        <v>14874</v>
      </c>
      <c r="P595" s="720">
        <f t="shared" si="19"/>
        <v>27865</v>
      </c>
      <c r="Q595" s="718"/>
      <c r="R595" s="719">
        <v>154659</v>
      </c>
      <c r="S595" s="721">
        <v>71167</v>
      </c>
      <c r="T595" s="721">
        <v>225826</v>
      </c>
    </row>
    <row r="596" spans="1:20" x14ac:dyDescent="0.25">
      <c r="A596" s="715">
        <v>96504</v>
      </c>
      <c r="B596" s="716" t="s">
        <v>3127</v>
      </c>
      <c r="C596" s="717">
        <v>4.1760000000000001E-4</v>
      </c>
      <c r="D596" s="717">
        <v>3.6039999999999998E-4</v>
      </c>
      <c r="E596" s="718">
        <v>637977</v>
      </c>
      <c r="F596" s="718"/>
      <c r="G596" s="719">
        <v>36753</v>
      </c>
      <c r="H596" s="720">
        <v>154902</v>
      </c>
      <c r="I596" s="719">
        <v>91112</v>
      </c>
      <c r="J596" s="718">
        <v>44166</v>
      </c>
      <c r="K596" s="720">
        <f t="shared" si="18"/>
        <v>326933</v>
      </c>
      <c r="L596" s="718"/>
      <c r="M596" s="719">
        <v>18059</v>
      </c>
      <c r="N596" s="719">
        <v>0</v>
      </c>
      <c r="O596" s="718">
        <v>4428</v>
      </c>
      <c r="P596" s="720">
        <f t="shared" si="19"/>
        <v>22487</v>
      </c>
      <c r="Q596" s="718"/>
      <c r="R596" s="719">
        <v>214999</v>
      </c>
      <c r="S596" s="721">
        <v>11523</v>
      </c>
      <c r="T596" s="721">
        <f>226521+1</f>
        <v>226522</v>
      </c>
    </row>
    <row r="597" spans="1:20" x14ac:dyDescent="0.25">
      <c r="A597" s="715">
        <v>96507</v>
      </c>
      <c r="B597" s="716" t="s">
        <v>3128</v>
      </c>
      <c r="C597" s="717">
        <v>2.2147E-3</v>
      </c>
      <c r="D597" s="717">
        <v>2.2604999999999999E-3</v>
      </c>
      <c r="E597" s="718">
        <v>3383448</v>
      </c>
      <c r="F597" s="718"/>
      <c r="G597" s="719">
        <v>194918</v>
      </c>
      <c r="H597" s="720">
        <v>821505</v>
      </c>
      <c r="I597" s="719">
        <v>483203</v>
      </c>
      <c r="J597" s="718">
        <v>115759</v>
      </c>
      <c r="K597" s="720">
        <f t="shared" si="18"/>
        <v>1615385</v>
      </c>
      <c r="L597" s="718"/>
      <c r="M597" s="719">
        <v>95775</v>
      </c>
      <c r="N597" s="719">
        <v>0</v>
      </c>
      <c r="O597" s="718">
        <v>22795</v>
      </c>
      <c r="P597" s="720">
        <f t="shared" si="19"/>
        <v>118570</v>
      </c>
      <c r="Q597" s="718"/>
      <c r="R597" s="719">
        <v>1140225</v>
      </c>
      <c r="S597" s="721">
        <v>58867</v>
      </c>
      <c r="T597" s="721">
        <v>1199092</v>
      </c>
    </row>
    <row r="598" spans="1:20" x14ac:dyDescent="0.25">
      <c r="A598" s="715">
        <v>96508</v>
      </c>
      <c r="B598" s="716" t="s">
        <v>3129</v>
      </c>
      <c r="C598" s="717">
        <v>8.6000000000000007E-6</v>
      </c>
      <c r="D598" s="717">
        <v>9.7999999999999993E-6</v>
      </c>
      <c r="E598" s="718">
        <v>13138</v>
      </c>
      <c r="F598" s="718"/>
      <c r="G598" s="719">
        <v>757</v>
      </c>
      <c r="H598" s="720">
        <v>3190</v>
      </c>
      <c r="I598" s="719">
        <v>1876</v>
      </c>
      <c r="J598" s="718">
        <v>11113</v>
      </c>
      <c r="K598" s="720">
        <f t="shared" si="18"/>
        <v>16936</v>
      </c>
      <c r="L598" s="718"/>
      <c r="M598" s="719">
        <v>372</v>
      </c>
      <c r="N598" s="719">
        <v>0</v>
      </c>
      <c r="O598" s="718">
        <v>0</v>
      </c>
      <c r="P598" s="720">
        <f t="shared" si="19"/>
        <v>372</v>
      </c>
      <c r="Q598" s="718"/>
      <c r="R598" s="719">
        <v>4428</v>
      </c>
      <c r="S598" s="721">
        <v>4402</v>
      </c>
      <c r="T598" s="721">
        <v>8830</v>
      </c>
    </row>
    <row r="599" spans="1:20" x14ac:dyDescent="0.25">
      <c r="A599" s="715">
        <v>96511</v>
      </c>
      <c r="B599" s="716" t="s">
        <v>3130</v>
      </c>
      <c r="C599" s="717">
        <v>6.2069999999999996E-4</v>
      </c>
      <c r="D599" s="717">
        <v>6.221E-4</v>
      </c>
      <c r="E599" s="718">
        <v>948258</v>
      </c>
      <c r="F599" s="718"/>
      <c r="G599" s="719">
        <v>54628</v>
      </c>
      <c r="H599" s="720">
        <v>230238</v>
      </c>
      <c r="I599" s="719">
        <v>135424</v>
      </c>
      <c r="J599" s="718">
        <v>0</v>
      </c>
      <c r="K599" s="720">
        <f t="shared" si="18"/>
        <v>420290</v>
      </c>
      <c r="L599" s="718"/>
      <c r="M599" s="719">
        <v>26842</v>
      </c>
      <c r="N599" s="719">
        <v>0</v>
      </c>
      <c r="O599" s="718">
        <v>95843</v>
      </c>
      <c r="P599" s="720">
        <f t="shared" si="19"/>
        <v>122685</v>
      </c>
      <c r="Q599" s="718"/>
      <c r="R599" s="719">
        <v>319564</v>
      </c>
      <c r="S599" s="721">
        <v>-49396</v>
      </c>
      <c r="T599" s="721">
        <v>270168</v>
      </c>
    </row>
    <row r="600" spans="1:20" x14ac:dyDescent="0.25">
      <c r="A600" s="715">
        <v>96512</v>
      </c>
      <c r="B600" s="716" t="s">
        <v>3131</v>
      </c>
      <c r="C600" s="717">
        <v>1.5119999999999999E-4</v>
      </c>
      <c r="D600" s="717">
        <v>1.7000000000000001E-4</v>
      </c>
      <c r="E600" s="718">
        <v>230992</v>
      </c>
      <c r="F600" s="718"/>
      <c r="G600" s="719">
        <v>13307</v>
      </c>
      <c r="H600" s="720">
        <v>56085</v>
      </c>
      <c r="I600" s="719">
        <v>32989</v>
      </c>
      <c r="J600" s="718">
        <v>5578</v>
      </c>
      <c r="K600" s="720">
        <f t="shared" si="18"/>
        <v>107959</v>
      </c>
      <c r="L600" s="718"/>
      <c r="M600" s="719">
        <v>6539</v>
      </c>
      <c r="N600" s="719">
        <v>0</v>
      </c>
      <c r="O600" s="718">
        <v>9964</v>
      </c>
      <c r="P600" s="720">
        <f t="shared" si="19"/>
        <v>16503</v>
      </c>
      <c r="Q600" s="718"/>
      <c r="R600" s="719">
        <v>77844</v>
      </c>
      <c r="S600" s="721">
        <v>198</v>
      </c>
      <c r="T600" s="721">
        <v>78042</v>
      </c>
    </row>
    <row r="601" spans="1:20" x14ac:dyDescent="0.25">
      <c r="A601" s="715">
        <v>96521</v>
      </c>
      <c r="B601" s="716" t="s">
        <v>3133</v>
      </c>
      <c r="C601" s="717">
        <v>9.881E-4</v>
      </c>
      <c r="D601" s="717">
        <v>9.4240000000000003E-4</v>
      </c>
      <c r="E601" s="718">
        <v>1509543</v>
      </c>
      <c r="F601" s="718"/>
      <c r="G601" s="719">
        <v>86964</v>
      </c>
      <c r="H601" s="720">
        <v>366519</v>
      </c>
      <c r="I601" s="719">
        <v>215584</v>
      </c>
      <c r="J601" s="718">
        <v>30024</v>
      </c>
      <c r="K601" s="720">
        <f t="shared" si="18"/>
        <v>699091</v>
      </c>
      <c r="L601" s="718"/>
      <c r="M601" s="719">
        <v>42730</v>
      </c>
      <c r="N601" s="719">
        <v>0</v>
      </c>
      <c r="O601" s="718">
        <v>25241</v>
      </c>
      <c r="P601" s="720">
        <f t="shared" si="19"/>
        <v>67971</v>
      </c>
      <c r="Q601" s="718"/>
      <c r="R601" s="719">
        <v>508717</v>
      </c>
      <c r="S601" s="721">
        <v>6710</v>
      </c>
      <c r="T601" s="721">
        <f>515428-1</f>
        <v>515427</v>
      </c>
    </row>
    <row r="602" spans="1:20" x14ac:dyDescent="0.25">
      <c r="A602" s="715">
        <v>96531</v>
      </c>
      <c r="B602" s="716" t="s">
        <v>3134</v>
      </c>
      <c r="C602" s="717">
        <v>8.5845000000000001E-3</v>
      </c>
      <c r="D602" s="717">
        <v>8.6088999999999992E-3</v>
      </c>
      <c r="E602" s="718">
        <v>13114738</v>
      </c>
      <c r="F602" s="718"/>
      <c r="G602" s="719">
        <v>755530</v>
      </c>
      <c r="H602" s="720">
        <v>3184274</v>
      </c>
      <c r="I602" s="719">
        <v>1872966</v>
      </c>
      <c r="J602" s="718">
        <v>48765</v>
      </c>
      <c r="K602" s="720">
        <f t="shared" si="18"/>
        <v>5861535</v>
      </c>
      <c r="L602" s="718"/>
      <c r="M602" s="719">
        <v>371237</v>
      </c>
      <c r="N602" s="719">
        <v>0</v>
      </c>
      <c r="O602" s="718">
        <v>418860</v>
      </c>
      <c r="P602" s="720">
        <f t="shared" si="19"/>
        <v>790097</v>
      </c>
      <c r="Q602" s="718"/>
      <c r="R602" s="719">
        <v>4419678</v>
      </c>
      <c r="S602" s="721">
        <v>-117601</v>
      </c>
      <c r="T602" s="721">
        <v>4302077</v>
      </c>
    </row>
    <row r="603" spans="1:20" x14ac:dyDescent="0.25">
      <c r="A603" s="715">
        <v>96541</v>
      </c>
      <c r="B603" s="716" t="s">
        <v>3135</v>
      </c>
      <c r="C603" s="717">
        <v>3.5950000000000001E-4</v>
      </c>
      <c r="D603" s="717">
        <v>3.3169999999999999E-4</v>
      </c>
      <c r="E603" s="718">
        <v>549216</v>
      </c>
      <c r="F603" s="718"/>
      <c r="G603" s="719">
        <v>31640</v>
      </c>
      <c r="H603" s="720">
        <v>133350</v>
      </c>
      <c r="I603" s="719">
        <v>78436</v>
      </c>
      <c r="J603" s="718">
        <v>24801</v>
      </c>
      <c r="K603" s="720">
        <f t="shared" si="18"/>
        <v>268227</v>
      </c>
      <c r="L603" s="718"/>
      <c r="M603" s="719">
        <v>15547</v>
      </c>
      <c r="N603" s="719">
        <v>0</v>
      </c>
      <c r="O603" s="718">
        <v>0</v>
      </c>
      <c r="P603" s="720">
        <f t="shared" si="19"/>
        <v>15547</v>
      </c>
      <c r="Q603" s="718"/>
      <c r="R603" s="719">
        <v>185086</v>
      </c>
      <c r="S603" s="721">
        <v>13028</v>
      </c>
      <c r="T603" s="721">
        <f>198115-1</f>
        <v>198114</v>
      </c>
    </row>
    <row r="604" spans="1:20" x14ac:dyDescent="0.25">
      <c r="A604" s="715">
        <v>96601</v>
      </c>
      <c r="B604" s="716" t="s">
        <v>3136</v>
      </c>
      <c r="C604" s="717">
        <v>1.8169E-3</v>
      </c>
      <c r="D604" s="717">
        <v>1.8416000000000001E-3</v>
      </c>
      <c r="E604" s="718">
        <v>2775720</v>
      </c>
      <c r="F604" s="718"/>
      <c r="G604" s="719">
        <v>159907</v>
      </c>
      <c r="H604" s="720">
        <v>673948</v>
      </c>
      <c r="I604" s="719">
        <v>396411</v>
      </c>
      <c r="J604" s="718">
        <v>50154</v>
      </c>
      <c r="K604" s="720">
        <f t="shared" si="18"/>
        <v>1280420</v>
      </c>
      <c r="L604" s="718"/>
      <c r="M604" s="719">
        <v>78572</v>
      </c>
      <c r="N604" s="719">
        <v>0</v>
      </c>
      <c r="O604" s="718">
        <v>4139</v>
      </c>
      <c r="P604" s="720">
        <f t="shared" si="19"/>
        <v>82711</v>
      </c>
      <c r="Q604" s="718"/>
      <c r="R604" s="719">
        <v>935420</v>
      </c>
      <c r="S604" s="721">
        <v>30132</v>
      </c>
      <c r="T604" s="721">
        <v>965552</v>
      </c>
    </row>
    <row r="605" spans="1:20" x14ac:dyDescent="0.25">
      <c r="A605" s="715">
        <v>96604</v>
      </c>
      <c r="B605" s="716" t="s">
        <v>3137</v>
      </c>
      <c r="C605" s="717">
        <v>7.6000000000000001E-6</v>
      </c>
      <c r="D605" s="717">
        <v>7.9000000000000006E-6</v>
      </c>
      <c r="E605" s="718">
        <v>11611</v>
      </c>
      <c r="F605" s="718"/>
      <c r="G605" s="719">
        <v>669</v>
      </c>
      <c r="H605" s="720">
        <v>2819</v>
      </c>
      <c r="I605" s="719">
        <v>1658</v>
      </c>
      <c r="J605" s="718">
        <v>2027</v>
      </c>
      <c r="K605" s="720">
        <f t="shared" si="18"/>
        <v>7173</v>
      </c>
      <c r="L605" s="718"/>
      <c r="M605" s="719">
        <v>329</v>
      </c>
      <c r="N605" s="719">
        <v>0</v>
      </c>
      <c r="O605" s="718">
        <v>70</v>
      </c>
      <c r="P605" s="720">
        <f t="shared" si="19"/>
        <v>399</v>
      </c>
      <c r="Q605" s="718"/>
      <c r="R605" s="719">
        <v>3913</v>
      </c>
      <c r="S605" s="721">
        <v>799</v>
      </c>
      <c r="T605" s="721">
        <v>4712</v>
      </c>
    </row>
    <row r="606" spans="1:20" x14ac:dyDescent="0.25">
      <c r="A606" s="715">
        <v>96611</v>
      </c>
      <c r="B606" s="716" t="s">
        <v>3138</v>
      </c>
      <c r="C606" s="717">
        <v>2.83E-5</v>
      </c>
      <c r="D606" s="717">
        <v>3.29E-5</v>
      </c>
      <c r="E606" s="718">
        <v>43235</v>
      </c>
      <c r="F606" s="718"/>
      <c r="G606" s="719">
        <v>2491</v>
      </c>
      <c r="H606" s="720">
        <v>10498</v>
      </c>
      <c r="I606" s="719">
        <v>6174</v>
      </c>
      <c r="J606" s="718">
        <v>1561</v>
      </c>
      <c r="K606" s="720">
        <f t="shared" si="18"/>
        <v>20724</v>
      </c>
      <c r="L606" s="718"/>
      <c r="M606" s="719">
        <v>1224</v>
      </c>
      <c r="N606" s="719">
        <v>0</v>
      </c>
      <c r="O606" s="718">
        <v>4284</v>
      </c>
      <c r="P606" s="720">
        <f t="shared" si="19"/>
        <v>5508</v>
      </c>
      <c r="Q606" s="718"/>
      <c r="R606" s="719">
        <v>14570</v>
      </c>
      <c r="S606" s="721">
        <v>112</v>
      </c>
      <c r="T606" s="721">
        <f>14683-1</f>
        <v>14682</v>
      </c>
    </row>
    <row r="607" spans="1:20" x14ac:dyDescent="0.25">
      <c r="A607" s="715">
        <v>96612</v>
      </c>
      <c r="B607" s="716" t="s">
        <v>3139</v>
      </c>
      <c r="C607" s="717">
        <v>6.3299999999999994E-5</v>
      </c>
      <c r="D607" s="717">
        <v>6.3899999999999995E-5</v>
      </c>
      <c r="E607" s="718">
        <v>96705</v>
      </c>
      <c r="F607" s="718"/>
      <c r="G607" s="719">
        <v>5571</v>
      </c>
      <c r="H607" s="720">
        <v>23480</v>
      </c>
      <c r="I607" s="719">
        <v>13811</v>
      </c>
      <c r="J607" s="718">
        <v>7699</v>
      </c>
      <c r="K607" s="720">
        <f t="shared" si="18"/>
        <v>50561</v>
      </c>
      <c r="L607" s="718"/>
      <c r="M607" s="719">
        <v>2737</v>
      </c>
      <c r="N607" s="719">
        <v>0</v>
      </c>
      <c r="O607" s="718">
        <v>658</v>
      </c>
      <c r="P607" s="720">
        <f t="shared" si="19"/>
        <v>3395</v>
      </c>
      <c r="Q607" s="718"/>
      <c r="R607" s="719">
        <v>32590</v>
      </c>
      <c r="S607" s="721">
        <v>2270</v>
      </c>
      <c r="T607" s="721">
        <f>34859+1</f>
        <v>34860</v>
      </c>
    </row>
    <row r="608" spans="1:20" x14ac:dyDescent="0.25">
      <c r="A608" s="715">
        <v>96621</v>
      </c>
      <c r="B608" s="716" t="s">
        <v>3140</v>
      </c>
      <c r="C608" s="717">
        <v>2.5999999999999998E-5</v>
      </c>
      <c r="D608" s="717">
        <v>2.65E-5</v>
      </c>
      <c r="E608" s="718">
        <v>39721</v>
      </c>
      <c r="F608" s="718"/>
      <c r="G608" s="719">
        <v>2288</v>
      </c>
      <c r="H608" s="720">
        <v>9644</v>
      </c>
      <c r="I608" s="719">
        <v>5673</v>
      </c>
      <c r="J608" s="718">
        <v>1435</v>
      </c>
      <c r="K608" s="720">
        <f t="shared" si="18"/>
        <v>19040</v>
      </c>
      <c r="L608" s="718"/>
      <c r="M608" s="719">
        <v>1124</v>
      </c>
      <c r="N608" s="719">
        <v>0</v>
      </c>
      <c r="O608" s="718">
        <v>4828</v>
      </c>
      <c r="P608" s="720">
        <f t="shared" si="19"/>
        <v>5952</v>
      </c>
      <c r="Q608" s="718"/>
      <c r="R608" s="719">
        <v>13386</v>
      </c>
      <c r="S608" s="721">
        <v>-2281</v>
      </c>
      <c r="T608" s="721">
        <v>11105</v>
      </c>
    </row>
    <row r="609" spans="1:20" x14ac:dyDescent="0.25">
      <c r="A609" s="715">
        <v>96631</v>
      </c>
      <c r="B609" s="716" t="s">
        <v>3141</v>
      </c>
      <c r="C609" s="717">
        <v>2.51E-5</v>
      </c>
      <c r="D609" s="717">
        <v>2.5899999999999999E-5</v>
      </c>
      <c r="E609" s="718">
        <v>38346</v>
      </c>
      <c r="F609" s="718"/>
      <c r="G609" s="719">
        <v>2209</v>
      </c>
      <c r="H609" s="720">
        <v>9311</v>
      </c>
      <c r="I609" s="719">
        <v>5476</v>
      </c>
      <c r="J609" s="718">
        <v>3375</v>
      </c>
      <c r="K609" s="720">
        <f t="shared" si="18"/>
        <v>20371</v>
      </c>
      <c r="L609" s="718"/>
      <c r="M609" s="719">
        <v>1085</v>
      </c>
      <c r="N609" s="719">
        <v>0</v>
      </c>
      <c r="O609" s="718">
        <v>345</v>
      </c>
      <c r="P609" s="720">
        <f t="shared" si="19"/>
        <v>1430</v>
      </c>
      <c r="Q609" s="718"/>
      <c r="R609" s="719">
        <v>12923</v>
      </c>
      <c r="S609" s="721">
        <v>2192</v>
      </c>
      <c r="T609" s="721">
        <f>15114+1</f>
        <v>15115</v>
      </c>
    </row>
    <row r="610" spans="1:20" x14ac:dyDescent="0.25">
      <c r="A610" s="715">
        <v>96641</v>
      </c>
      <c r="B610" s="716" t="s">
        <v>3142</v>
      </c>
      <c r="C610" s="717">
        <v>3.2199999999999997E-5</v>
      </c>
      <c r="D610" s="717">
        <v>2.6999999999999999E-5</v>
      </c>
      <c r="E610" s="718">
        <v>49193</v>
      </c>
      <c r="F610" s="718"/>
      <c r="G610" s="719">
        <v>2834</v>
      </c>
      <c r="H610" s="720">
        <v>11944</v>
      </c>
      <c r="I610" s="719">
        <v>7025</v>
      </c>
      <c r="J610" s="718">
        <v>15380</v>
      </c>
      <c r="K610" s="720">
        <f t="shared" si="18"/>
        <v>37183</v>
      </c>
      <c r="L610" s="718"/>
      <c r="M610" s="719">
        <v>1392</v>
      </c>
      <c r="N610" s="719">
        <v>0</v>
      </c>
      <c r="O610" s="718">
        <v>0</v>
      </c>
      <c r="P610" s="720">
        <f t="shared" si="19"/>
        <v>1392</v>
      </c>
      <c r="Q610" s="718"/>
      <c r="R610" s="719">
        <v>16578</v>
      </c>
      <c r="S610" s="721">
        <v>5934</v>
      </c>
      <c r="T610" s="721">
        <v>22512</v>
      </c>
    </row>
    <row r="611" spans="1:20" x14ac:dyDescent="0.25">
      <c r="A611" s="715">
        <v>96651</v>
      </c>
      <c r="B611" s="716" t="s">
        <v>3143</v>
      </c>
      <c r="C611" s="717">
        <v>1.7399999999999999E-5</v>
      </c>
      <c r="D611" s="717">
        <v>1.9400000000000001E-5</v>
      </c>
      <c r="E611" s="718">
        <v>26582</v>
      </c>
      <c r="F611" s="718"/>
      <c r="G611" s="719">
        <v>1531</v>
      </c>
      <c r="H611" s="720">
        <v>6454</v>
      </c>
      <c r="I611" s="719">
        <v>3796</v>
      </c>
      <c r="J611" s="718">
        <v>1983</v>
      </c>
      <c r="K611" s="720">
        <f t="shared" si="18"/>
        <v>13764</v>
      </c>
      <c r="L611" s="718"/>
      <c r="M611" s="719">
        <v>752</v>
      </c>
      <c r="N611" s="719">
        <v>0</v>
      </c>
      <c r="O611" s="718">
        <v>1305</v>
      </c>
      <c r="P611" s="720">
        <f t="shared" si="19"/>
        <v>2057</v>
      </c>
      <c r="Q611" s="718"/>
      <c r="R611" s="719">
        <v>8958</v>
      </c>
      <c r="S611" s="721">
        <v>-364</v>
      </c>
      <c r="T611" s="721">
        <f>8595-1</f>
        <v>8594</v>
      </c>
    </row>
    <row r="612" spans="1:20" x14ac:dyDescent="0.25">
      <c r="A612" s="715">
        <v>96661</v>
      </c>
      <c r="B612" s="716" t="s">
        <v>3144</v>
      </c>
      <c r="C612" s="717">
        <v>1.9700000000000001E-5</v>
      </c>
      <c r="D612" s="717">
        <v>1.9000000000000001E-5</v>
      </c>
      <c r="E612" s="718">
        <v>30096</v>
      </c>
      <c r="F612" s="718"/>
      <c r="G612" s="719">
        <v>1734</v>
      </c>
      <c r="H612" s="720">
        <v>7308</v>
      </c>
      <c r="I612" s="719">
        <v>4298</v>
      </c>
      <c r="J612" s="718">
        <v>5449</v>
      </c>
      <c r="K612" s="720">
        <f t="shared" si="18"/>
        <v>18789</v>
      </c>
      <c r="L612" s="718"/>
      <c r="M612" s="719">
        <v>852</v>
      </c>
      <c r="N612" s="719">
        <v>0</v>
      </c>
      <c r="O612" s="718">
        <v>0</v>
      </c>
      <c r="P612" s="720">
        <f t="shared" si="19"/>
        <v>852</v>
      </c>
      <c r="Q612" s="718"/>
      <c r="R612" s="719">
        <v>10142</v>
      </c>
      <c r="S612" s="721">
        <v>2525</v>
      </c>
      <c r="T612" s="721">
        <f>12668-1</f>
        <v>12667</v>
      </c>
    </row>
    <row r="613" spans="1:20" x14ac:dyDescent="0.25">
      <c r="A613" s="715">
        <v>96671</v>
      </c>
      <c r="B613" s="716" t="s">
        <v>3145</v>
      </c>
      <c r="C613" s="717">
        <v>1.49E-5</v>
      </c>
      <c r="D613" s="717">
        <v>1.5500000000000001E-5</v>
      </c>
      <c r="E613" s="718">
        <v>22763</v>
      </c>
      <c r="F613" s="718"/>
      <c r="G613" s="719">
        <v>1311</v>
      </c>
      <c r="H613" s="720">
        <v>5527</v>
      </c>
      <c r="I613" s="719">
        <v>3251</v>
      </c>
      <c r="J613" s="718">
        <v>8612</v>
      </c>
      <c r="K613" s="720">
        <f t="shared" si="18"/>
        <v>18701</v>
      </c>
      <c r="L613" s="718"/>
      <c r="M613" s="719">
        <v>644</v>
      </c>
      <c r="N613" s="719">
        <v>0</v>
      </c>
      <c r="O613" s="718">
        <v>208</v>
      </c>
      <c r="P613" s="720">
        <f t="shared" si="19"/>
        <v>852</v>
      </c>
      <c r="Q613" s="718"/>
      <c r="R613" s="719">
        <v>7671</v>
      </c>
      <c r="S613" s="721">
        <v>3620</v>
      </c>
      <c r="T613" s="721">
        <v>11291</v>
      </c>
    </row>
    <row r="614" spans="1:20" x14ac:dyDescent="0.25">
      <c r="A614" s="715">
        <v>96681</v>
      </c>
      <c r="B614" s="716" t="s">
        <v>3146</v>
      </c>
      <c r="C614" s="717">
        <v>1.7499999999999998E-5</v>
      </c>
      <c r="D614" s="717">
        <v>3.4799999999999999E-5</v>
      </c>
      <c r="E614" s="718">
        <v>26735</v>
      </c>
      <c r="F614" s="718"/>
      <c r="G614" s="719">
        <v>1540</v>
      </c>
      <c r="H614" s="720">
        <v>6491</v>
      </c>
      <c r="I614" s="719">
        <v>3818</v>
      </c>
      <c r="J614" s="718">
        <v>12682</v>
      </c>
      <c r="K614" s="720">
        <f t="shared" si="18"/>
        <v>24531</v>
      </c>
      <c r="L614" s="718"/>
      <c r="M614" s="719">
        <v>757</v>
      </c>
      <c r="N614" s="719">
        <v>0</v>
      </c>
      <c r="O614" s="718">
        <v>9027</v>
      </c>
      <c r="P614" s="720">
        <f t="shared" si="19"/>
        <v>9784</v>
      </c>
      <c r="Q614" s="718"/>
      <c r="R614" s="719">
        <v>9010</v>
      </c>
      <c r="S614" s="721">
        <v>3129</v>
      </c>
      <c r="T614" s="721">
        <v>12139</v>
      </c>
    </row>
    <row r="615" spans="1:20" x14ac:dyDescent="0.25">
      <c r="A615" s="715">
        <v>96701</v>
      </c>
      <c r="B615" s="716" t="s">
        <v>3147</v>
      </c>
      <c r="C615" s="717">
        <v>8.4206000000000003E-3</v>
      </c>
      <c r="D615" s="717">
        <v>7.7850000000000003E-3</v>
      </c>
      <c r="E615" s="718">
        <v>12864344</v>
      </c>
      <c r="F615" s="718"/>
      <c r="G615" s="719">
        <v>741105</v>
      </c>
      <c r="H615" s="720">
        <v>3123478</v>
      </c>
      <c r="I615" s="719">
        <v>1837207</v>
      </c>
      <c r="J615" s="718">
        <v>445953</v>
      </c>
      <c r="K615" s="720">
        <f t="shared" si="18"/>
        <v>6147743</v>
      </c>
      <c r="L615" s="718"/>
      <c r="M615" s="719">
        <v>364149</v>
      </c>
      <c r="N615" s="719">
        <v>0</v>
      </c>
      <c r="O615" s="718">
        <v>51464</v>
      </c>
      <c r="P615" s="720">
        <f t="shared" si="19"/>
        <v>415613</v>
      </c>
      <c r="Q615" s="718"/>
      <c r="R615" s="719">
        <v>4335295</v>
      </c>
      <c r="S615" s="721">
        <v>139565</v>
      </c>
      <c r="T615" s="721">
        <f>4474861-1</f>
        <v>4474860</v>
      </c>
    </row>
    <row r="616" spans="1:20" x14ac:dyDescent="0.25">
      <c r="A616" s="715">
        <v>96704</v>
      </c>
      <c r="B616" s="716" t="s">
        <v>3148</v>
      </c>
      <c r="C616" s="717">
        <v>1.7259999999999999E-4</v>
      </c>
      <c r="D616" s="717">
        <v>1.5330000000000001E-4</v>
      </c>
      <c r="E616" s="718">
        <v>263685</v>
      </c>
      <c r="F616" s="718"/>
      <c r="G616" s="719">
        <v>15191</v>
      </c>
      <c r="H616" s="720">
        <v>64023</v>
      </c>
      <c r="I616" s="719">
        <v>37658</v>
      </c>
      <c r="J616" s="718">
        <v>28813</v>
      </c>
      <c r="K616" s="720">
        <f t="shared" si="18"/>
        <v>145685</v>
      </c>
      <c r="L616" s="718"/>
      <c r="M616" s="719">
        <v>7464</v>
      </c>
      <c r="N616" s="719">
        <v>0</v>
      </c>
      <c r="O616" s="718">
        <v>0</v>
      </c>
      <c r="P616" s="720">
        <f t="shared" si="19"/>
        <v>7464</v>
      </c>
      <c r="Q616" s="718"/>
      <c r="R616" s="719">
        <v>88862</v>
      </c>
      <c r="S616" s="721">
        <v>9625</v>
      </c>
      <c r="T616" s="721">
        <v>98487</v>
      </c>
    </row>
    <row r="617" spans="1:20" x14ac:dyDescent="0.25">
      <c r="A617" s="715">
        <v>96708</v>
      </c>
      <c r="B617" s="716" t="s">
        <v>3149</v>
      </c>
      <c r="C617" s="717">
        <v>9.031E-4</v>
      </c>
      <c r="D617" s="717">
        <v>8.4590000000000002E-4</v>
      </c>
      <c r="E617" s="718">
        <v>1379687</v>
      </c>
      <c r="F617" s="718"/>
      <c r="G617" s="719">
        <v>79483</v>
      </c>
      <c r="H617" s="720">
        <v>334989</v>
      </c>
      <c r="I617" s="719">
        <v>197038</v>
      </c>
      <c r="J617" s="718">
        <v>93931</v>
      </c>
      <c r="K617" s="720">
        <f t="shared" si="18"/>
        <v>705441</v>
      </c>
      <c r="L617" s="718"/>
      <c r="M617" s="719">
        <v>39055</v>
      </c>
      <c r="N617" s="719">
        <v>0</v>
      </c>
      <c r="O617" s="718">
        <v>19895</v>
      </c>
      <c r="P617" s="720">
        <f t="shared" si="19"/>
        <v>58950</v>
      </c>
      <c r="Q617" s="718"/>
      <c r="R617" s="719">
        <v>464956</v>
      </c>
      <c r="S617" s="721">
        <v>29117</v>
      </c>
      <c r="T617" s="721">
        <v>494073</v>
      </c>
    </row>
    <row r="618" spans="1:20" x14ac:dyDescent="0.25">
      <c r="A618" s="715">
        <v>96711</v>
      </c>
      <c r="B618" s="716" t="s">
        <v>3150</v>
      </c>
      <c r="C618" s="717">
        <v>4.0464000000000003E-3</v>
      </c>
      <c r="D618" s="717">
        <v>4.4140000000000004E-3</v>
      </c>
      <c r="E618" s="718">
        <v>6181778</v>
      </c>
      <c r="F618" s="718"/>
      <c r="G618" s="719">
        <v>356128</v>
      </c>
      <c r="H618" s="720">
        <v>1500943</v>
      </c>
      <c r="I618" s="719">
        <v>882844</v>
      </c>
      <c r="J618" s="718">
        <v>10323</v>
      </c>
      <c r="K618" s="720">
        <f t="shared" si="18"/>
        <v>2750238</v>
      </c>
      <c r="L618" s="718"/>
      <c r="M618" s="719">
        <v>174987</v>
      </c>
      <c r="N618" s="719">
        <v>0</v>
      </c>
      <c r="O618" s="718">
        <v>468550</v>
      </c>
      <c r="P618" s="720">
        <f t="shared" si="19"/>
        <v>643537</v>
      </c>
      <c r="Q618" s="718"/>
      <c r="R618" s="719">
        <v>2083265</v>
      </c>
      <c r="S618" s="721">
        <v>-165088</v>
      </c>
      <c r="T618" s="721">
        <v>1918177</v>
      </c>
    </row>
    <row r="619" spans="1:20" x14ac:dyDescent="0.25">
      <c r="A619" s="715">
        <v>96721</v>
      </c>
      <c r="B619" s="716" t="s">
        <v>3151</v>
      </c>
      <c r="C619" s="717">
        <v>2.1379999999999999E-4</v>
      </c>
      <c r="D619" s="717">
        <v>1.9780000000000001E-4</v>
      </c>
      <c r="E619" s="718">
        <v>326627</v>
      </c>
      <c r="F619" s="718"/>
      <c r="G619" s="719">
        <v>18817</v>
      </c>
      <c r="H619" s="720">
        <v>79305</v>
      </c>
      <c r="I619" s="719">
        <v>46647</v>
      </c>
      <c r="J619" s="718">
        <v>14615</v>
      </c>
      <c r="K619" s="720">
        <f t="shared" si="18"/>
        <v>159384</v>
      </c>
      <c r="L619" s="718"/>
      <c r="M619" s="719">
        <v>9246</v>
      </c>
      <c r="N619" s="719">
        <v>0</v>
      </c>
      <c r="O619" s="718">
        <v>25539</v>
      </c>
      <c r="P619" s="720">
        <f t="shared" si="19"/>
        <v>34785</v>
      </c>
      <c r="Q619" s="718"/>
      <c r="R619" s="719">
        <v>110074</v>
      </c>
      <c r="S619" s="721">
        <v>-1269</v>
      </c>
      <c r="T619" s="721">
        <v>108805</v>
      </c>
    </row>
    <row r="620" spans="1:20" x14ac:dyDescent="0.25">
      <c r="A620" s="715">
        <v>96731</v>
      </c>
      <c r="B620" s="716" t="s">
        <v>3152</v>
      </c>
      <c r="C620" s="717">
        <v>1.697E-4</v>
      </c>
      <c r="D620" s="717">
        <v>1.5090000000000001E-4</v>
      </c>
      <c r="E620" s="718">
        <v>259255</v>
      </c>
      <c r="F620" s="718"/>
      <c r="G620" s="719">
        <v>14935</v>
      </c>
      <c r="H620" s="720">
        <v>62947</v>
      </c>
      <c r="I620" s="719">
        <v>37025</v>
      </c>
      <c r="J620" s="718">
        <v>20951</v>
      </c>
      <c r="K620" s="720">
        <f t="shared" si="18"/>
        <v>135858</v>
      </c>
      <c r="L620" s="718"/>
      <c r="M620" s="719">
        <v>7339</v>
      </c>
      <c r="N620" s="719">
        <v>0</v>
      </c>
      <c r="O620" s="718">
        <v>6</v>
      </c>
      <c r="P620" s="720">
        <f t="shared" si="19"/>
        <v>7345</v>
      </c>
      <c r="Q620" s="718"/>
      <c r="R620" s="719">
        <v>87369</v>
      </c>
      <c r="S620" s="721">
        <v>7300</v>
      </c>
      <c r="T620" s="721">
        <v>94669</v>
      </c>
    </row>
    <row r="621" spans="1:20" x14ac:dyDescent="0.25">
      <c r="A621" s="715">
        <v>96733</v>
      </c>
      <c r="B621" s="716" t="s">
        <v>3153</v>
      </c>
      <c r="C621" s="717">
        <v>7.3000000000000004E-6</v>
      </c>
      <c r="D621" s="717">
        <v>9.2E-6</v>
      </c>
      <c r="E621" s="718">
        <v>11152</v>
      </c>
      <c r="F621" s="718"/>
      <c r="G621" s="719">
        <v>642</v>
      </c>
      <c r="H621" s="720">
        <v>2708</v>
      </c>
      <c r="I621" s="719">
        <v>1593</v>
      </c>
      <c r="J621" s="718">
        <v>3988</v>
      </c>
      <c r="K621" s="720">
        <f t="shared" si="18"/>
        <v>8931</v>
      </c>
      <c r="L621" s="718"/>
      <c r="M621" s="719">
        <v>316</v>
      </c>
      <c r="N621" s="719">
        <v>0</v>
      </c>
      <c r="O621" s="718">
        <v>1209</v>
      </c>
      <c r="P621" s="720">
        <f t="shared" si="19"/>
        <v>1525</v>
      </c>
      <c r="Q621" s="718"/>
      <c r="R621" s="719">
        <v>3758</v>
      </c>
      <c r="S621" s="721">
        <v>1574</v>
      </c>
      <c r="T621" s="721">
        <v>5332</v>
      </c>
    </row>
    <row r="622" spans="1:20" x14ac:dyDescent="0.25">
      <c r="A622" s="715">
        <v>96741</v>
      </c>
      <c r="B622" s="716" t="s">
        <v>3154</v>
      </c>
      <c r="C622" s="717">
        <v>9.0799999999999998E-5</v>
      </c>
      <c r="D622" s="717">
        <v>9.2399999999999996E-5</v>
      </c>
      <c r="E622" s="718">
        <v>138717</v>
      </c>
      <c r="F622" s="718"/>
      <c r="G622" s="719">
        <v>7991</v>
      </c>
      <c r="H622" s="720">
        <v>33681</v>
      </c>
      <c r="I622" s="719">
        <v>19811</v>
      </c>
      <c r="J622" s="718">
        <v>4204</v>
      </c>
      <c r="K622" s="720">
        <f t="shared" si="18"/>
        <v>65687</v>
      </c>
      <c r="L622" s="718"/>
      <c r="M622" s="719">
        <v>3927</v>
      </c>
      <c r="N622" s="719">
        <v>0</v>
      </c>
      <c r="O622" s="718">
        <v>2410</v>
      </c>
      <c r="P622" s="720">
        <f t="shared" si="19"/>
        <v>6337</v>
      </c>
      <c r="Q622" s="718"/>
      <c r="R622" s="719">
        <v>46748</v>
      </c>
      <c r="S622" s="721">
        <v>2215</v>
      </c>
      <c r="T622" s="721">
        <v>48963</v>
      </c>
    </row>
    <row r="623" spans="1:20" x14ac:dyDescent="0.25">
      <c r="A623" s="715">
        <v>96751</v>
      </c>
      <c r="B623" s="716" t="s">
        <v>3155</v>
      </c>
      <c r="C623" s="717">
        <v>2.5809999999999999E-4</v>
      </c>
      <c r="D623" s="717">
        <v>2.6120000000000001E-4</v>
      </c>
      <c r="E623" s="718">
        <v>394305</v>
      </c>
      <c r="F623" s="718"/>
      <c r="G623" s="719">
        <v>22716</v>
      </c>
      <c r="H623" s="720">
        <v>95737</v>
      </c>
      <c r="I623" s="719">
        <v>56312</v>
      </c>
      <c r="J623" s="718">
        <v>10810</v>
      </c>
      <c r="K623" s="720">
        <f t="shared" si="18"/>
        <v>185575</v>
      </c>
      <c r="L623" s="718"/>
      <c r="M623" s="719">
        <v>11162</v>
      </c>
      <c r="N623" s="719">
        <v>0</v>
      </c>
      <c r="O623" s="718">
        <v>31380</v>
      </c>
      <c r="P623" s="720">
        <f t="shared" si="19"/>
        <v>42542</v>
      </c>
      <c r="Q623" s="718"/>
      <c r="R623" s="719">
        <v>132881</v>
      </c>
      <c r="S623" s="721">
        <v>-737</v>
      </c>
      <c r="T623" s="721">
        <v>132144</v>
      </c>
    </row>
    <row r="624" spans="1:20" x14ac:dyDescent="0.25">
      <c r="A624" s="715">
        <v>96801</v>
      </c>
      <c r="B624" s="716" t="s">
        <v>3156</v>
      </c>
      <c r="C624" s="717">
        <v>7.5814000000000003E-3</v>
      </c>
      <c r="D624" s="717">
        <v>7.8463999999999999E-3</v>
      </c>
      <c r="E624" s="718">
        <v>11582279</v>
      </c>
      <c r="F624" s="718"/>
      <c r="G624" s="719">
        <v>667247</v>
      </c>
      <c r="H624" s="720">
        <v>2812192</v>
      </c>
      <c r="I624" s="719">
        <v>1654110</v>
      </c>
      <c r="J624" s="718">
        <v>406857</v>
      </c>
      <c r="K624" s="720">
        <f t="shared" si="18"/>
        <v>5540406</v>
      </c>
      <c r="L624" s="718"/>
      <c r="M624" s="719">
        <v>327858</v>
      </c>
      <c r="N624" s="719">
        <v>0</v>
      </c>
      <c r="O624" s="718">
        <v>73178</v>
      </c>
      <c r="P624" s="720">
        <f t="shared" si="19"/>
        <v>401036</v>
      </c>
      <c r="Q624" s="718"/>
      <c r="R624" s="719">
        <v>3903238</v>
      </c>
      <c r="S624" s="721">
        <v>217480</v>
      </c>
      <c r="T624" s="721">
        <v>4120718</v>
      </c>
    </row>
    <row r="625" spans="1:20" x14ac:dyDescent="0.25">
      <c r="A625" s="715">
        <v>96804</v>
      </c>
      <c r="B625" s="716" t="s">
        <v>3157</v>
      </c>
      <c r="C625" s="717">
        <v>2.654E-4</v>
      </c>
      <c r="D625" s="717">
        <v>2.4230000000000001E-4</v>
      </c>
      <c r="E625" s="718">
        <v>405458</v>
      </c>
      <c r="F625" s="718"/>
      <c r="G625" s="719">
        <v>23358</v>
      </c>
      <c r="H625" s="720">
        <v>98446</v>
      </c>
      <c r="I625" s="719">
        <v>57905</v>
      </c>
      <c r="J625" s="718">
        <v>7601</v>
      </c>
      <c r="K625" s="720">
        <f t="shared" si="18"/>
        <v>187310</v>
      </c>
      <c r="L625" s="718"/>
      <c r="M625" s="719">
        <v>11477</v>
      </c>
      <c r="N625" s="719">
        <v>0</v>
      </c>
      <c r="O625" s="718">
        <v>2044</v>
      </c>
      <c r="P625" s="720">
        <f t="shared" si="19"/>
        <v>13521</v>
      </c>
      <c r="Q625" s="718"/>
      <c r="R625" s="719">
        <v>136640</v>
      </c>
      <c r="S625" s="721">
        <v>2424</v>
      </c>
      <c r="T625" s="721">
        <v>139064</v>
      </c>
    </row>
    <row r="626" spans="1:20" x14ac:dyDescent="0.25">
      <c r="A626" s="715">
        <v>96808</v>
      </c>
      <c r="B626" s="716" t="s">
        <v>3158</v>
      </c>
      <c r="C626" s="717">
        <v>1.2711000000000001E-3</v>
      </c>
      <c r="D626" s="717">
        <v>1.2882E-3</v>
      </c>
      <c r="E626" s="718">
        <v>1941889</v>
      </c>
      <c r="F626" s="718"/>
      <c r="G626" s="719">
        <v>111871</v>
      </c>
      <c r="H626" s="720">
        <v>471493</v>
      </c>
      <c r="I626" s="719">
        <v>277329</v>
      </c>
      <c r="J626" s="718">
        <v>42529</v>
      </c>
      <c r="K626" s="720">
        <f t="shared" si="18"/>
        <v>903222</v>
      </c>
      <c r="L626" s="718"/>
      <c r="M626" s="719">
        <v>54969</v>
      </c>
      <c r="N626" s="719">
        <v>0</v>
      </c>
      <c r="O626" s="718">
        <v>3699</v>
      </c>
      <c r="P626" s="720">
        <f t="shared" si="19"/>
        <v>58668</v>
      </c>
      <c r="Q626" s="718"/>
      <c r="R626" s="719">
        <v>654418</v>
      </c>
      <c r="S626" s="721">
        <v>23633</v>
      </c>
      <c r="T626" s="721">
        <v>678051</v>
      </c>
    </row>
    <row r="627" spans="1:20" x14ac:dyDescent="0.25">
      <c r="A627" s="715">
        <v>96811</v>
      </c>
      <c r="B627" s="716" t="s">
        <v>3159</v>
      </c>
      <c r="C627" s="717">
        <v>6.0096999999999998E-3</v>
      </c>
      <c r="D627" s="717">
        <v>5.9861999999999997E-3</v>
      </c>
      <c r="E627" s="718">
        <v>9181157</v>
      </c>
      <c r="F627" s="718"/>
      <c r="G627" s="719">
        <v>528920</v>
      </c>
      <c r="H627" s="720">
        <v>2229197</v>
      </c>
      <c r="I627" s="719">
        <v>1311196</v>
      </c>
      <c r="J627" s="718">
        <v>37410</v>
      </c>
      <c r="K627" s="720">
        <f t="shared" si="18"/>
        <v>4106723</v>
      </c>
      <c r="L627" s="718"/>
      <c r="M627" s="719">
        <v>259889</v>
      </c>
      <c r="N627" s="719">
        <v>0</v>
      </c>
      <c r="O627" s="718">
        <v>53500</v>
      </c>
      <c r="P627" s="720">
        <f t="shared" si="19"/>
        <v>313389</v>
      </c>
      <c r="Q627" s="718"/>
      <c r="R627" s="719">
        <v>3094058</v>
      </c>
      <c r="S627" s="721">
        <v>-23369</v>
      </c>
      <c r="T627" s="721">
        <v>3070689</v>
      </c>
    </row>
    <row r="628" spans="1:20" x14ac:dyDescent="0.25">
      <c r="A628" s="715">
        <v>96821</v>
      </c>
      <c r="B628" s="716" t="s">
        <v>3160</v>
      </c>
      <c r="C628" s="717">
        <v>1.3247000000000001E-3</v>
      </c>
      <c r="D628" s="717">
        <v>1.3630999999999999E-3</v>
      </c>
      <c r="E628" s="718">
        <v>2023775</v>
      </c>
      <c r="F628" s="718"/>
      <c r="G628" s="719">
        <v>116588</v>
      </c>
      <c r="H628" s="720">
        <v>491375</v>
      </c>
      <c r="I628" s="719">
        <v>289023</v>
      </c>
      <c r="J628" s="718">
        <v>0</v>
      </c>
      <c r="K628" s="720">
        <f t="shared" si="18"/>
        <v>896986</v>
      </c>
      <c r="L628" s="718"/>
      <c r="M628" s="719">
        <v>57287</v>
      </c>
      <c r="N628" s="719">
        <v>0</v>
      </c>
      <c r="O628" s="718">
        <v>134629</v>
      </c>
      <c r="P628" s="720">
        <f t="shared" si="19"/>
        <v>191916</v>
      </c>
      <c r="Q628" s="718"/>
      <c r="R628" s="719">
        <v>682014</v>
      </c>
      <c r="S628" s="721">
        <v>-54878</v>
      </c>
      <c r="T628" s="721">
        <v>627136</v>
      </c>
    </row>
    <row r="629" spans="1:20" x14ac:dyDescent="0.25">
      <c r="A629" s="715">
        <v>96831</v>
      </c>
      <c r="B629" s="716" t="s">
        <v>3161</v>
      </c>
      <c r="C629" s="717">
        <v>9.1929999999999996E-4</v>
      </c>
      <c r="D629" s="717">
        <v>9.2400000000000002E-4</v>
      </c>
      <c r="E629" s="718">
        <v>1404436</v>
      </c>
      <c r="F629" s="718"/>
      <c r="G629" s="719">
        <v>80909</v>
      </c>
      <c r="H629" s="720">
        <v>340998</v>
      </c>
      <c r="I629" s="719">
        <v>200573</v>
      </c>
      <c r="J629" s="718">
        <v>37726</v>
      </c>
      <c r="K629" s="720">
        <f t="shared" si="18"/>
        <v>660206</v>
      </c>
      <c r="L629" s="718"/>
      <c r="M629" s="719">
        <v>39755</v>
      </c>
      <c r="N629" s="719">
        <v>0</v>
      </c>
      <c r="O629" s="718">
        <v>0</v>
      </c>
      <c r="P629" s="720">
        <f t="shared" si="19"/>
        <v>39755</v>
      </c>
      <c r="Q629" s="718"/>
      <c r="R629" s="719">
        <v>473296</v>
      </c>
      <c r="S629" s="721">
        <v>19380</v>
      </c>
      <c r="T629" s="721">
        <v>492676</v>
      </c>
    </row>
    <row r="630" spans="1:20" x14ac:dyDescent="0.25">
      <c r="A630" s="715">
        <v>96901</v>
      </c>
      <c r="B630" s="716" t="s">
        <v>3162</v>
      </c>
      <c r="C630" s="717">
        <v>8.9820000000000004E-4</v>
      </c>
      <c r="D630" s="717">
        <v>8.1610000000000005E-4</v>
      </c>
      <c r="E630" s="718">
        <v>1372201</v>
      </c>
      <c r="F630" s="718"/>
      <c r="G630" s="719">
        <v>79051</v>
      </c>
      <c r="H630" s="720">
        <v>333172</v>
      </c>
      <c r="I630" s="719">
        <v>195969</v>
      </c>
      <c r="J630" s="718">
        <v>85745</v>
      </c>
      <c r="K630" s="720">
        <f t="shared" si="18"/>
        <v>693937</v>
      </c>
      <c r="L630" s="718"/>
      <c r="M630" s="719">
        <v>38843</v>
      </c>
      <c r="N630" s="719">
        <v>0</v>
      </c>
      <c r="O630" s="718">
        <v>0</v>
      </c>
      <c r="P630" s="720">
        <f t="shared" si="19"/>
        <v>38843</v>
      </c>
      <c r="Q630" s="718"/>
      <c r="R630" s="719">
        <v>462433</v>
      </c>
      <c r="S630" s="721">
        <v>28927</v>
      </c>
      <c r="T630" s="721">
        <v>491360</v>
      </c>
    </row>
    <row r="631" spans="1:20" x14ac:dyDescent="0.25">
      <c r="A631" s="715">
        <v>96911</v>
      </c>
      <c r="B631" s="716" t="s">
        <v>3163</v>
      </c>
      <c r="C631" s="717">
        <v>2.3999999999999999E-6</v>
      </c>
      <c r="D631" s="717">
        <v>3.7000000000000002E-6</v>
      </c>
      <c r="E631" s="718">
        <v>3667</v>
      </c>
      <c r="F631" s="718"/>
      <c r="G631" s="719">
        <v>211</v>
      </c>
      <c r="H631" s="720">
        <v>890</v>
      </c>
      <c r="I631" s="719">
        <v>524</v>
      </c>
      <c r="J631" s="718">
        <v>2464</v>
      </c>
      <c r="K631" s="720">
        <f t="shared" si="18"/>
        <v>4089</v>
      </c>
      <c r="L631" s="718"/>
      <c r="M631" s="719">
        <v>104</v>
      </c>
      <c r="N631" s="719">
        <v>0</v>
      </c>
      <c r="O631" s="718">
        <v>2953</v>
      </c>
      <c r="P631" s="720">
        <f t="shared" si="19"/>
        <v>3057</v>
      </c>
      <c r="Q631" s="718"/>
      <c r="R631" s="719">
        <v>1236</v>
      </c>
      <c r="S631" s="721">
        <v>521</v>
      </c>
      <c r="T631" s="721">
        <f>1756+1</f>
        <v>1757</v>
      </c>
    </row>
    <row r="632" spans="1:20" x14ac:dyDescent="0.25">
      <c r="A632" s="715">
        <v>96912</v>
      </c>
      <c r="B632" s="716" t="s">
        <v>3164</v>
      </c>
      <c r="C632" s="717">
        <v>6.0099999999999997E-5</v>
      </c>
      <c r="D632" s="717">
        <v>6.0999999999999999E-5</v>
      </c>
      <c r="E632" s="718">
        <v>91816</v>
      </c>
      <c r="F632" s="718"/>
      <c r="G632" s="719">
        <v>5289</v>
      </c>
      <c r="H632" s="720">
        <v>22293</v>
      </c>
      <c r="I632" s="719">
        <v>13113</v>
      </c>
      <c r="J632" s="718">
        <v>4325</v>
      </c>
      <c r="K632" s="720">
        <f t="shared" si="18"/>
        <v>45020</v>
      </c>
      <c r="L632" s="718"/>
      <c r="M632" s="719">
        <v>2599</v>
      </c>
      <c r="N632" s="719">
        <v>0</v>
      </c>
      <c r="O632" s="718">
        <v>3739</v>
      </c>
      <c r="P632" s="720">
        <f t="shared" si="19"/>
        <v>6338</v>
      </c>
      <c r="Q632" s="718"/>
      <c r="R632" s="719">
        <v>30942</v>
      </c>
      <c r="S632" s="721">
        <v>2307</v>
      </c>
      <c r="T632" s="721">
        <v>33249</v>
      </c>
    </row>
    <row r="633" spans="1:20" x14ac:dyDescent="0.25">
      <c r="A633" s="715">
        <v>96918</v>
      </c>
      <c r="B633" s="716" t="s">
        <v>3165</v>
      </c>
      <c r="C633" s="717">
        <v>3.8000000000000002E-5</v>
      </c>
      <c r="D633" s="717">
        <v>4.0500000000000002E-5</v>
      </c>
      <c r="E633" s="718">
        <v>58053</v>
      </c>
      <c r="F633" s="718"/>
      <c r="G633" s="719">
        <v>3344</v>
      </c>
      <c r="H633" s="720">
        <v>14095</v>
      </c>
      <c r="I633" s="719">
        <v>8291</v>
      </c>
      <c r="J633" s="718">
        <v>7713</v>
      </c>
      <c r="K633" s="720">
        <f t="shared" si="18"/>
        <v>33443</v>
      </c>
      <c r="L633" s="718"/>
      <c r="M633" s="719">
        <v>1643</v>
      </c>
      <c r="N633" s="719">
        <v>0</v>
      </c>
      <c r="O633" s="718">
        <v>884</v>
      </c>
      <c r="P633" s="720">
        <f t="shared" si="19"/>
        <v>2527</v>
      </c>
      <c r="Q633" s="718"/>
      <c r="R633" s="719">
        <v>19564</v>
      </c>
      <c r="S633" s="721">
        <v>5648</v>
      </c>
      <c r="T633" s="721">
        <v>25212</v>
      </c>
    </row>
    <row r="634" spans="1:20" x14ac:dyDescent="0.25">
      <c r="A634" s="715">
        <v>97001</v>
      </c>
      <c r="B634" s="716" t="s">
        <v>3166</v>
      </c>
      <c r="C634" s="717">
        <v>1.3778E-3</v>
      </c>
      <c r="D634" s="717">
        <v>1.3641E-3</v>
      </c>
      <c r="E634" s="718">
        <v>2104897</v>
      </c>
      <c r="F634" s="718"/>
      <c r="G634" s="719">
        <v>121262</v>
      </c>
      <c r="H634" s="720">
        <v>511071</v>
      </c>
      <c r="I634" s="719">
        <v>300608</v>
      </c>
      <c r="J634" s="718">
        <v>148744</v>
      </c>
      <c r="K634" s="720">
        <f t="shared" si="18"/>
        <v>1081685</v>
      </c>
      <c r="L634" s="718"/>
      <c r="M634" s="719">
        <v>59583</v>
      </c>
      <c r="N634" s="719">
        <v>0</v>
      </c>
      <c r="O634" s="718">
        <v>11523</v>
      </c>
      <c r="P634" s="720">
        <f t="shared" si="19"/>
        <v>71106</v>
      </c>
      <c r="Q634" s="718"/>
      <c r="R634" s="719">
        <v>709352</v>
      </c>
      <c r="S634" s="721">
        <v>36360</v>
      </c>
      <c r="T634" s="721">
        <v>745712</v>
      </c>
    </row>
    <row r="635" spans="1:20" x14ac:dyDescent="0.25">
      <c r="A635" s="715">
        <v>97002</v>
      </c>
      <c r="B635" s="716" t="s">
        <v>3167</v>
      </c>
      <c r="C635" s="717">
        <v>5.2610000000000005E-4</v>
      </c>
      <c r="D635" s="717">
        <v>4.6589999999999999E-4</v>
      </c>
      <c r="E635" s="718">
        <v>803735</v>
      </c>
      <c r="F635" s="718"/>
      <c r="G635" s="719">
        <v>46303</v>
      </c>
      <c r="H635" s="720">
        <v>195148</v>
      </c>
      <c r="I635" s="719">
        <v>114784</v>
      </c>
      <c r="J635" s="718">
        <v>16832</v>
      </c>
      <c r="K635" s="720">
        <f t="shared" si="18"/>
        <v>373067</v>
      </c>
      <c r="L635" s="718"/>
      <c r="M635" s="719">
        <v>22751</v>
      </c>
      <c r="N635" s="719">
        <v>0</v>
      </c>
      <c r="O635" s="718">
        <v>7002</v>
      </c>
      <c r="P635" s="720">
        <f t="shared" si="19"/>
        <v>29753</v>
      </c>
      <c r="Q635" s="718"/>
      <c r="R635" s="719">
        <v>270859</v>
      </c>
      <c r="S635" s="721">
        <v>10025</v>
      </c>
      <c r="T635" s="721">
        <f>280885-1</f>
        <v>280884</v>
      </c>
    </row>
    <row r="636" spans="1:20" x14ac:dyDescent="0.25">
      <c r="A636" s="715">
        <v>97004</v>
      </c>
      <c r="B636" s="716" t="s">
        <v>3168</v>
      </c>
      <c r="C636" s="717">
        <v>9.7999999999999993E-6</v>
      </c>
      <c r="D636" s="717">
        <v>1.0900000000000001E-5</v>
      </c>
      <c r="E636" s="718">
        <v>14972</v>
      </c>
      <c r="F636" s="718"/>
      <c r="G636" s="719">
        <v>863</v>
      </c>
      <c r="H636" s="720">
        <v>3635</v>
      </c>
      <c r="I636" s="719">
        <v>2138</v>
      </c>
      <c r="J636" s="718">
        <v>4225</v>
      </c>
      <c r="K636" s="720">
        <f t="shared" si="18"/>
        <v>10861</v>
      </c>
      <c r="L636" s="718"/>
      <c r="M636" s="719">
        <v>424</v>
      </c>
      <c r="N636" s="719">
        <v>0</v>
      </c>
      <c r="O636" s="718">
        <v>0</v>
      </c>
      <c r="P636" s="720">
        <f t="shared" si="19"/>
        <v>424</v>
      </c>
      <c r="Q636" s="718"/>
      <c r="R636" s="719">
        <v>5045</v>
      </c>
      <c r="S636" s="721">
        <v>1862</v>
      </c>
      <c r="T636" s="721">
        <f>6908-1</f>
        <v>6907</v>
      </c>
    </row>
    <row r="637" spans="1:20" x14ac:dyDescent="0.25">
      <c r="A637" s="715">
        <v>97005</v>
      </c>
      <c r="B637" s="716" t="s">
        <v>3169</v>
      </c>
      <c r="C637" s="717">
        <v>2.83E-5</v>
      </c>
      <c r="D637" s="717">
        <v>1.42E-5</v>
      </c>
      <c r="E637" s="718">
        <v>43235</v>
      </c>
      <c r="F637" s="718"/>
      <c r="G637" s="719">
        <v>2491</v>
      </c>
      <c r="H637" s="720">
        <v>10498</v>
      </c>
      <c r="I637" s="719">
        <v>6174</v>
      </c>
      <c r="J637" s="718">
        <v>13129</v>
      </c>
      <c r="K637" s="720">
        <f t="shared" si="18"/>
        <v>32292</v>
      </c>
      <c r="L637" s="718"/>
      <c r="M637" s="719">
        <v>1224</v>
      </c>
      <c r="N637" s="719">
        <v>0</v>
      </c>
      <c r="O637" s="718">
        <v>1368</v>
      </c>
      <c r="P637" s="720">
        <f t="shared" si="19"/>
        <v>2592</v>
      </c>
      <c r="Q637" s="718"/>
      <c r="R637" s="719">
        <v>14570</v>
      </c>
      <c r="S637" s="721">
        <v>3211</v>
      </c>
      <c r="T637" s="721">
        <v>17781</v>
      </c>
    </row>
    <row r="638" spans="1:20" x14ac:dyDescent="0.25">
      <c r="A638" s="715">
        <v>97008</v>
      </c>
      <c r="B638" s="716" t="s">
        <v>3170</v>
      </c>
      <c r="C638" s="717">
        <v>2.8659999999999997E-4</v>
      </c>
      <c r="D638" s="717">
        <v>2.7530000000000002E-4</v>
      </c>
      <c r="E638" s="718">
        <v>437845</v>
      </c>
      <c r="F638" s="718"/>
      <c r="G638" s="719">
        <v>25224</v>
      </c>
      <c r="H638" s="720">
        <v>106309</v>
      </c>
      <c r="I638" s="719">
        <v>62530</v>
      </c>
      <c r="J638" s="718">
        <v>12387</v>
      </c>
      <c r="K638" s="720">
        <f t="shared" si="18"/>
        <v>206450</v>
      </c>
      <c r="L638" s="718"/>
      <c r="M638" s="719">
        <v>12394</v>
      </c>
      <c r="N638" s="719">
        <v>0</v>
      </c>
      <c r="O638" s="718">
        <v>3127</v>
      </c>
      <c r="P638" s="720">
        <f t="shared" si="19"/>
        <v>15521</v>
      </c>
      <c r="Q638" s="718"/>
      <c r="R638" s="719">
        <v>147554</v>
      </c>
      <c r="S638" s="721">
        <v>7175</v>
      </c>
      <c r="T638" s="721">
        <v>154729</v>
      </c>
    </row>
    <row r="639" spans="1:20" x14ac:dyDescent="0.25">
      <c r="A639" s="715">
        <v>97010</v>
      </c>
      <c r="B639" s="716" t="s">
        <v>3171</v>
      </c>
      <c r="C639" s="717">
        <v>0</v>
      </c>
      <c r="D639" s="717">
        <v>0</v>
      </c>
      <c r="E639" s="718">
        <v>0</v>
      </c>
      <c r="F639" s="718"/>
      <c r="G639" s="719">
        <v>0</v>
      </c>
      <c r="H639" s="720">
        <v>0</v>
      </c>
      <c r="I639" s="719">
        <v>0</v>
      </c>
      <c r="J639" s="718">
        <v>0</v>
      </c>
      <c r="K639" s="720">
        <f t="shared" si="18"/>
        <v>0</v>
      </c>
      <c r="L639" s="718"/>
      <c r="M639" s="719">
        <v>0</v>
      </c>
      <c r="N639" s="719">
        <v>0</v>
      </c>
      <c r="O639" s="718">
        <v>2056902</v>
      </c>
      <c r="P639" s="720">
        <f t="shared" si="19"/>
        <v>2056902</v>
      </c>
      <c r="Q639" s="718"/>
      <c r="R639" s="719">
        <v>0</v>
      </c>
      <c r="S639" s="721">
        <v>-1282454</v>
      </c>
      <c r="T639" s="721">
        <v>-1282454</v>
      </c>
    </row>
    <row r="640" spans="1:20" x14ac:dyDescent="0.25">
      <c r="A640" s="715">
        <v>97011</v>
      </c>
      <c r="B640" s="716" t="s">
        <v>3172</v>
      </c>
      <c r="C640" s="717">
        <v>1.9166999999999999E-3</v>
      </c>
      <c r="D640" s="717">
        <v>1.9522999999999999E-3</v>
      </c>
      <c r="E640" s="718">
        <v>2928187</v>
      </c>
      <c r="F640" s="718"/>
      <c r="G640" s="719">
        <v>168691</v>
      </c>
      <c r="H640" s="720">
        <v>710967</v>
      </c>
      <c r="I640" s="719">
        <v>418186</v>
      </c>
      <c r="J640" s="718">
        <v>0</v>
      </c>
      <c r="K640" s="720">
        <f t="shared" si="18"/>
        <v>1297844</v>
      </c>
      <c r="L640" s="718"/>
      <c r="M640" s="719">
        <v>82888</v>
      </c>
      <c r="N640" s="719">
        <v>0</v>
      </c>
      <c r="O640" s="718">
        <v>92552</v>
      </c>
      <c r="P640" s="720">
        <f t="shared" si="19"/>
        <v>175440</v>
      </c>
      <c r="Q640" s="718"/>
      <c r="R640" s="719">
        <v>986801</v>
      </c>
      <c r="S640" s="721">
        <v>-38711</v>
      </c>
      <c r="T640" s="721">
        <v>948090</v>
      </c>
    </row>
    <row r="641" spans="1:20" x14ac:dyDescent="0.25">
      <c r="A641" s="715">
        <v>97012</v>
      </c>
      <c r="B641" s="716" t="s">
        <v>3173</v>
      </c>
      <c r="C641" s="717">
        <v>2.9499999999999999E-5</v>
      </c>
      <c r="D641" s="717">
        <v>2.4499999999999999E-5</v>
      </c>
      <c r="E641" s="718">
        <v>45068</v>
      </c>
      <c r="F641" s="718"/>
      <c r="G641" s="719">
        <v>2596</v>
      </c>
      <c r="H641" s="720">
        <v>10942</v>
      </c>
      <c r="I641" s="719">
        <v>6436</v>
      </c>
      <c r="J641" s="718">
        <v>4949</v>
      </c>
      <c r="K641" s="720">
        <f t="shared" si="18"/>
        <v>24923</v>
      </c>
      <c r="L641" s="718"/>
      <c r="M641" s="719">
        <v>1276</v>
      </c>
      <c r="N641" s="719">
        <v>0</v>
      </c>
      <c r="O641" s="718">
        <v>1149</v>
      </c>
      <c r="P641" s="720">
        <f t="shared" si="19"/>
        <v>2425</v>
      </c>
      <c r="Q641" s="718"/>
      <c r="R641" s="719">
        <v>15188</v>
      </c>
      <c r="S641" s="721">
        <v>752</v>
      </c>
      <c r="T641" s="721">
        <v>15940</v>
      </c>
    </row>
    <row r="642" spans="1:20" x14ac:dyDescent="0.25">
      <c r="A642" s="715">
        <v>97013</v>
      </c>
      <c r="B642" s="716" t="s">
        <v>3174</v>
      </c>
      <c r="C642" s="717">
        <v>1.8199999999999999E-5</v>
      </c>
      <c r="D642" s="717">
        <v>2.0699999999999998E-5</v>
      </c>
      <c r="E642" s="718">
        <v>27805</v>
      </c>
      <c r="F642" s="718"/>
      <c r="G642" s="719">
        <v>1602</v>
      </c>
      <c r="H642" s="720">
        <v>6751</v>
      </c>
      <c r="I642" s="719">
        <v>3971</v>
      </c>
      <c r="J642" s="718">
        <v>6233</v>
      </c>
      <c r="K642" s="720">
        <f t="shared" si="18"/>
        <v>18557</v>
      </c>
      <c r="L642" s="718"/>
      <c r="M642" s="719">
        <v>787</v>
      </c>
      <c r="N642" s="719">
        <v>0</v>
      </c>
      <c r="O642" s="718">
        <v>431</v>
      </c>
      <c r="P642" s="720">
        <f t="shared" si="19"/>
        <v>1218</v>
      </c>
      <c r="Q642" s="718"/>
      <c r="R642" s="719">
        <v>9370</v>
      </c>
      <c r="S642" s="721">
        <v>2046</v>
      </c>
      <c r="T642" s="721">
        <v>11416</v>
      </c>
    </row>
    <row r="643" spans="1:20" x14ac:dyDescent="0.25">
      <c r="A643" s="715">
        <v>97015</v>
      </c>
      <c r="B643" s="716" t="s">
        <v>3175</v>
      </c>
      <c r="C643" s="717">
        <v>4.1499999999999999E-5</v>
      </c>
      <c r="D643" s="717">
        <v>5.3699999999999997E-5</v>
      </c>
      <c r="E643" s="718">
        <v>63401</v>
      </c>
      <c r="F643" s="718"/>
      <c r="G643" s="719">
        <v>3652</v>
      </c>
      <c r="H643" s="720">
        <v>15394</v>
      </c>
      <c r="I643" s="719">
        <v>9054</v>
      </c>
      <c r="J643" s="718">
        <v>4608</v>
      </c>
      <c r="K643" s="720">
        <f t="shared" si="18"/>
        <v>32708</v>
      </c>
      <c r="L643" s="718"/>
      <c r="M643" s="719">
        <v>1795</v>
      </c>
      <c r="N643" s="719">
        <v>0</v>
      </c>
      <c r="O643" s="718">
        <v>5783</v>
      </c>
      <c r="P643" s="720">
        <f t="shared" si="19"/>
        <v>7578</v>
      </c>
      <c r="Q643" s="718"/>
      <c r="R643" s="719">
        <v>21366</v>
      </c>
      <c r="S643" s="721">
        <v>26</v>
      </c>
      <c r="T643" s="721">
        <v>21392</v>
      </c>
    </row>
    <row r="644" spans="1:20" x14ac:dyDescent="0.25">
      <c r="A644" s="715">
        <v>97018</v>
      </c>
      <c r="B644" s="716" t="s">
        <v>3176</v>
      </c>
      <c r="C644" s="717">
        <v>8.6000000000000007E-6</v>
      </c>
      <c r="D644" s="717">
        <v>9.3999999999999998E-6</v>
      </c>
      <c r="E644" s="718">
        <v>13138</v>
      </c>
      <c r="F644" s="718"/>
      <c r="G644" s="719">
        <v>757</v>
      </c>
      <c r="H644" s="720">
        <v>3190</v>
      </c>
      <c r="I644" s="719">
        <v>1876</v>
      </c>
      <c r="J644" s="718">
        <v>6833</v>
      </c>
      <c r="K644" s="720">
        <f t="shared" si="18"/>
        <v>12656</v>
      </c>
      <c r="L644" s="718"/>
      <c r="M644" s="719">
        <v>372</v>
      </c>
      <c r="N644" s="719">
        <v>0</v>
      </c>
      <c r="O644" s="718">
        <v>0</v>
      </c>
      <c r="P644" s="720">
        <f t="shared" si="19"/>
        <v>372</v>
      </c>
      <c r="Q644" s="718"/>
      <c r="R644" s="719">
        <v>4428</v>
      </c>
      <c r="S644" s="721">
        <v>2806</v>
      </c>
      <c r="T644" s="721">
        <v>7234</v>
      </c>
    </row>
    <row r="645" spans="1:20" x14ac:dyDescent="0.25">
      <c r="A645" s="715">
        <v>97101</v>
      </c>
      <c r="B645" s="716" t="s">
        <v>3177</v>
      </c>
      <c r="C645" s="717">
        <v>2.5790000000000001E-3</v>
      </c>
      <c r="D645" s="717">
        <v>2.6029E-3</v>
      </c>
      <c r="E645" s="718">
        <v>3939998</v>
      </c>
      <c r="F645" s="718"/>
      <c r="G645" s="719">
        <v>226980</v>
      </c>
      <c r="H645" s="720">
        <v>956636</v>
      </c>
      <c r="I645" s="719">
        <v>562686</v>
      </c>
      <c r="J645" s="718">
        <v>22549</v>
      </c>
      <c r="K645" s="720">
        <f t="shared" si="18"/>
        <v>1768851</v>
      </c>
      <c r="L645" s="718"/>
      <c r="M645" s="719">
        <v>111529</v>
      </c>
      <c r="N645" s="719">
        <v>0</v>
      </c>
      <c r="O645" s="718">
        <v>6937</v>
      </c>
      <c r="P645" s="720">
        <f t="shared" si="19"/>
        <v>118466</v>
      </c>
      <c r="Q645" s="718"/>
      <c r="R645" s="719">
        <v>1327783</v>
      </c>
      <c r="S645" s="721">
        <v>3541</v>
      </c>
      <c r="T645" s="721">
        <v>1331324</v>
      </c>
    </row>
    <row r="646" spans="1:20" x14ac:dyDescent="0.25">
      <c r="A646" s="715">
        <v>97104</v>
      </c>
      <c r="B646" s="716" t="s">
        <v>3178</v>
      </c>
      <c r="C646" s="717">
        <v>5.4299999999999998E-5</v>
      </c>
      <c r="D646" s="717">
        <v>5.6799999999999998E-5</v>
      </c>
      <c r="E646" s="718">
        <v>82955</v>
      </c>
      <c r="F646" s="718"/>
      <c r="G646" s="719">
        <v>4779</v>
      </c>
      <c r="H646" s="720">
        <v>20142</v>
      </c>
      <c r="I646" s="719">
        <v>11847</v>
      </c>
      <c r="J646" s="718">
        <v>11700</v>
      </c>
      <c r="K646" s="720">
        <f t="shared" si="18"/>
        <v>48468</v>
      </c>
      <c r="L646" s="718"/>
      <c r="M646" s="719">
        <v>2348</v>
      </c>
      <c r="N646" s="719">
        <v>0</v>
      </c>
      <c r="O646" s="718">
        <v>0</v>
      </c>
      <c r="P646" s="720">
        <f t="shared" si="19"/>
        <v>2348</v>
      </c>
      <c r="Q646" s="718"/>
      <c r="R646" s="719">
        <v>27956</v>
      </c>
      <c r="S646" s="721">
        <v>6133</v>
      </c>
      <c r="T646" s="721">
        <v>34089</v>
      </c>
    </row>
    <row r="647" spans="1:20" x14ac:dyDescent="0.25">
      <c r="A647" s="715">
        <v>97111</v>
      </c>
      <c r="B647" s="716" t="s">
        <v>3179</v>
      </c>
      <c r="C647" s="717">
        <v>2.8200000000000002E-4</v>
      </c>
      <c r="D647" s="717">
        <v>2.7099999999999997E-4</v>
      </c>
      <c r="E647" s="718">
        <v>430818</v>
      </c>
      <c r="F647" s="718"/>
      <c r="G647" s="719">
        <v>24819</v>
      </c>
      <c r="H647" s="720">
        <v>104603</v>
      </c>
      <c r="I647" s="719">
        <v>61527</v>
      </c>
      <c r="J647" s="718">
        <v>7621</v>
      </c>
      <c r="K647" s="720">
        <f t="shared" ref="K647:K710" si="20">G647+H647+I647+J647</f>
        <v>198570</v>
      </c>
      <c r="L647" s="718"/>
      <c r="M647" s="719">
        <v>12195</v>
      </c>
      <c r="N647" s="719">
        <v>0</v>
      </c>
      <c r="O647" s="718">
        <v>20335</v>
      </c>
      <c r="P647" s="720">
        <f t="shared" ref="P647:P710" si="21">M647+N647+O647</f>
        <v>32530</v>
      </c>
      <c r="Q647" s="718"/>
      <c r="R647" s="719">
        <v>145186</v>
      </c>
      <c r="S647" s="721">
        <v>-1416</v>
      </c>
      <c r="T647" s="721">
        <v>143770</v>
      </c>
    </row>
    <row r="648" spans="1:20" x14ac:dyDescent="0.25">
      <c r="A648" s="715">
        <v>97121</v>
      </c>
      <c r="B648" s="716" t="s">
        <v>3180</v>
      </c>
      <c r="C648" s="717">
        <v>1.3640000000000001E-4</v>
      </c>
      <c r="D648" s="717">
        <v>1.2070000000000001E-4</v>
      </c>
      <c r="E648" s="718">
        <v>208381</v>
      </c>
      <c r="F648" s="718"/>
      <c r="G648" s="719">
        <v>12005</v>
      </c>
      <c r="H648" s="720">
        <v>50595</v>
      </c>
      <c r="I648" s="719">
        <v>29760</v>
      </c>
      <c r="J648" s="718">
        <v>13649</v>
      </c>
      <c r="K648" s="720">
        <f t="shared" si="20"/>
        <v>106009</v>
      </c>
      <c r="L648" s="718"/>
      <c r="M648" s="719">
        <v>5899</v>
      </c>
      <c r="N648" s="719">
        <v>0</v>
      </c>
      <c r="O648" s="718">
        <v>10026</v>
      </c>
      <c r="P648" s="720">
        <f t="shared" si="21"/>
        <v>15925</v>
      </c>
      <c r="Q648" s="718"/>
      <c r="R648" s="719">
        <v>70225</v>
      </c>
      <c r="S648" s="721">
        <v>-1103</v>
      </c>
      <c r="T648" s="721">
        <v>69122</v>
      </c>
    </row>
    <row r="649" spans="1:20" x14ac:dyDescent="0.25">
      <c r="A649" s="715">
        <v>97131</v>
      </c>
      <c r="B649" s="716" t="s">
        <v>3181</v>
      </c>
      <c r="C649" s="717">
        <v>7.358E-4</v>
      </c>
      <c r="D649" s="717">
        <v>6.2969999999999996E-4</v>
      </c>
      <c r="E649" s="718">
        <v>1124099</v>
      </c>
      <c r="F649" s="718"/>
      <c r="G649" s="719">
        <v>64758</v>
      </c>
      <c r="H649" s="720">
        <v>272933</v>
      </c>
      <c r="I649" s="719">
        <v>160537</v>
      </c>
      <c r="J649" s="718">
        <v>29703</v>
      </c>
      <c r="K649" s="720">
        <f t="shared" si="20"/>
        <v>527931</v>
      </c>
      <c r="L649" s="718"/>
      <c r="M649" s="719">
        <v>31820</v>
      </c>
      <c r="N649" s="719">
        <v>0</v>
      </c>
      <c r="O649" s="718">
        <v>2383</v>
      </c>
      <c r="P649" s="720">
        <f t="shared" si="21"/>
        <v>34203</v>
      </c>
      <c r="Q649" s="718"/>
      <c r="R649" s="719">
        <v>378822</v>
      </c>
      <c r="S649" s="721">
        <v>7857</v>
      </c>
      <c r="T649" s="721">
        <v>386679</v>
      </c>
    </row>
    <row r="650" spans="1:20" x14ac:dyDescent="0.25">
      <c r="A650" s="715">
        <v>97201</v>
      </c>
      <c r="B650" s="716" t="s">
        <v>3182</v>
      </c>
      <c r="C650" s="717">
        <v>5.2689999999999996E-4</v>
      </c>
      <c r="D650" s="717">
        <v>4.9439999999999998E-4</v>
      </c>
      <c r="E650" s="718">
        <v>804957</v>
      </c>
      <c r="F650" s="718"/>
      <c r="G650" s="719">
        <v>46373</v>
      </c>
      <c r="H650" s="720">
        <v>195445</v>
      </c>
      <c r="I650" s="719">
        <v>114959</v>
      </c>
      <c r="J650" s="718">
        <v>43529</v>
      </c>
      <c r="K650" s="720">
        <f t="shared" si="20"/>
        <v>400306</v>
      </c>
      <c r="L650" s="718"/>
      <c r="M650" s="719">
        <v>22786</v>
      </c>
      <c r="N650" s="719">
        <v>0</v>
      </c>
      <c r="O650" s="718">
        <v>1877</v>
      </c>
      <c r="P650" s="720">
        <f t="shared" si="21"/>
        <v>24663</v>
      </c>
      <c r="Q650" s="718"/>
      <c r="R650" s="719">
        <v>271271</v>
      </c>
      <c r="S650" s="721">
        <v>10950</v>
      </c>
      <c r="T650" s="721">
        <f>282222-1</f>
        <v>282221</v>
      </c>
    </row>
    <row r="651" spans="1:20" x14ac:dyDescent="0.25">
      <c r="A651" s="715">
        <v>97211</v>
      </c>
      <c r="B651" s="716" t="s">
        <v>3183</v>
      </c>
      <c r="C651" s="717">
        <v>1.5980000000000001E-4</v>
      </c>
      <c r="D651" s="717">
        <v>1.4119999999999999E-4</v>
      </c>
      <c r="E651" s="718">
        <v>244130</v>
      </c>
      <c r="F651" s="718"/>
      <c r="G651" s="719">
        <v>14064</v>
      </c>
      <c r="H651" s="720">
        <v>59275</v>
      </c>
      <c r="I651" s="719">
        <v>34865</v>
      </c>
      <c r="J651" s="718">
        <v>16009</v>
      </c>
      <c r="K651" s="720">
        <f t="shared" si="20"/>
        <v>124213</v>
      </c>
      <c r="L651" s="718"/>
      <c r="M651" s="719">
        <v>6911</v>
      </c>
      <c r="N651" s="719">
        <v>0</v>
      </c>
      <c r="O651" s="718">
        <v>12120</v>
      </c>
      <c r="P651" s="720">
        <f t="shared" si="21"/>
        <v>19031</v>
      </c>
      <c r="Q651" s="718"/>
      <c r="R651" s="719">
        <v>82272</v>
      </c>
      <c r="S651" s="721">
        <v>347</v>
      </c>
      <c r="T651" s="721">
        <v>82619</v>
      </c>
    </row>
    <row r="652" spans="1:20" x14ac:dyDescent="0.25">
      <c r="A652" s="715">
        <v>97213</v>
      </c>
      <c r="B652" s="716" t="s">
        <v>3184</v>
      </c>
      <c r="C652" s="717">
        <v>3.9100000000000002E-5</v>
      </c>
      <c r="D652" s="717">
        <v>3.8300000000000003E-5</v>
      </c>
      <c r="E652" s="718">
        <v>59734</v>
      </c>
      <c r="F652" s="718"/>
      <c r="G652" s="719">
        <v>3441</v>
      </c>
      <c r="H652" s="720">
        <v>14504</v>
      </c>
      <c r="I652" s="719">
        <v>8531</v>
      </c>
      <c r="J652" s="718">
        <v>6715</v>
      </c>
      <c r="K652" s="720">
        <f t="shared" si="20"/>
        <v>33191</v>
      </c>
      <c r="L652" s="718"/>
      <c r="M652" s="719">
        <v>1691</v>
      </c>
      <c r="N652" s="719">
        <v>0</v>
      </c>
      <c r="O652" s="718">
        <v>495</v>
      </c>
      <c r="P652" s="720">
        <f t="shared" si="21"/>
        <v>2186</v>
      </c>
      <c r="Q652" s="718"/>
      <c r="R652" s="719">
        <v>20130</v>
      </c>
      <c r="S652" s="721">
        <v>2057</v>
      </c>
      <c r="T652" s="721">
        <v>22187</v>
      </c>
    </row>
    <row r="653" spans="1:20" x14ac:dyDescent="0.25">
      <c r="A653" s="715">
        <v>97217</v>
      </c>
      <c r="B653" s="716" t="s">
        <v>3185</v>
      </c>
      <c r="C653" s="717">
        <v>4.6E-6</v>
      </c>
      <c r="D653" s="717">
        <v>4.8999999999999997E-6</v>
      </c>
      <c r="E653" s="718">
        <v>7028</v>
      </c>
      <c r="F653" s="718"/>
      <c r="G653" s="719">
        <v>405</v>
      </c>
      <c r="H653" s="720">
        <v>1706</v>
      </c>
      <c r="I653" s="719">
        <v>1004</v>
      </c>
      <c r="J653" s="718">
        <v>8215</v>
      </c>
      <c r="K653" s="720">
        <f t="shared" si="20"/>
        <v>11330</v>
      </c>
      <c r="L653" s="718"/>
      <c r="M653" s="719">
        <v>199</v>
      </c>
      <c r="N653" s="719">
        <v>0</v>
      </c>
      <c r="O653" s="718">
        <v>0</v>
      </c>
      <c r="P653" s="720">
        <f t="shared" si="21"/>
        <v>199</v>
      </c>
      <c r="Q653" s="718"/>
      <c r="R653" s="719">
        <v>2368</v>
      </c>
      <c r="S653" s="721">
        <v>3286</v>
      </c>
      <c r="T653" s="721">
        <v>5654</v>
      </c>
    </row>
    <row r="654" spans="1:20" x14ac:dyDescent="0.25">
      <c r="A654" s="715">
        <v>97221</v>
      </c>
      <c r="B654" s="716" t="s">
        <v>3186</v>
      </c>
      <c r="C654" s="717">
        <v>7.1999999999999997E-6</v>
      </c>
      <c r="D654" s="717">
        <v>6.1999999999999999E-6</v>
      </c>
      <c r="E654" s="718">
        <v>11000</v>
      </c>
      <c r="F654" s="718"/>
      <c r="G654" s="719">
        <v>634</v>
      </c>
      <c r="H654" s="720">
        <v>2670</v>
      </c>
      <c r="I654" s="719">
        <v>1571</v>
      </c>
      <c r="J654" s="718">
        <v>8086</v>
      </c>
      <c r="K654" s="720">
        <f t="shared" si="20"/>
        <v>12961</v>
      </c>
      <c r="L654" s="718"/>
      <c r="M654" s="719">
        <v>311</v>
      </c>
      <c r="N654" s="719">
        <v>0</v>
      </c>
      <c r="O654" s="718">
        <v>0</v>
      </c>
      <c r="P654" s="720">
        <f t="shared" si="21"/>
        <v>311</v>
      </c>
      <c r="Q654" s="718"/>
      <c r="R654" s="719">
        <v>3707</v>
      </c>
      <c r="S654" s="721">
        <v>3119</v>
      </c>
      <c r="T654" s="721">
        <v>6826</v>
      </c>
    </row>
    <row r="655" spans="1:20" x14ac:dyDescent="0.25">
      <c r="A655" s="715">
        <v>97301</v>
      </c>
      <c r="B655" s="716" t="s">
        <v>3187</v>
      </c>
      <c r="C655" s="717">
        <v>2.5135999999999999E-3</v>
      </c>
      <c r="D655" s="717">
        <v>2.5742E-3</v>
      </c>
      <c r="E655" s="718">
        <v>3840085</v>
      </c>
      <c r="F655" s="718"/>
      <c r="G655" s="719">
        <v>221224</v>
      </c>
      <c r="H655" s="720">
        <v>932377</v>
      </c>
      <c r="I655" s="719">
        <v>548417</v>
      </c>
      <c r="J655" s="718">
        <v>23710</v>
      </c>
      <c r="K655" s="720">
        <f t="shared" si="20"/>
        <v>1725728</v>
      </c>
      <c r="L655" s="718"/>
      <c r="M655" s="719">
        <v>108701</v>
      </c>
      <c r="N655" s="719">
        <v>0</v>
      </c>
      <c r="O655" s="718">
        <v>56463</v>
      </c>
      <c r="P655" s="720">
        <f t="shared" si="21"/>
        <v>165164</v>
      </c>
      <c r="Q655" s="718"/>
      <c r="R655" s="719">
        <v>1294112</v>
      </c>
      <c r="S655" s="721">
        <v>-10667</v>
      </c>
      <c r="T655" s="721">
        <v>1283445</v>
      </c>
    </row>
    <row r="656" spans="1:20" x14ac:dyDescent="0.25">
      <c r="A656" s="715">
        <v>97304</v>
      </c>
      <c r="B656" s="716" t="s">
        <v>3188</v>
      </c>
      <c r="C656" s="717">
        <v>1.6799999999999998E-5</v>
      </c>
      <c r="D656" s="717">
        <v>1.7600000000000001E-5</v>
      </c>
      <c r="E656" s="718">
        <v>25666</v>
      </c>
      <c r="F656" s="718"/>
      <c r="G656" s="719">
        <v>1479</v>
      </c>
      <c r="H656" s="720">
        <v>6232</v>
      </c>
      <c r="I656" s="719">
        <v>3665</v>
      </c>
      <c r="J656" s="718">
        <v>8739</v>
      </c>
      <c r="K656" s="720">
        <f t="shared" si="20"/>
        <v>20115</v>
      </c>
      <c r="L656" s="718"/>
      <c r="M656" s="719">
        <v>727</v>
      </c>
      <c r="N656" s="719">
        <v>0</v>
      </c>
      <c r="O656" s="718">
        <v>0</v>
      </c>
      <c r="P656" s="720">
        <f t="shared" si="21"/>
        <v>727</v>
      </c>
      <c r="Q656" s="718"/>
      <c r="R656" s="719">
        <v>8649</v>
      </c>
      <c r="S656" s="721">
        <v>3503</v>
      </c>
      <c r="T656" s="721">
        <f>12153-1</f>
        <v>12152</v>
      </c>
    </row>
    <row r="657" spans="1:20" x14ac:dyDescent="0.25">
      <c r="A657" s="715">
        <v>97311</v>
      </c>
      <c r="B657" s="716" t="s">
        <v>3189</v>
      </c>
      <c r="C657" s="717">
        <v>9.1799999999999998E-4</v>
      </c>
      <c r="D657" s="717">
        <v>9.5E-4</v>
      </c>
      <c r="E657" s="718">
        <v>1402450</v>
      </c>
      <c r="F657" s="718"/>
      <c r="G657" s="719">
        <v>80794</v>
      </c>
      <c r="H657" s="720">
        <v>340516</v>
      </c>
      <c r="I657" s="719">
        <v>200289</v>
      </c>
      <c r="J657" s="718">
        <v>0</v>
      </c>
      <c r="K657" s="720">
        <f t="shared" si="20"/>
        <v>621599</v>
      </c>
      <c r="L657" s="718"/>
      <c r="M657" s="719">
        <v>39699</v>
      </c>
      <c r="N657" s="719">
        <v>0</v>
      </c>
      <c r="O657" s="718">
        <v>96844</v>
      </c>
      <c r="P657" s="720">
        <f t="shared" si="21"/>
        <v>136543</v>
      </c>
      <c r="Q657" s="718"/>
      <c r="R657" s="719">
        <v>472627</v>
      </c>
      <c r="S657" s="721">
        <v>-42048</v>
      </c>
      <c r="T657" s="721">
        <v>430579</v>
      </c>
    </row>
    <row r="658" spans="1:20" x14ac:dyDescent="0.25">
      <c r="A658" s="715">
        <v>97401</v>
      </c>
      <c r="B658" s="716" t="s">
        <v>3190</v>
      </c>
      <c r="C658" s="717">
        <v>7.1303E-3</v>
      </c>
      <c r="D658" s="717">
        <v>6.9633000000000004E-3</v>
      </c>
      <c r="E658" s="718">
        <v>10893123</v>
      </c>
      <c r="F658" s="718"/>
      <c r="G658" s="719">
        <v>627545</v>
      </c>
      <c r="H658" s="720">
        <v>2644864</v>
      </c>
      <c r="I658" s="719">
        <v>1555689</v>
      </c>
      <c r="J658" s="718">
        <v>151378</v>
      </c>
      <c r="K658" s="720">
        <f t="shared" si="20"/>
        <v>4979476</v>
      </c>
      <c r="L658" s="718"/>
      <c r="M658" s="719">
        <v>308350</v>
      </c>
      <c r="N658" s="719">
        <v>0</v>
      </c>
      <c r="O658" s="718">
        <v>83194</v>
      </c>
      <c r="P658" s="720">
        <f t="shared" si="21"/>
        <v>391544</v>
      </c>
      <c r="Q658" s="718"/>
      <c r="R658" s="719">
        <v>3670992</v>
      </c>
      <c r="S658" s="721">
        <v>-21617</v>
      </c>
      <c r="T658" s="721">
        <v>3649375</v>
      </c>
    </row>
    <row r="659" spans="1:20" x14ac:dyDescent="0.25">
      <c r="A659" s="715">
        <v>97402</v>
      </c>
      <c r="B659" s="716" t="s">
        <v>3191</v>
      </c>
      <c r="C659" s="717">
        <v>4.8000000000000001E-5</v>
      </c>
      <c r="D659" s="717">
        <v>4.4700000000000002E-5</v>
      </c>
      <c r="E659" s="718">
        <v>73331</v>
      </c>
      <c r="F659" s="718"/>
      <c r="G659" s="719">
        <v>4225</v>
      </c>
      <c r="H659" s="720">
        <v>17804</v>
      </c>
      <c r="I659" s="719">
        <v>10473</v>
      </c>
      <c r="J659" s="718">
        <v>15704</v>
      </c>
      <c r="K659" s="720">
        <f t="shared" si="20"/>
        <v>48206</v>
      </c>
      <c r="L659" s="718"/>
      <c r="M659" s="719">
        <v>2076</v>
      </c>
      <c r="N659" s="719">
        <v>0</v>
      </c>
      <c r="O659" s="718">
        <v>0</v>
      </c>
      <c r="P659" s="720">
        <f t="shared" si="21"/>
        <v>2076</v>
      </c>
      <c r="Q659" s="718"/>
      <c r="R659" s="719">
        <v>24713</v>
      </c>
      <c r="S659" s="721">
        <v>5283</v>
      </c>
      <c r="T659" s="721">
        <f>29995+1</f>
        <v>29996</v>
      </c>
    </row>
    <row r="660" spans="1:20" x14ac:dyDescent="0.25">
      <c r="A660" s="715">
        <v>97404</v>
      </c>
      <c r="B660" s="716" t="s">
        <v>3192</v>
      </c>
      <c r="C660" s="717">
        <v>2.1010000000000001E-4</v>
      </c>
      <c r="D660" s="717">
        <v>2.1049999999999999E-4</v>
      </c>
      <c r="E660" s="718">
        <v>320975</v>
      </c>
      <c r="F660" s="718"/>
      <c r="G660" s="719">
        <v>18491</v>
      </c>
      <c r="H660" s="720">
        <v>77933</v>
      </c>
      <c r="I660" s="719">
        <v>45840</v>
      </c>
      <c r="J660" s="718">
        <v>983</v>
      </c>
      <c r="K660" s="720">
        <f t="shared" si="20"/>
        <v>143247</v>
      </c>
      <c r="L660" s="718"/>
      <c r="M660" s="719">
        <v>9086</v>
      </c>
      <c r="N660" s="719">
        <v>0</v>
      </c>
      <c r="O660" s="718">
        <v>21173</v>
      </c>
      <c r="P660" s="720">
        <f t="shared" si="21"/>
        <v>30259</v>
      </c>
      <c r="Q660" s="718"/>
      <c r="R660" s="719">
        <v>108169</v>
      </c>
      <c r="S660" s="721">
        <v>-6084</v>
      </c>
      <c r="T660" s="721">
        <f>102084+1</f>
        <v>102085</v>
      </c>
    </row>
    <row r="661" spans="1:20" x14ac:dyDescent="0.25">
      <c r="A661" s="715">
        <v>97405</v>
      </c>
      <c r="B661" s="716" t="s">
        <v>3193</v>
      </c>
      <c r="C661" s="717">
        <v>1.091E-4</v>
      </c>
      <c r="D661" s="717">
        <v>1.087E-4</v>
      </c>
      <c r="E661" s="718">
        <v>166675</v>
      </c>
      <c r="F661" s="718"/>
      <c r="G661" s="719">
        <v>9602</v>
      </c>
      <c r="H661" s="720">
        <v>40468</v>
      </c>
      <c r="I661" s="719">
        <v>23803</v>
      </c>
      <c r="J661" s="718">
        <v>26973</v>
      </c>
      <c r="K661" s="720">
        <f t="shared" si="20"/>
        <v>100846</v>
      </c>
      <c r="L661" s="718"/>
      <c r="M661" s="719">
        <v>4718</v>
      </c>
      <c r="N661" s="719">
        <v>0</v>
      </c>
      <c r="O661" s="718">
        <v>4890</v>
      </c>
      <c r="P661" s="720">
        <f t="shared" si="21"/>
        <v>9608</v>
      </c>
      <c r="Q661" s="718"/>
      <c r="R661" s="719">
        <v>56169</v>
      </c>
      <c r="S661" s="721">
        <v>4747</v>
      </c>
      <c r="T661" s="721">
        <v>60916</v>
      </c>
    </row>
    <row r="662" spans="1:20" x14ac:dyDescent="0.25">
      <c r="A662" s="715">
        <v>97408</v>
      </c>
      <c r="B662" s="716" t="s">
        <v>3194</v>
      </c>
      <c r="C662" s="717">
        <v>4.4499999999999997E-5</v>
      </c>
      <c r="D662" s="717">
        <v>4.9299999999999999E-5</v>
      </c>
      <c r="E662" s="718">
        <v>67984</v>
      </c>
      <c r="F662" s="718"/>
      <c r="G662" s="719">
        <v>3916</v>
      </c>
      <c r="H662" s="720">
        <v>16507</v>
      </c>
      <c r="I662" s="719">
        <v>9709</v>
      </c>
      <c r="J662" s="718">
        <v>7648</v>
      </c>
      <c r="K662" s="720">
        <f t="shared" si="20"/>
        <v>37780</v>
      </c>
      <c r="L662" s="718"/>
      <c r="M662" s="719">
        <v>1924</v>
      </c>
      <c r="N662" s="719">
        <v>0</v>
      </c>
      <c r="O662" s="718">
        <v>0</v>
      </c>
      <c r="P662" s="720">
        <f t="shared" si="21"/>
        <v>1924</v>
      </c>
      <c r="Q662" s="718"/>
      <c r="R662" s="719">
        <v>22911</v>
      </c>
      <c r="S662" s="721">
        <v>2984</v>
      </c>
      <c r="T662" s="721">
        <v>25895</v>
      </c>
    </row>
    <row r="663" spans="1:20" x14ac:dyDescent="0.25">
      <c r="A663" s="715">
        <v>97411</v>
      </c>
      <c r="B663" s="716" t="s">
        <v>3195</v>
      </c>
      <c r="C663" s="717">
        <v>6.6379000000000004E-3</v>
      </c>
      <c r="D663" s="717">
        <v>6.7269000000000001E-3</v>
      </c>
      <c r="E663" s="718">
        <v>10140873</v>
      </c>
      <c r="F663" s="718"/>
      <c r="G663" s="719">
        <v>584208</v>
      </c>
      <c r="H663" s="720">
        <v>2462217</v>
      </c>
      <c r="I663" s="719">
        <v>1448257</v>
      </c>
      <c r="J663" s="718">
        <v>0</v>
      </c>
      <c r="K663" s="720">
        <f t="shared" si="20"/>
        <v>4494682</v>
      </c>
      <c r="L663" s="718"/>
      <c r="M663" s="719">
        <v>287056</v>
      </c>
      <c r="N663" s="719">
        <v>0</v>
      </c>
      <c r="O663" s="718">
        <v>679489</v>
      </c>
      <c r="P663" s="720">
        <f t="shared" si="21"/>
        <v>966545</v>
      </c>
      <c r="Q663" s="718"/>
      <c r="R663" s="719">
        <v>3417483</v>
      </c>
      <c r="S663" s="721">
        <v>-317873</v>
      </c>
      <c r="T663" s="721">
        <v>3099610</v>
      </c>
    </row>
    <row r="664" spans="1:20" x14ac:dyDescent="0.25">
      <c r="A664" s="715">
        <v>97412</v>
      </c>
      <c r="B664" s="716" t="s">
        <v>3196</v>
      </c>
      <c r="C664" s="717">
        <v>4.5082000000000004E-3</v>
      </c>
      <c r="D664" s="717">
        <v>4.424E-3</v>
      </c>
      <c r="E664" s="718">
        <v>6887281</v>
      </c>
      <c r="F664" s="718"/>
      <c r="G664" s="719">
        <v>396771</v>
      </c>
      <c r="H664" s="720">
        <v>1672240</v>
      </c>
      <c r="I664" s="719">
        <v>983599</v>
      </c>
      <c r="J664" s="718">
        <v>229685</v>
      </c>
      <c r="K664" s="720">
        <f t="shared" si="20"/>
        <v>3282295</v>
      </c>
      <c r="L664" s="718"/>
      <c r="M664" s="719">
        <v>194957</v>
      </c>
      <c r="N664" s="719">
        <v>0</v>
      </c>
      <c r="O664" s="718">
        <v>0</v>
      </c>
      <c r="P664" s="720">
        <f t="shared" si="21"/>
        <v>194957</v>
      </c>
      <c r="Q664" s="718"/>
      <c r="R664" s="719">
        <v>2321020</v>
      </c>
      <c r="S664" s="721">
        <v>85525</v>
      </c>
      <c r="T664" s="721">
        <v>2406545</v>
      </c>
    </row>
    <row r="665" spans="1:20" x14ac:dyDescent="0.25">
      <c r="A665" s="715">
        <v>97413</v>
      </c>
      <c r="B665" s="716" t="s">
        <v>3197</v>
      </c>
      <c r="C665" s="717">
        <v>2.6570000000000001E-4</v>
      </c>
      <c r="D665" s="717">
        <v>2.7910000000000001E-4</v>
      </c>
      <c r="E665" s="718">
        <v>405916</v>
      </c>
      <c r="F665" s="718"/>
      <c r="G665" s="719">
        <v>23385</v>
      </c>
      <c r="H665" s="720">
        <v>98557</v>
      </c>
      <c r="I665" s="719">
        <v>57970</v>
      </c>
      <c r="J665" s="718">
        <v>7437</v>
      </c>
      <c r="K665" s="720">
        <f t="shared" si="20"/>
        <v>187349</v>
      </c>
      <c r="L665" s="718"/>
      <c r="M665" s="719">
        <v>11490</v>
      </c>
      <c r="N665" s="719">
        <v>0</v>
      </c>
      <c r="O665" s="718">
        <v>5304</v>
      </c>
      <c r="P665" s="720">
        <f t="shared" si="21"/>
        <v>16794</v>
      </c>
      <c r="Q665" s="718"/>
      <c r="R665" s="719">
        <v>136794</v>
      </c>
      <c r="S665" s="721">
        <v>-2913</v>
      </c>
      <c r="T665" s="721">
        <v>133881</v>
      </c>
    </row>
    <row r="666" spans="1:20" x14ac:dyDescent="0.25">
      <c r="A666" s="715">
        <v>97421</v>
      </c>
      <c r="B666" s="716" t="s">
        <v>3198</v>
      </c>
      <c r="C666" s="717">
        <v>4.2890000000000002E-4</v>
      </c>
      <c r="D666" s="717">
        <v>4.1120000000000002E-4</v>
      </c>
      <c r="E666" s="718">
        <v>655240</v>
      </c>
      <c r="F666" s="718"/>
      <c r="G666" s="719">
        <v>37748</v>
      </c>
      <c r="H666" s="720">
        <v>159093</v>
      </c>
      <c r="I666" s="719">
        <v>93577</v>
      </c>
      <c r="J666" s="718">
        <v>8155</v>
      </c>
      <c r="K666" s="720">
        <f t="shared" si="20"/>
        <v>298573</v>
      </c>
      <c r="L666" s="718"/>
      <c r="M666" s="719">
        <v>18548</v>
      </c>
      <c r="N666" s="719">
        <v>0</v>
      </c>
      <c r="O666" s="718">
        <v>24127</v>
      </c>
      <c r="P666" s="720">
        <f t="shared" si="21"/>
        <v>42675</v>
      </c>
      <c r="Q666" s="718"/>
      <c r="R666" s="719">
        <v>220817</v>
      </c>
      <c r="S666" s="721">
        <v>-14066</v>
      </c>
      <c r="T666" s="721">
        <v>206751</v>
      </c>
    </row>
    <row r="667" spans="1:20" x14ac:dyDescent="0.25">
      <c r="A667" s="715">
        <v>97423</v>
      </c>
      <c r="B667" s="716" t="s">
        <v>3199</v>
      </c>
      <c r="C667" s="717">
        <v>4.3600000000000003E-5</v>
      </c>
      <c r="D667" s="717">
        <v>4.5800000000000002E-5</v>
      </c>
      <c r="E667" s="718">
        <v>66609</v>
      </c>
      <c r="F667" s="718"/>
      <c r="G667" s="719">
        <v>3837</v>
      </c>
      <c r="H667" s="720">
        <v>16173</v>
      </c>
      <c r="I667" s="719">
        <v>9513</v>
      </c>
      <c r="J667" s="718">
        <v>35421</v>
      </c>
      <c r="K667" s="720">
        <f t="shared" si="20"/>
        <v>64944</v>
      </c>
      <c r="L667" s="718"/>
      <c r="M667" s="719">
        <v>1885</v>
      </c>
      <c r="N667" s="719">
        <v>0</v>
      </c>
      <c r="O667" s="718">
        <v>0</v>
      </c>
      <c r="P667" s="720">
        <f t="shared" si="21"/>
        <v>1885</v>
      </c>
      <c r="Q667" s="718"/>
      <c r="R667" s="719">
        <v>22447</v>
      </c>
      <c r="S667" s="721">
        <v>12225</v>
      </c>
      <c r="T667" s="721">
        <v>34672</v>
      </c>
    </row>
    <row r="668" spans="1:20" x14ac:dyDescent="0.25">
      <c r="A668" s="715">
        <v>97431</v>
      </c>
      <c r="B668" s="716" t="s">
        <v>3200</v>
      </c>
      <c r="C668" s="717">
        <v>8.5599999999999994E-5</v>
      </c>
      <c r="D668" s="717">
        <v>8.5199999999999997E-5</v>
      </c>
      <c r="E668" s="718">
        <v>130773</v>
      </c>
      <c r="F668" s="718"/>
      <c r="G668" s="719">
        <v>7534</v>
      </c>
      <c r="H668" s="720">
        <v>31751</v>
      </c>
      <c r="I668" s="719">
        <v>18676</v>
      </c>
      <c r="J668" s="718">
        <v>6440</v>
      </c>
      <c r="K668" s="720">
        <f t="shared" si="20"/>
        <v>64401</v>
      </c>
      <c r="L668" s="718"/>
      <c r="M668" s="719">
        <v>3702</v>
      </c>
      <c r="N668" s="719">
        <v>0</v>
      </c>
      <c r="O668" s="718">
        <v>0</v>
      </c>
      <c r="P668" s="720">
        <f t="shared" si="21"/>
        <v>3702</v>
      </c>
      <c r="Q668" s="718"/>
      <c r="R668" s="719">
        <v>44071</v>
      </c>
      <c r="S668" s="721">
        <v>2026</v>
      </c>
      <c r="T668" s="721">
        <v>46097</v>
      </c>
    </row>
    <row r="669" spans="1:20" x14ac:dyDescent="0.25">
      <c r="A669" s="715">
        <v>97441</v>
      </c>
      <c r="B669" s="716" t="s">
        <v>3201</v>
      </c>
      <c r="C669" s="717">
        <v>7.5799999999999999E-5</v>
      </c>
      <c r="D669" s="717">
        <v>7.0500000000000006E-5</v>
      </c>
      <c r="E669" s="718">
        <v>115801</v>
      </c>
      <c r="F669" s="718"/>
      <c r="G669" s="719">
        <v>6671</v>
      </c>
      <c r="H669" s="720">
        <v>28117</v>
      </c>
      <c r="I669" s="719">
        <v>16538</v>
      </c>
      <c r="J669" s="718">
        <v>202</v>
      </c>
      <c r="K669" s="720">
        <f t="shared" si="20"/>
        <v>51528</v>
      </c>
      <c r="L669" s="718"/>
      <c r="M669" s="719">
        <v>3278</v>
      </c>
      <c r="N669" s="719">
        <v>0</v>
      </c>
      <c r="O669" s="718">
        <v>7671</v>
      </c>
      <c r="P669" s="720">
        <f t="shared" si="21"/>
        <v>10949</v>
      </c>
      <c r="Q669" s="718"/>
      <c r="R669" s="719">
        <v>39025</v>
      </c>
      <c r="S669" s="721">
        <v>-2235</v>
      </c>
      <c r="T669" s="721">
        <v>36790</v>
      </c>
    </row>
    <row r="670" spans="1:20" x14ac:dyDescent="0.25">
      <c r="A670" s="715">
        <v>97451</v>
      </c>
      <c r="B670" s="716" t="s">
        <v>3202</v>
      </c>
      <c r="C670" s="717">
        <v>5.5820000000000002E-4</v>
      </c>
      <c r="D670" s="717">
        <v>6.1039999999999998E-4</v>
      </c>
      <c r="E670" s="718">
        <v>852775</v>
      </c>
      <c r="F670" s="718"/>
      <c r="G670" s="719">
        <v>49128</v>
      </c>
      <c r="H670" s="720">
        <v>207055</v>
      </c>
      <c r="I670" s="719">
        <v>121788</v>
      </c>
      <c r="J670" s="718">
        <v>19770</v>
      </c>
      <c r="K670" s="720">
        <f t="shared" si="20"/>
        <v>397741</v>
      </c>
      <c r="L670" s="718"/>
      <c r="M670" s="719">
        <v>24139</v>
      </c>
      <c r="N670" s="719">
        <v>0</v>
      </c>
      <c r="O670" s="718">
        <v>47630</v>
      </c>
      <c r="P670" s="720">
        <f t="shared" si="21"/>
        <v>71769</v>
      </c>
      <c r="Q670" s="718"/>
      <c r="R670" s="719">
        <v>287386</v>
      </c>
      <c r="S670" s="721">
        <v>-2772</v>
      </c>
      <c r="T670" s="721">
        <v>284614</v>
      </c>
    </row>
    <row r="671" spans="1:20" x14ac:dyDescent="0.25">
      <c r="A671" s="715">
        <v>97461</v>
      </c>
      <c r="B671" s="716" t="s">
        <v>3203</v>
      </c>
      <c r="C671" s="717">
        <v>5.5650000000000003E-4</v>
      </c>
      <c r="D671" s="717">
        <v>5.1869999999999998E-4</v>
      </c>
      <c r="E671" s="718">
        <v>850178</v>
      </c>
      <c r="F671" s="718"/>
      <c r="G671" s="719">
        <v>48978</v>
      </c>
      <c r="H671" s="720">
        <v>206424</v>
      </c>
      <c r="I671" s="719">
        <v>121417</v>
      </c>
      <c r="J671" s="718">
        <v>5855</v>
      </c>
      <c r="K671" s="720">
        <f t="shared" si="20"/>
        <v>382674</v>
      </c>
      <c r="L671" s="718"/>
      <c r="M671" s="719">
        <v>24066</v>
      </c>
      <c r="N671" s="719">
        <v>0</v>
      </c>
      <c r="O671" s="718">
        <v>31609</v>
      </c>
      <c r="P671" s="720">
        <f t="shared" si="21"/>
        <v>55675</v>
      </c>
      <c r="Q671" s="718"/>
      <c r="R671" s="719">
        <v>286511</v>
      </c>
      <c r="S671" s="721">
        <v>-11321</v>
      </c>
      <c r="T671" s="721">
        <v>275190</v>
      </c>
    </row>
    <row r="672" spans="1:20" x14ac:dyDescent="0.25">
      <c r="A672" s="715">
        <v>97463</v>
      </c>
      <c r="B672" s="716" t="s">
        <v>3204</v>
      </c>
      <c r="C672" s="717">
        <v>4.1100000000000003E-5</v>
      </c>
      <c r="D672" s="717">
        <v>5.0099999999999998E-5</v>
      </c>
      <c r="E672" s="718">
        <v>62789</v>
      </c>
      <c r="F672" s="718"/>
      <c r="G672" s="719">
        <v>3617</v>
      </c>
      <c r="H672" s="720">
        <v>15246</v>
      </c>
      <c r="I672" s="719">
        <v>8967</v>
      </c>
      <c r="J672" s="718">
        <v>1420</v>
      </c>
      <c r="K672" s="720">
        <f t="shared" si="20"/>
        <v>29250</v>
      </c>
      <c r="L672" s="718"/>
      <c r="M672" s="719">
        <v>1777</v>
      </c>
      <c r="N672" s="719">
        <v>0</v>
      </c>
      <c r="O672" s="718">
        <v>12499</v>
      </c>
      <c r="P672" s="720">
        <f t="shared" si="21"/>
        <v>14276</v>
      </c>
      <c r="Q672" s="718"/>
      <c r="R672" s="719">
        <v>21160</v>
      </c>
      <c r="S672" s="721">
        <v>-2447</v>
      </c>
      <c r="T672" s="721">
        <v>18713</v>
      </c>
    </row>
    <row r="673" spans="1:20" x14ac:dyDescent="0.25">
      <c r="A673" s="715">
        <v>97471</v>
      </c>
      <c r="B673" s="716" t="s">
        <v>3205</v>
      </c>
      <c r="C673" s="717">
        <v>1.22E-5</v>
      </c>
      <c r="D673" s="717">
        <v>1.27E-5</v>
      </c>
      <c r="E673" s="718">
        <v>18638</v>
      </c>
      <c r="F673" s="718"/>
      <c r="G673" s="719">
        <v>1074</v>
      </c>
      <c r="H673" s="720">
        <v>4526</v>
      </c>
      <c r="I673" s="719">
        <v>2662</v>
      </c>
      <c r="J673" s="718">
        <v>6770</v>
      </c>
      <c r="K673" s="720">
        <f t="shared" si="20"/>
        <v>15032</v>
      </c>
      <c r="L673" s="718"/>
      <c r="M673" s="719">
        <v>528</v>
      </c>
      <c r="N673" s="719">
        <v>0</v>
      </c>
      <c r="O673" s="718">
        <v>0</v>
      </c>
      <c r="P673" s="720">
        <f t="shared" si="21"/>
        <v>528</v>
      </c>
      <c r="Q673" s="718"/>
      <c r="R673" s="719">
        <v>6281</v>
      </c>
      <c r="S673" s="721">
        <v>2621</v>
      </c>
      <c r="T673" s="721">
        <v>8902</v>
      </c>
    </row>
    <row r="674" spans="1:20" x14ac:dyDescent="0.25">
      <c r="A674" s="715">
        <v>97481</v>
      </c>
      <c r="B674" s="716" t="s">
        <v>3206</v>
      </c>
      <c r="C674" s="717">
        <v>9.9000000000000001E-6</v>
      </c>
      <c r="D674" s="717">
        <v>1.63E-5</v>
      </c>
      <c r="E674" s="718">
        <v>15124</v>
      </c>
      <c r="F674" s="718"/>
      <c r="G674" s="719">
        <v>871</v>
      </c>
      <c r="H674" s="720">
        <v>3672</v>
      </c>
      <c r="I674" s="719">
        <v>2160</v>
      </c>
      <c r="J674" s="718">
        <v>3592</v>
      </c>
      <c r="K674" s="720">
        <f t="shared" si="20"/>
        <v>10295</v>
      </c>
      <c r="L674" s="718"/>
      <c r="M674" s="719">
        <v>428</v>
      </c>
      <c r="N674" s="719">
        <v>0</v>
      </c>
      <c r="O674" s="718">
        <v>3115</v>
      </c>
      <c r="P674" s="720">
        <f t="shared" si="21"/>
        <v>3543</v>
      </c>
      <c r="Q674" s="718"/>
      <c r="R674" s="719">
        <v>5097</v>
      </c>
      <c r="S674" s="721">
        <v>1594</v>
      </c>
      <c r="T674" s="721">
        <v>6691</v>
      </c>
    </row>
    <row r="675" spans="1:20" x14ac:dyDescent="0.25">
      <c r="A675" s="715">
        <v>97491</v>
      </c>
      <c r="B675" s="716" t="s">
        <v>3207</v>
      </c>
      <c r="C675" s="717">
        <v>0</v>
      </c>
      <c r="D675" s="717">
        <v>0</v>
      </c>
      <c r="E675" s="718">
        <v>0</v>
      </c>
      <c r="F675" s="718"/>
      <c r="G675" s="719">
        <v>0</v>
      </c>
      <c r="H675" s="720">
        <v>0</v>
      </c>
      <c r="I675" s="719">
        <v>0</v>
      </c>
      <c r="J675" s="718">
        <v>0</v>
      </c>
      <c r="K675" s="720">
        <f t="shared" si="20"/>
        <v>0</v>
      </c>
      <c r="L675" s="718"/>
      <c r="M675" s="719">
        <v>0</v>
      </c>
      <c r="N675" s="719">
        <v>0</v>
      </c>
      <c r="O675" s="718">
        <v>7849</v>
      </c>
      <c r="P675" s="720">
        <f t="shared" si="21"/>
        <v>7849</v>
      </c>
      <c r="Q675" s="718"/>
      <c r="R675" s="719">
        <v>0</v>
      </c>
      <c r="S675" s="721">
        <v>-4941</v>
      </c>
      <c r="T675" s="721">
        <v>-4941</v>
      </c>
    </row>
    <row r="676" spans="1:20" x14ac:dyDescent="0.25">
      <c r="A676" s="715">
        <v>97501</v>
      </c>
      <c r="B676" s="716" t="s">
        <v>3208</v>
      </c>
      <c r="C676" s="717">
        <v>1.1000999999999999E-3</v>
      </c>
      <c r="D676" s="717">
        <v>9.6730000000000004E-4</v>
      </c>
      <c r="E676" s="718">
        <v>1680648</v>
      </c>
      <c r="F676" s="718"/>
      <c r="G676" s="719">
        <v>96821</v>
      </c>
      <c r="H676" s="720">
        <v>408064</v>
      </c>
      <c r="I676" s="719">
        <v>240020</v>
      </c>
      <c r="J676" s="718">
        <v>125050</v>
      </c>
      <c r="K676" s="720">
        <f t="shared" si="20"/>
        <v>869955</v>
      </c>
      <c r="L676" s="718"/>
      <c r="M676" s="719">
        <v>47574</v>
      </c>
      <c r="N676" s="719">
        <v>0</v>
      </c>
      <c r="O676" s="718">
        <v>0</v>
      </c>
      <c r="P676" s="720">
        <f t="shared" si="21"/>
        <v>47574</v>
      </c>
      <c r="Q676" s="718"/>
      <c r="R676" s="719">
        <v>566380</v>
      </c>
      <c r="S676" s="721">
        <v>44629</v>
      </c>
      <c r="T676" s="721">
        <v>611009</v>
      </c>
    </row>
    <row r="677" spans="1:20" x14ac:dyDescent="0.25">
      <c r="A677" s="715">
        <v>97511</v>
      </c>
      <c r="B677" s="716" t="s">
        <v>3209</v>
      </c>
      <c r="C677" s="717">
        <v>2.3450000000000001E-4</v>
      </c>
      <c r="D677" s="717">
        <v>2.3220000000000001E-4</v>
      </c>
      <c r="E677" s="718">
        <v>358251</v>
      </c>
      <c r="F677" s="718"/>
      <c r="G677" s="719">
        <v>20639</v>
      </c>
      <c r="H677" s="720">
        <v>86984</v>
      </c>
      <c r="I677" s="719">
        <v>51163</v>
      </c>
      <c r="J677" s="718">
        <v>12835</v>
      </c>
      <c r="K677" s="720">
        <f t="shared" si="20"/>
        <v>171621</v>
      </c>
      <c r="L677" s="718"/>
      <c r="M677" s="719">
        <v>10141</v>
      </c>
      <c r="N677" s="719">
        <v>0</v>
      </c>
      <c r="O677" s="718">
        <v>844</v>
      </c>
      <c r="P677" s="720">
        <f t="shared" si="21"/>
        <v>10985</v>
      </c>
      <c r="Q677" s="718"/>
      <c r="R677" s="719">
        <v>120731</v>
      </c>
      <c r="S677" s="721">
        <v>3795</v>
      </c>
      <c r="T677" s="721">
        <v>124526</v>
      </c>
    </row>
    <row r="678" spans="1:20" x14ac:dyDescent="0.25">
      <c r="A678" s="715">
        <v>97521</v>
      </c>
      <c r="B678" s="716" t="s">
        <v>3210</v>
      </c>
      <c r="C678" s="717">
        <v>1.2870000000000001E-4</v>
      </c>
      <c r="D678" s="717">
        <v>1.293E-4</v>
      </c>
      <c r="E678" s="718">
        <v>196618</v>
      </c>
      <c r="F678" s="718"/>
      <c r="G678" s="719">
        <v>11327</v>
      </c>
      <c r="H678" s="720">
        <v>47739</v>
      </c>
      <c r="I678" s="719">
        <v>28080</v>
      </c>
      <c r="J678" s="718">
        <v>2190</v>
      </c>
      <c r="K678" s="720">
        <f t="shared" si="20"/>
        <v>89336</v>
      </c>
      <c r="L678" s="718"/>
      <c r="M678" s="719">
        <v>5566</v>
      </c>
      <c r="N678" s="719">
        <v>0</v>
      </c>
      <c r="O678" s="718">
        <v>14589</v>
      </c>
      <c r="P678" s="720">
        <f t="shared" si="21"/>
        <v>20155</v>
      </c>
      <c r="Q678" s="718"/>
      <c r="R678" s="719">
        <v>66260</v>
      </c>
      <c r="S678" s="721">
        <v>-3628</v>
      </c>
      <c r="T678" s="721">
        <v>62632</v>
      </c>
    </row>
    <row r="679" spans="1:20" x14ac:dyDescent="0.25">
      <c r="A679" s="715">
        <v>97531</v>
      </c>
      <c r="B679" s="716" t="s">
        <v>3211</v>
      </c>
      <c r="C679" s="717">
        <v>4.32E-5</v>
      </c>
      <c r="D679" s="717">
        <v>3.6300000000000001E-5</v>
      </c>
      <c r="E679" s="718">
        <v>65998</v>
      </c>
      <c r="F679" s="718"/>
      <c r="G679" s="719">
        <v>3802</v>
      </c>
      <c r="H679" s="720">
        <v>16025</v>
      </c>
      <c r="I679" s="719">
        <v>9425</v>
      </c>
      <c r="J679" s="718">
        <v>11185</v>
      </c>
      <c r="K679" s="720">
        <f t="shared" si="20"/>
        <v>40437</v>
      </c>
      <c r="L679" s="718"/>
      <c r="M679" s="719">
        <v>1868</v>
      </c>
      <c r="N679" s="719">
        <v>0</v>
      </c>
      <c r="O679" s="718">
        <v>9052</v>
      </c>
      <c r="P679" s="720">
        <f t="shared" si="21"/>
        <v>10920</v>
      </c>
      <c r="Q679" s="718"/>
      <c r="R679" s="719">
        <v>22241</v>
      </c>
      <c r="S679" s="721">
        <v>-2508</v>
      </c>
      <c r="T679" s="721">
        <f>19734-1</f>
        <v>19733</v>
      </c>
    </row>
    <row r="680" spans="1:20" x14ac:dyDescent="0.25">
      <c r="A680" s="715">
        <v>97601</v>
      </c>
      <c r="B680" s="716" t="s">
        <v>3212</v>
      </c>
      <c r="C680" s="717">
        <v>5.1672000000000003E-3</v>
      </c>
      <c r="D680" s="717">
        <v>4.7808E-3</v>
      </c>
      <c r="E680" s="718">
        <v>7894050</v>
      </c>
      <c r="F680" s="718"/>
      <c r="G680" s="719">
        <v>454770</v>
      </c>
      <c r="H680" s="720">
        <v>1916685</v>
      </c>
      <c r="I680" s="719">
        <v>1127380</v>
      </c>
      <c r="J680" s="718">
        <v>190925</v>
      </c>
      <c r="K680" s="720">
        <f t="shared" si="20"/>
        <v>3689760</v>
      </c>
      <c r="L680" s="718"/>
      <c r="M680" s="719">
        <v>223456</v>
      </c>
      <c r="N680" s="719">
        <v>0</v>
      </c>
      <c r="O680" s="718">
        <v>91443</v>
      </c>
      <c r="P680" s="720">
        <f t="shared" si="21"/>
        <v>314899</v>
      </c>
      <c r="Q680" s="718"/>
      <c r="R680" s="719">
        <v>2660302</v>
      </c>
      <c r="S680" s="721">
        <v>1665</v>
      </c>
      <c r="T680" s="721">
        <v>2661967</v>
      </c>
    </row>
    <row r="681" spans="1:20" x14ac:dyDescent="0.25">
      <c r="A681" s="715">
        <v>97607</v>
      </c>
      <c r="B681" s="716" t="s">
        <v>3213</v>
      </c>
      <c r="C681" s="717">
        <v>2.3200000000000001E-5</v>
      </c>
      <c r="D681" s="717">
        <v>1.9199999999999999E-5</v>
      </c>
      <c r="E681" s="718">
        <v>35443</v>
      </c>
      <c r="F681" s="718"/>
      <c r="G681" s="719">
        <v>2042</v>
      </c>
      <c r="H681" s="720">
        <v>8605</v>
      </c>
      <c r="I681" s="719">
        <v>5062</v>
      </c>
      <c r="J681" s="718">
        <v>13349</v>
      </c>
      <c r="K681" s="720">
        <f t="shared" si="20"/>
        <v>29058</v>
      </c>
      <c r="L681" s="718"/>
      <c r="M681" s="719">
        <v>1003</v>
      </c>
      <c r="N681" s="719">
        <v>0</v>
      </c>
      <c r="O681" s="718">
        <v>0</v>
      </c>
      <c r="P681" s="720">
        <f t="shared" si="21"/>
        <v>1003</v>
      </c>
      <c r="Q681" s="718"/>
      <c r="R681" s="719">
        <v>11944</v>
      </c>
      <c r="S681" s="721">
        <v>5427</v>
      </c>
      <c r="T681" s="721">
        <v>17371</v>
      </c>
    </row>
    <row r="682" spans="1:20" x14ac:dyDescent="0.25">
      <c r="A682" s="715">
        <v>97611</v>
      </c>
      <c r="B682" s="716" t="s">
        <v>3214</v>
      </c>
      <c r="C682" s="717">
        <v>2.4767999999999999E-3</v>
      </c>
      <c r="D682" s="717">
        <v>2.5750999999999999E-3</v>
      </c>
      <c r="E682" s="718">
        <v>3783864</v>
      </c>
      <c r="F682" s="718"/>
      <c r="G682" s="719">
        <v>217986</v>
      </c>
      <c r="H682" s="720">
        <v>918727</v>
      </c>
      <c r="I682" s="719">
        <v>540388</v>
      </c>
      <c r="J682" s="718">
        <v>0</v>
      </c>
      <c r="K682" s="720">
        <f t="shared" si="20"/>
        <v>1677101</v>
      </c>
      <c r="L682" s="718"/>
      <c r="M682" s="719">
        <v>107109</v>
      </c>
      <c r="N682" s="719">
        <v>0</v>
      </c>
      <c r="O682" s="718">
        <v>276084</v>
      </c>
      <c r="P682" s="720">
        <f t="shared" si="21"/>
        <v>383193</v>
      </c>
      <c r="Q682" s="718"/>
      <c r="R682" s="719">
        <v>1275166</v>
      </c>
      <c r="S682" s="721">
        <v>-116051</v>
      </c>
      <c r="T682" s="721">
        <v>1159115</v>
      </c>
    </row>
    <row r="683" spans="1:20" x14ac:dyDescent="0.25">
      <c r="A683" s="715">
        <v>97613</v>
      </c>
      <c r="B683" s="716" t="s">
        <v>3215</v>
      </c>
      <c r="C683" s="717">
        <v>1.1629999999999999E-4</v>
      </c>
      <c r="D683" s="717">
        <v>1.2459999999999999E-4</v>
      </c>
      <c r="E683" s="718">
        <v>177674</v>
      </c>
      <c r="F683" s="718"/>
      <c r="G683" s="719">
        <v>10236</v>
      </c>
      <c r="H683" s="720">
        <v>43140</v>
      </c>
      <c r="I683" s="719">
        <v>25374</v>
      </c>
      <c r="J683" s="718">
        <v>3969</v>
      </c>
      <c r="K683" s="720">
        <f t="shared" si="20"/>
        <v>82719</v>
      </c>
      <c r="L683" s="718"/>
      <c r="M683" s="719">
        <v>5029</v>
      </c>
      <c r="N683" s="719">
        <v>0</v>
      </c>
      <c r="O683" s="718">
        <v>3579</v>
      </c>
      <c r="P683" s="720">
        <f t="shared" si="21"/>
        <v>8608</v>
      </c>
      <c r="Q683" s="718"/>
      <c r="R683" s="719">
        <v>59876</v>
      </c>
      <c r="S683" s="721">
        <v>-543</v>
      </c>
      <c r="T683" s="721">
        <f>59334-1</f>
        <v>59333</v>
      </c>
    </row>
    <row r="684" spans="1:20" x14ac:dyDescent="0.25">
      <c r="A684" s="715">
        <v>97621</v>
      </c>
      <c r="B684" s="716" t="s">
        <v>3216</v>
      </c>
      <c r="C684" s="717">
        <v>4.5179999999999998E-4</v>
      </c>
      <c r="D684" s="717">
        <v>4.7429999999999998E-4</v>
      </c>
      <c r="E684" s="718">
        <v>690225</v>
      </c>
      <c r="F684" s="718"/>
      <c r="G684" s="719">
        <v>39763</v>
      </c>
      <c r="H684" s="720">
        <v>167588</v>
      </c>
      <c r="I684" s="719">
        <v>98574</v>
      </c>
      <c r="J684" s="718">
        <v>15836</v>
      </c>
      <c r="K684" s="720">
        <f t="shared" si="20"/>
        <v>321761</v>
      </c>
      <c r="L684" s="718"/>
      <c r="M684" s="719">
        <v>19538</v>
      </c>
      <c r="N684" s="719">
        <v>0</v>
      </c>
      <c r="O684" s="718">
        <v>70017</v>
      </c>
      <c r="P684" s="720">
        <f t="shared" si="21"/>
        <v>89555</v>
      </c>
      <c r="Q684" s="718"/>
      <c r="R684" s="719">
        <v>232607</v>
      </c>
      <c r="S684" s="721">
        <v>-11992</v>
      </c>
      <c r="T684" s="721">
        <v>220615</v>
      </c>
    </row>
    <row r="685" spans="1:20" x14ac:dyDescent="0.25">
      <c r="A685" s="715">
        <v>97623</v>
      </c>
      <c r="B685" s="716" t="s">
        <v>3217</v>
      </c>
      <c r="C685" s="717">
        <v>2.9499999999999999E-5</v>
      </c>
      <c r="D685" s="717">
        <v>2.9200000000000002E-5</v>
      </c>
      <c r="E685" s="718">
        <v>45068</v>
      </c>
      <c r="F685" s="718"/>
      <c r="G685" s="719">
        <v>2596</v>
      </c>
      <c r="H685" s="720">
        <v>10942</v>
      </c>
      <c r="I685" s="719">
        <v>6436</v>
      </c>
      <c r="J685" s="718">
        <v>6505</v>
      </c>
      <c r="K685" s="720">
        <f t="shared" si="20"/>
        <v>26479</v>
      </c>
      <c r="L685" s="718"/>
      <c r="M685" s="719">
        <v>1276</v>
      </c>
      <c r="N685" s="719">
        <v>0</v>
      </c>
      <c r="O685" s="718">
        <v>1742</v>
      </c>
      <c r="P685" s="720">
        <f t="shared" si="21"/>
        <v>3018</v>
      </c>
      <c r="Q685" s="718"/>
      <c r="R685" s="719">
        <v>15188</v>
      </c>
      <c r="S685" s="721">
        <v>3252</v>
      </c>
      <c r="T685" s="721">
        <v>18440</v>
      </c>
    </row>
    <row r="686" spans="1:20" x14ac:dyDescent="0.25">
      <c r="A686" s="715">
        <v>97627</v>
      </c>
      <c r="B686" s="716" t="s">
        <v>3218</v>
      </c>
      <c r="C686" s="717">
        <v>9.7000000000000003E-6</v>
      </c>
      <c r="D686" s="717">
        <v>1.0200000000000001E-5</v>
      </c>
      <c r="E686" s="718">
        <v>14819</v>
      </c>
      <c r="F686" s="718"/>
      <c r="G686" s="719">
        <v>854</v>
      </c>
      <c r="H686" s="720">
        <v>3599</v>
      </c>
      <c r="I686" s="719">
        <v>2116</v>
      </c>
      <c r="J686" s="718">
        <v>714</v>
      </c>
      <c r="K686" s="720">
        <f t="shared" si="20"/>
        <v>7283</v>
      </c>
      <c r="L686" s="718"/>
      <c r="M686" s="719">
        <v>419</v>
      </c>
      <c r="N686" s="719">
        <v>0</v>
      </c>
      <c r="O686" s="718">
        <v>1008</v>
      </c>
      <c r="P686" s="720">
        <f t="shared" si="21"/>
        <v>1427</v>
      </c>
      <c r="Q686" s="718"/>
      <c r="R686" s="719">
        <v>4994</v>
      </c>
      <c r="S686" s="721">
        <v>-190</v>
      </c>
      <c r="T686" s="721">
        <v>4804</v>
      </c>
    </row>
    <row r="687" spans="1:20" x14ac:dyDescent="0.25">
      <c r="A687" s="715">
        <v>97631</v>
      </c>
      <c r="B687" s="716" t="s">
        <v>3219</v>
      </c>
      <c r="C687" s="717">
        <v>2.051E-4</v>
      </c>
      <c r="D687" s="717">
        <v>2.009E-4</v>
      </c>
      <c r="E687" s="718">
        <v>313336</v>
      </c>
      <c r="F687" s="718"/>
      <c r="G687" s="719">
        <v>18051</v>
      </c>
      <c r="H687" s="720">
        <v>76078</v>
      </c>
      <c r="I687" s="719">
        <v>44749</v>
      </c>
      <c r="J687" s="718">
        <v>9311</v>
      </c>
      <c r="K687" s="720">
        <f t="shared" si="20"/>
        <v>148189</v>
      </c>
      <c r="L687" s="718"/>
      <c r="M687" s="719">
        <v>8870</v>
      </c>
      <c r="N687" s="719">
        <v>0</v>
      </c>
      <c r="O687" s="718">
        <v>3711</v>
      </c>
      <c r="P687" s="720">
        <f t="shared" si="21"/>
        <v>12581</v>
      </c>
      <c r="Q687" s="718"/>
      <c r="R687" s="719">
        <v>105595</v>
      </c>
      <c r="S687" s="721">
        <v>4564</v>
      </c>
      <c r="T687" s="721">
        <f>110158+1</f>
        <v>110159</v>
      </c>
    </row>
    <row r="688" spans="1:20" x14ac:dyDescent="0.25">
      <c r="A688" s="715">
        <v>97637</v>
      </c>
      <c r="B688" s="716" t="s">
        <v>3220</v>
      </c>
      <c r="C688" s="717">
        <v>4.3000000000000003E-6</v>
      </c>
      <c r="D688" s="717">
        <v>4.7999999999999998E-6</v>
      </c>
      <c r="E688" s="718">
        <v>6569</v>
      </c>
      <c r="F688" s="718"/>
      <c r="G688" s="719">
        <v>378</v>
      </c>
      <c r="H688" s="720">
        <v>1595</v>
      </c>
      <c r="I688" s="719">
        <v>938</v>
      </c>
      <c r="J688" s="718">
        <v>944</v>
      </c>
      <c r="K688" s="720">
        <f t="shared" si="20"/>
        <v>3855</v>
      </c>
      <c r="L688" s="718"/>
      <c r="M688" s="719">
        <v>186</v>
      </c>
      <c r="N688" s="719">
        <v>0</v>
      </c>
      <c r="O688" s="718">
        <v>30</v>
      </c>
      <c r="P688" s="720">
        <f t="shared" si="21"/>
        <v>216</v>
      </c>
      <c r="Q688" s="718"/>
      <c r="R688" s="719">
        <v>2214</v>
      </c>
      <c r="S688" s="721">
        <v>380</v>
      </c>
      <c r="T688" s="721">
        <v>2594</v>
      </c>
    </row>
    <row r="689" spans="1:20" x14ac:dyDescent="0.25">
      <c r="A689" s="715">
        <v>97641</v>
      </c>
      <c r="B689" s="716" t="s">
        <v>3221</v>
      </c>
      <c r="C689" s="717">
        <v>6.8899999999999994E-5</v>
      </c>
      <c r="D689" s="717">
        <v>6.9999999999999994E-5</v>
      </c>
      <c r="E689" s="718">
        <v>105260</v>
      </c>
      <c r="F689" s="718"/>
      <c r="G689" s="719">
        <v>6064</v>
      </c>
      <c r="H689" s="720">
        <v>25557</v>
      </c>
      <c r="I689" s="719">
        <v>15033</v>
      </c>
      <c r="J689" s="718">
        <v>13063</v>
      </c>
      <c r="K689" s="720">
        <f t="shared" si="20"/>
        <v>59717</v>
      </c>
      <c r="L689" s="718"/>
      <c r="M689" s="719">
        <v>2980</v>
      </c>
      <c r="N689" s="719">
        <v>0</v>
      </c>
      <c r="O689" s="718">
        <v>2889</v>
      </c>
      <c r="P689" s="720">
        <f t="shared" si="21"/>
        <v>5869</v>
      </c>
      <c r="Q689" s="718"/>
      <c r="R689" s="719">
        <v>35473</v>
      </c>
      <c r="S689" s="721">
        <v>2041</v>
      </c>
      <c r="T689" s="721">
        <v>37514</v>
      </c>
    </row>
    <row r="690" spans="1:20" x14ac:dyDescent="0.25">
      <c r="A690" s="715">
        <v>97651</v>
      </c>
      <c r="B690" s="716" t="s">
        <v>3222</v>
      </c>
      <c r="C690" s="717">
        <v>5.1979999999999995E-4</v>
      </c>
      <c r="D690" s="717">
        <v>5.1579999999999996E-4</v>
      </c>
      <c r="E690" s="718">
        <v>794110</v>
      </c>
      <c r="F690" s="718"/>
      <c r="G690" s="719">
        <v>45748</v>
      </c>
      <c r="H690" s="720">
        <v>192810</v>
      </c>
      <c r="I690" s="719">
        <v>113410</v>
      </c>
      <c r="J690" s="718">
        <v>2621</v>
      </c>
      <c r="K690" s="720">
        <f t="shared" si="20"/>
        <v>354589</v>
      </c>
      <c r="L690" s="718"/>
      <c r="M690" s="719">
        <v>22479</v>
      </c>
      <c r="N690" s="719">
        <v>0</v>
      </c>
      <c r="O690" s="718">
        <v>43572</v>
      </c>
      <c r="P690" s="720">
        <f t="shared" si="21"/>
        <v>66051</v>
      </c>
      <c r="Q690" s="718"/>
      <c r="R690" s="719">
        <v>267616</v>
      </c>
      <c r="S690" s="721">
        <v>-19628</v>
      </c>
      <c r="T690" s="721">
        <v>247988</v>
      </c>
    </row>
    <row r="691" spans="1:20" x14ac:dyDescent="0.25">
      <c r="A691" s="715">
        <v>97661</v>
      </c>
      <c r="B691" s="716" t="s">
        <v>3223</v>
      </c>
      <c r="C691" s="717">
        <v>5.1600000000000001E-5</v>
      </c>
      <c r="D691" s="717">
        <v>4.3900000000000003E-5</v>
      </c>
      <c r="E691" s="718">
        <v>78831</v>
      </c>
      <c r="F691" s="718"/>
      <c r="G691" s="719">
        <v>4541</v>
      </c>
      <c r="H691" s="720">
        <v>19140</v>
      </c>
      <c r="I691" s="719">
        <v>11258</v>
      </c>
      <c r="J691" s="718">
        <v>13582</v>
      </c>
      <c r="K691" s="720">
        <f t="shared" si="20"/>
        <v>48521</v>
      </c>
      <c r="L691" s="718"/>
      <c r="M691" s="719">
        <v>2231</v>
      </c>
      <c r="N691" s="719">
        <v>0</v>
      </c>
      <c r="O691" s="718">
        <v>1913</v>
      </c>
      <c r="P691" s="720">
        <f t="shared" si="21"/>
        <v>4144</v>
      </c>
      <c r="Q691" s="718"/>
      <c r="R691" s="719">
        <v>26566</v>
      </c>
      <c r="S691" s="721">
        <v>4861</v>
      </c>
      <c r="T691" s="721">
        <v>31427</v>
      </c>
    </row>
    <row r="692" spans="1:20" x14ac:dyDescent="0.25">
      <c r="A692" s="715">
        <v>97701</v>
      </c>
      <c r="B692" s="716" t="s">
        <v>3224</v>
      </c>
      <c r="C692" s="717">
        <v>2.4975000000000002E-3</v>
      </c>
      <c r="D692" s="717">
        <v>2.5081000000000001E-3</v>
      </c>
      <c r="E692" s="718">
        <v>3815488</v>
      </c>
      <c r="F692" s="718"/>
      <c r="G692" s="719">
        <v>219807</v>
      </c>
      <c r="H692" s="720">
        <v>926405</v>
      </c>
      <c r="I692" s="719">
        <v>544905</v>
      </c>
      <c r="J692" s="718">
        <v>22724</v>
      </c>
      <c r="K692" s="720">
        <f t="shared" si="20"/>
        <v>1713841</v>
      </c>
      <c r="L692" s="718"/>
      <c r="M692" s="719">
        <v>108004</v>
      </c>
      <c r="N692" s="719">
        <v>0</v>
      </c>
      <c r="O692" s="718">
        <v>8673</v>
      </c>
      <c r="P692" s="720">
        <f t="shared" si="21"/>
        <v>116677</v>
      </c>
      <c r="Q692" s="718"/>
      <c r="R692" s="719">
        <v>1285823</v>
      </c>
      <c r="S692" s="721">
        <v>670</v>
      </c>
      <c r="T692" s="721">
        <v>1286493</v>
      </c>
    </row>
    <row r="693" spans="1:20" x14ac:dyDescent="0.25">
      <c r="A693" s="715">
        <v>97705</v>
      </c>
      <c r="B693" s="716" t="s">
        <v>3225</v>
      </c>
      <c r="C693" s="717">
        <v>4.7700000000000001E-5</v>
      </c>
      <c r="D693" s="717">
        <v>6.41E-5</v>
      </c>
      <c r="E693" s="718">
        <v>72872</v>
      </c>
      <c r="F693" s="718"/>
      <c r="G693" s="719">
        <v>4198</v>
      </c>
      <c r="H693" s="720">
        <v>17694</v>
      </c>
      <c r="I693" s="719">
        <v>10407</v>
      </c>
      <c r="J693" s="718">
        <v>5558</v>
      </c>
      <c r="K693" s="720">
        <f t="shared" si="20"/>
        <v>37857</v>
      </c>
      <c r="L693" s="718"/>
      <c r="M693" s="719">
        <v>2063</v>
      </c>
      <c r="N693" s="719">
        <v>0</v>
      </c>
      <c r="O693" s="718">
        <v>13023</v>
      </c>
      <c r="P693" s="720">
        <f t="shared" si="21"/>
        <v>15086</v>
      </c>
      <c r="Q693" s="718"/>
      <c r="R693" s="719">
        <v>24558</v>
      </c>
      <c r="S693" s="721">
        <v>105</v>
      </c>
      <c r="T693" s="721">
        <v>24663</v>
      </c>
    </row>
    <row r="694" spans="1:20" x14ac:dyDescent="0.25">
      <c r="A694" s="715">
        <v>97711</v>
      </c>
      <c r="B694" s="716" t="s">
        <v>3226</v>
      </c>
      <c r="C694" s="717">
        <v>9.0879999999999997E-4</v>
      </c>
      <c r="D694" s="717">
        <v>9.3789999999999998E-4</v>
      </c>
      <c r="E694" s="718">
        <v>1388395</v>
      </c>
      <c r="F694" s="718"/>
      <c r="G694" s="719">
        <v>79984</v>
      </c>
      <c r="H694" s="720">
        <v>337104</v>
      </c>
      <c r="I694" s="719">
        <v>198282</v>
      </c>
      <c r="J694" s="718">
        <v>9966</v>
      </c>
      <c r="K694" s="720">
        <f t="shared" si="20"/>
        <v>625336</v>
      </c>
      <c r="L694" s="718"/>
      <c r="M694" s="719">
        <v>39301</v>
      </c>
      <c r="N694" s="719">
        <v>0</v>
      </c>
      <c r="O694" s="718">
        <v>31902</v>
      </c>
      <c r="P694" s="720">
        <f t="shared" si="21"/>
        <v>71203</v>
      </c>
      <c r="Q694" s="718"/>
      <c r="R694" s="719">
        <v>467890</v>
      </c>
      <c r="S694" s="721">
        <v>-1258</v>
      </c>
      <c r="T694" s="721">
        <v>466632</v>
      </c>
    </row>
    <row r="695" spans="1:20" x14ac:dyDescent="0.25">
      <c r="A695" s="715">
        <v>97713</v>
      </c>
      <c r="B695" s="716" t="s">
        <v>3227</v>
      </c>
      <c r="C695" s="717">
        <v>4.1199999999999999E-5</v>
      </c>
      <c r="D695" s="717">
        <v>5.3699999999999997E-5</v>
      </c>
      <c r="E695" s="718">
        <v>62942</v>
      </c>
      <c r="F695" s="718"/>
      <c r="G695" s="719">
        <v>3626</v>
      </c>
      <c r="H695" s="720">
        <v>15283</v>
      </c>
      <c r="I695" s="719">
        <v>8989</v>
      </c>
      <c r="J695" s="718">
        <v>927</v>
      </c>
      <c r="K695" s="720">
        <f t="shared" si="20"/>
        <v>28825</v>
      </c>
      <c r="L695" s="718"/>
      <c r="M695" s="719">
        <v>1782</v>
      </c>
      <c r="N695" s="719">
        <v>0</v>
      </c>
      <c r="O695" s="718">
        <v>16932</v>
      </c>
      <c r="P695" s="720">
        <f t="shared" si="21"/>
        <v>18714</v>
      </c>
      <c r="Q695" s="718"/>
      <c r="R695" s="719">
        <v>21212</v>
      </c>
      <c r="S695" s="721">
        <v>-4802</v>
      </c>
      <c r="T695" s="721">
        <v>16410</v>
      </c>
    </row>
    <row r="696" spans="1:20" x14ac:dyDescent="0.25">
      <c r="A696" s="715">
        <v>97717</v>
      </c>
      <c r="B696" s="716" t="s">
        <v>3228</v>
      </c>
      <c r="C696" s="717">
        <v>4.6999999999999999E-6</v>
      </c>
      <c r="D696" s="717">
        <v>7.5000000000000002E-6</v>
      </c>
      <c r="E696" s="718">
        <v>7180</v>
      </c>
      <c r="F696" s="718"/>
      <c r="G696" s="719">
        <v>414</v>
      </c>
      <c r="H696" s="720">
        <v>1743</v>
      </c>
      <c r="I696" s="719">
        <v>1025</v>
      </c>
      <c r="J696" s="718">
        <v>1078</v>
      </c>
      <c r="K696" s="720">
        <f t="shared" si="20"/>
        <v>4260</v>
      </c>
      <c r="L696" s="718"/>
      <c r="M696" s="719">
        <v>203</v>
      </c>
      <c r="N696" s="719">
        <v>0</v>
      </c>
      <c r="O696" s="718">
        <v>3394</v>
      </c>
      <c r="P696" s="720">
        <f t="shared" si="21"/>
        <v>3597</v>
      </c>
      <c r="Q696" s="718"/>
      <c r="R696" s="719">
        <v>2420</v>
      </c>
      <c r="S696" s="721">
        <v>-1550</v>
      </c>
      <c r="T696" s="721">
        <f>869+1</f>
        <v>870</v>
      </c>
    </row>
    <row r="697" spans="1:20" x14ac:dyDescent="0.25">
      <c r="A697" s="715">
        <v>97721</v>
      </c>
      <c r="B697" s="716" t="s">
        <v>3229</v>
      </c>
      <c r="C697" s="717">
        <v>5.6599999999999999E-4</v>
      </c>
      <c r="D697" s="717">
        <v>5.7249999999999998E-4</v>
      </c>
      <c r="E697" s="718">
        <v>864691</v>
      </c>
      <c r="F697" s="718"/>
      <c r="G697" s="719">
        <v>49814</v>
      </c>
      <c r="H697" s="720">
        <v>209948</v>
      </c>
      <c r="I697" s="719">
        <v>123490</v>
      </c>
      <c r="J697" s="718">
        <v>13608</v>
      </c>
      <c r="K697" s="720">
        <f t="shared" si="20"/>
        <v>396860</v>
      </c>
      <c r="L697" s="718"/>
      <c r="M697" s="719">
        <v>24477</v>
      </c>
      <c r="N697" s="719">
        <v>0</v>
      </c>
      <c r="O697" s="718">
        <v>31303</v>
      </c>
      <c r="P697" s="720">
        <f t="shared" si="21"/>
        <v>55780</v>
      </c>
      <c r="Q697" s="718"/>
      <c r="R697" s="719">
        <v>291402</v>
      </c>
      <c r="S697" s="721">
        <v>-9026</v>
      </c>
      <c r="T697" s="721">
        <v>282376</v>
      </c>
    </row>
    <row r="698" spans="1:20" x14ac:dyDescent="0.25">
      <c r="A698" s="715">
        <v>97727</v>
      </c>
      <c r="B698" s="716" t="s">
        <v>3230</v>
      </c>
      <c r="C698" s="717">
        <v>2.27E-5</v>
      </c>
      <c r="D698" s="717">
        <v>2.37E-5</v>
      </c>
      <c r="E698" s="718">
        <v>34679</v>
      </c>
      <c r="F698" s="718"/>
      <c r="G698" s="719">
        <v>1998</v>
      </c>
      <c r="H698" s="720">
        <v>8420</v>
      </c>
      <c r="I698" s="719">
        <v>4953</v>
      </c>
      <c r="J698" s="718">
        <v>0</v>
      </c>
      <c r="K698" s="720">
        <f t="shared" si="20"/>
        <v>15371</v>
      </c>
      <c r="L698" s="718"/>
      <c r="M698" s="719">
        <v>982</v>
      </c>
      <c r="N698" s="719">
        <v>0</v>
      </c>
      <c r="O698" s="718">
        <v>2260</v>
      </c>
      <c r="P698" s="720">
        <f t="shared" si="21"/>
        <v>3242</v>
      </c>
      <c r="Q698" s="718"/>
      <c r="R698" s="719">
        <v>11687</v>
      </c>
      <c r="S698" s="721">
        <v>-1260</v>
      </c>
      <c r="T698" s="721">
        <v>10427</v>
      </c>
    </row>
    <row r="699" spans="1:20" x14ac:dyDescent="0.25">
      <c r="A699" s="715">
        <v>97731</v>
      </c>
      <c r="B699" s="716" t="s">
        <v>3231</v>
      </c>
      <c r="C699" s="717">
        <v>3.5500000000000002E-5</v>
      </c>
      <c r="D699" s="717">
        <v>3.7100000000000001E-5</v>
      </c>
      <c r="E699" s="718">
        <v>54234</v>
      </c>
      <c r="F699" s="718"/>
      <c r="G699" s="719">
        <v>3124</v>
      </c>
      <c r="H699" s="720">
        <v>13168</v>
      </c>
      <c r="I699" s="719">
        <v>7745</v>
      </c>
      <c r="J699" s="718">
        <v>6361</v>
      </c>
      <c r="K699" s="720">
        <f t="shared" si="20"/>
        <v>30398</v>
      </c>
      <c r="L699" s="718"/>
      <c r="M699" s="719">
        <v>1535</v>
      </c>
      <c r="N699" s="719">
        <v>0</v>
      </c>
      <c r="O699" s="718">
        <v>0</v>
      </c>
      <c r="P699" s="720">
        <f t="shared" si="21"/>
        <v>1535</v>
      </c>
      <c r="Q699" s="718"/>
      <c r="R699" s="719">
        <v>18277</v>
      </c>
      <c r="S699" s="721">
        <v>2961</v>
      </c>
      <c r="T699" s="721">
        <v>21238</v>
      </c>
    </row>
    <row r="700" spans="1:20" x14ac:dyDescent="0.25">
      <c r="A700" s="715">
        <v>97801</v>
      </c>
      <c r="B700" s="716" t="s">
        <v>3560</v>
      </c>
      <c r="C700" s="717">
        <v>6.9303000000000003E-3</v>
      </c>
      <c r="D700" s="717">
        <v>7.3343000000000002E-3</v>
      </c>
      <c r="E700" s="718">
        <v>10587579</v>
      </c>
      <c r="F700" s="718"/>
      <c r="G700" s="719">
        <v>609943</v>
      </c>
      <c r="H700" s="720">
        <v>2570677</v>
      </c>
      <c r="I700" s="719">
        <v>1512053</v>
      </c>
      <c r="J700" s="718">
        <v>27764</v>
      </c>
      <c r="K700" s="720">
        <f t="shared" si="20"/>
        <v>4720437</v>
      </c>
      <c r="L700" s="718"/>
      <c r="M700" s="719">
        <v>299701</v>
      </c>
      <c r="N700" s="719">
        <v>0</v>
      </c>
      <c r="O700" s="718">
        <v>406805</v>
      </c>
      <c r="P700" s="720">
        <f t="shared" si="21"/>
        <v>706506</v>
      </c>
      <c r="Q700" s="718"/>
      <c r="R700" s="719">
        <v>3568023</v>
      </c>
      <c r="S700" s="721">
        <v>-97576</v>
      </c>
      <c r="T700" s="721">
        <v>3470447</v>
      </c>
    </row>
    <row r="701" spans="1:20" x14ac:dyDescent="0.25">
      <c r="A701" s="715">
        <v>97802</v>
      </c>
      <c r="B701" s="716" t="s">
        <v>3233</v>
      </c>
      <c r="C701" s="717">
        <v>1.5300000000000001E-4</v>
      </c>
      <c r="D701" s="717">
        <v>1.8120000000000001E-4</v>
      </c>
      <c r="E701" s="718">
        <v>233742</v>
      </c>
      <c r="F701" s="718"/>
      <c r="G701" s="719">
        <v>13466</v>
      </c>
      <c r="H701" s="720">
        <v>56753</v>
      </c>
      <c r="I701" s="719">
        <v>33382</v>
      </c>
      <c r="J701" s="718">
        <v>9696</v>
      </c>
      <c r="K701" s="720">
        <f t="shared" si="20"/>
        <v>113297</v>
      </c>
      <c r="L701" s="718"/>
      <c r="M701" s="719">
        <v>6616</v>
      </c>
      <c r="N701" s="719">
        <v>0</v>
      </c>
      <c r="O701" s="718">
        <v>28235</v>
      </c>
      <c r="P701" s="720">
        <f t="shared" si="21"/>
        <v>34851</v>
      </c>
      <c r="Q701" s="718"/>
      <c r="R701" s="719">
        <v>78771</v>
      </c>
      <c r="S701" s="721">
        <v>-1176</v>
      </c>
      <c r="T701" s="721">
        <v>77595</v>
      </c>
    </row>
    <row r="702" spans="1:20" x14ac:dyDescent="0.25">
      <c r="A702" s="715">
        <v>97803</v>
      </c>
      <c r="B702" s="716" t="s">
        <v>3234</v>
      </c>
      <c r="C702" s="717">
        <v>7.5300000000000001E-5</v>
      </c>
      <c r="D702" s="717">
        <v>7.9099999999999998E-5</v>
      </c>
      <c r="E702" s="718">
        <v>115038</v>
      </c>
      <c r="F702" s="718"/>
      <c r="G702" s="719">
        <v>6627</v>
      </c>
      <c r="H702" s="720">
        <v>27931</v>
      </c>
      <c r="I702" s="719">
        <v>16429</v>
      </c>
      <c r="J702" s="718">
        <v>5581</v>
      </c>
      <c r="K702" s="720">
        <f t="shared" si="20"/>
        <v>56568</v>
      </c>
      <c r="L702" s="718"/>
      <c r="M702" s="719">
        <v>3256</v>
      </c>
      <c r="N702" s="719">
        <v>0</v>
      </c>
      <c r="O702" s="718">
        <v>1522</v>
      </c>
      <c r="P702" s="720">
        <f t="shared" si="21"/>
        <v>4778</v>
      </c>
      <c r="Q702" s="718"/>
      <c r="R702" s="719">
        <v>38768</v>
      </c>
      <c r="S702" s="721">
        <v>3424</v>
      </c>
      <c r="T702" s="721">
        <v>42192</v>
      </c>
    </row>
    <row r="703" spans="1:20" x14ac:dyDescent="0.25">
      <c r="A703" s="715">
        <v>97805</v>
      </c>
      <c r="B703" s="716" t="s">
        <v>3235</v>
      </c>
      <c r="C703" s="717">
        <v>7.9400000000000006E-5</v>
      </c>
      <c r="D703" s="717">
        <v>8.2600000000000002E-5</v>
      </c>
      <c r="E703" s="718">
        <v>121301</v>
      </c>
      <c r="F703" s="718"/>
      <c r="G703" s="719">
        <v>6988</v>
      </c>
      <c r="H703" s="720">
        <v>29452</v>
      </c>
      <c r="I703" s="719">
        <v>17323</v>
      </c>
      <c r="J703" s="718">
        <v>9711</v>
      </c>
      <c r="K703" s="720">
        <f t="shared" si="20"/>
        <v>63474</v>
      </c>
      <c r="L703" s="718"/>
      <c r="M703" s="719">
        <v>3434</v>
      </c>
      <c r="N703" s="719">
        <v>0</v>
      </c>
      <c r="O703" s="718">
        <v>226</v>
      </c>
      <c r="P703" s="720">
        <f t="shared" si="21"/>
        <v>3660</v>
      </c>
      <c r="Q703" s="718"/>
      <c r="R703" s="719">
        <v>40879</v>
      </c>
      <c r="S703" s="721">
        <v>3824</v>
      </c>
      <c r="T703" s="721">
        <v>44703</v>
      </c>
    </row>
    <row r="704" spans="1:20" x14ac:dyDescent="0.25">
      <c r="A704" s="715">
        <v>97811</v>
      </c>
      <c r="B704" s="716" t="s">
        <v>3236</v>
      </c>
      <c r="C704" s="717">
        <v>2.4172E-3</v>
      </c>
      <c r="D704" s="717">
        <v>2.4088E-3</v>
      </c>
      <c r="E704" s="718">
        <v>3692812</v>
      </c>
      <c r="F704" s="718"/>
      <c r="G704" s="719">
        <v>212740</v>
      </c>
      <c r="H704" s="720">
        <v>896619</v>
      </c>
      <c r="I704" s="719">
        <v>527385</v>
      </c>
      <c r="J704" s="718">
        <v>0</v>
      </c>
      <c r="K704" s="720">
        <f t="shared" si="20"/>
        <v>1636744</v>
      </c>
      <c r="L704" s="718"/>
      <c r="M704" s="719">
        <v>104532</v>
      </c>
      <c r="N704" s="719">
        <v>0</v>
      </c>
      <c r="O704" s="718">
        <v>164062</v>
      </c>
      <c r="P704" s="720">
        <f t="shared" si="21"/>
        <v>268594</v>
      </c>
      <c r="Q704" s="718"/>
      <c r="R704" s="719">
        <v>1244481</v>
      </c>
      <c r="S704" s="721">
        <v>-73272</v>
      </c>
      <c r="T704" s="721">
        <v>1171209</v>
      </c>
    </row>
    <row r="705" spans="1:20" x14ac:dyDescent="0.25">
      <c r="A705" s="715">
        <v>97817</v>
      </c>
      <c r="B705" s="716" t="s">
        <v>3237</v>
      </c>
      <c r="C705" s="717">
        <v>2.2200000000000001E-5</v>
      </c>
      <c r="D705" s="717">
        <v>3.9999999999999998E-6</v>
      </c>
      <c r="E705" s="718">
        <v>33915</v>
      </c>
      <c r="F705" s="718"/>
      <c r="G705" s="719">
        <v>1954</v>
      </c>
      <c r="H705" s="720">
        <v>8235</v>
      </c>
      <c r="I705" s="719">
        <v>4844</v>
      </c>
      <c r="J705" s="718">
        <v>18101</v>
      </c>
      <c r="K705" s="720">
        <f t="shared" si="20"/>
        <v>33134</v>
      </c>
      <c r="L705" s="718"/>
      <c r="M705" s="719">
        <v>960</v>
      </c>
      <c r="N705" s="719">
        <v>0</v>
      </c>
      <c r="O705" s="718">
        <v>2418</v>
      </c>
      <c r="P705" s="720">
        <f t="shared" si="21"/>
        <v>3378</v>
      </c>
      <c r="Q705" s="718"/>
      <c r="R705" s="719">
        <v>11430</v>
      </c>
      <c r="S705" s="721">
        <v>3916</v>
      </c>
      <c r="T705" s="721">
        <f>15345+1</f>
        <v>15346</v>
      </c>
    </row>
    <row r="706" spans="1:20" x14ac:dyDescent="0.25">
      <c r="A706" s="715">
        <v>97818</v>
      </c>
      <c r="B706" s="716" t="s">
        <v>3238</v>
      </c>
      <c r="C706" s="717">
        <v>2.1999999999999999E-5</v>
      </c>
      <c r="D706" s="717">
        <v>2.12E-5</v>
      </c>
      <c r="E706" s="718">
        <v>33610</v>
      </c>
      <c r="F706" s="718"/>
      <c r="G706" s="719">
        <v>1936</v>
      </c>
      <c r="H706" s="720">
        <v>8160</v>
      </c>
      <c r="I706" s="719">
        <v>4800</v>
      </c>
      <c r="J706" s="718">
        <v>6200</v>
      </c>
      <c r="K706" s="720">
        <f t="shared" si="20"/>
        <v>21096</v>
      </c>
      <c r="L706" s="718"/>
      <c r="M706" s="719">
        <v>951</v>
      </c>
      <c r="N706" s="719">
        <v>0</v>
      </c>
      <c r="O706" s="718">
        <v>2136</v>
      </c>
      <c r="P706" s="720">
        <f t="shared" si="21"/>
        <v>3087</v>
      </c>
      <c r="Q706" s="718"/>
      <c r="R706" s="719">
        <v>11327</v>
      </c>
      <c r="S706" s="721">
        <v>134</v>
      </c>
      <c r="T706" s="721">
        <v>11461</v>
      </c>
    </row>
    <row r="707" spans="1:20" x14ac:dyDescent="0.25">
      <c r="A707" s="715">
        <v>97821</v>
      </c>
      <c r="B707" s="716" t="s">
        <v>3239</v>
      </c>
      <c r="C707" s="717">
        <v>1.126E-4</v>
      </c>
      <c r="D707" s="717">
        <v>1.1620000000000001E-4</v>
      </c>
      <c r="E707" s="718">
        <v>172022</v>
      </c>
      <c r="F707" s="718"/>
      <c r="G707" s="719">
        <v>9910</v>
      </c>
      <c r="H707" s="720">
        <v>41767</v>
      </c>
      <c r="I707" s="719">
        <v>24567</v>
      </c>
      <c r="J707" s="718">
        <v>5355</v>
      </c>
      <c r="K707" s="720">
        <f t="shared" si="20"/>
        <v>81599</v>
      </c>
      <c r="L707" s="718"/>
      <c r="M707" s="719">
        <v>4869</v>
      </c>
      <c r="N707" s="719">
        <v>0</v>
      </c>
      <c r="O707" s="718">
        <v>16228</v>
      </c>
      <c r="P707" s="720">
        <f t="shared" si="21"/>
        <v>21097</v>
      </c>
      <c r="Q707" s="718"/>
      <c r="R707" s="719">
        <v>57971</v>
      </c>
      <c r="S707" s="721">
        <v>-9342</v>
      </c>
      <c r="T707" s="721">
        <f>48630-1</f>
        <v>48629</v>
      </c>
    </row>
    <row r="708" spans="1:20" x14ac:dyDescent="0.25">
      <c r="A708" s="715">
        <v>97823</v>
      </c>
      <c r="B708" s="716" t="s">
        <v>3240</v>
      </c>
      <c r="C708" s="717">
        <v>2.3300000000000001E-5</v>
      </c>
      <c r="D708" s="717">
        <v>2.4600000000000002E-5</v>
      </c>
      <c r="E708" s="718">
        <v>35596</v>
      </c>
      <c r="F708" s="718"/>
      <c r="G708" s="719">
        <v>2051</v>
      </c>
      <c r="H708" s="720">
        <v>8642</v>
      </c>
      <c r="I708" s="719">
        <v>5084</v>
      </c>
      <c r="J708" s="718">
        <v>1711</v>
      </c>
      <c r="K708" s="720">
        <f t="shared" si="20"/>
        <v>17488</v>
      </c>
      <c r="L708" s="718"/>
      <c r="M708" s="719">
        <v>1008</v>
      </c>
      <c r="N708" s="719">
        <v>0</v>
      </c>
      <c r="O708" s="718">
        <v>591</v>
      </c>
      <c r="P708" s="720">
        <f t="shared" si="21"/>
        <v>1599</v>
      </c>
      <c r="Q708" s="718"/>
      <c r="R708" s="719">
        <v>11996</v>
      </c>
      <c r="S708" s="721">
        <v>-77</v>
      </c>
      <c r="T708" s="721">
        <v>11919</v>
      </c>
    </row>
    <row r="709" spans="1:20" x14ac:dyDescent="0.25">
      <c r="A709" s="715">
        <v>97831</v>
      </c>
      <c r="B709" s="716" t="s">
        <v>3241</v>
      </c>
      <c r="C709" s="717">
        <v>1.7009999999999999E-4</v>
      </c>
      <c r="D709" s="717">
        <v>1.482E-4</v>
      </c>
      <c r="E709" s="718">
        <v>259866</v>
      </c>
      <c r="F709" s="718"/>
      <c r="G709" s="719">
        <v>14971</v>
      </c>
      <c r="H709" s="720">
        <v>63096</v>
      </c>
      <c r="I709" s="719">
        <v>37112</v>
      </c>
      <c r="J709" s="718">
        <v>15261</v>
      </c>
      <c r="K709" s="720">
        <f t="shared" si="20"/>
        <v>130440</v>
      </c>
      <c r="L709" s="718"/>
      <c r="M709" s="719">
        <v>7356</v>
      </c>
      <c r="N709" s="719">
        <v>0</v>
      </c>
      <c r="O709" s="718">
        <v>8418</v>
      </c>
      <c r="P709" s="720">
        <f t="shared" si="21"/>
        <v>15774</v>
      </c>
      <c r="Q709" s="718"/>
      <c r="R709" s="719">
        <v>87575</v>
      </c>
      <c r="S709" s="721">
        <v>-2075</v>
      </c>
      <c r="T709" s="721">
        <v>85500</v>
      </c>
    </row>
    <row r="710" spans="1:20" x14ac:dyDescent="0.25">
      <c r="A710" s="715">
        <v>97837</v>
      </c>
      <c r="B710" s="716" t="s">
        <v>3242</v>
      </c>
      <c r="C710" s="717">
        <v>1.0200000000000001E-5</v>
      </c>
      <c r="D710" s="717">
        <v>8.8000000000000004E-6</v>
      </c>
      <c r="E710" s="718">
        <v>15583</v>
      </c>
      <c r="F710" s="718"/>
      <c r="G710" s="719">
        <v>898</v>
      </c>
      <c r="H710" s="720">
        <v>3784</v>
      </c>
      <c r="I710" s="719">
        <v>2225</v>
      </c>
      <c r="J710" s="718">
        <v>3302</v>
      </c>
      <c r="K710" s="720">
        <f t="shared" si="20"/>
        <v>10209</v>
      </c>
      <c r="L710" s="718"/>
      <c r="M710" s="719">
        <v>441</v>
      </c>
      <c r="N710" s="719">
        <v>0</v>
      </c>
      <c r="O710" s="718">
        <v>214</v>
      </c>
      <c r="P710" s="720">
        <f t="shared" si="21"/>
        <v>655</v>
      </c>
      <c r="Q710" s="718"/>
      <c r="R710" s="719">
        <v>5251</v>
      </c>
      <c r="S710" s="721">
        <v>1260</v>
      </c>
      <c r="T710" s="721">
        <v>6511</v>
      </c>
    </row>
    <row r="711" spans="1:20" x14ac:dyDescent="0.25">
      <c r="A711" s="715">
        <v>97840</v>
      </c>
      <c r="B711" s="716" t="s">
        <v>3243</v>
      </c>
      <c r="C711" s="717">
        <v>1.3190000000000001E-4</v>
      </c>
      <c r="D711" s="717">
        <v>1.403E-4</v>
      </c>
      <c r="E711" s="718">
        <v>201507</v>
      </c>
      <c r="F711" s="718"/>
      <c r="G711" s="719">
        <v>11609</v>
      </c>
      <c r="H711" s="720">
        <v>48926</v>
      </c>
      <c r="I711" s="719">
        <v>28778</v>
      </c>
      <c r="J711" s="718">
        <v>76227</v>
      </c>
      <c r="K711" s="720">
        <f t="shared" ref="K711:K774" si="22">G711+H711+I711+J711</f>
        <v>165540</v>
      </c>
      <c r="L711" s="718"/>
      <c r="M711" s="719">
        <v>5704</v>
      </c>
      <c r="N711" s="719">
        <v>0</v>
      </c>
      <c r="O711" s="718">
        <v>964</v>
      </c>
      <c r="P711" s="720">
        <f t="shared" ref="P711:P774" si="23">M711+N711+O711</f>
        <v>6668</v>
      </c>
      <c r="Q711" s="718"/>
      <c r="R711" s="719">
        <v>67908</v>
      </c>
      <c r="S711" s="721">
        <v>27073</v>
      </c>
      <c r="T711" s="721">
        <v>94981</v>
      </c>
    </row>
    <row r="712" spans="1:20" x14ac:dyDescent="0.25">
      <c r="A712" s="715">
        <v>97841</v>
      </c>
      <c r="B712" s="716" t="s">
        <v>3244</v>
      </c>
      <c r="C712" s="717">
        <v>1.31E-5</v>
      </c>
      <c r="D712" s="717">
        <v>1.45E-5</v>
      </c>
      <c r="E712" s="718">
        <v>20013</v>
      </c>
      <c r="F712" s="718"/>
      <c r="G712" s="719">
        <v>1153</v>
      </c>
      <c r="H712" s="720">
        <v>4859</v>
      </c>
      <c r="I712" s="719">
        <v>2858</v>
      </c>
      <c r="J712" s="718">
        <v>410</v>
      </c>
      <c r="K712" s="720">
        <f t="shared" si="22"/>
        <v>9280</v>
      </c>
      <c r="L712" s="718"/>
      <c r="M712" s="719">
        <v>567</v>
      </c>
      <c r="N712" s="719">
        <v>0</v>
      </c>
      <c r="O712" s="718">
        <v>4768</v>
      </c>
      <c r="P712" s="720">
        <f t="shared" si="23"/>
        <v>5335</v>
      </c>
      <c r="Q712" s="718"/>
      <c r="R712" s="719">
        <v>6744</v>
      </c>
      <c r="S712" s="721">
        <v>-3859</v>
      </c>
      <c r="T712" s="721">
        <v>2885</v>
      </c>
    </row>
    <row r="713" spans="1:20" x14ac:dyDescent="0.25">
      <c r="A713" s="715">
        <v>97847</v>
      </c>
      <c r="B713" s="716" t="s">
        <v>3245</v>
      </c>
      <c r="C713" s="717">
        <v>2.0999999999999998E-6</v>
      </c>
      <c r="D713" s="717">
        <v>2.2000000000000001E-6</v>
      </c>
      <c r="E713" s="718">
        <v>3208</v>
      </c>
      <c r="F713" s="718"/>
      <c r="G713" s="719">
        <v>185</v>
      </c>
      <c r="H713" s="720">
        <v>779</v>
      </c>
      <c r="I713" s="719">
        <v>458</v>
      </c>
      <c r="J713" s="718">
        <v>1433</v>
      </c>
      <c r="K713" s="720">
        <f t="shared" si="22"/>
        <v>2855</v>
      </c>
      <c r="L713" s="718"/>
      <c r="M713" s="719">
        <v>91</v>
      </c>
      <c r="N713" s="719">
        <v>0</v>
      </c>
      <c r="O713" s="718">
        <v>72</v>
      </c>
      <c r="P713" s="720">
        <f t="shared" si="23"/>
        <v>163</v>
      </c>
      <c r="Q713" s="718"/>
      <c r="R713" s="719">
        <v>1081</v>
      </c>
      <c r="S713" s="721">
        <v>355</v>
      </c>
      <c r="T713" s="721">
        <v>1436</v>
      </c>
    </row>
    <row r="714" spans="1:20" x14ac:dyDescent="0.25">
      <c r="A714" s="715">
        <v>97851</v>
      </c>
      <c r="B714" s="716" t="s">
        <v>3246</v>
      </c>
      <c r="C714" s="717">
        <v>2.7799999999999998E-4</v>
      </c>
      <c r="D714" s="717">
        <v>2.7460000000000001E-4</v>
      </c>
      <c r="E714" s="718">
        <v>424707</v>
      </c>
      <c r="F714" s="718"/>
      <c r="G714" s="719">
        <v>24467</v>
      </c>
      <c r="H714" s="720">
        <v>103120</v>
      </c>
      <c r="I714" s="719">
        <v>60654</v>
      </c>
      <c r="J714" s="718">
        <v>1448</v>
      </c>
      <c r="K714" s="720">
        <f t="shared" si="22"/>
        <v>189689</v>
      </c>
      <c r="L714" s="718"/>
      <c r="M714" s="719">
        <v>12022</v>
      </c>
      <c r="N714" s="719">
        <v>0</v>
      </c>
      <c r="O714" s="718">
        <v>12710</v>
      </c>
      <c r="P714" s="720">
        <f t="shared" si="23"/>
        <v>24732</v>
      </c>
      <c r="Q714" s="718"/>
      <c r="R714" s="719">
        <v>143127</v>
      </c>
      <c r="S714" s="721">
        <v>-2512</v>
      </c>
      <c r="T714" s="721">
        <v>140615</v>
      </c>
    </row>
    <row r="715" spans="1:20" x14ac:dyDescent="0.25">
      <c r="A715" s="715">
        <v>97853</v>
      </c>
      <c r="B715" s="716" t="s">
        <v>3247</v>
      </c>
      <c r="C715" s="717">
        <v>1.0289999999999999E-4</v>
      </c>
      <c r="D715" s="717">
        <v>9.1600000000000004E-5</v>
      </c>
      <c r="E715" s="718">
        <v>157203</v>
      </c>
      <c r="F715" s="718"/>
      <c r="G715" s="719">
        <v>9056</v>
      </c>
      <c r="H715" s="720">
        <v>38169</v>
      </c>
      <c r="I715" s="719">
        <v>22451</v>
      </c>
      <c r="J715" s="718">
        <v>8759</v>
      </c>
      <c r="K715" s="720">
        <f t="shared" si="22"/>
        <v>78435</v>
      </c>
      <c r="L715" s="718"/>
      <c r="M715" s="719">
        <v>4450</v>
      </c>
      <c r="N715" s="719">
        <v>0</v>
      </c>
      <c r="O715" s="718">
        <v>9750</v>
      </c>
      <c r="P715" s="720">
        <f t="shared" si="23"/>
        <v>14200</v>
      </c>
      <c r="Q715" s="718"/>
      <c r="R715" s="719">
        <v>52977</v>
      </c>
      <c r="S715" s="721">
        <v>429</v>
      </c>
      <c r="T715" s="721">
        <f>53407-1</f>
        <v>53406</v>
      </c>
    </row>
    <row r="716" spans="1:20" x14ac:dyDescent="0.25">
      <c r="A716" s="715">
        <v>97861</v>
      </c>
      <c r="B716" s="716" t="s">
        <v>3248</v>
      </c>
      <c r="C716" s="717">
        <v>6.7000000000000002E-5</v>
      </c>
      <c r="D716" s="717">
        <v>6.8499999999999998E-5</v>
      </c>
      <c r="E716" s="718">
        <v>102357</v>
      </c>
      <c r="F716" s="718"/>
      <c r="G716" s="719">
        <v>5897</v>
      </c>
      <c r="H716" s="720">
        <v>24852</v>
      </c>
      <c r="I716" s="719">
        <v>14618</v>
      </c>
      <c r="J716" s="718">
        <v>1771</v>
      </c>
      <c r="K716" s="720">
        <f t="shared" si="22"/>
        <v>47138</v>
      </c>
      <c r="L716" s="718"/>
      <c r="M716" s="719">
        <v>2897</v>
      </c>
      <c r="N716" s="719">
        <v>0</v>
      </c>
      <c r="O716" s="718">
        <v>7954</v>
      </c>
      <c r="P716" s="720">
        <f t="shared" si="23"/>
        <v>10851</v>
      </c>
      <c r="Q716" s="718"/>
      <c r="R716" s="719">
        <v>34495</v>
      </c>
      <c r="S716" s="721">
        <v>-3725</v>
      </c>
      <c r="T716" s="721">
        <f>30769+1</f>
        <v>30770</v>
      </c>
    </row>
    <row r="717" spans="1:20" x14ac:dyDescent="0.25">
      <c r="A717" s="715">
        <v>97871</v>
      </c>
      <c r="B717" s="716" t="s">
        <v>3249</v>
      </c>
      <c r="C717" s="717">
        <v>2.9930000000000001E-4</v>
      </c>
      <c r="D717" s="717">
        <v>3.1500000000000001E-4</v>
      </c>
      <c r="E717" s="718">
        <v>457247</v>
      </c>
      <c r="F717" s="718"/>
      <c r="G717" s="719">
        <v>26342</v>
      </c>
      <c r="H717" s="720">
        <v>111020</v>
      </c>
      <c r="I717" s="719">
        <v>65301</v>
      </c>
      <c r="J717" s="718">
        <v>217143</v>
      </c>
      <c r="K717" s="720">
        <f t="shared" si="22"/>
        <v>419806</v>
      </c>
      <c r="L717" s="718"/>
      <c r="M717" s="719">
        <v>12943</v>
      </c>
      <c r="N717" s="719">
        <v>0</v>
      </c>
      <c r="O717" s="718">
        <v>0</v>
      </c>
      <c r="P717" s="720">
        <f t="shared" si="23"/>
        <v>12943</v>
      </c>
      <c r="Q717" s="718"/>
      <c r="R717" s="719">
        <v>154093</v>
      </c>
      <c r="S717" s="721">
        <v>79417</v>
      </c>
      <c r="T717" s="721">
        <f>233509+1</f>
        <v>233510</v>
      </c>
    </row>
    <row r="718" spans="1:20" x14ac:dyDescent="0.25">
      <c r="A718" s="715">
        <v>97877</v>
      </c>
      <c r="B718" s="716" t="s">
        <v>3250</v>
      </c>
      <c r="C718" s="717">
        <v>1.9E-6</v>
      </c>
      <c r="D718" s="717">
        <v>2.2000000000000001E-6</v>
      </c>
      <c r="E718" s="718">
        <v>2903</v>
      </c>
      <c r="F718" s="718"/>
      <c r="G718" s="719">
        <v>167</v>
      </c>
      <c r="H718" s="720">
        <v>705</v>
      </c>
      <c r="I718" s="719">
        <v>415</v>
      </c>
      <c r="J718" s="718">
        <v>1638</v>
      </c>
      <c r="K718" s="720">
        <f t="shared" si="22"/>
        <v>2925</v>
      </c>
      <c r="L718" s="718"/>
      <c r="M718" s="719">
        <v>82</v>
      </c>
      <c r="N718" s="719">
        <v>0</v>
      </c>
      <c r="O718" s="718">
        <v>0</v>
      </c>
      <c r="P718" s="720">
        <f t="shared" si="23"/>
        <v>82</v>
      </c>
      <c r="Q718" s="718"/>
      <c r="R718" s="719">
        <v>978</v>
      </c>
      <c r="S718" s="721">
        <v>648</v>
      </c>
      <c r="T718" s="721">
        <f>1627-1</f>
        <v>1626</v>
      </c>
    </row>
    <row r="719" spans="1:20" x14ac:dyDescent="0.25">
      <c r="A719" s="715">
        <v>97901</v>
      </c>
      <c r="B719" s="716" t="s">
        <v>3251</v>
      </c>
      <c r="C719" s="717">
        <v>4.2658000000000001E-3</v>
      </c>
      <c r="D719" s="717">
        <v>4.3616999999999996E-3</v>
      </c>
      <c r="E719" s="718">
        <v>6516961</v>
      </c>
      <c r="F719" s="718"/>
      <c r="G719" s="719">
        <v>375437</v>
      </c>
      <c r="H719" s="720">
        <v>1582326</v>
      </c>
      <c r="I719" s="719">
        <v>930712</v>
      </c>
      <c r="J719" s="718">
        <v>88360</v>
      </c>
      <c r="K719" s="720">
        <f t="shared" si="22"/>
        <v>2976835</v>
      </c>
      <c r="L719" s="718"/>
      <c r="M719" s="719">
        <v>184475</v>
      </c>
      <c r="N719" s="719">
        <v>0</v>
      </c>
      <c r="O719" s="718">
        <v>14865</v>
      </c>
      <c r="P719" s="720">
        <f t="shared" si="23"/>
        <v>199340</v>
      </c>
      <c r="Q719" s="718"/>
      <c r="R719" s="719">
        <v>2196222</v>
      </c>
      <c r="S719" s="721">
        <v>35112</v>
      </c>
      <c r="T719" s="721">
        <v>2231334</v>
      </c>
    </row>
    <row r="720" spans="1:20" x14ac:dyDescent="0.25">
      <c r="A720" s="715">
        <v>97911</v>
      </c>
      <c r="B720" s="716" t="s">
        <v>3252</v>
      </c>
      <c r="C720" s="717">
        <v>1.3005E-3</v>
      </c>
      <c r="D720" s="717">
        <v>1.3190000000000001E-3</v>
      </c>
      <c r="E720" s="718">
        <v>1986804</v>
      </c>
      <c r="F720" s="718"/>
      <c r="G720" s="719">
        <v>114458</v>
      </c>
      <c r="H720" s="720">
        <v>482398</v>
      </c>
      <c r="I720" s="719">
        <v>283743</v>
      </c>
      <c r="J720" s="718">
        <v>31167</v>
      </c>
      <c r="K720" s="720">
        <f t="shared" si="22"/>
        <v>911766</v>
      </c>
      <c r="L720" s="718"/>
      <c r="M720" s="719">
        <v>56240</v>
      </c>
      <c r="N720" s="719">
        <v>0</v>
      </c>
      <c r="O720" s="718">
        <v>28435</v>
      </c>
      <c r="P720" s="720">
        <f t="shared" si="23"/>
        <v>84675</v>
      </c>
      <c r="Q720" s="718"/>
      <c r="R720" s="719">
        <v>669555</v>
      </c>
      <c r="S720" s="721">
        <v>10548</v>
      </c>
      <c r="T720" s="721">
        <v>680103</v>
      </c>
    </row>
    <row r="721" spans="1:20" x14ac:dyDescent="0.25">
      <c r="A721" s="715">
        <v>97913</v>
      </c>
      <c r="B721" s="716" t="s">
        <v>3253</v>
      </c>
      <c r="C721" s="717">
        <v>3.5899999999999998E-5</v>
      </c>
      <c r="D721" s="717">
        <v>3.7400000000000001E-5</v>
      </c>
      <c r="E721" s="718">
        <v>54845</v>
      </c>
      <c r="F721" s="718"/>
      <c r="G721" s="719">
        <v>3160</v>
      </c>
      <c r="H721" s="720">
        <v>13317</v>
      </c>
      <c r="I721" s="719">
        <v>7833</v>
      </c>
      <c r="J721" s="718">
        <v>15616</v>
      </c>
      <c r="K721" s="720">
        <f t="shared" si="22"/>
        <v>39926</v>
      </c>
      <c r="L721" s="718"/>
      <c r="M721" s="719">
        <v>1552</v>
      </c>
      <c r="N721" s="719">
        <v>0</v>
      </c>
      <c r="O721" s="718">
        <v>0</v>
      </c>
      <c r="P721" s="720">
        <f t="shared" si="23"/>
        <v>1552</v>
      </c>
      <c r="Q721" s="718"/>
      <c r="R721" s="719">
        <v>18483</v>
      </c>
      <c r="S721" s="721">
        <v>5369</v>
      </c>
      <c r="T721" s="721">
        <f>23851+1</f>
        <v>23852</v>
      </c>
    </row>
    <row r="722" spans="1:20" x14ac:dyDescent="0.25">
      <c r="A722" s="715">
        <v>97917</v>
      </c>
      <c r="B722" s="716" t="s">
        <v>3254</v>
      </c>
      <c r="C722" s="717">
        <v>2.0999999999999999E-5</v>
      </c>
      <c r="D722" s="717">
        <v>1.98E-5</v>
      </c>
      <c r="E722" s="718">
        <v>32082</v>
      </c>
      <c r="F722" s="718"/>
      <c r="G722" s="719">
        <v>1848</v>
      </c>
      <c r="H722" s="720">
        <v>7790</v>
      </c>
      <c r="I722" s="719">
        <v>4582</v>
      </c>
      <c r="J722" s="718">
        <v>7811</v>
      </c>
      <c r="K722" s="720">
        <f t="shared" si="22"/>
        <v>22031</v>
      </c>
      <c r="L722" s="718"/>
      <c r="M722" s="719">
        <v>908</v>
      </c>
      <c r="N722" s="719">
        <v>0</v>
      </c>
      <c r="O722" s="718">
        <v>0</v>
      </c>
      <c r="P722" s="720">
        <f t="shared" si="23"/>
        <v>908</v>
      </c>
      <c r="Q722" s="718"/>
      <c r="R722" s="719">
        <v>10812</v>
      </c>
      <c r="S722" s="721">
        <v>3168</v>
      </c>
      <c r="T722" s="721">
        <f>13979+1</f>
        <v>13980</v>
      </c>
    </row>
    <row r="723" spans="1:20" x14ac:dyDescent="0.25">
      <c r="A723" s="715">
        <v>97921</v>
      </c>
      <c r="B723" s="716" t="s">
        <v>3255</v>
      </c>
      <c r="C723" s="717">
        <v>2.1699999999999999E-4</v>
      </c>
      <c r="D723" s="717">
        <v>2.2169999999999999E-4</v>
      </c>
      <c r="E723" s="718">
        <v>331516</v>
      </c>
      <c r="F723" s="718"/>
      <c r="G723" s="719">
        <v>19098</v>
      </c>
      <c r="H723" s="720">
        <v>80493</v>
      </c>
      <c r="I723" s="719">
        <v>47345</v>
      </c>
      <c r="J723" s="718">
        <v>11562</v>
      </c>
      <c r="K723" s="720">
        <f t="shared" si="22"/>
        <v>158498</v>
      </c>
      <c r="L723" s="718"/>
      <c r="M723" s="719">
        <v>9384</v>
      </c>
      <c r="N723" s="719">
        <v>0</v>
      </c>
      <c r="O723" s="718">
        <v>5992</v>
      </c>
      <c r="P723" s="720">
        <f t="shared" si="23"/>
        <v>15376</v>
      </c>
      <c r="Q723" s="718"/>
      <c r="R723" s="719">
        <v>111721</v>
      </c>
      <c r="S723" s="721">
        <v>3241</v>
      </c>
      <c r="T723" s="721">
        <v>114962</v>
      </c>
    </row>
    <row r="724" spans="1:20" x14ac:dyDescent="0.25">
      <c r="A724" s="715">
        <v>97931</v>
      </c>
      <c r="B724" s="716" t="s">
        <v>3256</v>
      </c>
      <c r="C724" s="717">
        <v>7.0199999999999999E-5</v>
      </c>
      <c r="D724" s="717">
        <v>6.1600000000000007E-5</v>
      </c>
      <c r="E724" s="718">
        <v>107246</v>
      </c>
      <c r="F724" s="718"/>
      <c r="G724" s="719">
        <v>6178</v>
      </c>
      <c r="H724" s="720">
        <v>26039</v>
      </c>
      <c r="I724" s="719">
        <v>15316</v>
      </c>
      <c r="J724" s="718">
        <v>18162</v>
      </c>
      <c r="K724" s="720">
        <f t="shared" si="22"/>
        <v>65695</v>
      </c>
      <c r="L724" s="718"/>
      <c r="M724" s="719">
        <v>3036</v>
      </c>
      <c r="N724" s="719">
        <v>0</v>
      </c>
      <c r="O724" s="718">
        <v>7492</v>
      </c>
      <c r="P724" s="720">
        <f t="shared" si="23"/>
        <v>10528</v>
      </c>
      <c r="Q724" s="718"/>
      <c r="R724" s="719">
        <v>36142</v>
      </c>
      <c r="S724" s="721">
        <v>2117</v>
      </c>
      <c r="T724" s="721">
        <v>38259</v>
      </c>
    </row>
    <row r="725" spans="1:20" x14ac:dyDescent="0.25">
      <c r="A725" s="715">
        <v>97941</v>
      </c>
      <c r="B725" s="716" t="s">
        <v>3257</v>
      </c>
      <c r="C725" s="717">
        <v>2.0479999999999999E-4</v>
      </c>
      <c r="D725" s="717">
        <v>2.3330000000000001E-4</v>
      </c>
      <c r="E725" s="718">
        <v>312878</v>
      </c>
      <c r="F725" s="718"/>
      <c r="G725" s="719">
        <v>18025</v>
      </c>
      <c r="H725" s="720">
        <v>75967</v>
      </c>
      <c r="I725" s="719">
        <v>44683</v>
      </c>
      <c r="J725" s="718">
        <v>17999</v>
      </c>
      <c r="K725" s="720">
        <f t="shared" si="22"/>
        <v>156674</v>
      </c>
      <c r="L725" s="718"/>
      <c r="M725" s="719">
        <v>8857</v>
      </c>
      <c r="N725" s="719">
        <v>0</v>
      </c>
      <c r="O725" s="718">
        <v>8897</v>
      </c>
      <c r="P725" s="720">
        <f t="shared" si="23"/>
        <v>17754</v>
      </c>
      <c r="Q725" s="718"/>
      <c r="R725" s="719">
        <v>105440</v>
      </c>
      <c r="S725" s="721">
        <v>7001</v>
      </c>
      <c r="T725" s="721">
        <v>112441</v>
      </c>
    </row>
    <row r="726" spans="1:20" x14ac:dyDescent="0.25">
      <c r="A726" s="715">
        <v>97947</v>
      </c>
      <c r="B726" s="716" t="s">
        <v>3258</v>
      </c>
      <c r="C726" s="717">
        <v>1.3900000000000001E-5</v>
      </c>
      <c r="D726" s="717">
        <v>1.5500000000000001E-5</v>
      </c>
      <c r="E726" s="718">
        <v>21235</v>
      </c>
      <c r="F726" s="718"/>
      <c r="G726" s="719">
        <v>1223</v>
      </c>
      <c r="H726" s="720">
        <v>5156</v>
      </c>
      <c r="I726" s="719">
        <v>3033</v>
      </c>
      <c r="J726" s="718">
        <v>9518</v>
      </c>
      <c r="K726" s="720">
        <f t="shared" si="22"/>
        <v>18930</v>
      </c>
      <c r="L726" s="718"/>
      <c r="M726" s="719">
        <v>601</v>
      </c>
      <c r="N726" s="719">
        <v>0</v>
      </c>
      <c r="O726" s="718">
        <v>306</v>
      </c>
      <c r="P726" s="720">
        <f t="shared" si="23"/>
        <v>907</v>
      </c>
      <c r="Q726" s="718"/>
      <c r="R726" s="719">
        <v>7156</v>
      </c>
      <c r="S726" s="721">
        <v>3116</v>
      </c>
      <c r="T726" s="721">
        <v>10272</v>
      </c>
    </row>
    <row r="727" spans="1:20" x14ac:dyDescent="0.25">
      <c r="A727" s="715">
        <v>97948</v>
      </c>
      <c r="B727" s="716" t="s">
        <v>3259</v>
      </c>
      <c r="C727" s="717">
        <v>2.2099999999999998E-5</v>
      </c>
      <c r="D727" s="717">
        <v>3.5200000000000002E-5</v>
      </c>
      <c r="E727" s="718">
        <v>33763</v>
      </c>
      <c r="F727" s="718"/>
      <c r="G727" s="719">
        <v>1945</v>
      </c>
      <c r="H727" s="720">
        <v>8198</v>
      </c>
      <c r="I727" s="719">
        <v>4822</v>
      </c>
      <c r="J727" s="718">
        <v>1909</v>
      </c>
      <c r="K727" s="720">
        <f t="shared" si="22"/>
        <v>16874</v>
      </c>
      <c r="L727" s="718"/>
      <c r="M727" s="719">
        <v>956</v>
      </c>
      <c r="N727" s="719">
        <v>0</v>
      </c>
      <c r="O727" s="718">
        <v>8330</v>
      </c>
      <c r="P727" s="720">
        <f t="shared" si="23"/>
        <v>9286</v>
      </c>
      <c r="Q727" s="718"/>
      <c r="R727" s="719">
        <v>11378</v>
      </c>
      <c r="S727" s="721">
        <v>-972</v>
      </c>
      <c r="T727" s="721">
        <v>10406</v>
      </c>
    </row>
    <row r="728" spans="1:20" x14ac:dyDescent="0.25">
      <c r="A728" s="715">
        <v>97951</v>
      </c>
      <c r="B728" s="716" t="s">
        <v>3260</v>
      </c>
      <c r="C728" s="717">
        <v>1.2440999999999999E-3</v>
      </c>
      <c r="D728" s="717">
        <v>1.2497000000000001E-3</v>
      </c>
      <c r="E728" s="718">
        <v>1900640</v>
      </c>
      <c r="F728" s="718"/>
      <c r="G728" s="719">
        <v>109494</v>
      </c>
      <c r="H728" s="720">
        <v>461477</v>
      </c>
      <c r="I728" s="719">
        <v>271438</v>
      </c>
      <c r="J728" s="718">
        <v>31864</v>
      </c>
      <c r="K728" s="720">
        <f t="shared" si="22"/>
        <v>874273</v>
      </c>
      <c r="L728" s="718"/>
      <c r="M728" s="719">
        <v>53801</v>
      </c>
      <c r="N728" s="719">
        <v>0</v>
      </c>
      <c r="O728" s="718">
        <v>7067</v>
      </c>
      <c r="P728" s="720">
        <f t="shared" si="23"/>
        <v>60868</v>
      </c>
      <c r="Q728" s="718"/>
      <c r="R728" s="719">
        <v>640517</v>
      </c>
      <c r="S728" s="721">
        <v>4295</v>
      </c>
      <c r="T728" s="721">
        <f>644813-1</f>
        <v>644812</v>
      </c>
    </row>
    <row r="729" spans="1:20" x14ac:dyDescent="0.25">
      <c r="A729" s="715">
        <v>97957</v>
      </c>
      <c r="B729" s="716" t="s">
        <v>3261</v>
      </c>
      <c r="C729" s="717">
        <v>1.8700000000000001E-5</v>
      </c>
      <c r="D729" s="717">
        <v>1.9599999999999999E-5</v>
      </c>
      <c r="E729" s="718">
        <v>28568</v>
      </c>
      <c r="F729" s="718"/>
      <c r="G729" s="719">
        <v>1646</v>
      </c>
      <c r="H729" s="720">
        <v>6936</v>
      </c>
      <c r="I729" s="719">
        <v>4080</v>
      </c>
      <c r="J729" s="718">
        <v>4456</v>
      </c>
      <c r="K729" s="720">
        <f t="shared" si="22"/>
        <v>17118</v>
      </c>
      <c r="L729" s="718"/>
      <c r="M729" s="719">
        <v>809</v>
      </c>
      <c r="N729" s="719">
        <v>0</v>
      </c>
      <c r="O729" s="718">
        <v>1123</v>
      </c>
      <c r="P729" s="720">
        <f t="shared" si="23"/>
        <v>1932</v>
      </c>
      <c r="Q729" s="718"/>
      <c r="R729" s="719">
        <v>9628</v>
      </c>
      <c r="S729" s="721">
        <v>620</v>
      </c>
      <c r="T729" s="721">
        <f>10247+1</f>
        <v>10248</v>
      </c>
    </row>
    <row r="730" spans="1:20" x14ac:dyDescent="0.25">
      <c r="A730" s="715">
        <v>98001</v>
      </c>
      <c r="B730" s="716" t="s">
        <v>3262</v>
      </c>
      <c r="C730" s="717">
        <v>5.1148000000000001E-3</v>
      </c>
      <c r="D730" s="717">
        <v>4.9659999999999999E-3</v>
      </c>
      <c r="E730" s="718">
        <v>7813998</v>
      </c>
      <c r="F730" s="718"/>
      <c r="G730" s="719">
        <v>450159</v>
      </c>
      <c r="H730" s="720">
        <v>1897248</v>
      </c>
      <c r="I730" s="719">
        <v>1115947</v>
      </c>
      <c r="J730" s="718">
        <v>181889</v>
      </c>
      <c r="K730" s="720">
        <f t="shared" si="22"/>
        <v>3645243</v>
      </c>
      <c r="L730" s="718"/>
      <c r="M730" s="719">
        <v>221190</v>
      </c>
      <c r="N730" s="719">
        <v>0</v>
      </c>
      <c r="O730" s="718">
        <v>0</v>
      </c>
      <c r="P730" s="720">
        <f t="shared" si="23"/>
        <v>221190</v>
      </c>
      <c r="Q730" s="718"/>
      <c r="R730" s="719">
        <v>2633324</v>
      </c>
      <c r="S730" s="721">
        <v>81305</v>
      </c>
      <c r="T730" s="721">
        <v>2714629</v>
      </c>
    </row>
    <row r="731" spans="1:20" x14ac:dyDescent="0.25">
      <c r="A731" s="715">
        <v>98002</v>
      </c>
      <c r="B731" s="716" t="s">
        <v>3263</v>
      </c>
      <c r="C731" s="717">
        <v>6.7000000000000002E-6</v>
      </c>
      <c r="D731" s="717">
        <v>7.3000000000000004E-6</v>
      </c>
      <c r="E731" s="718">
        <v>10236</v>
      </c>
      <c r="F731" s="718"/>
      <c r="G731" s="719">
        <v>590</v>
      </c>
      <c r="H731" s="720">
        <v>2485</v>
      </c>
      <c r="I731" s="719">
        <v>1462</v>
      </c>
      <c r="J731" s="718">
        <v>1007</v>
      </c>
      <c r="K731" s="720">
        <f t="shared" si="22"/>
        <v>5544</v>
      </c>
      <c r="L731" s="718"/>
      <c r="M731" s="719">
        <v>290</v>
      </c>
      <c r="N731" s="719">
        <v>0</v>
      </c>
      <c r="O731" s="718">
        <v>6492</v>
      </c>
      <c r="P731" s="720">
        <f t="shared" si="23"/>
        <v>6782</v>
      </c>
      <c r="Q731" s="718"/>
      <c r="R731" s="719">
        <v>3449</v>
      </c>
      <c r="S731" s="721">
        <v>-6219</v>
      </c>
      <c r="T731" s="721">
        <v>-2770</v>
      </c>
    </row>
    <row r="732" spans="1:20" x14ac:dyDescent="0.25">
      <c r="A732" s="715">
        <v>98003</v>
      </c>
      <c r="B732" s="716" t="s">
        <v>3264</v>
      </c>
      <c r="C732" s="717">
        <v>7.9599999999999997E-5</v>
      </c>
      <c r="D732" s="717">
        <v>8.1600000000000005E-5</v>
      </c>
      <c r="E732" s="718">
        <v>121607</v>
      </c>
      <c r="F732" s="718"/>
      <c r="G732" s="719">
        <v>7006</v>
      </c>
      <c r="H732" s="720">
        <v>29526</v>
      </c>
      <c r="I732" s="719">
        <v>17367</v>
      </c>
      <c r="J732" s="718">
        <v>54986</v>
      </c>
      <c r="K732" s="720">
        <f t="shared" si="22"/>
        <v>108885</v>
      </c>
      <c r="L732" s="718"/>
      <c r="M732" s="719">
        <v>3442</v>
      </c>
      <c r="N732" s="719">
        <v>0</v>
      </c>
      <c r="O732" s="718">
        <v>0</v>
      </c>
      <c r="P732" s="720">
        <f t="shared" si="23"/>
        <v>3442</v>
      </c>
      <c r="Q732" s="718"/>
      <c r="R732" s="719">
        <v>40982</v>
      </c>
      <c r="S732" s="721">
        <v>18634</v>
      </c>
      <c r="T732" s="721">
        <v>59616</v>
      </c>
    </row>
    <row r="733" spans="1:20" x14ac:dyDescent="0.25">
      <c r="A733" s="715">
        <v>98004</v>
      </c>
      <c r="B733" s="716" t="s">
        <v>3265</v>
      </c>
      <c r="C733" s="717">
        <v>1.182E-4</v>
      </c>
      <c r="D733" s="717">
        <v>1.209E-4</v>
      </c>
      <c r="E733" s="718">
        <v>180577</v>
      </c>
      <c r="F733" s="718"/>
      <c r="G733" s="719">
        <v>10403</v>
      </c>
      <c r="H733" s="720">
        <v>43844</v>
      </c>
      <c r="I733" s="719">
        <v>25789</v>
      </c>
      <c r="J733" s="718">
        <v>36575</v>
      </c>
      <c r="K733" s="720">
        <f t="shared" si="22"/>
        <v>116611</v>
      </c>
      <c r="L733" s="718"/>
      <c r="M733" s="719">
        <v>5112</v>
      </c>
      <c r="N733" s="719">
        <v>0</v>
      </c>
      <c r="O733" s="718">
        <v>0</v>
      </c>
      <c r="P733" s="720">
        <f t="shared" si="23"/>
        <v>5112</v>
      </c>
      <c r="Q733" s="718"/>
      <c r="R733" s="719">
        <v>60855</v>
      </c>
      <c r="S733" s="721">
        <v>14190</v>
      </c>
      <c r="T733" s="721">
        <f>75044+1</f>
        <v>75045</v>
      </c>
    </row>
    <row r="734" spans="1:20" x14ac:dyDescent="0.25">
      <c r="A734" s="715">
        <v>98008</v>
      </c>
      <c r="B734" s="716" t="s">
        <v>3266</v>
      </c>
      <c r="C734" s="717">
        <v>7.9999999999999996E-6</v>
      </c>
      <c r="D734" s="717">
        <v>7.7999999999999999E-6</v>
      </c>
      <c r="E734" s="718">
        <v>12222</v>
      </c>
      <c r="F734" s="718"/>
      <c r="G734" s="719">
        <v>704</v>
      </c>
      <c r="H734" s="720">
        <v>2967</v>
      </c>
      <c r="I734" s="719">
        <v>1745</v>
      </c>
      <c r="J734" s="718">
        <v>25</v>
      </c>
      <c r="K734" s="720">
        <f t="shared" si="22"/>
        <v>5441</v>
      </c>
      <c r="L734" s="718"/>
      <c r="M734" s="719">
        <v>346</v>
      </c>
      <c r="N734" s="719">
        <v>0</v>
      </c>
      <c r="O734" s="718">
        <v>804</v>
      </c>
      <c r="P734" s="720">
        <f t="shared" si="23"/>
        <v>1150</v>
      </c>
      <c r="Q734" s="718"/>
      <c r="R734" s="719">
        <v>4119</v>
      </c>
      <c r="S734" s="721">
        <v>-490</v>
      </c>
      <c r="T734" s="721">
        <v>3629</v>
      </c>
    </row>
    <row r="735" spans="1:20" x14ac:dyDescent="0.25">
      <c r="A735" s="715">
        <v>98011</v>
      </c>
      <c r="B735" s="716" t="s">
        <v>3267</v>
      </c>
      <c r="C735" s="717">
        <v>3.1578999999999999E-3</v>
      </c>
      <c r="D735" s="717">
        <v>3.1795E-3</v>
      </c>
      <c r="E735" s="718">
        <v>4824396</v>
      </c>
      <c r="F735" s="718"/>
      <c r="G735" s="719">
        <v>277930</v>
      </c>
      <c r="H735" s="720">
        <v>1171370</v>
      </c>
      <c r="I735" s="719">
        <v>688991</v>
      </c>
      <c r="J735" s="718">
        <v>0</v>
      </c>
      <c r="K735" s="720">
        <f t="shared" si="22"/>
        <v>2138291</v>
      </c>
      <c r="L735" s="718"/>
      <c r="M735" s="719">
        <v>136563</v>
      </c>
      <c r="N735" s="719">
        <v>0</v>
      </c>
      <c r="O735" s="718">
        <v>315025</v>
      </c>
      <c r="P735" s="720">
        <f t="shared" si="23"/>
        <v>451588</v>
      </c>
      <c r="Q735" s="718"/>
      <c r="R735" s="719">
        <v>1625826</v>
      </c>
      <c r="S735" s="721">
        <v>-146862</v>
      </c>
      <c r="T735" s="721">
        <v>1478964</v>
      </c>
    </row>
    <row r="736" spans="1:20" x14ac:dyDescent="0.25">
      <c r="A736" s="715">
        <v>98013</v>
      </c>
      <c r="B736" s="716" t="s">
        <v>3268</v>
      </c>
      <c r="C736" s="717">
        <v>1.415E-4</v>
      </c>
      <c r="D736" s="717">
        <v>1.426E-4</v>
      </c>
      <c r="E736" s="718">
        <v>216173</v>
      </c>
      <c r="F736" s="718"/>
      <c r="G736" s="719">
        <v>12454</v>
      </c>
      <c r="H736" s="720">
        <v>52487</v>
      </c>
      <c r="I736" s="719">
        <v>30872</v>
      </c>
      <c r="J736" s="718">
        <v>126104</v>
      </c>
      <c r="K736" s="720">
        <f t="shared" si="22"/>
        <v>221917</v>
      </c>
      <c r="L736" s="718"/>
      <c r="M736" s="719">
        <v>6119</v>
      </c>
      <c r="N736" s="719">
        <v>0</v>
      </c>
      <c r="O736" s="718">
        <v>2073</v>
      </c>
      <c r="P736" s="720">
        <f t="shared" si="23"/>
        <v>8192</v>
      </c>
      <c r="Q736" s="718"/>
      <c r="R736" s="719">
        <v>72850</v>
      </c>
      <c r="S736" s="721">
        <v>41784</v>
      </c>
      <c r="T736" s="721">
        <f>114635-1</f>
        <v>114634</v>
      </c>
    </row>
    <row r="737" spans="1:20" x14ac:dyDescent="0.25">
      <c r="A737" s="715">
        <v>98021</v>
      </c>
      <c r="B737" s="716" t="s">
        <v>3269</v>
      </c>
      <c r="C737" s="717">
        <v>8.6199999999999995E-5</v>
      </c>
      <c r="D737" s="717">
        <v>7.5099999999999996E-5</v>
      </c>
      <c r="E737" s="718">
        <v>131690</v>
      </c>
      <c r="F737" s="718"/>
      <c r="G737" s="719">
        <v>7587</v>
      </c>
      <c r="H737" s="720">
        <v>31975</v>
      </c>
      <c r="I737" s="719">
        <v>18807</v>
      </c>
      <c r="J737" s="718">
        <v>13468</v>
      </c>
      <c r="K737" s="720">
        <f t="shared" si="22"/>
        <v>71837</v>
      </c>
      <c r="L737" s="718"/>
      <c r="M737" s="719">
        <v>3728</v>
      </c>
      <c r="N737" s="719">
        <v>0</v>
      </c>
      <c r="O737" s="718">
        <v>2708</v>
      </c>
      <c r="P737" s="720">
        <f t="shared" si="23"/>
        <v>6436</v>
      </c>
      <c r="Q737" s="718"/>
      <c r="R737" s="719">
        <v>44380</v>
      </c>
      <c r="S737" s="721">
        <v>6479</v>
      </c>
      <c r="T737" s="721">
        <v>50859</v>
      </c>
    </row>
    <row r="738" spans="1:20" x14ac:dyDescent="0.25">
      <c r="A738" s="715">
        <v>98023</v>
      </c>
      <c r="B738" s="716" t="s">
        <v>3270</v>
      </c>
      <c r="C738" s="717">
        <v>1.43E-5</v>
      </c>
      <c r="D738" s="717">
        <v>1.45E-5</v>
      </c>
      <c r="E738" s="718">
        <v>21846</v>
      </c>
      <c r="F738" s="718"/>
      <c r="G738" s="719">
        <v>1259</v>
      </c>
      <c r="H738" s="720">
        <v>5305</v>
      </c>
      <c r="I738" s="719">
        <v>3120</v>
      </c>
      <c r="J738" s="718">
        <v>109</v>
      </c>
      <c r="K738" s="720">
        <f t="shared" si="22"/>
        <v>9793</v>
      </c>
      <c r="L738" s="718"/>
      <c r="M738" s="719">
        <v>618</v>
      </c>
      <c r="N738" s="719">
        <v>0</v>
      </c>
      <c r="O738" s="718">
        <v>5220</v>
      </c>
      <c r="P738" s="720">
        <f t="shared" si="23"/>
        <v>5838</v>
      </c>
      <c r="Q738" s="718"/>
      <c r="R738" s="719">
        <v>7362</v>
      </c>
      <c r="S738" s="721">
        <v>-2611</v>
      </c>
      <c r="T738" s="721">
        <v>4751</v>
      </c>
    </row>
    <row r="739" spans="1:20" x14ac:dyDescent="0.25">
      <c r="A739" s="715">
        <v>98031</v>
      </c>
      <c r="B739" s="716" t="s">
        <v>3271</v>
      </c>
      <c r="C739" s="717">
        <v>1.537E-4</v>
      </c>
      <c r="D739" s="717">
        <v>1.5530000000000001E-4</v>
      </c>
      <c r="E739" s="718">
        <v>234811</v>
      </c>
      <c r="F739" s="718"/>
      <c r="G739" s="719">
        <v>13527</v>
      </c>
      <c r="H739" s="720">
        <v>57012</v>
      </c>
      <c r="I739" s="719">
        <v>33534</v>
      </c>
      <c r="J739" s="718">
        <v>4651</v>
      </c>
      <c r="K739" s="720">
        <f t="shared" si="22"/>
        <v>108724</v>
      </c>
      <c r="L739" s="718"/>
      <c r="M739" s="719">
        <v>6647</v>
      </c>
      <c r="N739" s="719">
        <v>0</v>
      </c>
      <c r="O739" s="718">
        <v>9184</v>
      </c>
      <c r="P739" s="720">
        <f t="shared" si="23"/>
        <v>15831</v>
      </c>
      <c r="Q739" s="718"/>
      <c r="R739" s="719">
        <v>79132</v>
      </c>
      <c r="S739" s="721">
        <v>-1401</v>
      </c>
      <c r="T739" s="721">
        <f>77730+1</f>
        <v>77731</v>
      </c>
    </row>
    <row r="740" spans="1:20" x14ac:dyDescent="0.25">
      <c r="A740" s="715">
        <v>98041</v>
      </c>
      <c r="B740" s="716" t="s">
        <v>3272</v>
      </c>
      <c r="C740" s="717">
        <v>1.9230000000000001E-4</v>
      </c>
      <c r="D740" s="717">
        <v>1.6559999999999999E-4</v>
      </c>
      <c r="E740" s="718">
        <v>293781</v>
      </c>
      <c r="F740" s="718"/>
      <c r="G740" s="719">
        <v>16925</v>
      </c>
      <c r="H740" s="720">
        <v>71330</v>
      </c>
      <c r="I740" s="719">
        <v>41956</v>
      </c>
      <c r="J740" s="718">
        <v>17154</v>
      </c>
      <c r="K740" s="720">
        <f t="shared" si="22"/>
        <v>147365</v>
      </c>
      <c r="L740" s="718"/>
      <c r="M740" s="719">
        <v>8316</v>
      </c>
      <c r="N740" s="719">
        <v>0</v>
      </c>
      <c r="O740" s="718">
        <v>5779</v>
      </c>
      <c r="P740" s="720">
        <f t="shared" si="23"/>
        <v>14095</v>
      </c>
      <c r="Q740" s="718"/>
      <c r="R740" s="719">
        <v>99005</v>
      </c>
      <c r="S740" s="721">
        <v>943</v>
      </c>
      <c r="T740" s="721">
        <v>99948</v>
      </c>
    </row>
    <row r="741" spans="1:20" x14ac:dyDescent="0.25">
      <c r="A741" s="715">
        <v>98051</v>
      </c>
      <c r="B741" s="716" t="s">
        <v>3273</v>
      </c>
      <c r="C741" s="717">
        <v>2.8019999999999998E-4</v>
      </c>
      <c r="D741" s="717">
        <v>3.0019999999999998E-4</v>
      </c>
      <c r="E741" s="718">
        <v>428068</v>
      </c>
      <c r="F741" s="718"/>
      <c r="G741" s="719">
        <v>24661</v>
      </c>
      <c r="H741" s="720">
        <v>103936</v>
      </c>
      <c r="I741" s="719">
        <v>61134</v>
      </c>
      <c r="J741" s="718">
        <v>21691</v>
      </c>
      <c r="K741" s="720">
        <f t="shared" si="22"/>
        <v>211422</v>
      </c>
      <c r="L741" s="718"/>
      <c r="M741" s="719">
        <v>12117</v>
      </c>
      <c r="N741" s="719">
        <v>0</v>
      </c>
      <c r="O741" s="718">
        <v>7516</v>
      </c>
      <c r="P741" s="720">
        <f t="shared" si="23"/>
        <v>19633</v>
      </c>
      <c r="Q741" s="718"/>
      <c r="R741" s="719">
        <v>144259</v>
      </c>
      <c r="S741" s="721">
        <v>7566</v>
      </c>
      <c r="T741" s="721">
        <v>151825</v>
      </c>
    </row>
    <row r="742" spans="1:20" x14ac:dyDescent="0.25">
      <c r="A742" s="715">
        <v>98061</v>
      </c>
      <c r="B742" s="716" t="s">
        <v>3274</v>
      </c>
      <c r="C742" s="717">
        <v>1.0670000000000001E-4</v>
      </c>
      <c r="D742" s="717">
        <v>9.9099999999999996E-5</v>
      </c>
      <c r="E742" s="718">
        <v>163008</v>
      </c>
      <c r="F742" s="718"/>
      <c r="G742" s="719">
        <v>9391</v>
      </c>
      <c r="H742" s="720">
        <v>39579</v>
      </c>
      <c r="I742" s="719">
        <v>23280</v>
      </c>
      <c r="J742" s="718">
        <v>3820</v>
      </c>
      <c r="K742" s="720">
        <f t="shared" si="22"/>
        <v>76070</v>
      </c>
      <c r="L742" s="718"/>
      <c r="M742" s="719">
        <v>4614</v>
      </c>
      <c r="N742" s="719">
        <v>0</v>
      </c>
      <c r="O742" s="718">
        <v>17433</v>
      </c>
      <c r="P742" s="720">
        <f t="shared" si="23"/>
        <v>22047</v>
      </c>
      <c r="Q742" s="718"/>
      <c r="R742" s="719">
        <v>54934</v>
      </c>
      <c r="S742" s="721">
        <v>-6260</v>
      </c>
      <c r="T742" s="721">
        <v>48674</v>
      </c>
    </row>
    <row r="743" spans="1:20" x14ac:dyDescent="0.25">
      <c r="A743" s="715">
        <v>98071</v>
      </c>
      <c r="B743" s="716" t="s">
        <v>3275</v>
      </c>
      <c r="C743" s="717">
        <v>4.0099999999999999E-5</v>
      </c>
      <c r="D743" s="717">
        <v>3.4400000000000003E-5</v>
      </c>
      <c r="E743" s="718">
        <v>61262</v>
      </c>
      <c r="F743" s="718"/>
      <c r="G743" s="719">
        <v>3529</v>
      </c>
      <c r="H743" s="720">
        <v>14874</v>
      </c>
      <c r="I743" s="719">
        <v>8749</v>
      </c>
      <c r="J743" s="718">
        <v>18505</v>
      </c>
      <c r="K743" s="720">
        <f t="shared" si="22"/>
        <v>45657</v>
      </c>
      <c r="L743" s="718"/>
      <c r="M743" s="719">
        <v>1734</v>
      </c>
      <c r="N743" s="719">
        <v>0</v>
      </c>
      <c r="O743" s="718">
        <v>1200</v>
      </c>
      <c r="P743" s="720">
        <f t="shared" si="23"/>
        <v>2934</v>
      </c>
      <c r="Q743" s="718"/>
      <c r="R743" s="719">
        <v>20645</v>
      </c>
      <c r="S743" s="721">
        <v>4654</v>
      </c>
      <c r="T743" s="721">
        <v>25299</v>
      </c>
    </row>
    <row r="744" spans="1:20" x14ac:dyDescent="0.25">
      <c r="A744" s="715">
        <v>98081</v>
      </c>
      <c r="B744" s="716" t="s">
        <v>3276</v>
      </c>
      <c r="C744" s="717">
        <v>1.8300000000000001E-5</v>
      </c>
      <c r="D744" s="717">
        <v>1.9400000000000001E-5</v>
      </c>
      <c r="E744" s="718">
        <v>27957</v>
      </c>
      <c r="F744" s="718"/>
      <c r="G744" s="719">
        <v>1611</v>
      </c>
      <c r="H744" s="720">
        <v>6788</v>
      </c>
      <c r="I744" s="719">
        <v>3993</v>
      </c>
      <c r="J744" s="718">
        <v>0</v>
      </c>
      <c r="K744" s="720">
        <f t="shared" si="22"/>
        <v>12392</v>
      </c>
      <c r="L744" s="718"/>
      <c r="M744" s="719">
        <v>791</v>
      </c>
      <c r="N744" s="719">
        <v>0</v>
      </c>
      <c r="O744" s="718">
        <v>4207</v>
      </c>
      <c r="P744" s="720">
        <f t="shared" si="23"/>
        <v>4998</v>
      </c>
      <c r="Q744" s="718"/>
      <c r="R744" s="719">
        <v>9422</v>
      </c>
      <c r="S744" s="721">
        <v>-1896</v>
      </c>
      <c r="T744" s="721">
        <v>7526</v>
      </c>
    </row>
    <row r="745" spans="1:20" x14ac:dyDescent="0.25">
      <c r="A745" s="715">
        <v>98091</v>
      </c>
      <c r="B745" s="716" t="s">
        <v>3277</v>
      </c>
      <c r="C745" s="717">
        <v>4.7500000000000003E-5</v>
      </c>
      <c r="D745" s="717">
        <v>5.0899999999999997E-5</v>
      </c>
      <c r="E745" s="718">
        <v>72567</v>
      </c>
      <c r="F745" s="718"/>
      <c r="G745" s="719">
        <v>4181</v>
      </c>
      <c r="H745" s="720">
        <v>17619</v>
      </c>
      <c r="I745" s="719">
        <v>10364</v>
      </c>
      <c r="J745" s="718">
        <v>1261</v>
      </c>
      <c r="K745" s="720">
        <f t="shared" si="22"/>
        <v>33425</v>
      </c>
      <c r="L745" s="718"/>
      <c r="M745" s="719">
        <v>2054</v>
      </c>
      <c r="N745" s="719">
        <v>0</v>
      </c>
      <c r="O745" s="718">
        <v>807</v>
      </c>
      <c r="P745" s="720">
        <f t="shared" si="23"/>
        <v>2861</v>
      </c>
      <c r="Q745" s="718"/>
      <c r="R745" s="719">
        <v>24455</v>
      </c>
      <c r="S745" s="721">
        <v>-295</v>
      </c>
      <c r="T745" s="721">
        <v>24160</v>
      </c>
    </row>
    <row r="746" spans="1:20" x14ac:dyDescent="0.25">
      <c r="A746" s="715">
        <v>98101</v>
      </c>
      <c r="B746" s="716" t="s">
        <v>3278</v>
      </c>
      <c r="C746" s="717">
        <v>2.8706999999999999E-3</v>
      </c>
      <c r="D746" s="717">
        <v>2.7642999999999999E-3</v>
      </c>
      <c r="E746" s="718">
        <v>4385634</v>
      </c>
      <c r="F746" s="718"/>
      <c r="G746" s="719">
        <v>252653</v>
      </c>
      <c r="H746" s="720">
        <v>1064838</v>
      </c>
      <c r="I746" s="719">
        <v>626329</v>
      </c>
      <c r="J746" s="718">
        <v>37308</v>
      </c>
      <c r="K746" s="720">
        <f t="shared" si="22"/>
        <v>1981128</v>
      </c>
      <c r="L746" s="718"/>
      <c r="M746" s="719">
        <v>124143</v>
      </c>
      <c r="N746" s="719">
        <v>0</v>
      </c>
      <c r="O746" s="718">
        <v>32438</v>
      </c>
      <c r="P746" s="720">
        <f t="shared" si="23"/>
        <v>156581</v>
      </c>
      <c r="Q746" s="718"/>
      <c r="R746" s="719">
        <v>1477963</v>
      </c>
      <c r="S746" s="721">
        <v>14286</v>
      </c>
      <c r="T746" s="721">
        <f>1492248+1</f>
        <v>1492249</v>
      </c>
    </row>
    <row r="747" spans="1:20" x14ac:dyDescent="0.25">
      <c r="A747" s="715">
        <v>98102</v>
      </c>
      <c r="B747" s="716" t="s">
        <v>3279</v>
      </c>
      <c r="C747" s="717">
        <v>1.5809999999999999E-4</v>
      </c>
      <c r="D747" s="717">
        <v>1.683E-4</v>
      </c>
      <c r="E747" s="718">
        <v>241533</v>
      </c>
      <c r="F747" s="718"/>
      <c r="G747" s="719">
        <v>13915</v>
      </c>
      <c r="H747" s="720">
        <v>58644</v>
      </c>
      <c r="I747" s="719">
        <v>34494</v>
      </c>
      <c r="J747" s="718">
        <v>0</v>
      </c>
      <c r="K747" s="720">
        <f t="shared" si="22"/>
        <v>107053</v>
      </c>
      <c r="L747" s="718"/>
      <c r="M747" s="719">
        <v>6837</v>
      </c>
      <c r="N747" s="719">
        <v>0</v>
      </c>
      <c r="O747" s="718">
        <v>14329</v>
      </c>
      <c r="P747" s="720">
        <f t="shared" si="23"/>
        <v>21166</v>
      </c>
      <c r="Q747" s="718"/>
      <c r="R747" s="719">
        <v>81397</v>
      </c>
      <c r="S747" s="721">
        <v>-5584</v>
      </c>
      <c r="T747" s="721">
        <v>75813</v>
      </c>
    </row>
    <row r="748" spans="1:20" x14ac:dyDescent="0.25">
      <c r="A748" s="715">
        <v>98103</v>
      </c>
      <c r="B748" s="716" t="s">
        <v>3280</v>
      </c>
      <c r="C748" s="717">
        <v>5.4410000000000005E-4</v>
      </c>
      <c r="D748" s="717">
        <v>5.3600000000000002E-4</v>
      </c>
      <c r="E748" s="718">
        <v>831234</v>
      </c>
      <c r="F748" s="718"/>
      <c r="G748" s="719">
        <v>47887</v>
      </c>
      <c r="H748" s="720">
        <v>201824</v>
      </c>
      <c r="I748" s="719">
        <v>118712</v>
      </c>
      <c r="J748" s="718">
        <v>9730</v>
      </c>
      <c r="K748" s="720">
        <f t="shared" si="22"/>
        <v>378153</v>
      </c>
      <c r="L748" s="718"/>
      <c r="M748" s="719">
        <v>23530</v>
      </c>
      <c r="N748" s="719">
        <v>0</v>
      </c>
      <c r="O748" s="718">
        <v>27055</v>
      </c>
      <c r="P748" s="720">
        <f t="shared" si="23"/>
        <v>50585</v>
      </c>
      <c r="Q748" s="718"/>
      <c r="R748" s="719">
        <v>280127</v>
      </c>
      <c r="S748" s="721">
        <v>-17051</v>
      </c>
      <c r="T748" s="721">
        <v>263076</v>
      </c>
    </row>
    <row r="749" spans="1:20" x14ac:dyDescent="0.25">
      <c r="A749" s="715">
        <v>98107</v>
      </c>
      <c r="B749" s="716" t="s">
        <v>3281</v>
      </c>
      <c r="C749" s="717">
        <v>1.08E-5</v>
      </c>
      <c r="D749" s="717">
        <v>1.08E-5</v>
      </c>
      <c r="E749" s="718">
        <v>16499</v>
      </c>
      <c r="F749" s="718"/>
      <c r="G749" s="719">
        <v>951</v>
      </c>
      <c r="H749" s="720">
        <v>4006</v>
      </c>
      <c r="I749" s="719">
        <v>2356</v>
      </c>
      <c r="J749" s="718">
        <v>8237</v>
      </c>
      <c r="K749" s="720">
        <f t="shared" si="22"/>
        <v>15550</v>
      </c>
      <c r="L749" s="718"/>
      <c r="M749" s="719">
        <v>467</v>
      </c>
      <c r="N749" s="719">
        <v>0</v>
      </c>
      <c r="O749" s="718">
        <v>0</v>
      </c>
      <c r="P749" s="720">
        <f t="shared" si="23"/>
        <v>467</v>
      </c>
      <c r="Q749" s="718"/>
      <c r="R749" s="719">
        <v>5560</v>
      </c>
      <c r="S749" s="721">
        <v>3467</v>
      </c>
      <c r="T749" s="721">
        <v>9027</v>
      </c>
    </row>
    <row r="750" spans="1:20" x14ac:dyDescent="0.25">
      <c r="A750" s="715">
        <v>98109</v>
      </c>
      <c r="B750" s="716" t="s">
        <v>3282</v>
      </c>
      <c r="C750" s="717">
        <v>1.573E-4</v>
      </c>
      <c r="D750" s="717">
        <v>1.4660000000000001E-4</v>
      </c>
      <c r="E750" s="718">
        <v>240311</v>
      </c>
      <c r="F750" s="718"/>
      <c r="G750" s="719">
        <v>13844</v>
      </c>
      <c r="H750" s="720">
        <v>58348</v>
      </c>
      <c r="I750" s="719">
        <v>34320</v>
      </c>
      <c r="J750" s="718">
        <v>12163</v>
      </c>
      <c r="K750" s="720">
        <f t="shared" si="22"/>
        <v>118675</v>
      </c>
      <c r="L750" s="718"/>
      <c r="M750" s="719">
        <v>6802</v>
      </c>
      <c r="N750" s="719">
        <v>0</v>
      </c>
      <c r="O750" s="718">
        <v>24551</v>
      </c>
      <c r="P750" s="720">
        <f t="shared" si="23"/>
        <v>31353</v>
      </c>
      <c r="Q750" s="718"/>
      <c r="R750" s="719">
        <v>80985</v>
      </c>
      <c r="S750" s="721">
        <v>-7590</v>
      </c>
      <c r="T750" s="721">
        <v>73395</v>
      </c>
    </row>
    <row r="751" spans="1:20" x14ac:dyDescent="0.25">
      <c r="A751" s="715">
        <v>98111</v>
      </c>
      <c r="B751" s="716" t="s">
        <v>3283</v>
      </c>
      <c r="C751" s="717">
        <v>1.0143000000000001E-3</v>
      </c>
      <c r="D751" s="717">
        <v>1.0191E-3</v>
      </c>
      <c r="E751" s="718">
        <v>1549569</v>
      </c>
      <c r="F751" s="718"/>
      <c r="G751" s="719">
        <v>89270</v>
      </c>
      <c r="H751" s="720">
        <v>376238</v>
      </c>
      <c r="I751" s="719">
        <v>221300</v>
      </c>
      <c r="J751" s="718">
        <v>0</v>
      </c>
      <c r="K751" s="720">
        <f t="shared" si="22"/>
        <v>686808</v>
      </c>
      <c r="L751" s="718"/>
      <c r="M751" s="719">
        <v>43863</v>
      </c>
      <c r="N751" s="719">
        <v>0</v>
      </c>
      <c r="O751" s="718">
        <v>66610</v>
      </c>
      <c r="P751" s="720">
        <f t="shared" si="23"/>
        <v>110473</v>
      </c>
      <c r="Q751" s="718"/>
      <c r="R751" s="719">
        <v>522206</v>
      </c>
      <c r="S751" s="721">
        <v>-21506</v>
      </c>
      <c r="T751" s="721">
        <v>500700</v>
      </c>
    </row>
    <row r="752" spans="1:20" x14ac:dyDescent="0.25">
      <c r="A752" s="715">
        <v>98113</v>
      </c>
      <c r="B752" s="716" t="s">
        <v>3284</v>
      </c>
      <c r="C752" s="717">
        <v>4.6199999999999998E-5</v>
      </c>
      <c r="D752" s="717">
        <v>3.8999999999999999E-5</v>
      </c>
      <c r="E752" s="718">
        <v>70581</v>
      </c>
      <c r="F752" s="718"/>
      <c r="G752" s="719">
        <v>4066</v>
      </c>
      <c r="H752" s="720">
        <v>17137</v>
      </c>
      <c r="I752" s="719">
        <v>10080</v>
      </c>
      <c r="J752" s="718">
        <v>11739</v>
      </c>
      <c r="K752" s="720">
        <f t="shared" si="22"/>
        <v>43022</v>
      </c>
      <c r="L752" s="718"/>
      <c r="M752" s="719">
        <v>1998</v>
      </c>
      <c r="N752" s="719">
        <v>0</v>
      </c>
      <c r="O752" s="718">
        <v>0</v>
      </c>
      <c r="P752" s="720">
        <f t="shared" si="23"/>
        <v>1998</v>
      </c>
      <c r="Q752" s="718"/>
      <c r="R752" s="719">
        <v>23786</v>
      </c>
      <c r="S752" s="721">
        <v>4647</v>
      </c>
      <c r="T752" s="721">
        <f>28432+1</f>
        <v>28433</v>
      </c>
    </row>
    <row r="753" spans="1:20" x14ac:dyDescent="0.25">
      <c r="A753" s="715">
        <v>98121</v>
      </c>
      <c r="B753" s="716" t="s">
        <v>3285</v>
      </c>
      <c r="C753" s="717">
        <v>2.0100000000000001E-4</v>
      </c>
      <c r="D753" s="717">
        <v>2.2910000000000001E-4</v>
      </c>
      <c r="E753" s="718">
        <v>307072</v>
      </c>
      <c r="F753" s="718"/>
      <c r="G753" s="719">
        <v>17690</v>
      </c>
      <c r="H753" s="720">
        <v>74558</v>
      </c>
      <c r="I753" s="719">
        <v>43854</v>
      </c>
      <c r="J753" s="718">
        <v>2134</v>
      </c>
      <c r="K753" s="720">
        <f t="shared" si="22"/>
        <v>138236</v>
      </c>
      <c r="L753" s="718"/>
      <c r="M753" s="719">
        <v>8692</v>
      </c>
      <c r="N753" s="719">
        <v>0</v>
      </c>
      <c r="O753" s="718">
        <v>25239</v>
      </c>
      <c r="P753" s="720">
        <f t="shared" si="23"/>
        <v>33931</v>
      </c>
      <c r="Q753" s="718"/>
      <c r="R753" s="719">
        <v>103484</v>
      </c>
      <c r="S753" s="721">
        <v>-5712</v>
      </c>
      <c r="T753" s="721">
        <f>97771+1</f>
        <v>97772</v>
      </c>
    </row>
    <row r="754" spans="1:20" x14ac:dyDescent="0.25">
      <c r="A754" s="715">
        <v>98131</v>
      </c>
      <c r="B754" s="716" t="s">
        <v>3286</v>
      </c>
      <c r="C754" s="717">
        <v>2.5230000000000001E-4</v>
      </c>
      <c r="D754" s="717">
        <v>2.9569999999999998E-4</v>
      </c>
      <c r="E754" s="718">
        <v>385445</v>
      </c>
      <c r="F754" s="718"/>
      <c r="G754" s="719">
        <v>22205</v>
      </c>
      <c r="H754" s="720">
        <v>93586</v>
      </c>
      <c r="I754" s="719">
        <v>55047</v>
      </c>
      <c r="J754" s="718">
        <v>0</v>
      </c>
      <c r="K754" s="720">
        <f t="shared" si="22"/>
        <v>170838</v>
      </c>
      <c r="L754" s="718"/>
      <c r="M754" s="719">
        <v>10911</v>
      </c>
      <c r="N754" s="719">
        <v>0</v>
      </c>
      <c r="O754" s="718">
        <v>53749</v>
      </c>
      <c r="P754" s="720">
        <f t="shared" si="23"/>
        <v>64660</v>
      </c>
      <c r="Q754" s="718"/>
      <c r="R754" s="719">
        <v>129895</v>
      </c>
      <c r="S754" s="721">
        <v>-23653</v>
      </c>
      <c r="T754" s="721">
        <v>106242</v>
      </c>
    </row>
    <row r="755" spans="1:20" x14ac:dyDescent="0.25">
      <c r="A755" s="715">
        <v>98141</v>
      </c>
      <c r="B755" s="716" t="s">
        <v>3287</v>
      </c>
      <c r="C755" s="717">
        <v>3.0360000000000001E-4</v>
      </c>
      <c r="D755" s="717">
        <v>2.9030000000000001E-4</v>
      </c>
      <c r="E755" s="718">
        <v>463817</v>
      </c>
      <c r="F755" s="718"/>
      <c r="G755" s="719">
        <v>26720</v>
      </c>
      <c r="H755" s="720">
        <v>112616</v>
      </c>
      <c r="I755" s="719">
        <v>66239</v>
      </c>
      <c r="J755" s="718">
        <v>5226</v>
      </c>
      <c r="K755" s="720">
        <f t="shared" si="22"/>
        <v>210801</v>
      </c>
      <c r="L755" s="718"/>
      <c r="M755" s="719">
        <v>13129</v>
      </c>
      <c r="N755" s="719">
        <v>0</v>
      </c>
      <c r="O755" s="718">
        <v>22375</v>
      </c>
      <c r="P755" s="720">
        <f t="shared" si="23"/>
        <v>35504</v>
      </c>
      <c r="Q755" s="718"/>
      <c r="R755" s="719">
        <v>156307</v>
      </c>
      <c r="S755" s="721">
        <v>-11630</v>
      </c>
      <c r="T755" s="721">
        <v>144677</v>
      </c>
    </row>
    <row r="756" spans="1:20" x14ac:dyDescent="0.25">
      <c r="A756" s="715">
        <v>98147</v>
      </c>
      <c r="B756" s="716" t="s">
        <v>3288</v>
      </c>
      <c r="C756" s="717">
        <v>1.29E-5</v>
      </c>
      <c r="D756" s="717">
        <v>1.29E-5</v>
      </c>
      <c r="E756" s="718">
        <v>19708</v>
      </c>
      <c r="F756" s="718"/>
      <c r="G756" s="719">
        <v>1135</v>
      </c>
      <c r="H756" s="720">
        <v>4785</v>
      </c>
      <c r="I756" s="719">
        <v>2815</v>
      </c>
      <c r="J756" s="718">
        <v>8231</v>
      </c>
      <c r="K756" s="720">
        <f t="shared" si="22"/>
        <v>16966</v>
      </c>
      <c r="L756" s="718"/>
      <c r="M756" s="719">
        <v>558</v>
      </c>
      <c r="N756" s="719">
        <v>0</v>
      </c>
      <c r="O756" s="718">
        <v>0</v>
      </c>
      <c r="P756" s="720">
        <f t="shared" si="23"/>
        <v>558</v>
      </c>
      <c r="Q756" s="718"/>
      <c r="R756" s="719">
        <v>6641</v>
      </c>
      <c r="S756" s="721">
        <v>3295</v>
      </c>
      <c r="T756" s="721">
        <f>9937-1</f>
        <v>9936</v>
      </c>
    </row>
    <row r="757" spans="1:20" x14ac:dyDescent="0.25">
      <c r="A757" s="715">
        <v>98161</v>
      </c>
      <c r="B757" s="716" t="s">
        <v>3289</v>
      </c>
      <c r="C757" s="717">
        <v>7.3000000000000004E-6</v>
      </c>
      <c r="D757" s="717">
        <v>7.4000000000000003E-6</v>
      </c>
      <c r="E757" s="718">
        <v>11152</v>
      </c>
      <c r="F757" s="718"/>
      <c r="G757" s="719">
        <v>642</v>
      </c>
      <c r="H757" s="720">
        <v>2708</v>
      </c>
      <c r="I757" s="719">
        <v>1593</v>
      </c>
      <c r="J757" s="718">
        <v>2689</v>
      </c>
      <c r="K757" s="720">
        <f t="shared" si="22"/>
        <v>7632</v>
      </c>
      <c r="L757" s="718"/>
      <c r="M757" s="719">
        <v>316</v>
      </c>
      <c r="N757" s="719">
        <v>0</v>
      </c>
      <c r="O757" s="718">
        <v>0</v>
      </c>
      <c r="P757" s="720">
        <f t="shared" si="23"/>
        <v>316</v>
      </c>
      <c r="Q757" s="718"/>
      <c r="R757" s="719">
        <v>3758</v>
      </c>
      <c r="S757" s="721">
        <v>1075</v>
      </c>
      <c r="T757" s="721">
        <v>4833</v>
      </c>
    </row>
    <row r="758" spans="1:20" x14ac:dyDescent="0.25">
      <c r="A758" s="715">
        <v>98201</v>
      </c>
      <c r="B758" s="716" t="s">
        <v>3290</v>
      </c>
      <c r="C758" s="717">
        <v>3.1664000000000002E-3</v>
      </c>
      <c r="D758" s="717">
        <v>3.0368999999999999E-3</v>
      </c>
      <c r="E758" s="718">
        <v>4837382</v>
      </c>
      <c r="F758" s="718"/>
      <c r="G758" s="719">
        <v>278678</v>
      </c>
      <c r="H758" s="720">
        <v>1174522</v>
      </c>
      <c r="I758" s="719">
        <v>690845</v>
      </c>
      <c r="J758" s="718">
        <v>63594</v>
      </c>
      <c r="K758" s="720">
        <f t="shared" si="22"/>
        <v>2207639</v>
      </c>
      <c r="L758" s="718"/>
      <c r="M758" s="719">
        <v>136931</v>
      </c>
      <c r="N758" s="719">
        <v>0</v>
      </c>
      <c r="O758" s="718">
        <v>39608</v>
      </c>
      <c r="P758" s="720">
        <f t="shared" si="23"/>
        <v>176539</v>
      </c>
      <c r="Q758" s="718"/>
      <c r="R758" s="719">
        <v>1630202</v>
      </c>
      <c r="S758" s="721">
        <v>-5370</v>
      </c>
      <c r="T758" s="721">
        <v>1624832</v>
      </c>
    </row>
    <row r="759" spans="1:20" x14ac:dyDescent="0.25">
      <c r="A759" s="715">
        <v>98205</v>
      </c>
      <c r="B759" s="716" t="s">
        <v>3291</v>
      </c>
      <c r="C759" s="717">
        <v>4.6799999999999999E-5</v>
      </c>
      <c r="D759" s="717">
        <v>5.13E-5</v>
      </c>
      <c r="E759" s="718">
        <v>71497</v>
      </c>
      <c r="F759" s="718"/>
      <c r="G759" s="719">
        <v>4119</v>
      </c>
      <c r="H759" s="720">
        <v>17359</v>
      </c>
      <c r="I759" s="719">
        <v>10211</v>
      </c>
      <c r="J759" s="718">
        <v>1985</v>
      </c>
      <c r="K759" s="720">
        <f t="shared" si="22"/>
        <v>33674</v>
      </c>
      <c r="L759" s="718"/>
      <c r="M759" s="719">
        <v>2024</v>
      </c>
      <c r="N759" s="719">
        <v>0</v>
      </c>
      <c r="O759" s="718">
        <v>2510</v>
      </c>
      <c r="P759" s="720">
        <f t="shared" si="23"/>
        <v>4534</v>
      </c>
      <c r="Q759" s="718"/>
      <c r="R759" s="719">
        <v>24095</v>
      </c>
      <c r="S759" s="721">
        <v>-141</v>
      </c>
      <c r="T759" s="721">
        <f>23953+1</f>
        <v>23954</v>
      </c>
    </row>
    <row r="760" spans="1:20" x14ac:dyDescent="0.25">
      <c r="A760" s="715">
        <v>98211</v>
      </c>
      <c r="B760" s="716" t="s">
        <v>3292</v>
      </c>
      <c r="C760" s="717">
        <v>8.6689999999999998E-4</v>
      </c>
      <c r="D760" s="717">
        <v>9.1609999999999999E-4</v>
      </c>
      <c r="E760" s="718">
        <v>1324383</v>
      </c>
      <c r="F760" s="718"/>
      <c r="G760" s="719">
        <v>76297</v>
      </c>
      <c r="H760" s="720">
        <v>321561</v>
      </c>
      <c r="I760" s="719">
        <v>189140</v>
      </c>
      <c r="J760" s="718">
        <v>0</v>
      </c>
      <c r="K760" s="720">
        <f t="shared" si="22"/>
        <v>586998</v>
      </c>
      <c r="L760" s="718"/>
      <c r="M760" s="719">
        <v>37489</v>
      </c>
      <c r="N760" s="719">
        <v>0</v>
      </c>
      <c r="O760" s="718">
        <v>136830</v>
      </c>
      <c r="P760" s="720">
        <f t="shared" si="23"/>
        <v>174319</v>
      </c>
      <c r="Q760" s="718"/>
      <c r="R760" s="719">
        <v>446318</v>
      </c>
      <c r="S760" s="721">
        <v>-50136</v>
      </c>
      <c r="T760" s="721">
        <v>396182</v>
      </c>
    </row>
    <row r="761" spans="1:20" x14ac:dyDescent="0.25">
      <c r="A761" s="715">
        <v>98218</v>
      </c>
      <c r="B761" s="716" t="s">
        <v>3293</v>
      </c>
      <c r="C761" s="717">
        <v>1.3200000000000001E-5</v>
      </c>
      <c r="D761" s="717">
        <v>1.0200000000000001E-5</v>
      </c>
      <c r="E761" s="718">
        <v>20166</v>
      </c>
      <c r="F761" s="718"/>
      <c r="G761" s="719">
        <v>1162</v>
      </c>
      <c r="H761" s="720">
        <v>4896</v>
      </c>
      <c r="I761" s="719">
        <v>2880</v>
      </c>
      <c r="J761" s="718">
        <v>1827</v>
      </c>
      <c r="K761" s="720">
        <f t="shared" si="22"/>
        <v>10765</v>
      </c>
      <c r="L761" s="718"/>
      <c r="M761" s="719">
        <v>571</v>
      </c>
      <c r="N761" s="719">
        <v>0</v>
      </c>
      <c r="O761" s="718">
        <v>1072</v>
      </c>
      <c r="P761" s="720">
        <f t="shared" si="23"/>
        <v>1643</v>
      </c>
      <c r="Q761" s="718"/>
      <c r="R761" s="719">
        <v>6796</v>
      </c>
      <c r="S761" s="721">
        <v>-336</v>
      </c>
      <c r="T761" s="721">
        <v>6460</v>
      </c>
    </row>
    <row r="762" spans="1:20" x14ac:dyDescent="0.25">
      <c r="A762" s="715">
        <v>98221</v>
      </c>
      <c r="B762" s="716" t="s">
        <v>3294</v>
      </c>
      <c r="C762" s="717">
        <v>1.8899999999999999E-5</v>
      </c>
      <c r="D762" s="717">
        <v>1.6799999999999998E-5</v>
      </c>
      <c r="E762" s="718">
        <v>28874</v>
      </c>
      <c r="F762" s="718"/>
      <c r="G762" s="719">
        <v>1663</v>
      </c>
      <c r="H762" s="720">
        <v>7011</v>
      </c>
      <c r="I762" s="719">
        <v>4124</v>
      </c>
      <c r="J762" s="718">
        <v>4593</v>
      </c>
      <c r="K762" s="720">
        <f t="shared" si="22"/>
        <v>17391</v>
      </c>
      <c r="L762" s="718"/>
      <c r="M762" s="719">
        <v>817</v>
      </c>
      <c r="N762" s="719">
        <v>0</v>
      </c>
      <c r="O762" s="718">
        <v>0</v>
      </c>
      <c r="P762" s="720">
        <f t="shared" si="23"/>
        <v>817</v>
      </c>
      <c r="Q762" s="718"/>
      <c r="R762" s="719">
        <v>9731</v>
      </c>
      <c r="S762" s="721">
        <v>1469</v>
      </c>
      <c r="T762" s="721">
        <v>11200</v>
      </c>
    </row>
    <row r="763" spans="1:20" x14ac:dyDescent="0.25">
      <c r="A763" s="715">
        <v>98231</v>
      </c>
      <c r="B763" s="716" t="s">
        <v>3295</v>
      </c>
      <c r="C763" s="717">
        <v>2.2799999999999999E-5</v>
      </c>
      <c r="D763" s="717">
        <v>3.1999999999999999E-5</v>
      </c>
      <c r="E763" s="718">
        <v>34832</v>
      </c>
      <c r="F763" s="718"/>
      <c r="G763" s="719">
        <v>2007</v>
      </c>
      <c r="H763" s="720">
        <v>8457</v>
      </c>
      <c r="I763" s="719">
        <v>4975</v>
      </c>
      <c r="J763" s="718">
        <v>1705</v>
      </c>
      <c r="K763" s="720">
        <f t="shared" si="22"/>
        <v>17144</v>
      </c>
      <c r="L763" s="718"/>
      <c r="M763" s="719">
        <v>986</v>
      </c>
      <c r="N763" s="719">
        <v>0</v>
      </c>
      <c r="O763" s="718">
        <v>9632</v>
      </c>
      <c r="P763" s="720">
        <f t="shared" si="23"/>
        <v>10618</v>
      </c>
      <c r="Q763" s="718"/>
      <c r="R763" s="719">
        <v>11738</v>
      </c>
      <c r="S763" s="721">
        <v>-3592</v>
      </c>
      <c r="T763" s="721">
        <v>8146</v>
      </c>
    </row>
    <row r="764" spans="1:20" x14ac:dyDescent="0.25">
      <c r="A764" s="715">
        <v>98237</v>
      </c>
      <c r="B764" s="716" t="s">
        <v>3296</v>
      </c>
      <c r="C764" s="717">
        <v>5.9000000000000003E-6</v>
      </c>
      <c r="D764" s="717">
        <v>2.7E-6</v>
      </c>
      <c r="E764" s="718">
        <v>9014</v>
      </c>
      <c r="F764" s="718"/>
      <c r="G764" s="719">
        <v>519</v>
      </c>
      <c r="H764" s="720">
        <v>2188</v>
      </c>
      <c r="I764" s="719">
        <v>1287</v>
      </c>
      <c r="J764" s="718">
        <v>5034</v>
      </c>
      <c r="K764" s="720">
        <f t="shared" si="22"/>
        <v>9028</v>
      </c>
      <c r="L764" s="718"/>
      <c r="M764" s="719">
        <v>255</v>
      </c>
      <c r="N764" s="719">
        <v>0</v>
      </c>
      <c r="O764" s="718">
        <v>0</v>
      </c>
      <c r="P764" s="720">
        <f t="shared" si="23"/>
        <v>255</v>
      </c>
      <c r="Q764" s="718"/>
      <c r="R764" s="719">
        <v>3038</v>
      </c>
      <c r="S764" s="721">
        <v>1666</v>
      </c>
      <c r="T764" s="721">
        <v>4704</v>
      </c>
    </row>
    <row r="765" spans="1:20" x14ac:dyDescent="0.25">
      <c r="A765" s="715">
        <v>98241</v>
      </c>
      <c r="B765" s="716" t="s">
        <v>3297</v>
      </c>
      <c r="C765" s="717">
        <v>1.5099999999999999E-5</v>
      </c>
      <c r="D765" s="717">
        <v>1.98E-5</v>
      </c>
      <c r="E765" s="718">
        <v>23069</v>
      </c>
      <c r="F765" s="718"/>
      <c r="G765" s="719">
        <v>1329</v>
      </c>
      <c r="H765" s="720">
        <v>5602</v>
      </c>
      <c r="I765" s="719">
        <v>3295</v>
      </c>
      <c r="J765" s="718">
        <v>5512</v>
      </c>
      <c r="K765" s="720">
        <f t="shared" si="22"/>
        <v>15738</v>
      </c>
      <c r="L765" s="718"/>
      <c r="M765" s="719">
        <v>653</v>
      </c>
      <c r="N765" s="719">
        <v>0</v>
      </c>
      <c r="O765" s="718">
        <v>2200</v>
      </c>
      <c r="P765" s="720">
        <f t="shared" si="23"/>
        <v>2853</v>
      </c>
      <c r="Q765" s="718"/>
      <c r="R765" s="719">
        <v>7774</v>
      </c>
      <c r="S765" s="721">
        <v>2564</v>
      </c>
      <c r="T765" s="721">
        <f>10339-1</f>
        <v>10338</v>
      </c>
    </row>
    <row r="766" spans="1:20" x14ac:dyDescent="0.25">
      <c r="A766" s="715">
        <v>98251</v>
      </c>
      <c r="B766" s="716" t="s">
        <v>3298</v>
      </c>
      <c r="C766" s="717">
        <v>3.0000000000000001E-6</v>
      </c>
      <c r="D766" s="717">
        <v>3.1E-6</v>
      </c>
      <c r="E766" s="718">
        <v>4583</v>
      </c>
      <c r="F766" s="718"/>
      <c r="G766" s="719">
        <v>264</v>
      </c>
      <c r="H766" s="720">
        <v>1113</v>
      </c>
      <c r="I766" s="719">
        <v>655</v>
      </c>
      <c r="J766" s="718">
        <v>1375</v>
      </c>
      <c r="K766" s="720">
        <f t="shared" si="22"/>
        <v>3407</v>
      </c>
      <c r="L766" s="718"/>
      <c r="M766" s="719">
        <v>130</v>
      </c>
      <c r="N766" s="719">
        <v>0</v>
      </c>
      <c r="O766" s="718">
        <v>0</v>
      </c>
      <c r="P766" s="720">
        <f t="shared" si="23"/>
        <v>130</v>
      </c>
      <c r="Q766" s="718"/>
      <c r="R766" s="719">
        <v>1545</v>
      </c>
      <c r="S766" s="721">
        <v>561</v>
      </c>
      <c r="T766" s="721">
        <v>2106</v>
      </c>
    </row>
    <row r="767" spans="1:20" x14ac:dyDescent="0.25">
      <c r="A767" s="715">
        <v>98261</v>
      </c>
      <c r="B767" s="716" t="s">
        <v>3299</v>
      </c>
      <c r="C767" s="717">
        <v>3.3200000000000001E-5</v>
      </c>
      <c r="D767" s="717">
        <v>2.97E-5</v>
      </c>
      <c r="E767" s="718">
        <v>50720</v>
      </c>
      <c r="F767" s="718"/>
      <c r="G767" s="719">
        <v>2922</v>
      </c>
      <c r="H767" s="720">
        <v>12315</v>
      </c>
      <c r="I767" s="719">
        <v>7244</v>
      </c>
      <c r="J767" s="718">
        <v>6546</v>
      </c>
      <c r="K767" s="720">
        <f t="shared" si="22"/>
        <v>29027</v>
      </c>
      <c r="L767" s="718"/>
      <c r="M767" s="719">
        <v>1436</v>
      </c>
      <c r="N767" s="719">
        <v>0</v>
      </c>
      <c r="O767" s="718">
        <v>4922</v>
      </c>
      <c r="P767" s="720">
        <f t="shared" si="23"/>
        <v>6358</v>
      </c>
      <c r="Q767" s="718"/>
      <c r="R767" s="719">
        <v>17093</v>
      </c>
      <c r="S767" s="721">
        <v>793</v>
      </c>
      <c r="T767" s="721">
        <v>17886</v>
      </c>
    </row>
    <row r="768" spans="1:20" x14ac:dyDescent="0.25">
      <c r="A768" s="715">
        <v>98271</v>
      </c>
      <c r="B768" s="716" t="s">
        <v>3300</v>
      </c>
      <c r="C768" s="717">
        <v>5.1000000000000003E-6</v>
      </c>
      <c r="D768" s="717">
        <v>4.5000000000000001E-6</v>
      </c>
      <c r="E768" s="718">
        <v>7791</v>
      </c>
      <c r="F768" s="718"/>
      <c r="G768" s="719">
        <v>449</v>
      </c>
      <c r="H768" s="720">
        <v>1891</v>
      </c>
      <c r="I768" s="719">
        <v>1113</v>
      </c>
      <c r="J768" s="718">
        <v>3229</v>
      </c>
      <c r="K768" s="720">
        <f t="shared" si="22"/>
        <v>6682</v>
      </c>
      <c r="L768" s="718"/>
      <c r="M768" s="719">
        <v>221</v>
      </c>
      <c r="N768" s="719">
        <v>0</v>
      </c>
      <c r="O768" s="718">
        <v>0</v>
      </c>
      <c r="P768" s="720">
        <f t="shared" si="23"/>
        <v>221</v>
      </c>
      <c r="Q768" s="718"/>
      <c r="R768" s="719">
        <v>2626</v>
      </c>
      <c r="S768" s="721">
        <v>1560</v>
      </c>
      <c r="T768" s="721">
        <f>4185+1</f>
        <v>4186</v>
      </c>
    </row>
    <row r="769" spans="1:20" x14ac:dyDescent="0.25">
      <c r="A769" s="715">
        <v>98301</v>
      </c>
      <c r="B769" s="716" t="s">
        <v>3301</v>
      </c>
      <c r="C769" s="717">
        <v>1.7542E-3</v>
      </c>
      <c r="D769" s="717">
        <v>1.7776999999999999E-3</v>
      </c>
      <c r="E769" s="718">
        <v>2679932</v>
      </c>
      <c r="F769" s="718"/>
      <c r="G769" s="719">
        <v>154389</v>
      </c>
      <c r="H769" s="720">
        <v>650690</v>
      </c>
      <c r="I769" s="719">
        <v>382731</v>
      </c>
      <c r="J769" s="718">
        <v>51704</v>
      </c>
      <c r="K769" s="720">
        <f t="shared" si="22"/>
        <v>1239514</v>
      </c>
      <c r="L769" s="718"/>
      <c r="M769" s="719">
        <v>75860</v>
      </c>
      <c r="N769" s="719">
        <v>0</v>
      </c>
      <c r="O769" s="718">
        <v>7816</v>
      </c>
      <c r="P769" s="720">
        <f t="shared" si="23"/>
        <v>83676</v>
      </c>
      <c r="Q769" s="718"/>
      <c r="R769" s="719">
        <v>903139</v>
      </c>
      <c r="S769" s="721">
        <v>17344</v>
      </c>
      <c r="T769" s="721">
        <v>920483</v>
      </c>
    </row>
    <row r="770" spans="1:20" x14ac:dyDescent="0.25">
      <c r="A770" s="715">
        <v>98304</v>
      </c>
      <c r="B770" s="716" t="s">
        <v>3302</v>
      </c>
      <c r="C770" s="717">
        <v>2.0999999999999999E-5</v>
      </c>
      <c r="D770" s="717">
        <v>2.2900000000000001E-5</v>
      </c>
      <c r="E770" s="718">
        <v>32082</v>
      </c>
      <c r="F770" s="718"/>
      <c r="G770" s="719">
        <v>1848</v>
      </c>
      <c r="H770" s="720">
        <v>7790</v>
      </c>
      <c r="I770" s="719">
        <v>4582</v>
      </c>
      <c r="J770" s="718">
        <v>2290</v>
      </c>
      <c r="K770" s="720">
        <f t="shared" si="22"/>
        <v>16510</v>
      </c>
      <c r="L770" s="718"/>
      <c r="M770" s="719">
        <v>908</v>
      </c>
      <c r="N770" s="719">
        <v>0</v>
      </c>
      <c r="O770" s="718">
        <v>0</v>
      </c>
      <c r="P770" s="720">
        <f t="shared" si="23"/>
        <v>908</v>
      </c>
      <c r="Q770" s="718"/>
      <c r="R770" s="719">
        <v>10812</v>
      </c>
      <c r="S770" s="721">
        <v>818</v>
      </c>
      <c r="T770" s="721">
        <f>11629+1</f>
        <v>11630</v>
      </c>
    </row>
    <row r="771" spans="1:20" x14ac:dyDescent="0.25">
      <c r="A771" s="715">
        <v>98308</v>
      </c>
      <c r="B771" s="716" t="s">
        <v>3303</v>
      </c>
      <c r="C771" s="717">
        <v>2.37E-5</v>
      </c>
      <c r="D771" s="717">
        <v>2.55E-5</v>
      </c>
      <c r="E771" s="718">
        <v>36207</v>
      </c>
      <c r="F771" s="718"/>
      <c r="G771" s="719">
        <v>2086</v>
      </c>
      <c r="H771" s="720">
        <v>8791</v>
      </c>
      <c r="I771" s="719">
        <v>5171</v>
      </c>
      <c r="J771" s="718">
        <v>7272</v>
      </c>
      <c r="K771" s="720">
        <f t="shared" si="22"/>
        <v>23320</v>
      </c>
      <c r="L771" s="718"/>
      <c r="M771" s="719">
        <v>1025</v>
      </c>
      <c r="N771" s="719">
        <v>0</v>
      </c>
      <c r="O771" s="718">
        <v>0</v>
      </c>
      <c r="P771" s="720">
        <f t="shared" si="23"/>
        <v>1025</v>
      </c>
      <c r="Q771" s="718"/>
      <c r="R771" s="719">
        <v>12202</v>
      </c>
      <c r="S771" s="721">
        <v>3390</v>
      </c>
      <c r="T771" s="721">
        <v>15592</v>
      </c>
    </row>
    <row r="772" spans="1:20" x14ac:dyDescent="0.25">
      <c r="A772" s="715">
        <v>98311</v>
      </c>
      <c r="B772" s="716" t="s">
        <v>3304</v>
      </c>
      <c r="C772" s="717">
        <v>1.1536000000000001E-3</v>
      </c>
      <c r="D772" s="717">
        <v>1.1441999999999999E-3</v>
      </c>
      <c r="E772" s="718">
        <v>1762381</v>
      </c>
      <c r="F772" s="718"/>
      <c r="G772" s="719">
        <v>101529</v>
      </c>
      <c r="H772" s="720">
        <v>427908</v>
      </c>
      <c r="I772" s="719">
        <v>251692</v>
      </c>
      <c r="J772" s="718">
        <v>12653</v>
      </c>
      <c r="K772" s="720">
        <f t="shared" si="22"/>
        <v>793782</v>
      </c>
      <c r="L772" s="718"/>
      <c r="M772" s="719">
        <v>49887</v>
      </c>
      <c r="N772" s="719">
        <v>0</v>
      </c>
      <c r="O772" s="718">
        <v>98661</v>
      </c>
      <c r="P772" s="720">
        <f t="shared" si="23"/>
        <v>148548</v>
      </c>
      <c r="Q772" s="718"/>
      <c r="R772" s="719">
        <v>593924</v>
      </c>
      <c r="S772" s="721">
        <v>-18424</v>
      </c>
      <c r="T772" s="721">
        <f>575501-1</f>
        <v>575500</v>
      </c>
    </row>
    <row r="773" spans="1:20" x14ac:dyDescent="0.25">
      <c r="A773" s="715">
        <v>98313</v>
      </c>
      <c r="B773" s="716" t="s">
        <v>3305</v>
      </c>
      <c r="C773" s="717">
        <v>2.3560000000000001E-4</v>
      </c>
      <c r="D773" s="717">
        <v>2.4240000000000001E-4</v>
      </c>
      <c r="E773" s="718">
        <v>359932</v>
      </c>
      <c r="F773" s="718"/>
      <c r="G773" s="719">
        <v>20735</v>
      </c>
      <c r="H773" s="720">
        <v>87392</v>
      </c>
      <c r="I773" s="719">
        <v>51403</v>
      </c>
      <c r="J773" s="718">
        <v>233571</v>
      </c>
      <c r="K773" s="720">
        <f t="shared" si="22"/>
        <v>393101</v>
      </c>
      <c r="L773" s="718"/>
      <c r="M773" s="719">
        <v>10189</v>
      </c>
      <c r="N773" s="719">
        <v>0</v>
      </c>
      <c r="O773" s="718">
        <v>59</v>
      </c>
      <c r="P773" s="720">
        <f t="shared" si="23"/>
        <v>10248</v>
      </c>
      <c r="Q773" s="718"/>
      <c r="R773" s="719">
        <v>121297</v>
      </c>
      <c r="S773" s="721">
        <v>77966</v>
      </c>
      <c r="T773" s="721">
        <v>199263</v>
      </c>
    </row>
    <row r="774" spans="1:20" x14ac:dyDescent="0.25">
      <c r="A774" s="715">
        <v>98321</v>
      </c>
      <c r="B774" s="716" t="s">
        <v>3306</v>
      </c>
      <c r="C774" s="717">
        <v>2.05E-5</v>
      </c>
      <c r="D774" s="717">
        <v>2.1399999999999998E-5</v>
      </c>
      <c r="E774" s="718">
        <v>31318</v>
      </c>
      <c r="F774" s="718"/>
      <c r="G774" s="719">
        <v>1804</v>
      </c>
      <c r="H774" s="720">
        <v>7604</v>
      </c>
      <c r="I774" s="719">
        <v>4473</v>
      </c>
      <c r="J774" s="718">
        <v>1639</v>
      </c>
      <c r="K774" s="720">
        <f t="shared" si="22"/>
        <v>15520</v>
      </c>
      <c r="L774" s="718"/>
      <c r="M774" s="719">
        <v>887</v>
      </c>
      <c r="N774" s="719">
        <v>0</v>
      </c>
      <c r="O774" s="718">
        <v>3066</v>
      </c>
      <c r="P774" s="720">
        <f t="shared" si="23"/>
        <v>3953</v>
      </c>
      <c r="Q774" s="718"/>
      <c r="R774" s="719">
        <v>10554</v>
      </c>
      <c r="S774" s="721">
        <v>472</v>
      </c>
      <c r="T774" s="721">
        <v>11026</v>
      </c>
    </row>
    <row r="775" spans="1:20" x14ac:dyDescent="0.25">
      <c r="A775" s="715">
        <v>98331</v>
      </c>
      <c r="B775" s="716" t="s">
        <v>3307</v>
      </c>
      <c r="C775" s="717">
        <v>9.7999999999999993E-6</v>
      </c>
      <c r="D775" s="717">
        <v>1.03E-5</v>
      </c>
      <c r="E775" s="718">
        <v>14972</v>
      </c>
      <c r="F775" s="718"/>
      <c r="G775" s="719">
        <v>863</v>
      </c>
      <c r="H775" s="720">
        <v>3635</v>
      </c>
      <c r="I775" s="719">
        <v>2138</v>
      </c>
      <c r="J775" s="718">
        <v>3035</v>
      </c>
      <c r="K775" s="720">
        <f t="shared" ref="K775:K838" si="24">G775+H775+I775+J775</f>
        <v>9671</v>
      </c>
      <c r="L775" s="718"/>
      <c r="M775" s="719">
        <v>424</v>
      </c>
      <c r="N775" s="719">
        <v>0</v>
      </c>
      <c r="O775" s="718">
        <v>132</v>
      </c>
      <c r="P775" s="720">
        <f t="shared" ref="P775:P838" si="25">M775+N775+O775</f>
        <v>556</v>
      </c>
      <c r="Q775" s="718"/>
      <c r="R775" s="719">
        <v>5045</v>
      </c>
      <c r="S775" s="721">
        <v>972</v>
      </c>
      <c r="T775" s="721">
        <f>6018-1</f>
        <v>6017</v>
      </c>
    </row>
    <row r="776" spans="1:20" x14ac:dyDescent="0.25">
      <c r="A776" s="715">
        <v>98401</v>
      </c>
      <c r="B776" s="716" t="s">
        <v>3308</v>
      </c>
      <c r="C776" s="717">
        <v>2.7655000000000002E-3</v>
      </c>
      <c r="D776" s="717">
        <v>2.7567999999999998E-3</v>
      </c>
      <c r="E776" s="718">
        <v>4224918</v>
      </c>
      <c r="F776" s="718"/>
      <c r="G776" s="719">
        <v>243394</v>
      </c>
      <c r="H776" s="720">
        <v>1025815</v>
      </c>
      <c r="I776" s="719">
        <v>603377</v>
      </c>
      <c r="J776" s="718">
        <v>168129</v>
      </c>
      <c r="K776" s="720">
        <f t="shared" si="24"/>
        <v>2040715</v>
      </c>
      <c r="L776" s="718"/>
      <c r="M776" s="719">
        <v>119594</v>
      </c>
      <c r="N776" s="719">
        <v>0</v>
      </c>
      <c r="O776" s="718">
        <v>6292</v>
      </c>
      <c r="P776" s="720">
        <f t="shared" si="25"/>
        <v>125886</v>
      </c>
      <c r="Q776" s="718"/>
      <c r="R776" s="719">
        <v>1423801</v>
      </c>
      <c r="S776" s="721">
        <v>58759</v>
      </c>
      <c r="T776" s="721">
        <v>1482560</v>
      </c>
    </row>
    <row r="777" spans="1:20" x14ac:dyDescent="0.25">
      <c r="A777" s="715">
        <v>98404</v>
      </c>
      <c r="B777" s="716" t="s">
        <v>3561</v>
      </c>
      <c r="C777" s="717">
        <v>1.52E-5</v>
      </c>
      <c r="D777" s="717">
        <v>0</v>
      </c>
      <c r="E777" s="718">
        <v>23221</v>
      </c>
      <c r="F777" s="718"/>
      <c r="G777" s="719">
        <v>1338</v>
      </c>
      <c r="H777" s="720">
        <v>5638</v>
      </c>
      <c r="I777" s="719">
        <v>3316</v>
      </c>
      <c r="J777" s="718">
        <v>9290</v>
      </c>
      <c r="K777" s="720">
        <f t="shared" si="24"/>
        <v>19582</v>
      </c>
      <c r="L777" s="718"/>
      <c r="M777" s="719">
        <v>657</v>
      </c>
      <c r="N777" s="719">
        <v>0</v>
      </c>
      <c r="O777" s="718">
        <v>0</v>
      </c>
      <c r="P777" s="720">
        <f t="shared" si="25"/>
        <v>657</v>
      </c>
      <c r="Q777" s="718"/>
      <c r="R777" s="719">
        <v>7826</v>
      </c>
      <c r="S777" s="721">
        <v>2323</v>
      </c>
      <c r="T777" s="721">
        <f>10148+1</f>
        <v>10149</v>
      </c>
    </row>
    <row r="778" spans="1:20" x14ac:dyDescent="0.25">
      <c r="A778" s="715">
        <v>98411</v>
      </c>
      <c r="B778" s="716" t="s">
        <v>3309</v>
      </c>
      <c r="C778" s="717">
        <v>1.9816E-3</v>
      </c>
      <c r="D778" s="717">
        <v>2.0076999999999998E-3</v>
      </c>
      <c r="E778" s="718">
        <v>3027336</v>
      </c>
      <c r="F778" s="718"/>
      <c r="G778" s="719">
        <v>174403</v>
      </c>
      <c r="H778" s="720">
        <v>735040</v>
      </c>
      <c r="I778" s="719">
        <v>432345</v>
      </c>
      <c r="J778" s="718">
        <v>3986</v>
      </c>
      <c r="K778" s="720">
        <f t="shared" si="24"/>
        <v>1345774</v>
      </c>
      <c r="L778" s="718"/>
      <c r="M778" s="719">
        <v>85694</v>
      </c>
      <c r="N778" s="719">
        <v>0</v>
      </c>
      <c r="O778" s="718">
        <v>73699</v>
      </c>
      <c r="P778" s="720">
        <f t="shared" si="25"/>
        <v>159393</v>
      </c>
      <c r="Q778" s="718"/>
      <c r="R778" s="719">
        <v>1020215</v>
      </c>
      <c r="S778" s="721">
        <v>-19116</v>
      </c>
      <c r="T778" s="721">
        <v>1001099</v>
      </c>
    </row>
    <row r="779" spans="1:20" x14ac:dyDescent="0.25">
      <c r="A779" s="715">
        <v>98414</v>
      </c>
      <c r="B779" s="716" t="s">
        <v>2548</v>
      </c>
      <c r="C779" s="722">
        <f>0.00283%+0.00102%</f>
        <v>3.8500000000000001E-5</v>
      </c>
      <c r="D779" s="717">
        <v>4.3600000000000003E-5</v>
      </c>
      <c r="E779" s="718">
        <f>43235+15583</f>
        <v>58818</v>
      </c>
      <c r="F779" s="718"/>
      <c r="G779" s="719">
        <f>2491+898</f>
        <v>3389</v>
      </c>
      <c r="H779" s="720">
        <v>14282</v>
      </c>
      <c r="I779" s="719">
        <f>6174+2225</f>
        <v>8399</v>
      </c>
      <c r="J779" s="718">
        <v>14474</v>
      </c>
      <c r="K779" s="720">
        <f t="shared" si="24"/>
        <v>40544</v>
      </c>
      <c r="L779" s="718"/>
      <c r="M779" s="719">
        <f>1224+441</f>
        <v>1665</v>
      </c>
      <c r="N779" s="719">
        <v>0</v>
      </c>
      <c r="O779" s="718">
        <f>0+24505</f>
        <v>24505</v>
      </c>
      <c r="P779" s="720">
        <f t="shared" si="25"/>
        <v>26170</v>
      </c>
      <c r="Q779" s="718"/>
      <c r="R779" s="719">
        <f>14570+5251</f>
        <v>19821</v>
      </c>
      <c r="S779" s="721">
        <f>3619-7460</f>
        <v>-3841</v>
      </c>
      <c r="T779" s="721">
        <f>18189-2209</f>
        <v>15980</v>
      </c>
    </row>
    <row r="780" spans="1:20" x14ac:dyDescent="0.25">
      <c r="A780" s="715">
        <v>98417</v>
      </c>
      <c r="B780" s="716" t="s">
        <v>3310</v>
      </c>
      <c r="C780" s="717">
        <v>2.2900000000000001E-5</v>
      </c>
      <c r="D780" s="717">
        <v>2.4899999999999999E-5</v>
      </c>
      <c r="E780" s="718">
        <v>34985</v>
      </c>
      <c r="F780" s="718"/>
      <c r="G780" s="719">
        <v>2015</v>
      </c>
      <c r="H780" s="720">
        <v>8494</v>
      </c>
      <c r="I780" s="719">
        <v>4996</v>
      </c>
      <c r="J780" s="718">
        <v>2511</v>
      </c>
      <c r="K780" s="720">
        <f t="shared" si="24"/>
        <v>18016</v>
      </c>
      <c r="L780" s="718"/>
      <c r="M780" s="719">
        <v>990</v>
      </c>
      <c r="N780" s="719">
        <v>0</v>
      </c>
      <c r="O780" s="718">
        <v>424</v>
      </c>
      <c r="P780" s="720">
        <f t="shared" si="25"/>
        <v>1414</v>
      </c>
      <c r="Q780" s="718"/>
      <c r="R780" s="719">
        <v>11790</v>
      </c>
      <c r="S780" s="721">
        <v>315</v>
      </c>
      <c r="T780" s="721">
        <v>12105</v>
      </c>
    </row>
    <row r="781" spans="1:20" x14ac:dyDescent="0.25">
      <c r="A781" s="715">
        <v>98421</v>
      </c>
      <c r="B781" s="716" t="s">
        <v>3311</v>
      </c>
      <c r="C781" s="717">
        <v>8.2700000000000004E-5</v>
      </c>
      <c r="D781" s="717">
        <v>1.0840000000000001E-4</v>
      </c>
      <c r="E781" s="718">
        <v>126343</v>
      </c>
      <c r="F781" s="718"/>
      <c r="G781" s="719">
        <v>7279</v>
      </c>
      <c r="H781" s="720">
        <v>30676</v>
      </c>
      <c r="I781" s="719">
        <v>18043</v>
      </c>
      <c r="J781" s="718">
        <v>5132</v>
      </c>
      <c r="K781" s="720">
        <f t="shared" si="24"/>
        <v>61130</v>
      </c>
      <c r="L781" s="718"/>
      <c r="M781" s="719">
        <v>3576</v>
      </c>
      <c r="N781" s="719">
        <v>0</v>
      </c>
      <c r="O781" s="718">
        <v>12725</v>
      </c>
      <c r="P781" s="720">
        <f t="shared" si="25"/>
        <v>16301</v>
      </c>
      <c r="Q781" s="718"/>
      <c r="R781" s="719">
        <v>42578</v>
      </c>
      <c r="S781" s="721">
        <v>-911</v>
      </c>
      <c r="T781" s="721">
        <v>41667</v>
      </c>
    </row>
    <row r="782" spans="1:20" x14ac:dyDescent="0.25">
      <c r="A782" s="715">
        <v>98427</v>
      </c>
      <c r="B782" s="716" t="s">
        <v>3312</v>
      </c>
      <c r="C782" s="717">
        <v>3.9999999999999998E-6</v>
      </c>
      <c r="D782" s="717">
        <v>4.6E-6</v>
      </c>
      <c r="E782" s="718">
        <v>6111</v>
      </c>
      <c r="F782" s="718"/>
      <c r="G782" s="719">
        <v>352</v>
      </c>
      <c r="H782" s="720">
        <v>1484</v>
      </c>
      <c r="I782" s="719">
        <v>873</v>
      </c>
      <c r="J782" s="718">
        <v>1351</v>
      </c>
      <c r="K782" s="720">
        <f t="shared" si="24"/>
        <v>4060</v>
      </c>
      <c r="L782" s="718"/>
      <c r="M782" s="719">
        <v>173</v>
      </c>
      <c r="N782" s="719">
        <v>0</v>
      </c>
      <c r="O782" s="718">
        <v>0</v>
      </c>
      <c r="P782" s="720">
        <f t="shared" si="25"/>
        <v>173</v>
      </c>
      <c r="Q782" s="718"/>
      <c r="R782" s="719">
        <v>2059</v>
      </c>
      <c r="S782" s="721">
        <v>487</v>
      </c>
      <c r="T782" s="721">
        <f>2547-1</f>
        <v>2546</v>
      </c>
    </row>
    <row r="783" spans="1:20" x14ac:dyDescent="0.25">
      <c r="A783" s="715">
        <v>98431</v>
      </c>
      <c r="B783" s="716" t="s">
        <v>3313</v>
      </c>
      <c r="C783" s="717">
        <v>2.0589999999999999E-4</v>
      </c>
      <c r="D783" s="717">
        <v>2.0010000000000001E-4</v>
      </c>
      <c r="E783" s="718">
        <v>314558</v>
      </c>
      <c r="F783" s="718"/>
      <c r="G783" s="719">
        <v>18121</v>
      </c>
      <c r="H783" s="720">
        <v>76375</v>
      </c>
      <c r="I783" s="719">
        <v>44923</v>
      </c>
      <c r="J783" s="718">
        <v>1246</v>
      </c>
      <c r="K783" s="720">
        <f t="shared" si="24"/>
        <v>140665</v>
      </c>
      <c r="L783" s="718"/>
      <c r="M783" s="719">
        <v>8904</v>
      </c>
      <c r="N783" s="719">
        <v>0</v>
      </c>
      <c r="O783" s="718">
        <v>24844</v>
      </c>
      <c r="P783" s="720">
        <f t="shared" si="25"/>
        <v>33748</v>
      </c>
      <c r="Q783" s="718"/>
      <c r="R783" s="719">
        <v>106006</v>
      </c>
      <c r="S783" s="721">
        <v>-7635</v>
      </c>
      <c r="T783" s="721">
        <f>98372-1</f>
        <v>98371</v>
      </c>
    </row>
    <row r="784" spans="1:20" x14ac:dyDescent="0.25">
      <c r="A784" s="715">
        <v>98441</v>
      </c>
      <c r="B784" s="716" t="s">
        <v>3314</v>
      </c>
      <c r="C784" s="717">
        <v>8.2700000000000004E-5</v>
      </c>
      <c r="D784" s="717">
        <v>9.1000000000000003E-5</v>
      </c>
      <c r="E784" s="718">
        <v>126343</v>
      </c>
      <c r="F784" s="718"/>
      <c r="G784" s="719">
        <v>7279</v>
      </c>
      <c r="H784" s="720">
        <v>30676</v>
      </c>
      <c r="I784" s="719">
        <v>18043</v>
      </c>
      <c r="J784" s="718">
        <v>570</v>
      </c>
      <c r="K784" s="720">
        <f t="shared" si="24"/>
        <v>56568</v>
      </c>
      <c r="L784" s="718"/>
      <c r="M784" s="719">
        <v>3576</v>
      </c>
      <c r="N784" s="719">
        <v>0</v>
      </c>
      <c r="O784" s="718">
        <v>22406</v>
      </c>
      <c r="P784" s="720">
        <f t="shared" si="25"/>
        <v>25982</v>
      </c>
      <c r="Q784" s="718"/>
      <c r="R784" s="719">
        <v>42578</v>
      </c>
      <c r="S784" s="721">
        <v>-8026</v>
      </c>
      <c r="T784" s="721">
        <v>34552</v>
      </c>
    </row>
    <row r="785" spans="1:20" x14ac:dyDescent="0.25">
      <c r="A785" s="715">
        <v>98451</v>
      </c>
      <c r="B785" s="716" t="s">
        <v>3315</v>
      </c>
      <c r="C785" s="717">
        <v>5.7000000000000003E-5</v>
      </c>
      <c r="D785" s="717">
        <v>5.6199999999999997E-5</v>
      </c>
      <c r="E785" s="718">
        <v>87080</v>
      </c>
      <c r="F785" s="718"/>
      <c r="G785" s="719">
        <v>5017</v>
      </c>
      <c r="H785" s="720">
        <v>21143</v>
      </c>
      <c r="I785" s="719">
        <v>12436</v>
      </c>
      <c r="J785" s="718">
        <v>508</v>
      </c>
      <c r="K785" s="720">
        <f t="shared" si="24"/>
        <v>39104</v>
      </c>
      <c r="L785" s="718"/>
      <c r="M785" s="719">
        <v>2465</v>
      </c>
      <c r="N785" s="719">
        <v>0</v>
      </c>
      <c r="O785" s="718">
        <v>1478</v>
      </c>
      <c r="P785" s="720">
        <f t="shared" si="25"/>
        <v>3943</v>
      </c>
      <c r="Q785" s="718"/>
      <c r="R785" s="719">
        <v>29346</v>
      </c>
      <c r="S785" s="721">
        <v>-530</v>
      </c>
      <c r="T785" s="721">
        <v>28816</v>
      </c>
    </row>
    <row r="786" spans="1:20" x14ac:dyDescent="0.25">
      <c r="A786" s="715">
        <v>98481</v>
      </c>
      <c r="B786" s="716" t="s">
        <v>3316</v>
      </c>
      <c r="C786" s="717">
        <v>6.3899999999999995E-5</v>
      </c>
      <c r="D786" s="717">
        <v>6.7700000000000006E-5</v>
      </c>
      <c r="E786" s="718">
        <v>97621</v>
      </c>
      <c r="F786" s="718"/>
      <c r="G786" s="719">
        <v>5624</v>
      </c>
      <c r="H786" s="720">
        <v>23703</v>
      </c>
      <c r="I786" s="719">
        <v>13942</v>
      </c>
      <c r="J786" s="718">
        <v>1545</v>
      </c>
      <c r="K786" s="720">
        <f t="shared" si="24"/>
        <v>44814</v>
      </c>
      <c r="L786" s="718"/>
      <c r="M786" s="719">
        <v>2763</v>
      </c>
      <c r="N786" s="719">
        <v>0</v>
      </c>
      <c r="O786" s="718">
        <v>5772</v>
      </c>
      <c r="P786" s="720">
        <f t="shared" si="25"/>
        <v>8535</v>
      </c>
      <c r="Q786" s="718"/>
      <c r="R786" s="719">
        <v>32899</v>
      </c>
      <c r="S786" s="721">
        <v>-35</v>
      </c>
      <c r="T786" s="721">
        <f>32863+1</f>
        <v>32864</v>
      </c>
    </row>
    <row r="787" spans="1:20" x14ac:dyDescent="0.25">
      <c r="A787" s="715">
        <v>98501</v>
      </c>
      <c r="B787" s="716" t="s">
        <v>3317</v>
      </c>
      <c r="C787" s="717">
        <v>1.6022E-3</v>
      </c>
      <c r="D787" s="717">
        <v>1.5690999999999999E-3</v>
      </c>
      <c r="E787" s="718">
        <v>2447718</v>
      </c>
      <c r="F787" s="718"/>
      <c r="G787" s="719">
        <v>141011</v>
      </c>
      <c r="H787" s="720">
        <v>594309</v>
      </c>
      <c r="I787" s="719">
        <v>349568</v>
      </c>
      <c r="J787" s="718">
        <v>75098</v>
      </c>
      <c r="K787" s="720">
        <f t="shared" si="24"/>
        <v>1159986</v>
      </c>
      <c r="L787" s="718"/>
      <c r="M787" s="719">
        <v>69287</v>
      </c>
      <c r="N787" s="719">
        <v>0</v>
      </c>
      <c r="O787" s="718">
        <v>2932</v>
      </c>
      <c r="P787" s="720">
        <f t="shared" si="25"/>
        <v>72219</v>
      </c>
      <c r="Q787" s="718"/>
      <c r="R787" s="719">
        <v>824883</v>
      </c>
      <c r="S787" s="721">
        <v>19182</v>
      </c>
      <c r="T787" s="721">
        <v>844065</v>
      </c>
    </row>
    <row r="788" spans="1:20" x14ac:dyDescent="0.25">
      <c r="A788" s="715">
        <v>98511</v>
      </c>
      <c r="B788" s="716" t="s">
        <v>3318</v>
      </c>
      <c r="C788" s="717">
        <v>4.8000000000000001E-5</v>
      </c>
      <c r="D788" s="717">
        <v>4.5800000000000002E-5</v>
      </c>
      <c r="E788" s="718">
        <v>73331</v>
      </c>
      <c r="F788" s="718"/>
      <c r="G788" s="719">
        <v>4225</v>
      </c>
      <c r="H788" s="720">
        <v>17804</v>
      </c>
      <c r="I788" s="719">
        <v>10473</v>
      </c>
      <c r="J788" s="718">
        <v>5918</v>
      </c>
      <c r="K788" s="720">
        <f t="shared" si="24"/>
        <v>38420</v>
      </c>
      <c r="L788" s="718"/>
      <c r="M788" s="719">
        <v>2076</v>
      </c>
      <c r="N788" s="719">
        <v>0</v>
      </c>
      <c r="O788" s="718">
        <v>11919</v>
      </c>
      <c r="P788" s="720">
        <f t="shared" si="25"/>
        <v>13995</v>
      </c>
      <c r="Q788" s="718"/>
      <c r="R788" s="719">
        <v>24713</v>
      </c>
      <c r="S788" s="721">
        <v>-9378</v>
      </c>
      <c r="T788" s="721">
        <f>15334+1</f>
        <v>15335</v>
      </c>
    </row>
    <row r="789" spans="1:20" x14ac:dyDescent="0.25">
      <c r="A789" s="715">
        <v>98517</v>
      </c>
      <c r="B789" s="716" t="s">
        <v>3319</v>
      </c>
      <c r="C789" s="717">
        <v>2.3E-6</v>
      </c>
      <c r="D789" s="717">
        <v>2.6000000000000001E-6</v>
      </c>
      <c r="E789" s="718">
        <v>3514</v>
      </c>
      <c r="F789" s="718"/>
      <c r="G789" s="719">
        <v>202</v>
      </c>
      <c r="H789" s="720">
        <v>854</v>
      </c>
      <c r="I789" s="719">
        <v>502</v>
      </c>
      <c r="J789" s="718">
        <v>1623</v>
      </c>
      <c r="K789" s="720">
        <f t="shared" si="24"/>
        <v>3181</v>
      </c>
      <c r="L789" s="718"/>
      <c r="M789" s="719">
        <v>99</v>
      </c>
      <c r="N789" s="719">
        <v>0</v>
      </c>
      <c r="O789" s="718">
        <v>0</v>
      </c>
      <c r="P789" s="720">
        <f t="shared" si="25"/>
        <v>99</v>
      </c>
      <c r="Q789" s="718"/>
      <c r="R789" s="719">
        <v>1184</v>
      </c>
      <c r="S789" s="721">
        <v>589</v>
      </c>
      <c r="T789" s="721">
        <v>1773</v>
      </c>
    </row>
    <row r="790" spans="1:20" x14ac:dyDescent="0.25">
      <c r="A790" s="715">
        <v>98521</v>
      </c>
      <c r="B790" s="716" t="s">
        <v>3320</v>
      </c>
      <c r="C790" s="717">
        <v>6.6180000000000004E-4</v>
      </c>
      <c r="D790" s="717">
        <v>5.7059999999999999E-4</v>
      </c>
      <c r="E790" s="718">
        <v>1011047</v>
      </c>
      <c r="F790" s="718"/>
      <c r="G790" s="719">
        <v>58246</v>
      </c>
      <c r="H790" s="720">
        <v>245484</v>
      </c>
      <c r="I790" s="719">
        <v>144392</v>
      </c>
      <c r="J790" s="718">
        <v>34795</v>
      </c>
      <c r="K790" s="720">
        <f t="shared" si="24"/>
        <v>482917</v>
      </c>
      <c r="L790" s="718"/>
      <c r="M790" s="719">
        <v>28620</v>
      </c>
      <c r="N790" s="719">
        <v>0</v>
      </c>
      <c r="O790" s="718">
        <v>43967</v>
      </c>
      <c r="P790" s="720">
        <f t="shared" si="25"/>
        <v>72587</v>
      </c>
      <c r="Q790" s="718"/>
      <c r="R790" s="719">
        <v>340724</v>
      </c>
      <c r="S790" s="721">
        <v>-10201</v>
      </c>
      <c r="T790" s="721">
        <v>330523</v>
      </c>
    </row>
    <row r="791" spans="1:20" x14ac:dyDescent="0.25">
      <c r="A791" s="715">
        <v>98601</v>
      </c>
      <c r="B791" s="716" t="s">
        <v>3321</v>
      </c>
      <c r="C791" s="717">
        <v>3.4148E-3</v>
      </c>
      <c r="D791" s="717">
        <v>3.5065999999999999E-3</v>
      </c>
      <c r="E791" s="718">
        <v>5216869</v>
      </c>
      <c r="F791" s="718"/>
      <c r="G791" s="719">
        <v>300540</v>
      </c>
      <c r="H791" s="720">
        <v>1266662</v>
      </c>
      <c r="I791" s="719">
        <v>745041</v>
      </c>
      <c r="J791" s="718">
        <v>0</v>
      </c>
      <c r="K791" s="720">
        <f t="shared" si="24"/>
        <v>2312243</v>
      </c>
      <c r="L791" s="718"/>
      <c r="M791" s="719">
        <v>147673</v>
      </c>
      <c r="N791" s="719">
        <v>0</v>
      </c>
      <c r="O791" s="718">
        <v>216693</v>
      </c>
      <c r="P791" s="720">
        <f t="shared" si="25"/>
        <v>364366</v>
      </c>
      <c r="Q791" s="718"/>
      <c r="R791" s="719">
        <v>1758089</v>
      </c>
      <c r="S791" s="721">
        <v>-93549</v>
      </c>
      <c r="T791" s="721">
        <v>1664540</v>
      </c>
    </row>
    <row r="792" spans="1:20" x14ac:dyDescent="0.25">
      <c r="A792" s="715">
        <v>98604</v>
      </c>
      <c r="B792" s="716" t="s">
        <v>3322</v>
      </c>
      <c r="C792" s="717">
        <v>1.34E-5</v>
      </c>
      <c r="D792" s="717">
        <v>1.59E-5</v>
      </c>
      <c r="E792" s="718">
        <v>20471</v>
      </c>
      <c r="F792" s="718"/>
      <c r="G792" s="719">
        <v>1179</v>
      </c>
      <c r="H792" s="720">
        <v>4970</v>
      </c>
      <c r="I792" s="719">
        <v>2924</v>
      </c>
      <c r="J792" s="718">
        <f>5979+2967</f>
        <v>8946</v>
      </c>
      <c r="K792" s="720">
        <f t="shared" si="24"/>
        <v>18019</v>
      </c>
      <c r="L792" s="718"/>
      <c r="M792" s="719">
        <v>579</v>
      </c>
      <c r="N792" s="719">
        <v>0</v>
      </c>
      <c r="O792" s="718">
        <f>527+4977</f>
        <v>5504</v>
      </c>
      <c r="P792" s="720">
        <f t="shared" si="25"/>
        <v>6083</v>
      </c>
      <c r="Q792" s="718"/>
      <c r="R792" s="719">
        <v>6899</v>
      </c>
      <c r="S792" s="721">
        <f>1959+178</f>
        <v>2137</v>
      </c>
      <c r="T792" s="721">
        <f>8857+1+178</f>
        <v>9036</v>
      </c>
    </row>
    <row r="793" spans="1:20" x14ac:dyDescent="0.25">
      <c r="A793" s="715">
        <v>98607</v>
      </c>
      <c r="B793" s="716" t="s">
        <v>3323</v>
      </c>
      <c r="C793" s="717">
        <v>5.9000000000000003E-6</v>
      </c>
      <c r="D793" s="717">
        <v>5.9000000000000003E-6</v>
      </c>
      <c r="E793" s="718">
        <v>9014</v>
      </c>
      <c r="F793" s="718"/>
      <c r="G793" s="719">
        <v>519</v>
      </c>
      <c r="H793" s="720">
        <v>2188</v>
      </c>
      <c r="I793" s="719">
        <v>1287</v>
      </c>
      <c r="J793" s="718">
        <v>52</v>
      </c>
      <c r="K793" s="720">
        <f t="shared" si="24"/>
        <v>4046</v>
      </c>
      <c r="L793" s="718"/>
      <c r="M793" s="719">
        <v>255</v>
      </c>
      <c r="N793" s="719">
        <v>0</v>
      </c>
      <c r="O793" s="718">
        <v>1474</v>
      </c>
      <c r="P793" s="720">
        <f t="shared" si="25"/>
        <v>1729</v>
      </c>
      <c r="Q793" s="718"/>
      <c r="R793" s="719">
        <v>3038</v>
      </c>
      <c r="S793" s="721">
        <v>-861</v>
      </c>
      <c r="T793" s="721">
        <v>2177</v>
      </c>
    </row>
    <row r="794" spans="1:20" x14ac:dyDescent="0.25">
      <c r="A794" s="715">
        <v>98608</v>
      </c>
      <c r="B794" s="716" t="s">
        <v>3324</v>
      </c>
      <c r="C794" s="717">
        <v>4.9200000000000003E-5</v>
      </c>
      <c r="D794" s="717">
        <v>4.2299999999999998E-5</v>
      </c>
      <c r="E794" s="718">
        <v>75164</v>
      </c>
      <c r="F794" s="718"/>
      <c r="G794" s="719">
        <v>4330</v>
      </c>
      <c r="H794" s="720">
        <v>18250</v>
      </c>
      <c r="I794" s="719">
        <v>10734</v>
      </c>
      <c r="J794" s="718">
        <v>6529</v>
      </c>
      <c r="K794" s="720">
        <f t="shared" si="24"/>
        <v>39843</v>
      </c>
      <c r="L794" s="718"/>
      <c r="M794" s="719">
        <v>2128</v>
      </c>
      <c r="N794" s="719">
        <v>0</v>
      </c>
      <c r="O794" s="718">
        <v>5369</v>
      </c>
      <c r="P794" s="720">
        <f t="shared" si="25"/>
        <v>7497</v>
      </c>
      <c r="Q794" s="718"/>
      <c r="R794" s="719">
        <v>25330</v>
      </c>
      <c r="S794" s="721">
        <v>1217</v>
      </c>
      <c r="T794" s="721">
        <v>26547</v>
      </c>
    </row>
    <row r="795" spans="1:20" x14ac:dyDescent="0.25">
      <c r="A795" s="715">
        <v>98611</v>
      </c>
      <c r="B795" s="716" t="s">
        <v>3325</v>
      </c>
      <c r="C795" s="717">
        <v>8.6899999999999998E-5</v>
      </c>
      <c r="D795" s="717">
        <v>8.6700000000000007E-5</v>
      </c>
      <c r="E795" s="718">
        <v>132759</v>
      </c>
      <c r="F795" s="718"/>
      <c r="G795" s="719">
        <v>7648</v>
      </c>
      <c r="H795" s="720">
        <v>32235</v>
      </c>
      <c r="I795" s="719">
        <v>18960</v>
      </c>
      <c r="J795" s="718">
        <v>10690</v>
      </c>
      <c r="K795" s="720">
        <f t="shared" si="24"/>
        <v>69533</v>
      </c>
      <c r="L795" s="718"/>
      <c r="M795" s="719">
        <v>3758</v>
      </c>
      <c r="N795" s="719">
        <v>0</v>
      </c>
      <c r="O795" s="718">
        <v>9519</v>
      </c>
      <c r="P795" s="720">
        <f t="shared" si="25"/>
        <v>13277</v>
      </c>
      <c r="Q795" s="718"/>
      <c r="R795" s="719">
        <v>44740</v>
      </c>
      <c r="S795" s="721">
        <v>910</v>
      </c>
      <c r="T795" s="721">
        <f>45649+1</f>
        <v>45650</v>
      </c>
    </row>
    <row r="796" spans="1:20" x14ac:dyDescent="0.25">
      <c r="A796" s="715">
        <v>98621</v>
      </c>
      <c r="B796" s="716" t="s">
        <v>3326</v>
      </c>
      <c r="C796" s="717">
        <v>1.314E-4</v>
      </c>
      <c r="D796" s="717">
        <v>1.3239999999999999E-4</v>
      </c>
      <c r="E796" s="718">
        <v>200743</v>
      </c>
      <c r="F796" s="718"/>
      <c r="G796" s="719">
        <v>11565</v>
      </c>
      <c r="H796" s="720">
        <v>48740</v>
      </c>
      <c r="I796" s="719">
        <v>28669</v>
      </c>
      <c r="J796" s="718">
        <v>473</v>
      </c>
      <c r="K796" s="720">
        <f t="shared" si="24"/>
        <v>89447</v>
      </c>
      <c r="L796" s="718"/>
      <c r="M796" s="719">
        <v>5682</v>
      </c>
      <c r="N796" s="719">
        <v>0</v>
      </c>
      <c r="O796" s="718">
        <v>10727</v>
      </c>
      <c r="P796" s="720">
        <f t="shared" si="25"/>
        <v>16409</v>
      </c>
      <c r="Q796" s="718"/>
      <c r="R796" s="719">
        <v>67651</v>
      </c>
      <c r="S796" s="721">
        <v>-3535</v>
      </c>
      <c r="T796" s="721">
        <f>64115+1</f>
        <v>64116</v>
      </c>
    </row>
    <row r="797" spans="1:20" x14ac:dyDescent="0.25">
      <c r="A797" s="715">
        <v>98627</v>
      </c>
      <c r="B797" s="716" t="s">
        <v>3327</v>
      </c>
      <c r="C797" s="717">
        <v>8.6999999999999997E-6</v>
      </c>
      <c r="D797" s="717">
        <v>9.3999999999999998E-6</v>
      </c>
      <c r="E797" s="718">
        <v>13291</v>
      </c>
      <c r="F797" s="718"/>
      <c r="G797" s="719">
        <v>766</v>
      </c>
      <c r="H797" s="720">
        <v>3227</v>
      </c>
      <c r="I797" s="719">
        <v>1898</v>
      </c>
      <c r="J797" s="718">
        <v>316</v>
      </c>
      <c r="K797" s="720">
        <f t="shared" si="24"/>
        <v>6207</v>
      </c>
      <c r="L797" s="718"/>
      <c r="M797" s="719">
        <v>376</v>
      </c>
      <c r="N797" s="719">
        <v>0</v>
      </c>
      <c r="O797" s="718">
        <v>1098</v>
      </c>
      <c r="P797" s="720">
        <f t="shared" si="25"/>
        <v>1474</v>
      </c>
      <c r="Q797" s="718"/>
      <c r="R797" s="719">
        <v>4479</v>
      </c>
      <c r="S797" s="721">
        <v>-220</v>
      </c>
      <c r="T797" s="721">
        <v>4259</v>
      </c>
    </row>
    <row r="798" spans="1:20" x14ac:dyDescent="0.25">
      <c r="A798" s="715">
        <v>98631</v>
      </c>
      <c r="B798" s="716" t="s">
        <v>3328</v>
      </c>
      <c r="C798" s="717">
        <v>1.0051999999999999E-3</v>
      </c>
      <c r="D798" s="717">
        <v>1.0415000000000001E-3</v>
      </c>
      <c r="E798" s="718">
        <v>1535667</v>
      </c>
      <c r="F798" s="718"/>
      <c r="G798" s="719">
        <v>88469</v>
      </c>
      <c r="H798" s="720">
        <v>372862</v>
      </c>
      <c r="I798" s="719">
        <v>219315</v>
      </c>
      <c r="J798" s="718">
        <v>0</v>
      </c>
      <c r="K798" s="720">
        <f t="shared" si="24"/>
        <v>680646</v>
      </c>
      <c r="L798" s="718"/>
      <c r="M798" s="719">
        <v>43470</v>
      </c>
      <c r="N798" s="719">
        <v>0</v>
      </c>
      <c r="O798" s="718">
        <v>102113</v>
      </c>
      <c r="P798" s="720">
        <f t="shared" si="25"/>
        <v>145583</v>
      </c>
      <c r="Q798" s="718"/>
      <c r="R798" s="719">
        <v>517521</v>
      </c>
      <c r="S798" s="721">
        <v>-41744</v>
      </c>
      <c r="T798" s="721">
        <v>475777</v>
      </c>
    </row>
    <row r="799" spans="1:20" x14ac:dyDescent="0.25">
      <c r="A799" s="715">
        <v>98637</v>
      </c>
      <c r="B799" s="716" t="s">
        <v>3329</v>
      </c>
      <c r="C799" s="717">
        <v>2.0800000000000001E-5</v>
      </c>
      <c r="D799" s="717">
        <v>2.2200000000000001E-5</v>
      </c>
      <c r="E799" s="718">
        <v>31777</v>
      </c>
      <c r="F799" s="718"/>
      <c r="G799" s="719">
        <v>1831</v>
      </c>
      <c r="H799" s="720">
        <v>7715</v>
      </c>
      <c r="I799" s="719">
        <v>4538</v>
      </c>
      <c r="J799" s="718">
        <v>8386</v>
      </c>
      <c r="K799" s="720">
        <f t="shared" si="24"/>
        <v>22470</v>
      </c>
      <c r="L799" s="718"/>
      <c r="M799" s="719">
        <v>899</v>
      </c>
      <c r="N799" s="719">
        <v>0</v>
      </c>
      <c r="O799" s="718">
        <v>0</v>
      </c>
      <c r="P799" s="720">
        <f t="shared" si="25"/>
        <v>899</v>
      </c>
      <c r="Q799" s="718"/>
      <c r="R799" s="719">
        <v>10709</v>
      </c>
      <c r="S799" s="721">
        <v>3206</v>
      </c>
      <c r="T799" s="721">
        <f>13914+1</f>
        <v>13915</v>
      </c>
    </row>
    <row r="800" spans="1:20" x14ac:dyDescent="0.25">
      <c r="A800" s="715">
        <v>98641</v>
      </c>
      <c r="B800" s="716" t="s">
        <v>3330</v>
      </c>
      <c r="C800" s="717">
        <v>2.965E-4</v>
      </c>
      <c r="D800" s="717">
        <v>3.0019999999999998E-4</v>
      </c>
      <c r="E800" s="718">
        <v>452970</v>
      </c>
      <c r="F800" s="718"/>
      <c r="G800" s="719">
        <v>26095</v>
      </c>
      <c r="H800" s="720">
        <v>109981</v>
      </c>
      <c r="I800" s="719">
        <v>64690</v>
      </c>
      <c r="J800" s="718">
        <v>3407</v>
      </c>
      <c r="K800" s="720">
        <f t="shared" si="24"/>
        <v>204173</v>
      </c>
      <c r="L800" s="718"/>
      <c r="M800" s="719">
        <v>12822</v>
      </c>
      <c r="N800" s="719">
        <v>0</v>
      </c>
      <c r="O800" s="718">
        <v>7840</v>
      </c>
      <c r="P800" s="720">
        <f t="shared" si="25"/>
        <v>20662</v>
      </c>
      <c r="Q800" s="718"/>
      <c r="R800" s="719">
        <v>152651</v>
      </c>
      <c r="S800" s="721">
        <v>-183</v>
      </c>
      <c r="T800" s="721">
        <v>152468</v>
      </c>
    </row>
    <row r="801" spans="1:20" x14ac:dyDescent="0.25">
      <c r="A801" s="715">
        <v>98701</v>
      </c>
      <c r="B801" s="716" t="s">
        <v>3332</v>
      </c>
      <c r="C801" s="717">
        <v>1.1333999999999999E-3</v>
      </c>
      <c r="D801" s="717">
        <v>1.1793000000000001E-3</v>
      </c>
      <c r="E801" s="718">
        <v>1731521</v>
      </c>
      <c r="F801" s="718"/>
      <c r="G801" s="719">
        <v>99752</v>
      </c>
      <c r="H801" s="720">
        <v>420415</v>
      </c>
      <c r="I801" s="719">
        <v>247285</v>
      </c>
      <c r="J801" s="718">
        <v>3431</v>
      </c>
      <c r="K801" s="720">
        <f t="shared" si="24"/>
        <v>770883</v>
      </c>
      <c r="L801" s="718"/>
      <c r="M801" s="719">
        <v>49014</v>
      </c>
      <c r="N801" s="719">
        <v>0</v>
      </c>
      <c r="O801" s="718">
        <v>66380</v>
      </c>
      <c r="P801" s="720">
        <f t="shared" si="25"/>
        <v>115394</v>
      </c>
      <c r="Q801" s="718"/>
      <c r="R801" s="719">
        <v>583524</v>
      </c>
      <c r="S801" s="721">
        <v>-25976</v>
      </c>
      <c r="T801" s="721">
        <v>557548</v>
      </c>
    </row>
    <row r="802" spans="1:20" x14ac:dyDescent="0.25">
      <c r="A802" s="715">
        <v>98711</v>
      </c>
      <c r="B802" s="716" t="s">
        <v>3333</v>
      </c>
      <c r="C802" s="717">
        <v>1.8369999999999999E-4</v>
      </c>
      <c r="D802" s="717">
        <v>1.8039999999999999E-4</v>
      </c>
      <c r="E802" s="718">
        <v>280643</v>
      </c>
      <c r="F802" s="718"/>
      <c r="G802" s="719">
        <v>16168</v>
      </c>
      <c r="H802" s="720">
        <v>68140</v>
      </c>
      <c r="I802" s="719">
        <v>40080</v>
      </c>
      <c r="J802" s="718">
        <v>1238</v>
      </c>
      <c r="K802" s="720">
        <f t="shared" si="24"/>
        <v>125626</v>
      </c>
      <c r="L802" s="718"/>
      <c r="M802" s="719">
        <v>7944</v>
      </c>
      <c r="N802" s="719">
        <v>0</v>
      </c>
      <c r="O802" s="718">
        <v>16374</v>
      </c>
      <c r="P802" s="720">
        <f t="shared" si="25"/>
        <v>24318</v>
      </c>
      <c r="Q802" s="718"/>
      <c r="R802" s="719">
        <v>94577</v>
      </c>
      <c r="S802" s="721">
        <v>-4053</v>
      </c>
      <c r="T802" s="721">
        <v>90524</v>
      </c>
    </row>
    <row r="803" spans="1:20" x14ac:dyDescent="0.25">
      <c r="A803" s="715">
        <v>98717</v>
      </c>
      <c r="B803" s="716" t="s">
        <v>3334</v>
      </c>
      <c r="C803" s="717">
        <v>2.1100000000000001E-5</v>
      </c>
      <c r="D803" s="717">
        <v>1.8600000000000001E-5</v>
      </c>
      <c r="E803" s="718">
        <v>32235</v>
      </c>
      <c r="F803" s="718"/>
      <c r="G803" s="719">
        <v>1857</v>
      </c>
      <c r="H803" s="720">
        <v>7827</v>
      </c>
      <c r="I803" s="719">
        <v>4604</v>
      </c>
      <c r="J803" s="718">
        <v>1439</v>
      </c>
      <c r="K803" s="720">
        <f t="shared" si="24"/>
        <v>15727</v>
      </c>
      <c r="L803" s="718"/>
      <c r="M803" s="719">
        <v>912</v>
      </c>
      <c r="N803" s="719">
        <v>0</v>
      </c>
      <c r="O803" s="718">
        <v>534</v>
      </c>
      <c r="P803" s="720">
        <f t="shared" si="25"/>
        <v>1446</v>
      </c>
      <c r="Q803" s="718"/>
      <c r="R803" s="719">
        <v>10863</v>
      </c>
      <c r="S803" s="721">
        <v>247</v>
      </c>
      <c r="T803" s="721">
        <v>11110</v>
      </c>
    </row>
    <row r="804" spans="1:20" x14ac:dyDescent="0.25">
      <c r="A804" s="715">
        <v>98801</v>
      </c>
      <c r="B804" s="716" t="s">
        <v>3335</v>
      </c>
      <c r="C804" s="717">
        <v>2.2859E-3</v>
      </c>
      <c r="D804" s="717">
        <v>2.1771999999999998E-3</v>
      </c>
      <c r="E804" s="718">
        <v>3492222</v>
      </c>
      <c r="F804" s="718"/>
      <c r="G804" s="719">
        <v>201184</v>
      </c>
      <c r="H804" s="720">
        <v>847916</v>
      </c>
      <c r="I804" s="719">
        <v>498738</v>
      </c>
      <c r="J804" s="718">
        <v>146068</v>
      </c>
      <c r="K804" s="720">
        <f t="shared" si="24"/>
        <v>1693906</v>
      </c>
      <c r="L804" s="718"/>
      <c r="M804" s="719">
        <v>98854</v>
      </c>
      <c r="N804" s="719">
        <v>0</v>
      </c>
      <c r="O804" s="718">
        <v>0</v>
      </c>
      <c r="P804" s="720">
        <f t="shared" si="25"/>
        <v>98854</v>
      </c>
      <c r="Q804" s="718"/>
      <c r="R804" s="719">
        <v>1176882</v>
      </c>
      <c r="S804" s="721">
        <v>55567</v>
      </c>
      <c r="T804" s="721">
        <v>1232449</v>
      </c>
    </row>
    <row r="805" spans="1:20" x14ac:dyDescent="0.25">
      <c r="A805" s="715">
        <v>98811</v>
      </c>
      <c r="B805" s="716" t="s">
        <v>3336</v>
      </c>
      <c r="C805" s="717">
        <v>6.5160000000000001E-4</v>
      </c>
      <c r="D805" s="717">
        <v>7.1120000000000005E-4</v>
      </c>
      <c r="E805" s="718">
        <v>995464</v>
      </c>
      <c r="F805" s="718"/>
      <c r="G805" s="719">
        <v>57348</v>
      </c>
      <c r="H805" s="720">
        <v>241700</v>
      </c>
      <c r="I805" s="719">
        <v>142166</v>
      </c>
      <c r="J805" s="718">
        <v>16975</v>
      </c>
      <c r="K805" s="720">
        <f t="shared" si="24"/>
        <v>458189</v>
      </c>
      <c r="L805" s="718"/>
      <c r="M805" s="719">
        <v>28178</v>
      </c>
      <c r="N805" s="719">
        <v>0</v>
      </c>
      <c r="O805" s="718">
        <v>46894</v>
      </c>
      <c r="P805" s="720">
        <f t="shared" si="25"/>
        <v>75072</v>
      </c>
      <c r="Q805" s="718"/>
      <c r="R805" s="719">
        <v>335472</v>
      </c>
      <c r="S805" s="721">
        <v>-312</v>
      </c>
      <c r="T805" s="721">
        <f>335161-1</f>
        <v>335160</v>
      </c>
    </row>
    <row r="806" spans="1:20" x14ac:dyDescent="0.25">
      <c r="A806" s="715">
        <v>98817</v>
      </c>
      <c r="B806" s="716" t="s">
        <v>3337</v>
      </c>
      <c r="C806" s="717">
        <v>2.5199999999999999E-5</v>
      </c>
      <c r="D806" s="717">
        <v>2.34E-5</v>
      </c>
      <c r="E806" s="718">
        <v>38499</v>
      </c>
      <c r="F806" s="718"/>
      <c r="G806" s="719">
        <v>2218</v>
      </c>
      <c r="H806" s="720">
        <v>9347</v>
      </c>
      <c r="I806" s="719">
        <v>5498</v>
      </c>
      <c r="J806" s="718">
        <v>3862</v>
      </c>
      <c r="K806" s="720">
        <f t="shared" si="24"/>
        <v>20925</v>
      </c>
      <c r="L806" s="718"/>
      <c r="M806" s="719">
        <v>1090</v>
      </c>
      <c r="N806" s="719">
        <v>0</v>
      </c>
      <c r="O806" s="718">
        <v>2179</v>
      </c>
      <c r="P806" s="720">
        <f t="shared" si="25"/>
        <v>3269</v>
      </c>
      <c r="Q806" s="718"/>
      <c r="R806" s="719">
        <v>12974</v>
      </c>
      <c r="S806" s="721">
        <v>-1216</v>
      </c>
      <c r="T806" s="721">
        <v>11758</v>
      </c>
    </row>
    <row r="807" spans="1:20" x14ac:dyDescent="0.25">
      <c r="A807" s="715">
        <v>98901</v>
      </c>
      <c r="B807" s="716" t="s">
        <v>3338</v>
      </c>
      <c r="C807" s="717">
        <v>3.5050000000000001E-4</v>
      </c>
      <c r="D807" s="717">
        <v>3.392E-4</v>
      </c>
      <c r="E807" s="718">
        <v>535467</v>
      </c>
      <c r="F807" s="718"/>
      <c r="G807" s="719">
        <v>30848</v>
      </c>
      <c r="H807" s="720">
        <v>130012</v>
      </c>
      <c r="I807" s="719">
        <v>76472</v>
      </c>
      <c r="J807" s="718">
        <v>7505</v>
      </c>
      <c r="K807" s="720">
        <f t="shared" si="24"/>
        <v>244837</v>
      </c>
      <c r="L807" s="718"/>
      <c r="M807" s="719">
        <v>15157</v>
      </c>
      <c r="N807" s="719">
        <v>0</v>
      </c>
      <c r="O807" s="718">
        <v>2530</v>
      </c>
      <c r="P807" s="720">
        <f t="shared" si="25"/>
        <v>17687</v>
      </c>
      <c r="Q807" s="718"/>
      <c r="R807" s="719">
        <v>180453</v>
      </c>
      <c r="S807" s="721">
        <v>975</v>
      </c>
      <c r="T807" s="721">
        <v>181428</v>
      </c>
    </row>
    <row r="808" spans="1:20" x14ac:dyDescent="0.25">
      <c r="A808" s="715">
        <v>98904</v>
      </c>
      <c r="B808" s="716" t="s">
        <v>3339</v>
      </c>
      <c r="C808" s="717">
        <v>2.7999999999999999E-6</v>
      </c>
      <c r="D808" s="717">
        <v>5.2000000000000002E-6</v>
      </c>
      <c r="E808" s="718">
        <v>4278</v>
      </c>
      <c r="F808" s="718"/>
      <c r="G808" s="719">
        <v>246</v>
      </c>
      <c r="H808" s="720">
        <v>1039</v>
      </c>
      <c r="I808" s="719">
        <v>611</v>
      </c>
      <c r="J808" s="718">
        <v>365</v>
      </c>
      <c r="K808" s="720">
        <f t="shared" si="24"/>
        <v>2261</v>
      </c>
      <c r="L808" s="718"/>
      <c r="M808" s="719">
        <v>121</v>
      </c>
      <c r="N808" s="719">
        <v>0</v>
      </c>
      <c r="O808" s="718">
        <v>1887</v>
      </c>
      <c r="P808" s="720">
        <f t="shared" si="25"/>
        <v>2008</v>
      </c>
      <c r="Q808" s="718"/>
      <c r="R808" s="719">
        <v>1442</v>
      </c>
      <c r="S808" s="721">
        <v>-315</v>
      </c>
      <c r="T808" s="721">
        <f>1126+1</f>
        <v>1127</v>
      </c>
    </row>
    <row r="809" spans="1:20" x14ac:dyDescent="0.25">
      <c r="A809" s="715">
        <v>98911</v>
      </c>
      <c r="B809" s="716" t="s">
        <v>3340</v>
      </c>
      <c r="C809" s="717">
        <v>2.7900000000000001E-5</v>
      </c>
      <c r="D809" s="717">
        <v>2.8600000000000001E-5</v>
      </c>
      <c r="E809" s="718">
        <v>42623</v>
      </c>
      <c r="F809" s="718"/>
      <c r="G809" s="719">
        <v>2456</v>
      </c>
      <c r="H809" s="720">
        <v>10349</v>
      </c>
      <c r="I809" s="719">
        <v>6087</v>
      </c>
      <c r="J809" s="718">
        <v>12780</v>
      </c>
      <c r="K809" s="720">
        <f t="shared" si="24"/>
        <v>31672</v>
      </c>
      <c r="L809" s="718"/>
      <c r="M809" s="719">
        <v>1207</v>
      </c>
      <c r="N809" s="719">
        <v>0</v>
      </c>
      <c r="O809" s="718">
        <v>0</v>
      </c>
      <c r="P809" s="720">
        <f t="shared" si="25"/>
        <v>1207</v>
      </c>
      <c r="Q809" s="718"/>
      <c r="R809" s="719">
        <v>14364</v>
      </c>
      <c r="S809" s="721">
        <v>5565</v>
      </c>
      <c r="T809" s="721">
        <v>19929</v>
      </c>
    </row>
    <row r="810" spans="1:20" x14ac:dyDescent="0.25">
      <c r="A810" s="715">
        <v>99001</v>
      </c>
      <c r="B810" s="716" t="s">
        <v>3341</v>
      </c>
      <c r="C810" s="717">
        <v>8.0949000000000004E-3</v>
      </c>
      <c r="D810" s="717">
        <v>7.8098999999999998E-3</v>
      </c>
      <c r="E810" s="718">
        <v>12366765</v>
      </c>
      <c r="F810" s="718"/>
      <c r="G810" s="719">
        <v>712440</v>
      </c>
      <c r="H810" s="720">
        <v>3002666</v>
      </c>
      <c r="I810" s="719">
        <v>1766145</v>
      </c>
      <c r="J810" s="718">
        <v>355732</v>
      </c>
      <c r="K810" s="720">
        <f t="shared" si="24"/>
        <v>5836983</v>
      </c>
      <c r="L810" s="718"/>
      <c r="M810" s="719">
        <v>350064</v>
      </c>
      <c r="N810" s="719">
        <v>0</v>
      </c>
      <c r="O810" s="718">
        <v>0</v>
      </c>
      <c r="P810" s="720">
        <f t="shared" si="25"/>
        <v>350064</v>
      </c>
      <c r="Q810" s="718"/>
      <c r="R810" s="719">
        <v>4167611</v>
      </c>
      <c r="S810" s="721">
        <v>186049</v>
      </c>
      <c r="T810" s="721">
        <v>4353660</v>
      </c>
    </row>
    <row r="811" spans="1:20" x14ac:dyDescent="0.25">
      <c r="A811" s="715">
        <v>99011</v>
      </c>
      <c r="B811" s="716" t="s">
        <v>3342</v>
      </c>
      <c r="C811" s="717">
        <v>3.8736999999999999E-3</v>
      </c>
      <c r="D811" s="717">
        <v>3.9039000000000001E-3</v>
      </c>
      <c r="E811" s="718">
        <v>5917941</v>
      </c>
      <c r="F811" s="718"/>
      <c r="G811" s="719">
        <v>340928</v>
      </c>
      <c r="H811" s="720">
        <v>1436883</v>
      </c>
      <c r="I811" s="719">
        <v>845164</v>
      </c>
      <c r="J811" s="718">
        <v>0</v>
      </c>
      <c r="K811" s="720">
        <f t="shared" si="24"/>
        <v>2622975</v>
      </c>
      <c r="L811" s="718"/>
      <c r="M811" s="719">
        <v>167518</v>
      </c>
      <c r="N811" s="719">
        <v>0</v>
      </c>
      <c r="O811" s="718">
        <v>396289</v>
      </c>
      <c r="P811" s="720">
        <f t="shared" si="25"/>
        <v>563807</v>
      </c>
      <c r="Q811" s="718"/>
      <c r="R811" s="719">
        <v>1994351</v>
      </c>
      <c r="S811" s="721">
        <v>-212974</v>
      </c>
      <c r="T811" s="721">
        <v>1781377</v>
      </c>
    </row>
    <row r="812" spans="1:20" x14ac:dyDescent="0.25">
      <c r="A812" s="715">
        <v>99013</v>
      </c>
      <c r="B812" s="716" t="s">
        <v>3343</v>
      </c>
      <c r="C812" s="717">
        <v>5.5999999999999999E-5</v>
      </c>
      <c r="D812" s="717">
        <v>6.02E-5</v>
      </c>
      <c r="E812" s="718">
        <v>85552</v>
      </c>
      <c r="F812" s="718"/>
      <c r="G812" s="719">
        <v>4929</v>
      </c>
      <c r="H812" s="720">
        <v>20773</v>
      </c>
      <c r="I812" s="719">
        <v>12218</v>
      </c>
      <c r="J812" s="718">
        <v>10</v>
      </c>
      <c r="K812" s="720">
        <f t="shared" si="24"/>
        <v>37930</v>
      </c>
      <c r="L812" s="718"/>
      <c r="M812" s="719">
        <v>2422</v>
      </c>
      <c r="N812" s="719">
        <v>0</v>
      </c>
      <c r="O812" s="718">
        <v>8046</v>
      </c>
      <c r="P812" s="720">
        <f t="shared" si="25"/>
        <v>10468</v>
      </c>
      <c r="Q812" s="718"/>
      <c r="R812" s="719">
        <v>28831</v>
      </c>
      <c r="S812" s="721">
        <v>-2790</v>
      </c>
      <c r="T812" s="721">
        <f>26042-1</f>
        <v>26041</v>
      </c>
    </row>
    <row r="813" spans="1:20" x14ac:dyDescent="0.25">
      <c r="A813" s="715">
        <v>99014</v>
      </c>
      <c r="B813" s="716" t="s">
        <v>3344</v>
      </c>
      <c r="C813" s="717">
        <v>2.0100000000000001E-5</v>
      </c>
      <c r="D813" s="717">
        <v>2.4199999999999999E-5</v>
      </c>
      <c r="E813" s="718">
        <v>30707</v>
      </c>
      <c r="F813" s="718"/>
      <c r="G813" s="719">
        <v>1769</v>
      </c>
      <c r="H813" s="720">
        <v>7456</v>
      </c>
      <c r="I813" s="719">
        <v>4385</v>
      </c>
      <c r="J813" s="718">
        <v>12703</v>
      </c>
      <c r="K813" s="720">
        <f t="shared" si="24"/>
        <v>26313</v>
      </c>
      <c r="L813" s="718"/>
      <c r="M813" s="719">
        <v>869</v>
      </c>
      <c r="N813" s="719">
        <v>0</v>
      </c>
      <c r="O813" s="718">
        <v>0</v>
      </c>
      <c r="P813" s="720">
        <f t="shared" si="25"/>
        <v>869</v>
      </c>
      <c r="Q813" s="718"/>
      <c r="R813" s="719">
        <v>10348</v>
      </c>
      <c r="S813" s="721">
        <v>4335</v>
      </c>
      <c r="T813" s="721">
        <v>14683</v>
      </c>
    </row>
    <row r="814" spans="1:20" x14ac:dyDescent="0.25">
      <c r="A814" s="715">
        <v>99017</v>
      </c>
      <c r="B814" s="716" t="s">
        <v>3345</v>
      </c>
      <c r="C814" s="717">
        <v>5.13E-5</v>
      </c>
      <c r="D814" s="717">
        <v>4.6999999999999997E-5</v>
      </c>
      <c r="E814" s="718">
        <v>78372</v>
      </c>
      <c r="F814" s="718"/>
      <c r="G814" s="719">
        <v>4515</v>
      </c>
      <c r="H814" s="720">
        <v>19029</v>
      </c>
      <c r="I814" s="719">
        <v>11193</v>
      </c>
      <c r="J814" s="718">
        <v>8072</v>
      </c>
      <c r="K814" s="720">
        <f t="shared" si="24"/>
        <v>42809</v>
      </c>
      <c r="L814" s="718"/>
      <c r="M814" s="719">
        <v>2218</v>
      </c>
      <c r="N814" s="719">
        <v>0</v>
      </c>
      <c r="O814" s="718">
        <v>3306</v>
      </c>
      <c r="P814" s="720">
        <f t="shared" si="25"/>
        <v>5524</v>
      </c>
      <c r="Q814" s="718"/>
      <c r="R814" s="719">
        <v>26411</v>
      </c>
      <c r="S814" s="721">
        <v>-629</v>
      </c>
      <c r="T814" s="721">
        <v>25782</v>
      </c>
    </row>
    <row r="815" spans="1:20" x14ac:dyDescent="0.25">
      <c r="A815" s="715">
        <v>99021</v>
      </c>
      <c r="B815" s="716" t="s">
        <v>3346</v>
      </c>
      <c r="C815" s="717">
        <v>1.5249999999999999E-4</v>
      </c>
      <c r="D815" s="717">
        <v>1.3420000000000001E-4</v>
      </c>
      <c r="E815" s="718">
        <v>232978</v>
      </c>
      <c r="F815" s="718"/>
      <c r="G815" s="719">
        <v>13422</v>
      </c>
      <c r="H815" s="720">
        <v>56568</v>
      </c>
      <c r="I815" s="719">
        <v>33272</v>
      </c>
      <c r="J815" s="718">
        <v>11565</v>
      </c>
      <c r="K815" s="720">
        <f t="shared" si="24"/>
        <v>114827</v>
      </c>
      <c r="L815" s="718"/>
      <c r="M815" s="719">
        <v>6595</v>
      </c>
      <c r="N815" s="719">
        <v>0</v>
      </c>
      <c r="O815" s="718">
        <v>728</v>
      </c>
      <c r="P815" s="720">
        <f t="shared" si="25"/>
        <v>7323</v>
      </c>
      <c r="Q815" s="718"/>
      <c r="R815" s="719">
        <v>78514</v>
      </c>
      <c r="S815" s="721">
        <v>3978</v>
      </c>
      <c r="T815" s="721">
        <f>82491+1</f>
        <v>82492</v>
      </c>
    </row>
    <row r="816" spans="1:20" x14ac:dyDescent="0.25">
      <c r="A816" s="715">
        <v>99022</v>
      </c>
      <c r="B816" s="716" t="s">
        <v>1945</v>
      </c>
      <c r="C816" s="717">
        <v>1.08E-5</v>
      </c>
      <c r="D816" s="717">
        <v>1.1800000000000001E-5</v>
      </c>
      <c r="E816" s="718">
        <v>16499</v>
      </c>
      <c r="F816" s="718"/>
      <c r="G816" s="719">
        <v>951</v>
      </c>
      <c r="H816" s="720">
        <v>4006</v>
      </c>
      <c r="I816" s="719">
        <v>2356</v>
      </c>
      <c r="J816" s="718">
        <v>8944</v>
      </c>
      <c r="K816" s="720">
        <f t="shared" si="24"/>
        <v>16257</v>
      </c>
      <c r="L816" s="718"/>
      <c r="M816" s="719">
        <v>467</v>
      </c>
      <c r="N816" s="719">
        <v>0</v>
      </c>
      <c r="O816" s="718">
        <v>132</v>
      </c>
      <c r="P816" s="720">
        <f t="shared" si="25"/>
        <v>599</v>
      </c>
      <c r="Q816" s="718"/>
      <c r="R816" s="719">
        <v>5560</v>
      </c>
      <c r="S816" s="721">
        <v>2896</v>
      </c>
      <c r="T816" s="721">
        <v>8456</v>
      </c>
    </row>
    <row r="817" spans="1:20" x14ac:dyDescent="0.25">
      <c r="A817" s="715">
        <v>99031</v>
      </c>
      <c r="B817" s="716" t="s">
        <v>3347</v>
      </c>
      <c r="C817" s="717">
        <v>1.518E-4</v>
      </c>
      <c r="D817" s="717">
        <v>1.5970000000000001E-4</v>
      </c>
      <c r="E817" s="718">
        <v>231908</v>
      </c>
      <c r="F817" s="718"/>
      <c r="G817" s="719">
        <v>13360</v>
      </c>
      <c r="H817" s="720">
        <v>56308</v>
      </c>
      <c r="I817" s="719">
        <v>33120</v>
      </c>
      <c r="J817" s="718">
        <v>2845</v>
      </c>
      <c r="K817" s="720">
        <f t="shared" si="24"/>
        <v>105633</v>
      </c>
      <c r="L817" s="718"/>
      <c r="M817" s="719">
        <v>6565</v>
      </c>
      <c r="N817" s="719">
        <v>0</v>
      </c>
      <c r="O817" s="718">
        <v>23907</v>
      </c>
      <c r="P817" s="720">
        <f t="shared" si="25"/>
        <v>30472</v>
      </c>
      <c r="Q817" s="718"/>
      <c r="R817" s="719">
        <v>78153</v>
      </c>
      <c r="S817" s="721">
        <v>-11727</v>
      </c>
      <c r="T817" s="721">
        <v>66426</v>
      </c>
    </row>
    <row r="818" spans="1:20" x14ac:dyDescent="0.25">
      <c r="A818" s="715">
        <v>99041</v>
      </c>
      <c r="B818" s="716" t="s">
        <v>3348</v>
      </c>
      <c r="C818" s="717">
        <v>6.3500000000000004E-4</v>
      </c>
      <c r="D818" s="717">
        <v>5.6289999999999997E-4</v>
      </c>
      <c r="E818" s="718">
        <v>970104</v>
      </c>
      <c r="F818" s="718"/>
      <c r="G818" s="719">
        <v>55887</v>
      </c>
      <c r="H818" s="720">
        <v>235543</v>
      </c>
      <c r="I818" s="719">
        <v>138544</v>
      </c>
      <c r="J818" s="718">
        <v>52920</v>
      </c>
      <c r="K818" s="720">
        <f t="shared" si="24"/>
        <v>482894</v>
      </c>
      <c r="L818" s="718"/>
      <c r="M818" s="719">
        <v>27461</v>
      </c>
      <c r="N818" s="719">
        <v>0</v>
      </c>
      <c r="O818" s="718">
        <v>0</v>
      </c>
      <c r="P818" s="720">
        <f t="shared" si="25"/>
        <v>27461</v>
      </c>
      <c r="Q818" s="718"/>
      <c r="R818" s="719">
        <v>326926</v>
      </c>
      <c r="S818" s="721">
        <v>28997</v>
      </c>
      <c r="T818" s="721">
        <v>355923</v>
      </c>
    </row>
    <row r="819" spans="1:20" x14ac:dyDescent="0.25">
      <c r="A819" s="715">
        <v>99047</v>
      </c>
      <c r="B819" s="716" t="s">
        <v>3349</v>
      </c>
      <c r="C819" s="717">
        <v>1.42E-5</v>
      </c>
      <c r="D819" s="717">
        <v>9.2E-6</v>
      </c>
      <c r="E819" s="718">
        <v>21694</v>
      </c>
      <c r="F819" s="718"/>
      <c r="G819" s="719">
        <v>1250</v>
      </c>
      <c r="H819" s="720">
        <v>5267</v>
      </c>
      <c r="I819" s="719">
        <v>3098</v>
      </c>
      <c r="J819" s="718">
        <v>6410</v>
      </c>
      <c r="K819" s="720">
        <f t="shared" si="24"/>
        <v>16025</v>
      </c>
      <c r="L819" s="718"/>
      <c r="M819" s="719">
        <v>614</v>
      </c>
      <c r="N819" s="719">
        <v>0</v>
      </c>
      <c r="O819" s="718">
        <v>0</v>
      </c>
      <c r="P819" s="720">
        <f t="shared" si="25"/>
        <v>614</v>
      </c>
      <c r="Q819" s="718"/>
      <c r="R819" s="719">
        <v>7311</v>
      </c>
      <c r="S819" s="721">
        <v>2345</v>
      </c>
      <c r="T819" s="721">
        <f>9655+1</f>
        <v>9656</v>
      </c>
    </row>
    <row r="820" spans="1:20" x14ac:dyDescent="0.25">
      <c r="A820" s="715">
        <v>99051</v>
      </c>
      <c r="B820" s="716" t="s">
        <v>3350</v>
      </c>
      <c r="C820" s="717">
        <v>3.5359999999999998E-4</v>
      </c>
      <c r="D820" s="717">
        <v>3.3349999999999997E-4</v>
      </c>
      <c r="E820" s="718">
        <v>540203</v>
      </c>
      <c r="F820" s="718"/>
      <c r="G820" s="719">
        <v>31121</v>
      </c>
      <c r="H820" s="720">
        <v>131162</v>
      </c>
      <c r="I820" s="719">
        <v>77148</v>
      </c>
      <c r="J820" s="718">
        <v>11433</v>
      </c>
      <c r="K820" s="720">
        <f t="shared" si="24"/>
        <v>250864</v>
      </c>
      <c r="L820" s="718"/>
      <c r="M820" s="719">
        <v>15291</v>
      </c>
      <c r="N820" s="719">
        <v>0</v>
      </c>
      <c r="O820" s="718">
        <v>2536</v>
      </c>
      <c r="P820" s="720">
        <f t="shared" si="25"/>
        <v>17827</v>
      </c>
      <c r="Q820" s="718"/>
      <c r="R820" s="719">
        <v>182049</v>
      </c>
      <c r="S820" s="721">
        <v>4776</v>
      </c>
      <c r="T820" s="721">
        <f>186824+1</f>
        <v>186825</v>
      </c>
    </row>
    <row r="821" spans="1:20" x14ac:dyDescent="0.25">
      <c r="A821" s="715">
        <v>99061</v>
      </c>
      <c r="B821" s="716" t="s">
        <v>3351</v>
      </c>
      <c r="C821" s="717">
        <v>8.1000000000000004E-6</v>
      </c>
      <c r="D821" s="717">
        <v>8.3999999999999992E-6</v>
      </c>
      <c r="E821" s="718">
        <v>12375</v>
      </c>
      <c r="F821" s="718"/>
      <c r="G821" s="719">
        <v>713</v>
      </c>
      <c r="H821" s="720">
        <v>3005</v>
      </c>
      <c r="I821" s="719">
        <v>1767</v>
      </c>
      <c r="J821" s="718">
        <v>7276</v>
      </c>
      <c r="K821" s="720">
        <f t="shared" si="24"/>
        <v>12761</v>
      </c>
      <c r="L821" s="718"/>
      <c r="M821" s="719">
        <v>350</v>
      </c>
      <c r="N821" s="719">
        <v>0</v>
      </c>
      <c r="O821" s="718">
        <v>0</v>
      </c>
      <c r="P821" s="720">
        <f t="shared" si="25"/>
        <v>350</v>
      </c>
      <c r="Q821" s="718"/>
      <c r="R821" s="719">
        <v>4170</v>
      </c>
      <c r="S821" s="721">
        <v>2674</v>
      </c>
      <c r="T821" s="721">
        <v>6844</v>
      </c>
    </row>
    <row r="822" spans="1:20" x14ac:dyDescent="0.25">
      <c r="A822" s="715">
        <v>99071</v>
      </c>
      <c r="B822" s="716" t="s">
        <v>3352</v>
      </c>
      <c r="C822" s="717">
        <v>3.04E-5</v>
      </c>
      <c r="D822" s="717">
        <v>3.0499999999999999E-5</v>
      </c>
      <c r="E822" s="718">
        <v>46443</v>
      </c>
      <c r="F822" s="718"/>
      <c r="G822" s="719">
        <v>2676</v>
      </c>
      <c r="H822" s="720">
        <v>11277</v>
      </c>
      <c r="I822" s="719">
        <v>6633</v>
      </c>
      <c r="J822" s="718">
        <v>818</v>
      </c>
      <c r="K822" s="720">
        <f t="shared" si="24"/>
        <v>21404</v>
      </c>
      <c r="L822" s="718"/>
      <c r="M822" s="719">
        <v>1315</v>
      </c>
      <c r="N822" s="719">
        <v>0</v>
      </c>
      <c r="O822" s="718">
        <v>2093</v>
      </c>
      <c r="P822" s="720">
        <f t="shared" si="25"/>
        <v>3408</v>
      </c>
      <c r="Q822" s="718"/>
      <c r="R822" s="719">
        <v>15651</v>
      </c>
      <c r="S822" s="721">
        <v>-1107</v>
      </c>
      <c r="T822" s="721">
        <v>14544</v>
      </c>
    </row>
    <row r="823" spans="1:20" x14ac:dyDescent="0.25">
      <c r="A823" s="715">
        <v>99081</v>
      </c>
      <c r="B823" s="716" t="s">
        <v>3353</v>
      </c>
      <c r="C823" s="717">
        <v>1.1E-5</v>
      </c>
      <c r="D823" s="717">
        <v>2.9600000000000001E-5</v>
      </c>
      <c r="E823" s="718">
        <v>16805</v>
      </c>
      <c r="F823" s="718"/>
      <c r="G823" s="719">
        <v>968</v>
      </c>
      <c r="H823" s="720">
        <v>4081</v>
      </c>
      <c r="I823" s="719">
        <v>2400</v>
      </c>
      <c r="J823" s="718">
        <v>3587</v>
      </c>
      <c r="K823" s="720">
        <f t="shared" si="24"/>
        <v>11036</v>
      </c>
      <c r="L823" s="718"/>
      <c r="M823" s="719">
        <v>476</v>
      </c>
      <c r="N823" s="719">
        <v>0</v>
      </c>
      <c r="O823" s="718">
        <v>13215</v>
      </c>
      <c r="P823" s="720">
        <f t="shared" si="25"/>
        <v>13691</v>
      </c>
      <c r="Q823" s="718"/>
      <c r="R823" s="719">
        <v>5663</v>
      </c>
      <c r="S823" s="721">
        <v>-2898</v>
      </c>
      <c r="T823" s="721">
        <f>2766-1</f>
        <v>2765</v>
      </c>
    </row>
    <row r="824" spans="1:20" x14ac:dyDescent="0.25">
      <c r="A824" s="715">
        <v>99091</v>
      </c>
      <c r="B824" s="716" t="s">
        <v>3354</v>
      </c>
      <c r="C824" s="717">
        <v>3.9999999999999998E-6</v>
      </c>
      <c r="D824" s="717">
        <v>4.1999999999999996E-6</v>
      </c>
      <c r="E824" s="718">
        <v>6111</v>
      </c>
      <c r="F824" s="718"/>
      <c r="G824" s="719">
        <v>352</v>
      </c>
      <c r="H824" s="720">
        <v>1484</v>
      </c>
      <c r="I824" s="719">
        <v>873</v>
      </c>
      <c r="J824" s="718">
        <v>4105</v>
      </c>
      <c r="K824" s="720">
        <f t="shared" si="24"/>
        <v>6814</v>
      </c>
      <c r="L824" s="718"/>
      <c r="M824" s="719">
        <v>173</v>
      </c>
      <c r="N824" s="719">
        <v>0</v>
      </c>
      <c r="O824" s="718">
        <v>3232</v>
      </c>
      <c r="P824" s="720">
        <f t="shared" si="25"/>
        <v>3405</v>
      </c>
      <c r="Q824" s="718"/>
      <c r="R824" s="719">
        <v>2059</v>
      </c>
      <c r="S824" s="721">
        <v>-1926</v>
      </c>
      <c r="T824" s="721">
        <f>134-1</f>
        <v>133</v>
      </c>
    </row>
    <row r="825" spans="1:20" x14ac:dyDescent="0.25">
      <c r="A825" s="715">
        <v>99101</v>
      </c>
      <c r="B825" s="716" t="s">
        <v>3355</v>
      </c>
      <c r="C825" s="717">
        <v>2.1724000000000001E-3</v>
      </c>
      <c r="D825" s="717">
        <v>2.0087999999999998E-3</v>
      </c>
      <c r="E825" s="718">
        <v>3318825</v>
      </c>
      <c r="F825" s="718"/>
      <c r="G825" s="719">
        <v>191195</v>
      </c>
      <c r="H825" s="720">
        <v>805815</v>
      </c>
      <c r="I825" s="719">
        <v>473974</v>
      </c>
      <c r="J825" s="718">
        <v>48335</v>
      </c>
      <c r="K825" s="720">
        <f t="shared" si="24"/>
        <v>1519319</v>
      </c>
      <c r="L825" s="718"/>
      <c r="M825" s="719">
        <v>93945</v>
      </c>
      <c r="N825" s="719">
        <v>0</v>
      </c>
      <c r="O825" s="718">
        <v>44900</v>
      </c>
      <c r="P825" s="720">
        <f t="shared" si="25"/>
        <v>138845</v>
      </c>
      <c r="Q825" s="718"/>
      <c r="R825" s="719">
        <v>1118447</v>
      </c>
      <c r="S825" s="721">
        <v>-14151</v>
      </c>
      <c r="T825" s="721">
        <v>1104296</v>
      </c>
    </row>
    <row r="826" spans="1:20" x14ac:dyDescent="0.25">
      <c r="A826" s="715">
        <v>99104</v>
      </c>
      <c r="B826" s="716" t="s">
        <v>3356</v>
      </c>
      <c r="C826" s="717">
        <v>3.3500000000000001E-5</v>
      </c>
      <c r="D826" s="717">
        <v>3.4799999999999999E-5</v>
      </c>
      <c r="E826" s="718">
        <v>51179</v>
      </c>
      <c r="F826" s="718"/>
      <c r="G826" s="719">
        <v>2948</v>
      </c>
      <c r="H826" s="720">
        <v>12426</v>
      </c>
      <c r="I826" s="719">
        <v>7309</v>
      </c>
      <c r="J826" s="718">
        <v>15217</v>
      </c>
      <c r="K826" s="720">
        <f t="shared" si="24"/>
        <v>37900</v>
      </c>
      <c r="L826" s="718"/>
      <c r="M826" s="719">
        <v>1449</v>
      </c>
      <c r="N826" s="719">
        <v>0</v>
      </c>
      <c r="O826" s="718">
        <v>0</v>
      </c>
      <c r="P826" s="720">
        <f t="shared" si="25"/>
        <v>1449</v>
      </c>
      <c r="Q826" s="718"/>
      <c r="R826" s="719">
        <v>17247</v>
      </c>
      <c r="S826" s="721">
        <v>6167</v>
      </c>
      <c r="T826" s="721">
        <f>23415-1</f>
        <v>23414</v>
      </c>
    </row>
    <row r="827" spans="1:20" x14ac:dyDescent="0.25">
      <c r="A827" s="715">
        <v>99109</v>
      </c>
      <c r="B827" s="716" t="s">
        <v>3357</v>
      </c>
      <c r="C827" s="717">
        <v>1.2339999999999999E-4</v>
      </c>
      <c r="D827" s="717">
        <v>1.1849999999999999E-4</v>
      </c>
      <c r="E827" s="718">
        <v>188521</v>
      </c>
      <c r="F827" s="718"/>
      <c r="G827" s="719">
        <v>10861</v>
      </c>
      <c r="H827" s="720">
        <v>45773</v>
      </c>
      <c r="I827" s="719">
        <v>26923</v>
      </c>
      <c r="J827" s="718">
        <v>6454</v>
      </c>
      <c r="K827" s="720">
        <f t="shared" si="24"/>
        <v>90011</v>
      </c>
      <c r="L827" s="718"/>
      <c r="M827" s="719">
        <v>5336</v>
      </c>
      <c r="N827" s="719">
        <v>0</v>
      </c>
      <c r="O827" s="718">
        <v>14208</v>
      </c>
      <c r="P827" s="720">
        <f t="shared" si="25"/>
        <v>19544</v>
      </c>
      <c r="Q827" s="718"/>
      <c r="R827" s="719">
        <v>63532</v>
      </c>
      <c r="S827" s="721">
        <v>-5391</v>
      </c>
      <c r="T827" s="721">
        <f>58140+1</f>
        <v>58141</v>
      </c>
    </row>
    <row r="828" spans="1:20" x14ac:dyDescent="0.25">
      <c r="A828" s="715">
        <v>99110</v>
      </c>
      <c r="B828" s="716" t="s">
        <v>3358</v>
      </c>
      <c r="C828" s="717">
        <v>1.7670000000000001E-4</v>
      </c>
      <c r="D828" s="717">
        <v>1.8369999999999999E-4</v>
      </c>
      <c r="E828" s="718">
        <v>269949</v>
      </c>
      <c r="F828" s="718"/>
      <c r="G828" s="719">
        <v>15552</v>
      </c>
      <c r="H828" s="720">
        <v>65544</v>
      </c>
      <c r="I828" s="719">
        <v>38552</v>
      </c>
      <c r="J828" s="718">
        <v>69046</v>
      </c>
      <c r="K828" s="720">
        <f t="shared" si="24"/>
        <v>188694</v>
      </c>
      <c r="L828" s="718"/>
      <c r="M828" s="719">
        <v>7641</v>
      </c>
      <c r="N828" s="719">
        <v>0</v>
      </c>
      <c r="O828" s="718">
        <v>0</v>
      </c>
      <c r="P828" s="720">
        <f t="shared" si="25"/>
        <v>7641</v>
      </c>
      <c r="Q828" s="718"/>
      <c r="R828" s="719">
        <v>90973</v>
      </c>
      <c r="S828" s="721">
        <v>27602</v>
      </c>
      <c r="T828" s="721">
        <v>118575</v>
      </c>
    </row>
    <row r="829" spans="1:20" x14ac:dyDescent="0.25">
      <c r="A829" s="715">
        <v>99111</v>
      </c>
      <c r="B829" s="716" t="s">
        <v>3359</v>
      </c>
      <c r="C829" s="717">
        <v>1.2618E-3</v>
      </c>
      <c r="D829" s="717">
        <v>1.2757000000000001E-3</v>
      </c>
      <c r="E829" s="718">
        <v>1927681</v>
      </c>
      <c r="F829" s="718"/>
      <c r="G829" s="719">
        <v>111052</v>
      </c>
      <c r="H829" s="720">
        <v>468043</v>
      </c>
      <c r="I829" s="719">
        <v>275300</v>
      </c>
      <c r="J829" s="718">
        <v>0</v>
      </c>
      <c r="K829" s="720">
        <f t="shared" si="24"/>
        <v>854395</v>
      </c>
      <c r="L829" s="718"/>
      <c r="M829" s="719">
        <v>54567</v>
      </c>
      <c r="N829" s="719">
        <v>0</v>
      </c>
      <c r="O829" s="718">
        <v>143900</v>
      </c>
      <c r="P829" s="720">
        <f t="shared" si="25"/>
        <v>198467</v>
      </c>
      <c r="Q829" s="718"/>
      <c r="R829" s="719">
        <v>649630</v>
      </c>
      <c r="S829" s="721">
        <v>-68554</v>
      </c>
      <c r="T829" s="721">
        <v>581076</v>
      </c>
    </row>
    <row r="830" spans="1:20" x14ac:dyDescent="0.25">
      <c r="A830" s="715">
        <v>99201</v>
      </c>
      <c r="B830" s="716" t="s">
        <v>3360</v>
      </c>
      <c r="C830" s="717">
        <v>3.3297199999999999E-2</v>
      </c>
      <c r="D830" s="717">
        <v>3.22145E-2</v>
      </c>
      <c r="E830" s="718">
        <v>50868898</v>
      </c>
      <c r="F830" s="718"/>
      <c r="G830" s="719">
        <v>2930520</v>
      </c>
      <c r="H830" s="720">
        <v>12351030</v>
      </c>
      <c r="I830" s="719">
        <v>7264783</v>
      </c>
      <c r="J830" s="718">
        <v>1320745</v>
      </c>
      <c r="K830" s="720">
        <f t="shared" si="24"/>
        <v>23867078</v>
      </c>
      <c r="L830" s="718"/>
      <c r="M830" s="719">
        <v>1439937</v>
      </c>
      <c r="N830" s="719">
        <v>0</v>
      </c>
      <c r="O830" s="718">
        <v>241517</v>
      </c>
      <c r="P830" s="720">
        <f t="shared" si="25"/>
        <v>1681454</v>
      </c>
      <c r="Q830" s="718"/>
      <c r="R830" s="719">
        <v>17142864</v>
      </c>
      <c r="S830" s="721">
        <v>242815</v>
      </c>
      <c r="T830" s="721">
        <v>17385679</v>
      </c>
    </row>
    <row r="831" spans="1:20" x14ac:dyDescent="0.25">
      <c r="A831" s="715">
        <v>99202</v>
      </c>
      <c r="B831" s="716" t="s">
        <v>3361</v>
      </c>
      <c r="C831" s="717">
        <v>2.5855000000000001E-3</v>
      </c>
      <c r="D831" s="717">
        <v>2.5138000000000001E-3</v>
      </c>
      <c r="E831" s="718">
        <v>3949928</v>
      </c>
      <c r="F831" s="718"/>
      <c r="G831" s="719">
        <v>227552</v>
      </c>
      <c r="H831" s="720">
        <v>959048</v>
      </c>
      <c r="I831" s="719">
        <v>564104</v>
      </c>
      <c r="J831" s="718">
        <v>0</v>
      </c>
      <c r="K831" s="720">
        <f t="shared" si="24"/>
        <v>1750704</v>
      </c>
      <c r="L831" s="718"/>
      <c r="M831" s="719">
        <v>111810</v>
      </c>
      <c r="N831" s="719">
        <v>0</v>
      </c>
      <c r="O831" s="718">
        <v>184130</v>
      </c>
      <c r="P831" s="720">
        <f t="shared" si="25"/>
        <v>295940</v>
      </c>
      <c r="Q831" s="718"/>
      <c r="R831" s="719">
        <v>1331129</v>
      </c>
      <c r="S831" s="721">
        <v>-73084</v>
      </c>
      <c r="T831" s="721">
        <v>1258045</v>
      </c>
    </row>
    <row r="832" spans="1:20" x14ac:dyDescent="0.25">
      <c r="A832" s="715">
        <v>99203</v>
      </c>
      <c r="B832" s="716" t="s">
        <v>3362</v>
      </c>
      <c r="C832" s="717">
        <v>3.0410000000000002E-4</v>
      </c>
      <c r="D832" s="717">
        <v>3.1990000000000002E-4</v>
      </c>
      <c r="E832" s="718">
        <v>464581</v>
      </c>
      <c r="F832" s="718"/>
      <c r="G832" s="719">
        <v>26764</v>
      </c>
      <c r="H832" s="720">
        <v>112801</v>
      </c>
      <c r="I832" s="719">
        <v>66349</v>
      </c>
      <c r="J832" s="718">
        <v>24433</v>
      </c>
      <c r="K832" s="720">
        <f t="shared" si="24"/>
        <v>230347</v>
      </c>
      <c r="L832" s="718"/>
      <c r="M832" s="719">
        <v>13151</v>
      </c>
      <c r="N832" s="719">
        <v>0</v>
      </c>
      <c r="O832" s="718">
        <v>20730</v>
      </c>
      <c r="P832" s="720">
        <f t="shared" si="25"/>
        <v>33881</v>
      </c>
      <c r="Q832" s="718"/>
      <c r="R832" s="719">
        <v>156564</v>
      </c>
      <c r="S832" s="721">
        <v>11213</v>
      </c>
      <c r="T832" s="721">
        <v>167777</v>
      </c>
    </row>
    <row r="833" spans="1:20" x14ac:dyDescent="0.25">
      <c r="A833" s="715">
        <v>99204</v>
      </c>
      <c r="B833" s="716" t="s">
        <v>3363</v>
      </c>
      <c r="C833" s="717">
        <v>8.3549999999999998E-4</v>
      </c>
      <c r="D833" s="717">
        <v>7.4910000000000005E-4</v>
      </c>
      <c r="E833" s="718">
        <v>1276413</v>
      </c>
      <c r="F833" s="718"/>
      <c r="G833" s="719">
        <v>73533</v>
      </c>
      <c r="H833" s="720">
        <v>309914</v>
      </c>
      <c r="I833" s="719">
        <v>182289</v>
      </c>
      <c r="J833" s="718">
        <v>108607</v>
      </c>
      <c r="K833" s="720">
        <f t="shared" si="24"/>
        <v>674343</v>
      </c>
      <c r="L833" s="718"/>
      <c r="M833" s="719">
        <v>36131</v>
      </c>
      <c r="N833" s="719">
        <v>0</v>
      </c>
      <c r="O833" s="718">
        <v>0</v>
      </c>
      <c r="P833" s="720">
        <f t="shared" si="25"/>
        <v>36131</v>
      </c>
      <c r="Q833" s="718"/>
      <c r="R833" s="719">
        <v>430152</v>
      </c>
      <c r="S833" s="721">
        <v>37657</v>
      </c>
      <c r="T833" s="721">
        <v>467809</v>
      </c>
    </row>
    <row r="834" spans="1:20" x14ac:dyDescent="0.25">
      <c r="A834" s="715">
        <v>99206</v>
      </c>
      <c r="B834" s="716" t="s">
        <v>3364</v>
      </c>
      <c r="C834" s="717">
        <v>1.6957999999999999E-3</v>
      </c>
      <c r="D834" s="717">
        <v>1.6665E-3</v>
      </c>
      <c r="E834" s="718">
        <v>2590713</v>
      </c>
      <c r="F834" s="718"/>
      <c r="G834" s="719">
        <v>149249</v>
      </c>
      <c r="H834" s="720">
        <v>629028</v>
      </c>
      <c r="I834" s="719">
        <v>369990</v>
      </c>
      <c r="J834" s="718">
        <v>641271</v>
      </c>
      <c r="K834" s="720">
        <f t="shared" si="24"/>
        <v>1789538</v>
      </c>
      <c r="L834" s="718"/>
      <c r="M834" s="719">
        <v>73335</v>
      </c>
      <c r="N834" s="719">
        <v>0</v>
      </c>
      <c r="O834" s="718">
        <v>6741</v>
      </c>
      <c r="P834" s="720">
        <f t="shared" si="25"/>
        <v>80076</v>
      </c>
      <c r="Q834" s="718"/>
      <c r="R834" s="719">
        <v>873072</v>
      </c>
      <c r="S834" s="721">
        <v>209066</v>
      </c>
      <c r="T834" s="721">
        <f>1082139-1</f>
        <v>1082138</v>
      </c>
    </row>
    <row r="835" spans="1:20" x14ac:dyDescent="0.25">
      <c r="A835" s="715">
        <v>99207</v>
      </c>
      <c r="B835" s="716" t="s">
        <v>3562</v>
      </c>
      <c r="C835" s="717">
        <v>1.3329999999999999E-4</v>
      </c>
      <c r="D835" s="717">
        <v>1.3430000000000001E-4</v>
      </c>
      <c r="E835" s="718">
        <v>203645</v>
      </c>
      <c r="F835" s="718"/>
      <c r="G835" s="719">
        <v>11732</v>
      </c>
      <c r="H835" s="720">
        <v>49445</v>
      </c>
      <c r="I835" s="719">
        <v>29083</v>
      </c>
      <c r="J835" s="718">
        <v>145724</v>
      </c>
      <c r="K835" s="720">
        <f t="shared" si="24"/>
        <v>235984</v>
      </c>
      <c r="L835" s="718"/>
      <c r="M835" s="719">
        <v>5765</v>
      </c>
      <c r="N835" s="719">
        <v>0</v>
      </c>
      <c r="O835" s="718">
        <v>0</v>
      </c>
      <c r="P835" s="720">
        <f t="shared" si="25"/>
        <v>5765</v>
      </c>
      <c r="Q835" s="718"/>
      <c r="R835" s="719">
        <v>68629</v>
      </c>
      <c r="S835" s="721">
        <v>46901</v>
      </c>
      <c r="T835" s="721">
        <v>115530</v>
      </c>
    </row>
    <row r="836" spans="1:20" x14ac:dyDescent="0.25">
      <c r="A836" s="715">
        <v>99208</v>
      </c>
      <c r="B836" s="716" t="s">
        <v>3366</v>
      </c>
      <c r="C836" s="717">
        <v>1.4569999999999999E-4</v>
      </c>
      <c r="D836" s="717">
        <v>1.3669999999999999E-4</v>
      </c>
      <c r="E836" s="718">
        <v>222589</v>
      </c>
      <c r="F836" s="718"/>
      <c r="G836" s="719">
        <v>12823</v>
      </c>
      <c r="H836" s="720">
        <v>54045</v>
      </c>
      <c r="I836" s="719">
        <v>31789</v>
      </c>
      <c r="J836" s="718">
        <v>0</v>
      </c>
      <c r="K836" s="720">
        <f t="shared" si="24"/>
        <v>98657</v>
      </c>
      <c r="L836" s="718"/>
      <c r="M836" s="719">
        <v>6301</v>
      </c>
      <c r="N836" s="719">
        <v>0</v>
      </c>
      <c r="O836" s="718">
        <v>38521</v>
      </c>
      <c r="P836" s="720">
        <f t="shared" si="25"/>
        <v>44822</v>
      </c>
      <c r="Q836" s="718"/>
      <c r="R836" s="719">
        <v>75013</v>
      </c>
      <c r="S836" s="721">
        <v>-20543</v>
      </c>
      <c r="T836" s="721">
        <v>54470</v>
      </c>
    </row>
    <row r="837" spans="1:20" x14ac:dyDescent="0.25">
      <c r="A837" s="715">
        <v>99210</v>
      </c>
      <c r="B837" s="716" t="s">
        <v>3367</v>
      </c>
      <c r="C837" s="717">
        <v>1.5943999999999999E-3</v>
      </c>
      <c r="D837" s="717">
        <v>1.5945E-3</v>
      </c>
      <c r="E837" s="718">
        <v>2435802</v>
      </c>
      <c r="F837" s="718"/>
      <c r="G837" s="719">
        <v>140325</v>
      </c>
      <c r="H837" s="720">
        <v>591415</v>
      </c>
      <c r="I837" s="719">
        <v>347866</v>
      </c>
      <c r="J837" s="718">
        <v>99237</v>
      </c>
      <c r="K837" s="720">
        <f t="shared" si="24"/>
        <v>1178843</v>
      </c>
      <c r="L837" s="718"/>
      <c r="M837" s="719">
        <v>68950</v>
      </c>
      <c r="N837" s="719">
        <v>0</v>
      </c>
      <c r="O837" s="718">
        <v>0</v>
      </c>
      <c r="P837" s="720">
        <f t="shared" si="25"/>
        <v>68950</v>
      </c>
      <c r="Q837" s="718"/>
      <c r="R837" s="719">
        <v>820867</v>
      </c>
      <c r="S837" s="721">
        <v>39106</v>
      </c>
      <c r="T837" s="721">
        <f>859974-1</f>
        <v>859973</v>
      </c>
    </row>
    <row r="838" spans="1:20" x14ac:dyDescent="0.25">
      <c r="A838" s="715">
        <v>99211</v>
      </c>
      <c r="B838" s="716" t="s">
        <v>3368</v>
      </c>
      <c r="C838" s="717">
        <v>3.7100599999999997E-2</v>
      </c>
      <c r="D838" s="717">
        <v>3.8233999999999997E-2</v>
      </c>
      <c r="E838" s="718">
        <v>56679440</v>
      </c>
      <c r="F838" s="718"/>
      <c r="G838" s="719">
        <v>3265261</v>
      </c>
      <c r="H838" s="720">
        <v>13761837</v>
      </c>
      <c r="I838" s="719">
        <v>8094609</v>
      </c>
      <c r="J838" s="718">
        <v>0</v>
      </c>
      <c r="K838" s="720">
        <f t="shared" si="24"/>
        <v>25121707</v>
      </c>
      <c r="L838" s="718"/>
      <c r="M838" s="719">
        <v>1604415</v>
      </c>
      <c r="N838" s="719">
        <v>0</v>
      </c>
      <c r="O838" s="718">
        <v>1838947</v>
      </c>
      <c r="P838" s="720">
        <f t="shared" si="25"/>
        <v>3443362</v>
      </c>
      <c r="Q838" s="718"/>
      <c r="R838" s="719">
        <v>19101021</v>
      </c>
      <c r="S838" s="721">
        <v>-724653</v>
      </c>
      <c r="T838" s="721">
        <f>18376369-1</f>
        <v>18376368</v>
      </c>
    </row>
    <row r="839" spans="1:20" x14ac:dyDescent="0.25">
      <c r="A839" s="715">
        <v>99212</v>
      </c>
      <c r="B839" s="716" t="s">
        <v>3369</v>
      </c>
      <c r="C839" s="717">
        <v>8.14E-5</v>
      </c>
      <c r="D839" s="717">
        <v>7.4400000000000006E-5</v>
      </c>
      <c r="E839" s="718">
        <v>124357</v>
      </c>
      <c r="F839" s="718"/>
      <c r="G839" s="719">
        <v>7164</v>
      </c>
      <c r="H839" s="720">
        <v>30194</v>
      </c>
      <c r="I839" s="719">
        <v>17760</v>
      </c>
      <c r="J839" s="718">
        <v>242</v>
      </c>
      <c r="K839" s="720">
        <f t="shared" ref="K839:K902" si="26">G839+H839+I839+J839</f>
        <v>55360</v>
      </c>
      <c r="L839" s="718"/>
      <c r="M839" s="719">
        <v>3520</v>
      </c>
      <c r="N839" s="719">
        <v>0</v>
      </c>
      <c r="O839" s="718">
        <v>34044</v>
      </c>
      <c r="P839" s="720">
        <f t="shared" ref="P839:P902" si="27">M839+N839+O839</f>
        <v>37564</v>
      </c>
      <c r="Q839" s="718"/>
      <c r="R839" s="719">
        <v>41908</v>
      </c>
      <c r="S839" s="721">
        <v>-15261</v>
      </c>
      <c r="T839" s="721">
        <v>26647</v>
      </c>
    </row>
    <row r="840" spans="1:20" x14ac:dyDescent="0.25">
      <c r="A840" s="715">
        <v>99213</v>
      </c>
      <c r="B840" s="716" t="s">
        <v>3370</v>
      </c>
      <c r="C840" s="717">
        <v>7.5159999999999995E-4</v>
      </c>
      <c r="D840" s="717">
        <v>8.0730000000000005E-4</v>
      </c>
      <c r="E840" s="718">
        <v>1148237</v>
      </c>
      <c r="F840" s="718"/>
      <c r="G840" s="719">
        <v>66149</v>
      </c>
      <c r="H840" s="720">
        <v>278793</v>
      </c>
      <c r="I840" s="719">
        <v>163984</v>
      </c>
      <c r="J840" s="718">
        <v>6057</v>
      </c>
      <c r="K840" s="720">
        <f t="shared" si="26"/>
        <v>514983</v>
      </c>
      <c r="L840" s="718"/>
      <c r="M840" s="719">
        <v>32503</v>
      </c>
      <c r="N840" s="719">
        <v>0</v>
      </c>
      <c r="O840" s="718">
        <v>45468</v>
      </c>
      <c r="P840" s="720">
        <f t="shared" si="27"/>
        <v>77971</v>
      </c>
      <c r="Q840" s="718"/>
      <c r="R840" s="719">
        <v>386957</v>
      </c>
      <c r="S840" s="721">
        <v>-10310</v>
      </c>
      <c r="T840" s="721">
        <f>376646+1</f>
        <v>376647</v>
      </c>
    </row>
    <row r="841" spans="1:20" x14ac:dyDescent="0.25">
      <c r="A841" s="715">
        <v>99218</v>
      </c>
      <c r="B841" s="716" t="s">
        <v>3371</v>
      </c>
      <c r="C841" s="717">
        <v>3.1162E-3</v>
      </c>
      <c r="D841" s="717">
        <v>3.1227999999999998E-3</v>
      </c>
      <c r="E841" s="718">
        <v>4760690</v>
      </c>
      <c r="F841" s="718"/>
      <c r="G841" s="719">
        <v>274260</v>
      </c>
      <c r="H841" s="720">
        <v>1155902</v>
      </c>
      <c r="I841" s="719">
        <v>679893</v>
      </c>
      <c r="J841" s="718">
        <v>179789</v>
      </c>
      <c r="K841" s="720">
        <f t="shared" si="26"/>
        <v>2289844</v>
      </c>
      <c r="L841" s="718"/>
      <c r="M841" s="719">
        <v>134760</v>
      </c>
      <c r="N841" s="719">
        <v>0</v>
      </c>
      <c r="O841" s="718">
        <v>0</v>
      </c>
      <c r="P841" s="720">
        <f t="shared" si="27"/>
        <v>134760</v>
      </c>
      <c r="Q841" s="718"/>
      <c r="R841" s="719">
        <v>1604357</v>
      </c>
      <c r="S841" s="721">
        <v>66860</v>
      </c>
      <c r="T841" s="721">
        <v>1671217</v>
      </c>
    </row>
    <row r="842" spans="1:20" x14ac:dyDescent="0.25">
      <c r="A842" s="715">
        <v>99221</v>
      </c>
      <c r="B842" s="716" t="s">
        <v>3372</v>
      </c>
      <c r="C842" s="717">
        <v>1.27709E-2</v>
      </c>
      <c r="D842" s="717">
        <v>1.3092700000000001E-2</v>
      </c>
      <c r="E842" s="718">
        <v>19510398</v>
      </c>
      <c r="F842" s="718"/>
      <c r="G842" s="719">
        <v>1123980</v>
      </c>
      <c r="H842" s="720">
        <v>4737148</v>
      </c>
      <c r="I842" s="719">
        <v>2786355</v>
      </c>
      <c r="J842" s="718">
        <v>0</v>
      </c>
      <c r="K842" s="720">
        <f t="shared" si="26"/>
        <v>8647483</v>
      </c>
      <c r="L842" s="718"/>
      <c r="M842" s="719">
        <v>552278</v>
      </c>
      <c r="N842" s="719">
        <v>0</v>
      </c>
      <c r="O842" s="718">
        <v>687802</v>
      </c>
      <c r="P842" s="720">
        <f t="shared" si="27"/>
        <v>1240080</v>
      </c>
      <c r="Q842" s="718"/>
      <c r="R842" s="719">
        <v>6575021</v>
      </c>
      <c r="S842" s="721">
        <v>-271922</v>
      </c>
      <c r="T842" s="721">
        <v>6303099</v>
      </c>
    </row>
    <row r="843" spans="1:20" x14ac:dyDescent="0.25">
      <c r="A843" s="715">
        <v>99222</v>
      </c>
      <c r="B843" s="716" t="s">
        <v>3373</v>
      </c>
      <c r="C843" s="717">
        <v>3.9100000000000002E-5</v>
      </c>
      <c r="D843" s="717">
        <v>4.0099999999999999E-5</v>
      </c>
      <c r="E843" s="718">
        <v>59734</v>
      </c>
      <c r="F843" s="718"/>
      <c r="G843" s="719">
        <v>3441</v>
      </c>
      <c r="H843" s="720">
        <v>14504</v>
      </c>
      <c r="I843" s="719">
        <v>8531</v>
      </c>
      <c r="J843" s="718">
        <v>2307</v>
      </c>
      <c r="K843" s="720">
        <f t="shared" si="26"/>
        <v>28783</v>
      </c>
      <c r="L843" s="718"/>
      <c r="M843" s="719">
        <v>1691</v>
      </c>
      <c r="N843" s="719">
        <v>0</v>
      </c>
      <c r="O843" s="718">
        <v>3585</v>
      </c>
      <c r="P843" s="720">
        <f t="shared" si="27"/>
        <v>5276</v>
      </c>
      <c r="Q843" s="718"/>
      <c r="R843" s="719">
        <v>20130</v>
      </c>
      <c r="S843" s="721">
        <v>281</v>
      </c>
      <c r="T843" s="721">
        <v>20411</v>
      </c>
    </row>
    <row r="844" spans="1:20" x14ac:dyDescent="0.25">
      <c r="A844" s="715">
        <v>99231</v>
      </c>
      <c r="B844" s="716" t="s">
        <v>3374</v>
      </c>
      <c r="C844" s="717">
        <v>3.7179999999999998E-4</v>
      </c>
      <c r="D844" s="717">
        <v>3.7869999999999999E-4</v>
      </c>
      <c r="E844" s="718">
        <v>568007</v>
      </c>
      <c r="F844" s="718"/>
      <c r="G844" s="719">
        <v>32722</v>
      </c>
      <c r="H844" s="720">
        <v>137913</v>
      </c>
      <c r="I844" s="719">
        <v>81119</v>
      </c>
      <c r="J844" s="718">
        <v>0</v>
      </c>
      <c r="K844" s="720">
        <f t="shared" si="26"/>
        <v>251754</v>
      </c>
      <c r="L844" s="718"/>
      <c r="M844" s="719">
        <v>16078</v>
      </c>
      <c r="N844" s="719">
        <v>0</v>
      </c>
      <c r="O844" s="718">
        <v>31773</v>
      </c>
      <c r="P844" s="720">
        <f t="shared" si="27"/>
        <v>47851</v>
      </c>
      <c r="Q844" s="718"/>
      <c r="R844" s="719">
        <v>191419</v>
      </c>
      <c r="S844" s="721">
        <v>-14995</v>
      </c>
      <c r="T844" s="721">
        <v>176424</v>
      </c>
    </row>
    <row r="845" spans="1:20" x14ac:dyDescent="0.25">
      <c r="A845" s="715">
        <v>99241</v>
      </c>
      <c r="B845" s="716" t="s">
        <v>3375</v>
      </c>
      <c r="C845" s="717">
        <v>5.5329999999999995E-4</v>
      </c>
      <c r="D845" s="717">
        <v>5.6039999999999996E-4</v>
      </c>
      <c r="E845" s="718">
        <v>845289</v>
      </c>
      <c r="F845" s="718"/>
      <c r="G845" s="719">
        <v>48696</v>
      </c>
      <c r="H845" s="720">
        <v>205238</v>
      </c>
      <c r="I845" s="719">
        <v>120719</v>
      </c>
      <c r="J845" s="718">
        <v>0</v>
      </c>
      <c r="K845" s="720">
        <f t="shared" si="26"/>
        <v>374653</v>
      </c>
      <c r="L845" s="718"/>
      <c r="M845" s="719">
        <v>23927</v>
      </c>
      <c r="N845" s="719">
        <v>0</v>
      </c>
      <c r="O845" s="718">
        <v>103885</v>
      </c>
      <c r="P845" s="720">
        <f t="shared" si="27"/>
        <v>127812</v>
      </c>
      <c r="Q845" s="718"/>
      <c r="R845" s="719">
        <v>284863</v>
      </c>
      <c r="S845" s="721">
        <v>-52289</v>
      </c>
      <c r="T845" s="721">
        <f>232575-1</f>
        <v>232574</v>
      </c>
    </row>
    <row r="846" spans="1:20" x14ac:dyDescent="0.25">
      <c r="A846" s="715">
        <v>99251</v>
      </c>
      <c r="B846" s="716" t="s">
        <v>3376</v>
      </c>
      <c r="C846" s="717">
        <v>1.6069000000000001E-3</v>
      </c>
      <c r="D846" s="717">
        <v>1.6521000000000001E-3</v>
      </c>
      <c r="E846" s="718">
        <v>2454898</v>
      </c>
      <c r="F846" s="718"/>
      <c r="G846" s="719">
        <v>141425</v>
      </c>
      <c r="H846" s="720">
        <v>596053</v>
      </c>
      <c r="I846" s="719">
        <v>350593</v>
      </c>
      <c r="J846" s="718">
        <v>2758</v>
      </c>
      <c r="K846" s="720">
        <f t="shared" si="26"/>
        <v>1090829</v>
      </c>
      <c r="L846" s="718"/>
      <c r="M846" s="719">
        <v>69490</v>
      </c>
      <c r="N846" s="719">
        <v>0</v>
      </c>
      <c r="O846" s="718">
        <v>31200</v>
      </c>
      <c r="P846" s="720">
        <f t="shared" si="27"/>
        <v>100690</v>
      </c>
      <c r="Q846" s="718"/>
      <c r="R846" s="719">
        <v>827303</v>
      </c>
      <c r="S846" s="721">
        <v>-11932</v>
      </c>
      <c r="T846" s="721">
        <v>815371</v>
      </c>
    </row>
    <row r="847" spans="1:20" x14ac:dyDescent="0.25">
      <c r="A847" s="715">
        <v>99252</v>
      </c>
      <c r="B847" s="716" t="s">
        <v>3377</v>
      </c>
      <c r="C847" s="717">
        <v>6.1269999999999999E-4</v>
      </c>
      <c r="D847" s="717">
        <v>5.8279999999999996E-4</v>
      </c>
      <c r="E847" s="718">
        <v>936036</v>
      </c>
      <c r="F847" s="718"/>
      <c r="G847" s="719">
        <v>53924</v>
      </c>
      <c r="H847" s="720">
        <v>227271</v>
      </c>
      <c r="I847" s="719">
        <v>133679</v>
      </c>
      <c r="J847" s="718">
        <v>0</v>
      </c>
      <c r="K847" s="720">
        <f t="shared" si="26"/>
        <v>414874</v>
      </c>
      <c r="L847" s="718"/>
      <c r="M847" s="719">
        <v>26496</v>
      </c>
      <c r="N847" s="719">
        <v>0</v>
      </c>
      <c r="O847" s="718">
        <v>202059</v>
      </c>
      <c r="P847" s="720">
        <f t="shared" si="27"/>
        <v>228555</v>
      </c>
      <c r="Q847" s="718"/>
      <c r="R847" s="719">
        <v>315445</v>
      </c>
      <c r="S847" s="721">
        <v>-85968</v>
      </c>
      <c r="T847" s="721">
        <v>229477</v>
      </c>
    </row>
    <row r="848" spans="1:20" x14ac:dyDescent="0.25">
      <c r="A848" s="715">
        <v>99261</v>
      </c>
      <c r="B848" s="716" t="s">
        <v>3378</v>
      </c>
      <c r="C848" s="717">
        <v>1.9938E-3</v>
      </c>
      <c r="D848" s="717">
        <v>1.9145E-3</v>
      </c>
      <c r="E848" s="718">
        <v>3045974</v>
      </c>
      <c r="F848" s="718"/>
      <c r="G848" s="719">
        <v>175476</v>
      </c>
      <c r="H848" s="720">
        <v>739566</v>
      </c>
      <c r="I848" s="719">
        <v>435007</v>
      </c>
      <c r="J848" s="718">
        <v>0</v>
      </c>
      <c r="K848" s="720">
        <f t="shared" si="26"/>
        <v>1350049</v>
      </c>
      <c r="L848" s="718"/>
      <c r="M848" s="719">
        <v>86222</v>
      </c>
      <c r="N848" s="719">
        <v>0</v>
      </c>
      <c r="O848" s="718">
        <v>148472</v>
      </c>
      <c r="P848" s="720">
        <f t="shared" si="27"/>
        <v>234694</v>
      </c>
      <c r="Q848" s="718"/>
      <c r="R848" s="719">
        <v>1026496</v>
      </c>
      <c r="S848" s="721">
        <v>-69364</v>
      </c>
      <c r="T848" s="721">
        <v>957132</v>
      </c>
    </row>
    <row r="849" spans="1:20" x14ac:dyDescent="0.25">
      <c r="A849" s="715">
        <v>99271</v>
      </c>
      <c r="B849" s="716" t="s">
        <v>3379</v>
      </c>
      <c r="C849" s="717">
        <v>4.0137000000000003E-3</v>
      </c>
      <c r="D849" s="717">
        <v>3.9248E-3</v>
      </c>
      <c r="E849" s="718">
        <v>6131822</v>
      </c>
      <c r="F849" s="718"/>
      <c r="G849" s="719">
        <v>353250</v>
      </c>
      <c r="H849" s="720">
        <v>1488814</v>
      </c>
      <c r="I849" s="719">
        <v>875709</v>
      </c>
      <c r="J849" s="718">
        <v>0</v>
      </c>
      <c r="K849" s="720">
        <f t="shared" si="26"/>
        <v>2717773</v>
      </c>
      <c r="L849" s="718"/>
      <c r="M849" s="719">
        <v>173572</v>
      </c>
      <c r="N849" s="719">
        <v>0</v>
      </c>
      <c r="O849" s="718">
        <v>122792</v>
      </c>
      <c r="P849" s="720">
        <f t="shared" si="27"/>
        <v>296364</v>
      </c>
      <c r="Q849" s="718"/>
      <c r="R849" s="719">
        <v>2066429</v>
      </c>
      <c r="S849" s="721">
        <v>-45302</v>
      </c>
      <c r="T849" s="721">
        <v>2021127</v>
      </c>
    </row>
    <row r="850" spans="1:20" x14ac:dyDescent="0.25">
      <c r="A850" s="715">
        <v>99281</v>
      </c>
      <c r="B850" s="716" t="s">
        <v>3380</v>
      </c>
      <c r="C850" s="717">
        <v>2.2918999999999999E-3</v>
      </c>
      <c r="D850" s="717">
        <v>2.2824E-3</v>
      </c>
      <c r="E850" s="718">
        <v>3501388</v>
      </c>
      <c r="F850" s="718"/>
      <c r="G850" s="719">
        <v>201712</v>
      </c>
      <c r="H850" s="720">
        <v>850141</v>
      </c>
      <c r="I850" s="719">
        <v>500047</v>
      </c>
      <c r="J850" s="718">
        <v>6743</v>
      </c>
      <c r="K850" s="720">
        <f t="shared" si="26"/>
        <v>1558643</v>
      </c>
      <c r="L850" s="718"/>
      <c r="M850" s="719">
        <v>99113</v>
      </c>
      <c r="N850" s="719">
        <v>0</v>
      </c>
      <c r="O850" s="718">
        <v>128585</v>
      </c>
      <c r="P850" s="720">
        <f t="shared" si="27"/>
        <v>227698</v>
      </c>
      <c r="Q850" s="718"/>
      <c r="R850" s="719">
        <v>1179971</v>
      </c>
      <c r="S850" s="721">
        <v>-37280</v>
      </c>
      <c r="T850" s="721">
        <v>1142691</v>
      </c>
    </row>
    <row r="851" spans="1:20" x14ac:dyDescent="0.25">
      <c r="A851" s="715">
        <v>99291</v>
      </c>
      <c r="B851" s="716" t="s">
        <v>3381</v>
      </c>
      <c r="C851" s="717">
        <v>7.3499999999999998E-4</v>
      </c>
      <c r="D851" s="717">
        <v>7.7260000000000002E-4</v>
      </c>
      <c r="E851" s="718">
        <v>1122876</v>
      </c>
      <c r="F851" s="718"/>
      <c r="G851" s="719">
        <v>64688</v>
      </c>
      <c r="H851" s="720">
        <v>272636</v>
      </c>
      <c r="I851" s="719">
        <v>160362</v>
      </c>
      <c r="J851" s="718">
        <v>0</v>
      </c>
      <c r="K851" s="720">
        <f t="shared" si="26"/>
        <v>497686</v>
      </c>
      <c r="L851" s="718"/>
      <c r="M851" s="719">
        <v>31785</v>
      </c>
      <c r="N851" s="719">
        <v>0</v>
      </c>
      <c r="O851" s="718">
        <v>137813</v>
      </c>
      <c r="P851" s="720">
        <f t="shared" si="27"/>
        <v>169598</v>
      </c>
      <c r="Q851" s="718"/>
      <c r="R851" s="719">
        <v>378410</v>
      </c>
      <c r="S851" s="721">
        <v>-55575</v>
      </c>
      <c r="T851" s="721">
        <v>322835</v>
      </c>
    </row>
    <row r="852" spans="1:20" x14ac:dyDescent="0.25">
      <c r="A852" s="715">
        <v>99301</v>
      </c>
      <c r="B852" s="716" t="s">
        <v>3382</v>
      </c>
      <c r="C852" s="717">
        <v>1.7879E-3</v>
      </c>
      <c r="D852" s="717">
        <v>1.8458000000000001E-3</v>
      </c>
      <c r="E852" s="718">
        <v>2731416</v>
      </c>
      <c r="F852" s="718"/>
      <c r="G852" s="719">
        <v>157355</v>
      </c>
      <c r="H852" s="720">
        <v>663191</v>
      </c>
      <c r="I852" s="719">
        <v>390084</v>
      </c>
      <c r="J852" s="718">
        <v>67408</v>
      </c>
      <c r="K852" s="720">
        <f t="shared" si="26"/>
        <v>1278038</v>
      </c>
      <c r="L852" s="718"/>
      <c r="M852" s="719">
        <v>77318</v>
      </c>
      <c r="N852" s="719">
        <v>0</v>
      </c>
      <c r="O852" s="718">
        <v>65062</v>
      </c>
      <c r="P852" s="720">
        <f t="shared" si="27"/>
        <v>142380</v>
      </c>
      <c r="Q852" s="718"/>
      <c r="R852" s="719">
        <v>920490</v>
      </c>
      <c r="S852" s="721">
        <v>38686</v>
      </c>
      <c r="T852" s="721">
        <f>959175+1</f>
        <v>959176</v>
      </c>
    </row>
    <row r="853" spans="1:20" x14ac:dyDescent="0.25">
      <c r="A853" s="715">
        <v>99304</v>
      </c>
      <c r="B853" s="716" t="s">
        <v>3383</v>
      </c>
      <c r="C853" s="717">
        <v>9.2E-6</v>
      </c>
      <c r="D853" s="717">
        <v>9.9000000000000001E-6</v>
      </c>
      <c r="E853" s="718">
        <v>14055</v>
      </c>
      <c r="F853" s="718"/>
      <c r="G853" s="719">
        <v>810</v>
      </c>
      <c r="H853" s="720">
        <v>3412</v>
      </c>
      <c r="I853" s="719">
        <v>2007</v>
      </c>
      <c r="J853" s="718">
        <v>4659</v>
      </c>
      <c r="K853" s="720">
        <f t="shared" si="26"/>
        <v>10888</v>
      </c>
      <c r="L853" s="718"/>
      <c r="M853" s="719">
        <v>398</v>
      </c>
      <c r="N853" s="719">
        <v>0</v>
      </c>
      <c r="O853" s="718">
        <v>248</v>
      </c>
      <c r="P853" s="720">
        <f t="shared" si="27"/>
        <v>646</v>
      </c>
      <c r="Q853" s="718"/>
      <c r="R853" s="719">
        <v>4737</v>
      </c>
      <c r="S853" s="721">
        <v>1371</v>
      </c>
      <c r="T853" s="721">
        <f>6107+1</f>
        <v>6108</v>
      </c>
    </row>
    <row r="854" spans="1:20" x14ac:dyDescent="0.25">
      <c r="A854" s="715">
        <v>99311</v>
      </c>
      <c r="B854" s="716" t="s">
        <v>3384</v>
      </c>
      <c r="C854" s="717">
        <v>5.4299999999999998E-5</v>
      </c>
      <c r="D854" s="717">
        <v>5.7599999999999997E-5</v>
      </c>
      <c r="E854" s="718">
        <v>82955</v>
      </c>
      <c r="F854" s="718"/>
      <c r="G854" s="719">
        <v>4779</v>
      </c>
      <c r="H854" s="720">
        <v>20142</v>
      </c>
      <c r="I854" s="719">
        <v>11847</v>
      </c>
      <c r="J854" s="718">
        <v>0</v>
      </c>
      <c r="K854" s="720">
        <f t="shared" si="26"/>
        <v>36768</v>
      </c>
      <c r="L854" s="718"/>
      <c r="M854" s="719">
        <v>2348</v>
      </c>
      <c r="N854" s="719">
        <v>0</v>
      </c>
      <c r="O854" s="718">
        <v>6758</v>
      </c>
      <c r="P854" s="720">
        <f t="shared" si="27"/>
        <v>9106</v>
      </c>
      <c r="Q854" s="718"/>
      <c r="R854" s="719">
        <v>27956</v>
      </c>
      <c r="S854" s="721">
        <v>-3216</v>
      </c>
      <c r="T854" s="721">
        <v>24740</v>
      </c>
    </row>
    <row r="855" spans="1:20" x14ac:dyDescent="0.25">
      <c r="A855" s="715">
        <v>99321</v>
      </c>
      <c r="B855" s="716" t="s">
        <v>3385</v>
      </c>
      <c r="C855" s="717">
        <v>1.1E-4</v>
      </c>
      <c r="D855" s="717">
        <v>1.1909999999999999E-4</v>
      </c>
      <c r="E855" s="718">
        <v>168050</v>
      </c>
      <c r="F855" s="718"/>
      <c r="G855" s="719">
        <v>9681</v>
      </c>
      <c r="H855" s="720">
        <v>40803</v>
      </c>
      <c r="I855" s="719">
        <v>24000</v>
      </c>
      <c r="J855" s="718">
        <v>96146</v>
      </c>
      <c r="K855" s="720">
        <f t="shared" si="26"/>
        <v>170630</v>
      </c>
      <c r="L855" s="718"/>
      <c r="M855" s="719">
        <v>4757</v>
      </c>
      <c r="N855" s="719">
        <v>0</v>
      </c>
      <c r="O855" s="718">
        <v>0</v>
      </c>
      <c r="P855" s="720">
        <f t="shared" si="27"/>
        <v>4757</v>
      </c>
      <c r="Q855" s="718"/>
      <c r="R855" s="719">
        <v>56633</v>
      </c>
      <c r="S855" s="721">
        <v>41980</v>
      </c>
      <c r="T855" s="721">
        <v>98613</v>
      </c>
    </row>
    <row r="856" spans="1:20" x14ac:dyDescent="0.25">
      <c r="A856" s="715">
        <v>99401</v>
      </c>
      <c r="B856" s="716" t="s">
        <v>3386</v>
      </c>
      <c r="C856" s="717">
        <v>9.2389999999999996E-4</v>
      </c>
      <c r="D856" s="717">
        <v>9.3869999999999999E-4</v>
      </c>
      <c r="E856" s="718">
        <v>1411463</v>
      </c>
      <c r="F856" s="718"/>
      <c r="G856" s="719">
        <v>81313</v>
      </c>
      <c r="H856" s="720">
        <v>342705</v>
      </c>
      <c r="I856" s="719">
        <v>201577</v>
      </c>
      <c r="J856" s="718">
        <v>34240</v>
      </c>
      <c r="K856" s="720">
        <f t="shared" si="26"/>
        <v>659835</v>
      </c>
      <c r="L856" s="718"/>
      <c r="M856" s="719">
        <v>39954</v>
      </c>
      <c r="N856" s="719">
        <v>0</v>
      </c>
      <c r="O856" s="718">
        <v>17589</v>
      </c>
      <c r="P856" s="720">
        <f t="shared" si="27"/>
        <v>57543</v>
      </c>
      <c r="Q856" s="718"/>
      <c r="R856" s="719">
        <v>475664</v>
      </c>
      <c r="S856" s="721">
        <v>22297</v>
      </c>
      <c r="T856" s="721">
        <v>497961</v>
      </c>
    </row>
    <row r="857" spans="1:20" x14ac:dyDescent="0.25">
      <c r="A857" s="715">
        <v>99404</v>
      </c>
      <c r="B857" s="716" t="s">
        <v>3387</v>
      </c>
      <c r="C857" s="717">
        <v>9.3999999999999998E-6</v>
      </c>
      <c r="D857" s="717">
        <v>9.5999999999999996E-6</v>
      </c>
      <c r="E857" s="718">
        <v>14361</v>
      </c>
      <c r="F857" s="718"/>
      <c r="G857" s="719">
        <v>827</v>
      </c>
      <c r="H857" s="720">
        <v>3487</v>
      </c>
      <c r="I857" s="719">
        <v>2051</v>
      </c>
      <c r="J857" s="718">
        <v>1334</v>
      </c>
      <c r="K857" s="720">
        <f t="shared" si="26"/>
        <v>7699</v>
      </c>
      <c r="L857" s="718"/>
      <c r="M857" s="719">
        <v>407</v>
      </c>
      <c r="N857" s="719">
        <v>0</v>
      </c>
      <c r="O857" s="718">
        <v>0</v>
      </c>
      <c r="P857" s="720">
        <f t="shared" si="27"/>
        <v>407</v>
      </c>
      <c r="Q857" s="718"/>
      <c r="R857" s="719">
        <v>4840</v>
      </c>
      <c r="S857" s="721">
        <v>466</v>
      </c>
      <c r="T857" s="721">
        <v>5306</v>
      </c>
    </row>
    <row r="858" spans="1:20" x14ac:dyDescent="0.25">
      <c r="A858" s="715">
        <v>99405</v>
      </c>
      <c r="B858" s="716" t="s">
        <v>3388</v>
      </c>
      <c r="C858" s="717">
        <v>6.2700000000000006E-5</v>
      </c>
      <c r="D858" s="717">
        <v>5.8100000000000003E-5</v>
      </c>
      <c r="E858" s="718">
        <v>95788</v>
      </c>
      <c r="F858" s="718"/>
      <c r="G858" s="719">
        <v>5518</v>
      </c>
      <c r="H858" s="720">
        <v>23258</v>
      </c>
      <c r="I858" s="719">
        <v>13680</v>
      </c>
      <c r="J858" s="718">
        <v>18380</v>
      </c>
      <c r="K858" s="720">
        <f t="shared" si="26"/>
        <v>60836</v>
      </c>
      <c r="L858" s="718"/>
      <c r="M858" s="719">
        <v>2711</v>
      </c>
      <c r="N858" s="719">
        <v>0</v>
      </c>
      <c r="O858" s="718">
        <v>336</v>
      </c>
      <c r="P858" s="720">
        <f t="shared" si="27"/>
        <v>3047</v>
      </c>
      <c r="Q858" s="718"/>
      <c r="R858" s="719">
        <v>32281</v>
      </c>
      <c r="S858" s="721">
        <v>6084</v>
      </c>
      <c r="T858" s="721">
        <f>38364+1</f>
        <v>38365</v>
      </c>
    </row>
    <row r="859" spans="1:20" x14ac:dyDescent="0.25">
      <c r="A859" s="715">
        <v>99411</v>
      </c>
      <c r="B859" s="716" t="s">
        <v>3389</v>
      </c>
      <c r="C859" s="717">
        <v>1.583E-4</v>
      </c>
      <c r="D859" s="717">
        <v>1.2510000000000001E-4</v>
      </c>
      <c r="E859" s="718">
        <v>241839</v>
      </c>
      <c r="F859" s="718"/>
      <c r="G859" s="719">
        <v>13932</v>
      </c>
      <c r="H859" s="720">
        <v>58719</v>
      </c>
      <c r="I859" s="719">
        <v>34538</v>
      </c>
      <c r="J859" s="718">
        <v>41924</v>
      </c>
      <c r="K859" s="720">
        <f t="shared" si="26"/>
        <v>149113</v>
      </c>
      <c r="L859" s="718"/>
      <c r="M859" s="719">
        <v>6846</v>
      </c>
      <c r="N859" s="719">
        <v>0</v>
      </c>
      <c r="O859" s="718">
        <v>4400</v>
      </c>
      <c r="P859" s="720">
        <f t="shared" si="27"/>
        <v>11246</v>
      </c>
      <c r="Q859" s="718"/>
      <c r="R859" s="719">
        <v>81500</v>
      </c>
      <c r="S859" s="721">
        <v>8626</v>
      </c>
      <c r="T859" s="721">
        <v>90126</v>
      </c>
    </row>
    <row r="860" spans="1:20" x14ac:dyDescent="0.25">
      <c r="A860" s="715">
        <v>99413</v>
      </c>
      <c r="B860" s="716" t="s">
        <v>3390</v>
      </c>
      <c r="C860" s="717">
        <v>3.1099999999999997E-5</v>
      </c>
      <c r="D860" s="717">
        <v>2.76E-5</v>
      </c>
      <c r="E860" s="718">
        <v>47512</v>
      </c>
      <c r="F860" s="718"/>
      <c r="G860" s="719">
        <v>2737</v>
      </c>
      <c r="H860" s="720">
        <v>11536</v>
      </c>
      <c r="I860" s="719">
        <v>6785</v>
      </c>
      <c r="J860" s="718">
        <v>5754</v>
      </c>
      <c r="K860" s="720">
        <f t="shared" si="26"/>
        <v>26812</v>
      </c>
      <c r="L860" s="718"/>
      <c r="M860" s="719">
        <v>1345</v>
      </c>
      <c r="N860" s="719">
        <v>0</v>
      </c>
      <c r="O860" s="718">
        <v>3024</v>
      </c>
      <c r="P860" s="720">
        <f t="shared" si="27"/>
        <v>4369</v>
      </c>
      <c r="Q860" s="718"/>
      <c r="R860" s="719">
        <v>16012</v>
      </c>
      <c r="S860" s="721">
        <v>202</v>
      </c>
      <c r="T860" s="721">
        <v>16214</v>
      </c>
    </row>
    <row r="861" spans="1:20" x14ac:dyDescent="0.25">
      <c r="A861" s="715">
        <v>99421</v>
      </c>
      <c r="B861" s="716" t="s">
        <v>3391</v>
      </c>
      <c r="C861" s="717">
        <v>1.04E-5</v>
      </c>
      <c r="D861" s="717">
        <v>1.5E-5</v>
      </c>
      <c r="E861" s="718">
        <v>15888</v>
      </c>
      <c r="F861" s="718"/>
      <c r="G861" s="719">
        <v>915</v>
      </c>
      <c r="H861" s="720">
        <v>3858</v>
      </c>
      <c r="I861" s="719">
        <v>2269</v>
      </c>
      <c r="J861" s="718">
        <v>764</v>
      </c>
      <c r="K861" s="720">
        <f t="shared" si="26"/>
        <v>7806</v>
      </c>
      <c r="L861" s="718"/>
      <c r="M861" s="719">
        <v>450</v>
      </c>
      <c r="N861" s="719">
        <v>0</v>
      </c>
      <c r="O861" s="718">
        <v>5440</v>
      </c>
      <c r="P861" s="720">
        <f t="shared" si="27"/>
        <v>5890</v>
      </c>
      <c r="Q861" s="718"/>
      <c r="R861" s="719">
        <v>5354</v>
      </c>
      <c r="S861" s="721">
        <v>-1116</v>
      </c>
      <c r="T861" s="721">
        <v>4238</v>
      </c>
    </row>
    <row r="862" spans="1:20" x14ac:dyDescent="0.25">
      <c r="A862" s="715">
        <v>99431</v>
      </c>
      <c r="B862" s="716" t="s">
        <v>3392</v>
      </c>
      <c r="C862" s="717">
        <v>2.2200000000000001E-5</v>
      </c>
      <c r="D862" s="717">
        <v>2.16E-5</v>
      </c>
      <c r="E862" s="718">
        <v>33915</v>
      </c>
      <c r="F862" s="718"/>
      <c r="G862" s="719">
        <v>1954</v>
      </c>
      <c r="H862" s="720">
        <v>8235</v>
      </c>
      <c r="I862" s="719">
        <v>4844</v>
      </c>
      <c r="J862" s="718">
        <v>1071</v>
      </c>
      <c r="K862" s="720">
        <f t="shared" si="26"/>
        <v>16104</v>
      </c>
      <c r="L862" s="718"/>
      <c r="M862" s="719">
        <v>960</v>
      </c>
      <c r="N862" s="719">
        <v>0</v>
      </c>
      <c r="O862" s="718">
        <v>3001</v>
      </c>
      <c r="P862" s="720">
        <f t="shared" si="27"/>
        <v>3961</v>
      </c>
      <c r="Q862" s="718"/>
      <c r="R862" s="719">
        <v>11430</v>
      </c>
      <c r="S862" s="721">
        <v>119</v>
      </c>
      <c r="T862" s="721">
        <v>11549</v>
      </c>
    </row>
    <row r="863" spans="1:20" x14ac:dyDescent="0.25">
      <c r="A863" s="715">
        <v>99501</v>
      </c>
      <c r="B863" s="716" t="s">
        <v>3393</v>
      </c>
      <c r="C863" s="717">
        <v>1.6785000000000001E-3</v>
      </c>
      <c r="D863" s="717">
        <v>1.7390000000000001E-3</v>
      </c>
      <c r="E863" s="718">
        <v>2564283</v>
      </c>
      <c r="F863" s="718"/>
      <c r="G863" s="719">
        <v>147726</v>
      </c>
      <c r="H863" s="720">
        <v>622611</v>
      </c>
      <c r="I863" s="719">
        <v>366215</v>
      </c>
      <c r="J863" s="718">
        <v>3764</v>
      </c>
      <c r="K863" s="720">
        <f t="shared" si="26"/>
        <v>1140316</v>
      </c>
      <c r="L863" s="718"/>
      <c r="M863" s="719">
        <v>72587</v>
      </c>
      <c r="N863" s="719">
        <v>0</v>
      </c>
      <c r="O863" s="718">
        <v>21505</v>
      </c>
      <c r="P863" s="720">
        <f t="shared" si="27"/>
        <v>94092</v>
      </c>
      <c r="Q863" s="718"/>
      <c r="R863" s="719">
        <v>864166</v>
      </c>
      <c r="S863" s="721">
        <v>-3415</v>
      </c>
      <c r="T863" s="721">
        <f>860750+1</f>
        <v>860751</v>
      </c>
    </row>
    <row r="864" spans="1:20" x14ac:dyDescent="0.25">
      <c r="A864" s="715">
        <v>99502</v>
      </c>
      <c r="B864" s="716" t="s">
        <v>3394</v>
      </c>
      <c r="C864" s="717">
        <v>1.373E-4</v>
      </c>
      <c r="D864" s="717">
        <v>1.3779999999999999E-4</v>
      </c>
      <c r="E864" s="718">
        <v>209756</v>
      </c>
      <c r="F864" s="718"/>
      <c r="G864" s="719">
        <v>12084</v>
      </c>
      <c r="H864" s="720">
        <v>50929</v>
      </c>
      <c r="I864" s="719">
        <v>29956</v>
      </c>
      <c r="J864" s="718">
        <v>21393</v>
      </c>
      <c r="K864" s="720">
        <f t="shared" si="26"/>
        <v>114362</v>
      </c>
      <c r="L864" s="718"/>
      <c r="M864" s="719">
        <v>5938</v>
      </c>
      <c r="N864" s="719">
        <v>0</v>
      </c>
      <c r="O864" s="718">
        <v>71</v>
      </c>
      <c r="P864" s="720">
        <f t="shared" si="27"/>
        <v>6009</v>
      </c>
      <c r="Q864" s="718"/>
      <c r="R864" s="719">
        <v>70688</v>
      </c>
      <c r="S864" s="721">
        <v>9456</v>
      </c>
      <c r="T864" s="721">
        <v>80144</v>
      </c>
    </row>
    <row r="865" spans="1:20" x14ac:dyDescent="0.25">
      <c r="A865" s="715">
        <v>99508</v>
      </c>
      <c r="B865" s="716" t="s">
        <v>3395</v>
      </c>
      <c r="C865" s="717">
        <v>2.2099999999999998E-5</v>
      </c>
      <c r="D865" s="717">
        <v>2.1699999999999999E-5</v>
      </c>
      <c r="E865" s="718">
        <v>33763</v>
      </c>
      <c r="F865" s="718"/>
      <c r="G865" s="719">
        <v>1945</v>
      </c>
      <c r="H865" s="720">
        <v>8198</v>
      </c>
      <c r="I865" s="719">
        <v>4822</v>
      </c>
      <c r="J865" s="718">
        <v>37</v>
      </c>
      <c r="K865" s="720">
        <f t="shared" si="26"/>
        <v>15002</v>
      </c>
      <c r="L865" s="718"/>
      <c r="M865" s="719">
        <v>956</v>
      </c>
      <c r="N865" s="719">
        <v>0</v>
      </c>
      <c r="O865" s="718">
        <v>1571</v>
      </c>
      <c r="P865" s="720">
        <f t="shared" si="27"/>
        <v>2527</v>
      </c>
      <c r="Q865" s="718"/>
      <c r="R865" s="719">
        <v>11378</v>
      </c>
      <c r="S865" s="721">
        <v>-984</v>
      </c>
      <c r="T865" s="721">
        <v>10394</v>
      </c>
    </row>
    <row r="866" spans="1:20" x14ac:dyDescent="0.25">
      <c r="A866" s="715">
        <v>99509</v>
      </c>
      <c r="B866" s="716" t="s">
        <v>3396</v>
      </c>
      <c r="C866" s="717">
        <v>2.76E-5</v>
      </c>
      <c r="D866" s="717">
        <v>2.8900000000000001E-5</v>
      </c>
      <c r="E866" s="718">
        <v>42165</v>
      </c>
      <c r="F866" s="718"/>
      <c r="G866" s="719">
        <v>2429</v>
      </c>
      <c r="H866" s="720">
        <v>10238</v>
      </c>
      <c r="I866" s="719">
        <v>6022</v>
      </c>
      <c r="J866" s="718">
        <v>0</v>
      </c>
      <c r="K866" s="720">
        <f t="shared" si="26"/>
        <v>18689</v>
      </c>
      <c r="L866" s="718"/>
      <c r="M866" s="719">
        <v>1194</v>
      </c>
      <c r="N866" s="719">
        <v>0</v>
      </c>
      <c r="O866" s="718">
        <v>6512</v>
      </c>
      <c r="P866" s="720">
        <f t="shared" si="27"/>
        <v>7706</v>
      </c>
      <c r="Q866" s="718"/>
      <c r="R866" s="719">
        <v>14210</v>
      </c>
      <c r="S866" s="721">
        <v>-4301</v>
      </c>
      <c r="T866" s="721">
        <v>9909</v>
      </c>
    </row>
    <row r="867" spans="1:20" x14ac:dyDescent="0.25">
      <c r="A867" s="715">
        <v>99511</v>
      </c>
      <c r="B867" s="716" t="s">
        <v>3397</v>
      </c>
      <c r="C867" s="717">
        <v>1.4048999999999999E-3</v>
      </c>
      <c r="D867" s="717">
        <v>1.3638000000000001E-3</v>
      </c>
      <c r="E867" s="718">
        <v>2146298</v>
      </c>
      <c r="F867" s="718"/>
      <c r="G867" s="719">
        <v>123647</v>
      </c>
      <c r="H867" s="720">
        <v>521124</v>
      </c>
      <c r="I867" s="719">
        <v>306521</v>
      </c>
      <c r="J867" s="718">
        <v>4500</v>
      </c>
      <c r="K867" s="720">
        <f t="shared" si="26"/>
        <v>955792</v>
      </c>
      <c r="L867" s="718"/>
      <c r="M867" s="719">
        <v>60755</v>
      </c>
      <c r="N867" s="719">
        <v>0</v>
      </c>
      <c r="O867" s="718">
        <v>85381</v>
      </c>
      <c r="P867" s="720">
        <f t="shared" si="27"/>
        <v>146136</v>
      </c>
      <c r="Q867" s="718"/>
      <c r="R867" s="719">
        <v>723304</v>
      </c>
      <c r="S867" s="721">
        <v>-30654</v>
      </c>
      <c r="T867" s="721">
        <v>692650</v>
      </c>
    </row>
    <row r="868" spans="1:20" x14ac:dyDescent="0.25">
      <c r="A868" s="715">
        <v>99521</v>
      </c>
      <c r="B868" s="716" t="s">
        <v>3398</v>
      </c>
      <c r="C868" s="717">
        <v>4.2700000000000002E-4</v>
      </c>
      <c r="D868" s="717">
        <v>4.0180000000000001E-4</v>
      </c>
      <c r="E868" s="718">
        <v>652338</v>
      </c>
      <c r="F868" s="718"/>
      <c r="G868" s="719">
        <v>37581</v>
      </c>
      <c r="H868" s="720">
        <v>158389</v>
      </c>
      <c r="I868" s="719">
        <v>93163</v>
      </c>
      <c r="J868" s="718">
        <v>2015</v>
      </c>
      <c r="K868" s="720">
        <f t="shared" si="26"/>
        <v>291148</v>
      </c>
      <c r="L868" s="718"/>
      <c r="M868" s="719">
        <v>18466</v>
      </c>
      <c r="N868" s="719">
        <v>0</v>
      </c>
      <c r="O868" s="718">
        <v>15563</v>
      </c>
      <c r="P868" s="720">
        <f t="shared" si="27"/>
        <v>34029</v>
      </c>
      <c r="Q868" s="718"/>
      <c r="R868" s="719">
        <v>219838</v>
      </c>
      <c r="S868" s="721">
        <v>-5081</v>
      </c>
      <c r="T868" s="721">
        <v>214757</v>
      </c>
    </row>
    <row r="869" spans="1:20" x14ac:dyDescent="0.25">
      <c r="A869" s="715">
        <v>99527</v>
      </c>
      <c r="B869" s="716" t="s">
        <v>3399</v>
      </c>
      <c r="C869" s="717">
        <v>1.19E-5</v>
      </c>
      <c r="D869" s="717">
        <v>1.2099999999999999E-5</v>
      </c>
      <c r="E869" s="718">
        <v>18180</v>
      </c>
      <c r="F869" s="718"/>
      <c r="G869" s="719">
        <v>1047</v>
      </c>
      <c r="H869" s="720">
        <v>4414</v>
      </c>
      <c r="I869" s="719">
        <v>2596</v>
      </c>
      <c r="J869" s="718">
        <v>1124</v>
      </c>
      <c r="K869" s="720">
        <f t="shared" si="26"/>
        <v>9181</v>
      </c>
      <c r="L869" s="718"/>
      <c r="M869" s="719">
        <v>515</v>
      </c>
      <c r="N869" s="719">
        <v>0</v>
      </c>
      <c r="O869" s="718">
        <v>0</v>
      </c>
      <c r="P869" s="720">
        <f t="shared" si="27"/>
        <v>515</v>
      </c>
      <c r="Q869" s="718"/>
      <c r="R869" s="719">
        <v>6127</v>
      </c>
      <c r="S869" s="721">
        <v>591</v>
      </c>
      <c r="T869" s="721">
        <v>6718</v>
      </c>
    </row>
    <row r="870" spans="1:20" x14ac:dyDescent="0.25">
      <c r="A870" s="715">
        <v>99531</v>
      </c>
      <c r="B870" s="716" t="s">
        <v>3400</v>
      </c>
      <c r="C870" s="717">
        <v>9.3499999999999996E-5</v>
      </c>
      <c r="D870" s="717">
        <v>8.7600000000000002E-5</v>
      </c>
      <c r="E870" s="718">
        <v>142842</v>
      </c>
      <c r="F870" s="718"/>
      <c r="G870" s="719">
        <v>8229</v>
      </c>
      <c r="H870" s="720">
        <v>34683</v>
      </c>
      <c r="I870" s="719">
        <v>20400</v>
      </c>
      <c r="J870" s="718">
        <v>55453</v>
      </c>
      <c r="K870" s="720">
        <f t="shared" si="26"/>
        <v>118765</v>
      </c>
      <c r="L870" s="718"/>
      <c r="M870" s="719">
        <v>4043</v>
      </c>
      <c r="N870" s="719">
        <v>0</v>
      </c>
      <c r="O870" s="718">
        <v>0</v>
      </c>
      <c r="P870" s="720">
        <f t="shared" si="27"/>
        <v>4043</v>
      </c>
      <c r="Q870" s="718"/>
      <c r="R870" s="719">
        <v>48138</v>
      </c>
      <c r="S870" s="721">
        <v>18721</v>
      </c>
      <c r="T870" s="721">
        <v>66859</v>
      </c>
    </row>
    <row r="871" spans="1:20" x14ac:dyDescent="0.25">
      <c r="A871" s="715">
        <v>99601</v>
      </c>
      <c r="B871" s="716" t="s">
        <v>3401</v>
      </c>
      <c r="C871" s="717">
        <v>5.7812000000000002E-3</v>
      </c>
      <c r="D871" s="717">
        <v>5.2824999999999999E-3</v>
      </c>
      <c r="E871" s="718">
        <v>8832072</v>
      </c>
      <c r="F871" s="718"/>
      <c r="G871" s="719">
        <v>508809</v>
      </c>
      <c r="H871" s="720">
        <v>2144438</v>
      </c>
      <c r="I871" s="719">
        <v>1261342</v>
      </c>
      <c r="J871" s="718">
        <v>289372</v>
      </c>
      <c r="K871" s="720">
        <f t="shared" si="26"/>
        <v>4203961</v>
      </c>
      <c r="L871" s="718"/>
      <c r="M871" s="719">
        <v>250008</v>
      </c>
      <c r="N871" s="719">
        <v>0</v>
      </c>
      <c r="O871" s="718">
        <v>73071</v>
      </c>
      <c r="P871" s="720">
        <f t="shared" si="27"/>
        <v>323079</v>
      </c>
      <c r="Q871" s="718"/>
      <c r="R871" s="719">
        <v>2976416</v>
      </c>
      <c r="S871" s="721">
        <v>55175</v>
      </c>
      <c r="T871" s="721">
        <f>3031592-1</f>
        <v>3031591</v>
      </c>
    </row>
    <row r="872" spans="1:20" x14ac:dyDescent="0.25">
      <c r="A872" s="715">
        <v>99602</v>
      </c>
      <c r="B872" s="716" t="s">
        <v>3402</v>
      </c>
      <c r="C872" s="717">
        <v>6.19E-5</v>
      </c>
      <c r="D872" s="717">
        <v>5.1700000000000003E-5</v>
      </c>
      <c r="E872" s="718">
        <v>94566</v>
      </c>
      <c r="F872" s="718"/>
      <c r="G872" s="719">
        <v>5448</v>
      </c>
      <c r="H872" s="720">
        <v>22961</v>
      </c>
      <c r="I872" s="719">
        <v>13505</v>
      </c>
      <c r="J872" s="718">
        <v>10306</v>
      </c>
      <c r="K872" s="720">
        <f t="shared" si="26"/>
        <v>52220</v>
      </c>
      <c r="L872" s="718"/>
      <c r="M872" s="719">
        <v>2677</v>
      </c>
      <c r="N872" s="719">
        <v>0</v>
      </c>
      <c r="O872" s="718">
        <v>2067</v>
      </c>
      <c r="P872" s="720">
        <f t="shared" si="27"/>
        <v>4744</v>
      </c>
      <c r="Q872" s="718"/>
      <c r="R872" s="719">
        <v>31869</v>
      </c>
      <c r="S872" s="721">
        <v>1298</v>
      </c>
      <c r="T872" s="721">
        <v>33167</v>
      </c>
    </row>
    <row r="873" spans="1:20" x14ac:dyDescent="0.25">
      <c r="A873" s="715">
        <v>99603</v>
      </c>
      <c r="B873" s="716" t="s">
        <v>3403</v>
      </c>
      <c r="C873" s="717">
        <v>1.615E-4</v>
      </c>
      <c r="D873" s="717">
        <v>1.4219999999999999E-4</v>
      </c>
      <c r="E873" s="718">
        <v>246727</v>
      </c>
      <c r="F873" s="718"/>
      <c r="G873" s="719">
        <v>14214</v>
      </c>
      <c r="H873" s="720">
        <v>59905</v>
      </c>
      <c r="I873" s="719">
        <v>35236</v>
      </c>
      <c r="J873" s="718">
        <v>95435</v>
      </c>
      <c r="K873" s="720">
        <f t="shared" si="26"/>
        <v>204790</v>
      </c>
      <c r="L873" s="718"/>
      <c r="M873" s="719">
        <v>6984</v>
      </c>
      <c r="N873" s="719">
        <v>0</v>
      </c>
      <c r="O873" s="718">
        <v>0</v>
      </c>
      <c r="P873" s="720">
        <f t="shared" si="27"/>
        <v>6984</v>
      </c>
      <c r="Q873" s="718"/>
      <c r="R873" s="719">
        <v>83147</v>
      </c>
      <c r="S873" s="721">
        <v>37380</v>
      </c>
      <c r="T873" s="721">
        <v>120527</v>
      </c>
    </row>
    <row r="874" spans="1:20" x14ac:dyDescent="0.25">
      <c r="A874" s="715">
        <v>99604</v>
      </c>
      <c r="B874" s="716" t="s">
        <v>3404</v>
      </c>
      <c r="C874" s="717">
        <v>1.009E-4</v>
      </c>
      <c r="D874" s="717">
        <v>9.6899999999999997E-5</v>
      </c>
      <c r="E874" s="718">
        <v>154147</v>
      </c>
      <c r="F874" s="718"/>
      <c r="G874" s="719">
        <v>8880</v>
      </c>
      <c r="H874" s="720">
        <v>37427</v>
      </c>
      <c r="I874" s="719">
        <v>22014</v>
      </c>
      <c r="J874" s="718">
        <v>20530</v>
      </c>
      <c r="K874" s="720">
        <f t="shared" si="26"/>
        <v>88851</v>
      </c>
      <c r="L874" s="718"/>
      <c r="M874" s="719">
        <v>4363</v>
      </c>
      <c r="N874" s="719">
        <v>0</v>
      </c>
      <c r="O874" s="718">
        <v>0</v>
      </c>
      <c r="P874" s="720">
        <f t="shared" si="27"/>
        <v>4363</v>
      </c>
      <c r="Q874" s="718"/>
      <c r="R874" s="719">
        <v>51948</v>
      </c>
      <c r="S874" s="721">
        <v>9479</v>
      </c>
      <c r="T874" s="721">
        <v>61427</v>
      </c>
    </row>
    <row r="875" spans="1:20" x14ac:dyDescent="0.25">
      <c r="A875" s="715">
        <v>99609</v>
      </c>
      <c r="B875" s="716" t="s">
        <v>3405</v>
      </c>
      <c r="C875" s="717">
        <v>1.52E-5</v>
      </c>
      <c r="D875" s="717">
        <v>2.0999999999999999E-5</v>
      </c>
      <c r="E875" s="718">
        <v>23221</v>
      </c>
      <c r="F875" s="718"/>
      <c r="G875" s="719">
        <v>1338</v>
      </c>
      <c r="H875" s="720">
        <v>5638</v>
      </c>
      <c r="I875" s="719">
        <v>3316</v>
      </c>
      <c r="J875" s="718">
        <v>3555</v>
      </c>
      <c r="K875" s="720">
        <f t="shared" si="26"/>
        <v>13847</v>
      </c>
      <c r="L875" s="718"/>
      <c r="M875" s="719">
        <v>657</v>
      </c>
      <c r="N875" s="719">
        <v>0</v>
      </c>
      <c r="O875" s="718">
        <v>1523</v>
      </c>
      <c r="P875" s="720">
        <f t="shared" si="27"/>
        <v>2180</v>
      </c>
      <c r="Q875" s="718"/>
      <c r="R875" s="719">
        <v>7826</v>
      </c>
      <c r="S875" s="721">
        <v>1693</v>
      </c>
      <c r="T875" s="721">
        <v>9519</v>
      </c>
    </row>
    <row r="876" spans="1:20" x14ac:dyDescent="0.25">
      <c r="A876" s="715">
        <v>99610</v>
      </c>
      <c r="B876" s="716" t="s">
        <v>3406</v>
      </c>
      <c r="C876" s="717">
        <v>1.9440000000000001E-4</v>
      </c>
      <c r="D876" s="717">
        <v>1.9440000000000001E-4</v>
      </c>
      <c r="E876" s="718">
        <v>296989</v>
      </c>
      <c r="F876" s="718"/>
      <c r="G876" s="719">
        <v>17109</v>
      </c>
      <c r="H876" s="720">
        <v>72109</v>
      </c>
      <c r="I876" s="719">
        <v>42414</v>
      </c>
      <c r="J876" s="718">
        <v>2712</v>
      </c>
      <c r="K876" s="720">
        <f t="shared" si="26"/>
        <v>134344</v>
      </c>
      <c r="L876" s="718"/>
      <c r="M876" s="719">
        <v>8407</v>
      </c>
      <c r="N876" s="719">
        <v>0</v>
      </c>
      <c r="O876" s="718">
        <v>4164</v>
      </c>
      <c r="P876" s="720">
        <f t="shared" si="27"/>
        <v>12571</v>
      </c>
      <c r="Q876" s="718"/>
      <c r="R876" s="719">
        <v>100086</v>
      </c>
      <c r="S876" s="721">
        <v>576</v>
      </c>
      <c r="T876" s="721">
        <v>100662</v>
      </c>
    </row>
    <row r="877" spans="1:20" x14ac:dyDescent="0.25">
      <c r="A877" s="715">
        <v>99611</v>
      </c>
      <c r="B877" s="716" t="s">
        <v>3407</v>
      </c>
      <c r="C877" s="717">
        <v>3.1959000000000002E-3</v>
      </c>
      <c r="D877" s="717">
        <v>3.1495999999999998E-3</v>
      </c>
      <c r="E877" s="718">
        <v>4882450</v>
      </c>
      <c r="F877" s="718"/>
      <c r="G877" s="719">
        <v>281274</v>
      </c>
      <c r="H877" s="720">
        <v>1185465</v>
      </c>
      <c r="I877" s="719">
        <v>697281</v>
      </c>
      <c r="J877" s="718">
        <v>36523</v>
      </c>
      <c r="K877" s="720">
        <f t="shared" si="26"/>
        <v>2200543</v>
      </c>
      <c r="L877" s="718"/>
      <c r="M877" s="719">
        <v>138207</v>
      </c>
      <c r="N877" s="719">
        <v>0</v>
      </c>
      <c r="O877" s="718">
        <v>197702</v>
      </c>
      <c r="P877" s="720">
        <f t="shared" si="27"/>
        <v>335909</v>
      </c>
      <c r="Q877" s="718"/>
      <c r="R877" s="719">
        <v>1645390</v>
      </c>
      <c r="S877" s="721">
        <v>-88518</v>
      </c>
      <c r="T877" s="721">
        <v>1556872</v>
      </c>
    </row>
    <row r="878" spans="1:20" x14ac:dyDescent="0.25">
      <c r="A878" s="715">
        <v>99613</v>
      </c>
      <c r="B878" s="716" t="s">
        <v>3408</v>
      </c>
      <c r="C878" s="717">
        <v>3.2909999999999998E-4</v>
      </c>
      <c r="D878" s="717">
        <v>3.369E-4</v>
      </c>
      <c r="E878" s="718">
        <v>502774</v>
      </c>
      <c r="F878" s="718"/>
      <c r="G878" s="719">
        <v>28964</v>
      </c>
      <c r="H878" s="720">
        <v>122074</v>
      </c>
      <c r="I878" s="719">
        <v>71803</v>
      </c>
      <c r="J878" s="718">
        <v>283917</v>
      </c>
      <c r="K878" s="720">
        <f t="shared" si="26"/>
        <v>506758</v>
      </c>
      <c r="L878" s="718"/>
      <c r="M878" s="719">
        <v>14232</v>
      </c>
      <c r="N878" s="719">
        <v>0</v>
      </c>
      <c r="O878" s="718">
        <v>0</v>
      </c>
      <c r="P878" s="720">
        <f t="shared" si="27"/>
        <v>14232</v>
      </c>
      <c r="Q878" s="718"/>
      <c r="R878" s="719">
        <v>169435</v>
      </c>
      <c r="S878" s="721">
        <v>96572</v>
      </c>
      <c r="T878" s="721">
        <v>266007</v>
      </c>
    </row>
    <row r="879" spans="1:20" x14ac:dyDescent="0.25">
      <c r="A879" s="715">
        <v>99621</v>
      </c>
      <c r="B879" s="716" t="s">
        <v>3409</v>
      </c>
      <c r="C879" s="717">
        <v>3.7060000000000001E-4</v>
      </c>
      <c r="D879" s="717">
        <v>3.2850000000000002E-4</v>
      </c>
      <c r="E879" s="718">
        <v>566174</v>
      </c>
      <c r="F879" s="718"/>
      <c r="G879" s="719">
        <v>32617</v>
      </c>
      <c r="H879" s="720">
        <v>137468</v>
      </c>
      <c r="I879" s="719">
        <v>80858</v>
      </c>
      <c r="J879" s="718">
        <v>42182</v>
      </c>
      <c r="K879" s="720">
        <f t="shared" si="26"/>
        <v>293125</v>
      </c>
      <c r="L879" s="718"/>
      <c r="M879" s="719">
        <v>16027</v>
      </c>
      <c r="N879" s="719">
        <v>0</v>
      </c>
      <c r="O879" s="718">
        <v>4670</v>
      </c>
      <c r="P879" s="720">
        <f t="shared" si="27"/>
        <v>20697</v>
      </c>
      <c r="Q879" s="718"/>
      <c r="R879" s="719">
        <v>190801</v>
      </c>
      <c r="S879" s="721">
        <v>12829</v>
      </c>
      <c r="T879" s="721">
        <v>203630</v>
      </c>
    </row>
    <row r="880" spans="1:20" x14ac:dyDescent="0.25">
      <c r="A880" s="715">
        <v>99623</v>
      </c>
      <c r="B880" s="716" t="s">
        <v>3410</v>
      </c>
      <c r="C880" s="717">
        <v>2.6400000000000001E-5</v>
      </c>
      <c r="D880" s="717">
        <v>2.9200000000000002E-5</v>
      </c>
      <c r="E880" s="718">
        <v>40332</v>
      </c>
      <c r="F880" s="718"/>
      <c r="G880" s="719">
        <v>2323</v>
      </c>
      <c r="H880" s="720">
        <v>9793</v>
      </c>
      <c r="I880" s="719">
        <v>5760</v>
      </c>
      <c r="J880" s="718">
        <v>2450</v>
      </c>
      <c r="K880" s="720">
        <f t="shared" si="26"/>
        <v>20326</v>
      </c>
      <c r="L880" s="718"/>
      <c r="M880" s="719">
        <v>1142</v>
      </c>
      <c r="N880" s="719">
        <v>0</v>
      </c>
      <c r="O880" s="718">
        <v>2848</v>
      </c>
      <c r="P880" s="720">
        <f t="shared" si="27"/>
        <v>3990</v>
      </c>
      <c r="Q880" s="718"/>
      <c r="R880" s="719">
        <v>13592</v>
      </c>
      <c r="S880" s="721">
        <v>317</v>
      </c>
      <c r="T880" s="721">
        <f>13908+1</f>
        <v>13909</v>
      </c>
    </row>
    <row r="881" spans="1:20" x14ac:dyDescent="0.25">
      <c r="A881" s="715">
        <v>99631</v>
      </c>
      <c r="B881" s="716" t="s">
        <v>3411</v>
      </c>
      <c r="C881" s="717">
        <v>1.102E-4</v>
      </c>
      <c r="D881" s="717">
        <v>1.0340000000000001E-4</v>
      </c>
      <c r="E881" s="718">
        <v>168355</v>
      </c>
      <c r="F881" s="718"/>
      <c r="G881" s="719">
        <v>9699</v>
      </c>
      <c r="H881" s="720">
        <v>40877</v>
      </c>
      <c r="I881" s="719">
        <v>24043</v>
      </c>
      <c r="J881" s="718">
        <v>1071</v>
      </c>
      <c r="K881" s="720">
        <f t="shared" si="26"/>
        <v>75690</v>
      </c>
      <c r="L881" s="718"/>
      <c r="M881" s="719">
        <v>4766</v>
      </c>
      <c r="N881" s="719">
        <v>0</v>
      </c>
      <c r="O881" s="718">
        <v>5159</v>
      </c>
      <c r="P881" s="720">
        <f t="shared" si="27"/>
        <v>9925</v>
      </c>
      <c r="Q881" s="718"/>
      <c r="R881" s="719">
        <v>56736</v>
      </c>
      <c r="S881" s="721">
        <v>-3954</v>
      </c>
      <c r="T881" s="721">
        <f>52781+1</f>
        <v>52782</v>
      </c>
    </row>
    <row r="882" spans="1:20" x14ac:dyDescent="0.25">
      <c r="A882" s="715">
        <v>99651</v>
      </c>
      <c r="B882" s="716" t="s">
        <v>3412</v>
      </c>
      <c r="C882" s="717">
        <v>6.7199999999999994E-5</v>
      </c>
      <c r="D882" s="717">
        <v>6.7100000000000005E-5</v>
      </c>
      <c r="E882" s="718">
        <v>102663</v>
      </c>
      <c r="F882" s="718"/>
      <c r="G882" s="719">
        <v>5914</v>
      </c>
      <c r="H882" s="720">
        <v>24927</v>
      </c>
      <c r="I882" s="719">
        <v>14662</v>
      </c>
      <c r="J882" s="718">
        <v>5944</v>
      </c>
      <c r="K882" s="720">
        <f t="shared" si="26"/>
        <v>51447</v>
      </c>
      <c r="L882" s="718"/>
      <c r="M882" s="719">
        <v>2906</v>
      </c>
      <c r="N882" s="719">
        <v>0</v>
      </c>
      <c r="O882" s="718">
        <v>1841</v>
      </c>
      <c r="P882" s="720">
        <f t="shared" si="27"/>
        <v>4747</v>
      </c>
      <c r="Q882" s="718"/>
      <c r="R882" s="719">
        <v>34598</v>
      </c>
      <c r="S882" s="721">
        <v>1312</v>
      </c>
      <c r="T882" s="721">
        <v>35910</v>
      </c>
    </row>
    <row r="883" spans="1:20" x14ac:dyDescent="0.25">
      <c r="A883" s="715">
        <v>99661</v>
      </c>
      <c r="B883" s="716" t="s">
        <v>3413</v>
      </c>
      <c r="C883" s="717">
        <v>3.26E-5</v>
      </c>
      <c r="D883" s="717">
        <v>3.5500000000000002E-5</v>
      </c>
      <c r="E883" s="718">
        <v>49804</v>
      </c>
      <c r="F883" s="718"/>
      <c r="G883" s="719">
        <v>2869</v>
      </c>
      <c r="H883" s="720">
        <v>12092</v>
      </c>
      <c r="I883" s="719">
        <v>7113</v>
      </c>
      <c r="J883" s="718">
        <v>34726</v>
      </c>
      <c r="K883" s="720">
        <f t="shared" si="26"/>
        <v>56800</v>
      </c>
      <c r="L883" s="718"/>
      <c r="M883" s="719">
        <v>1410</v>
      </c>
      <c r="N883" s="719">
        <v>0</v>
      </c>
      <c r="O883" s="718">
        <v>0</v>
      </c>
      <c r="P883" s="720">
        <f t="shared" si="27"/>
        <v>1410</v>
      </c>
      <c r="Q883" s="718"/>
      <c r="R883" s="719">
        <v>16784</v>
      </c>
      <c r="S883" s="721">
        <v>12838</v>
      </c>
      <c r="T883" s="721">
        <v>29622</v>
      </c>
    </row>
    <row r="884" spans="1:20" x14ac:dyDescent="0.25">
      <c r="A884" s="715">
        <v>99701</v>
      </c>
      <c r="B884" s="716" t="s">
        <v>3414</v>
      </c>
      <c r="C884" s="717">
        <v>2.9190000000000002E-3</v>
      </c>
      <c r="D884" s="717">
        <v>2.8774E-3</v>
      </c>
      <c r="E884" s="718">
        <v>4459423</v>
      </c>
      <c r="F884" s="718"/>
      <c r="G884" s="719">
        <v>256904</v>
      </c>
      <c r="H884" s="720">
        <v>1082754</v>
      </c>
      <c r="I884" s="719">
        <v>636867</v>
      </c>
      <c r="J884" s="718">
        <v>21162</v>
      </c>
      <c r="K884" s="720">
        <f t="shared" si="26"/>
        <v>1997687</v>
      </c>
      <c r="L884" s="718"/>
      <c r="M884" s="719">
        <v>126232</v>
      </c>
      <c r="N884" s="719">
        <v>0</v>
      </c>
      <c r="O884" s="718">
        <v>17651</v>
      </c>
      <c r="P884" s="720">
        <f t="shared" si="27"/>
        <v>143883</v>
      </c>
      <c r="Q884" s="718"/>
      <c r="R884" s="719">
        <v>1502830</v>
      </c>
      <c r="S884" s="721">
        <v>-1976</v>
      </c>
      <c r="T884" s="721">
        <f>1500853+1</f>
        <v>1500854</v>
      </c>
    </row>
    <row r="885" spans="1:20" x14ac:dyDescent="0.25">
      <c r="A885" s="715">
        <v>99705</v>
      </c>
      <c r="B885" s="716" t="s">
        <v>3415</v>
      </c>
      <c r="C885" s="717">
        <v>1.7229999999999999E-4</v>
      </c>
      <c r="D885" s="717">
        <v>1.7259999999999999E-4</v>
      </c>
      <c r="E885" s="718">
        <v>263227</v>
      </c>
      <c r="F885" s="718"/>
      <c r="G885" s="719">
        <v>15164</v>
      </c>
      <c r="H885" s="720">
        <v>63911</v>
      </c>
      <c r="I885" s="719">
        <v>37592</v>
      </c>
      <c r="J885" s="718">
        <v>10978</v>
      </c>
      <c r="K885" s="720">
        <f t="shared" si="26"/>
        <v>127645</v>
      </c>
      <c r="L885" s="718"/>
      <c r="M885" s="719">
        <v>7451</v>
      </c>
      <c r="N885" s="719">
        <v>0</v>
      </c>
      <c r="O885" s="718">
        <v>544</v>
      </c>
      <c r="P885" s="720">
        <f t="shared" si="27"/>
        <v>7995</v>
      </c>
      <c r="Q885" s="718"/>
      <c r="R885" s="719">
        <v>88708</v>
      </c>
      <c r="S885" s="721">
        <v>5913</v>
      </c>
      <c r="T885" s="721">
        <v>94621</v>
      </c>
    </row>
    <row r="886" spans="1:20" x14ac:dyDescent="0.25">
      <c r="A886" s="715">
        <v>99711</v>
      </c>
      <c r="B886" s="716" t="s">
        <v>3416</v>
      </c>
      <c r="C886" s="717">
        <v>4.5459999999999999E-4</v>
      </c>
      <c r="D886" s="717">
        <v>4.3540000000000001E-4</v>
      </c>
      <c r="E886" s="718">
        <v>694503</v>
      </c>
      <c r="F886" s="718"/>
      <c r="G886" s="719">
        <v>40010</v>
      </c>
      <c r="H886" s="720">
        <v>168626</v>
      </c>
      <c r="I886" s="719">
        <v>99185</v>
      </c>
      <c r="J886" s="718">
        <v>14449</v>
      </c>
      <c r="K886" s="720">
        <f t="shared" si="26"/>
        <v>322270</v>
      </c>
      <c r="L886" s="718"/>
      <c r="M886" s="719">
        <v>19659</v>
      </c>
      <c r="N886" s="719">
        <v>0</v>
      </c>
      <c r="O886" s="718">
        <v>10625</v>
      </c>
      <c r="P886" s="720">
        <f t="shared" si="27"/>
        <v>30284</v>
      </c>
      <c r="Q886" s="718"/>
      <c r="R886" s="719">
        <v>234048</v>
      </c>
      <c r="S886" s="721">
        <v>-1042</v>
      </c>
      <c r="T886" s="721">
        <v>233006</v>
      </c>
    </row>
    <row r="887" spans="1:20" x14ac:dyDescent="0.25">
      <c r="A887" s="715">
        <v>99717</v>
      </c>
      <c r="B887" s="716" t="s">
        <v>3417</v>
      </c>
      <c r="C887" s="717">
        <v>2.19E-5</v>
      </c>
      <c r="D887" s="717">
        <v>2.3200000000000001E-5</v>
      </c>
      <c r="E887" s="718">
        <v>33457</v>
      </c>
      <c r="F887" s="718"/>
      <c r="G887" s="719">
        <v>1927</v>
      </c>
      <c r="H887" s="720">
        <v>8123</v>
      </c>
      <c r="I887" s="719">
        <v>4778</v>
      </c>
      <c r="J887" s="718">
        <v>0</v>
      </c>
      <c r="K887" s="720">
        <f t="shared" si="26"/>
        <v>14828</v>
      </c>
      <c r="L887" s="718"/>
      <c r="M887" s="719">
        <v>947</v>
      </c>
      <c r="N887" s="719">
        <v>0</v>
      </c>
      <c r="O887" s="718">
        <v>3936</v>
      </c>
      <c r="P887" s="720">
        <f t="shared" si="27"/>
        <v>4883</v>
      </c>
      <c r="Q887" s="718"/>
      <c r="R887" s="719">
        <v>11275</v>
      </c>
      <c r="S887" s="721">
        <v>-1270</v>
      </c>
      <c r="T887" s="721">
        <v>10005</v>
      </c>
    </row>
    <row r="888" spans="1:20" x14ac:dyDescent="0.25">
      <c r="A888" s="715">
        <v>99721</v>
      </c>
      <c r="B888" s="716" t="s">
        <v>3418</v>
      </c>
      <c r="C888" s="717">
        <v>5.7779999999999995E-4</v>
      </c>
      <c r="D888" s="717">
        <v>6.2449999999999995E-4</v>
      </c>
      <c r="E888" s="718">
        <v>882718</v>
      </c>
      <c r="F888" s="718"/>
      <c r="G888" s="719">
        <v>50853</v>
      </c>
      <c r="H888" s="720">
        <v>214325</v>
      </c>
      <c r="I888" s="719">
        <v>126064</v>
      </c>
      <c r="J888" s="718">
        <v>0</v>
      </c>
      <c r="K888" s="720">
        <f t="shared" si="26"/>
        <v>391242</v>
      </c>
      <c r="L888" s="718"/>
      <c r="M888" s="719">
        <v>24987</v>
      </c>
      <c r="N888" s="719">
        <v>0</v>
      </c>
      <c r="O888" s="718">
        <v>48789</v>
      </c>
      <c r="P888" s="720">
        <f t="shared" si="27"/>
        <v>73776</v>
      </c>
      <c r="Q888" s="718"/>
      <c r="R888" s="719">
        <v>297477</v>
      </c>
      <c r="S888" s="721">
        <v>-14223</v>
      </c>
      <c r="T888" s="721">
        <v>283254</v>
      </c>
    </row>
    <row r="889" spans="1:20" x14ac:dyDescent="0.25">
      <c r="A889" s="715">
        <v>99727</v>
      </c>
      <c r="B889" s="716" t="s">
        <v>3419</v>
      </c>
      <c r="C889" s="717">
        <v>2.3900000000000002E-5</v>
      </c>
      <c r="D889" s="717">
        <v>2.5299999999999998E-5</v>
      </c>
      <c r="E889" s="718">
        <v>36513</v>
      </c>
      <c r="F889" s="718"/>
      <c r="G889" s="719">
        <v>2103</v>
      </c>
      <c r="H889" s="720">
        <v>8865</v>
      </c>
      <c r="I889" s="719">
        <v>5215</v>
      </c>
      <c r="J889" s="718">
        <v>59484</v>
      </c>
      <c r="K889" s="720">
        <f t="shared" si="26"/>
        <v>75667</v>
      </c>
      <c r="L889" s="718"/>
      <c r="M889" s="719">
        <v>1034</v>
      </c>
      <c r="N889" s="719">
        <v>0</v>
      </c>
      <c r="O889" s="718">
        <v>0</v>
      </c>
      <c r="P889" s="720">
        <f t="shared" si="27"/>
        <v>1034</v>
      </c>
      <c r="Q889" s="718"/>
      <c r="R889" s="719">
        <v>12305</v>
      </c>
      <c r="S889" s="721">
        <v>20983</v>
      </c>
      <c r="T889" s="721">
        <v>33288</v>
      </c>
    </row>
    <row r="890" spans="1:20" x14ac:dyDescent="0.25">
      <c r="A890" s="715">
        <v>99801</v>
      </c>
      <c r="B890" s="716" t="s">
        <v>3420</v>
      </c>
      <c r="C890" s="717">
        <v>5.1866000000000004E-3</v>
      </c>
      <c r="D890" s="717">
        <v>5.1954999999999996E-3</v>
      </c>
      <c r="E890" s="718">
        <v>7923688</v>
      </c>
      <c r="F890" s="718"/>
      <c r="G890" s="719">
        <v>456478</v>
      </c>
      <c r="H890" s="720">
        <v>1923881</v>
      </c>
      <c r="I890" s="719">
        <v>1131612</v>
      </c>
      <c r="J890" s="718">
        <v>17042</v>
      </c>
      <c r="K890" s="720">
        <f t="shared" si="26"/>
        <v>3529013</v>
      </c>
      <c r="L890" s="718"/>
      <c r="M890" s="719">
        <v>224295</v>
      </c>
      <c r="N890" s="719">
        <v>0</v>
      </c>
      <c r="O890" s="718">
        <v>150042</v>
      </c>
      <c r="P890" s="720">
        <f t="shared" si="27"/>
        <v>374337</v>
      </c>
      <c r="Q890" s="718"/>
      <c r="R890" s="719">
        <v>2670290</v>
      </c>
      <c r="S890" s="721">
        <v>-29556</v>
      </c>
      <c r="T890" s="721">
        <f>2640733+1</f>
        <v>2640734</v>
      </c>
    </row>
    <row r="891" spans="1:20" x14ac:dyDescent="0.25">
      <c r="A891" s="715">
        <v>99802</v>
      </c>
      <c r="B891" s="716" t="s">
        <v>3421</v>
      </c>
      <c r="C891" s="717">
        <v>6.0000000000000002E-6</v>
      </c>
      <c r="D891" s="717">
        <v>6.4999999999999996E-6</v>
      </c>
      <c r="E891" s="718">
        <v>9166</v>
      </c>
      <c r="F891" s="718"/>
      <c r="G891" s="719">
        <v>528</v>
      </c>
      <c r="H891" s="720">
        <v>2226</v>
      </c>
      <c r="I891" s="719">
        <v>1309</v>
      </c>
      <c r="J891" s="718">
        <v>1378</v>
      </c>
      <c r="K891" s="720">
        <f t="shared" si="26"/>
        <v>5441</v>
      </c>
      <c r="L891" s="718"/>
      <c r="M891" s="719">
        <v>259</v>
      </c>
      <c r="N891" s="719">
        <v>0</v>
      </c>
      <c r="O891" s="718">
        <v>53</v>
      </c>
      <c r="P891" s="720">
        <f t="shared" si="27"/>
        <v>312</v>
      </c>
      <c r="Q891" s="718"/>
      <c r="R891" s="719">
        <v>3089</v>
      </c>
      <c r="S891" s="721">
        <v>334</v>
      </c>
      <c r="T891" s="721">
        <v>3423</v>
      </c>
    </row>
    <row r="892" spans="1:20" x14ac:dyDescent="0.25">
      <c r="A892" s="715">
        <v>99804</v>
      </c>
      <c r="B892" s="716" t="s">
        <v>3422</v>
      </c>
      <c r="C892" s="717">
        <v>9.0500000000000004E-5</v>
      </c>
      <c r="D892" s="717">
        <v>8.6600000000000004E-5</v>
      </c>
      <c r="E892" s="718">
        <v>138259</v>
      </c>
      <c r="F892" s="718"/>
      <c r="G892" s="719">
        <v>7965</v>
      </c>
      <c r="H892" s="720">
        <v>33569</v>
      </c>
      <c r="I892" s="719">
        <v>19745</v>
      </c>
      <c r="J892" s="718">
        <v>13689</v>
      </c>
      <c r="K892" s="720">
        <f t="shared" si="26"/>
        <v>74968</v>
      </c>
      <c r="L892" s="718"/>
      <c r="M892" s="719">
        <v>3914</v>
      </c>
      <c r="N892" s="719">
        <v>0</v>
      </c>
      <c r="O892" s="718">
        <v>0</v>
      </c>
      <c r="P892" s="720">
        <f t="shared" si="27"/>
        <v>3914</v>
      </c>
      <c r="Q892" s="718"/>
      <c r="R892" s="719">
        <v>46593</v>
      </c>
      <c r="S892" s="721">
        <v>4917</v>
      </c>
      <c r="T892" s="721">
        <v>51510</v>
      </c>
    </row>
    <row r="893" spans="1:20" x14ac:dyDescent="0.25">
      <c r="A893" s="715">
        <v>99811</v>
      </c>
      <c r="B893" s="716" t="s">
        <v>3423</v>
      </c>
      <c r="C893" s="717">
        <v>6.7026999999999998E-3</v>
      </c>
      <c r="D893" s="717">
        <v>6.8415000000000004E-3</v>
      </c>
      <c r="E893" s="718">
        <v>10239869</v>
      </c>
      <c r="F893" s="718"/>
      <c r="G893" s="719">
        <v>589911</v>
      </c>
      <c r="H893" s="720">
        <v>2486253</v>
      </c>
      <c r="I893" s="719">
        <v>1462395</v>
      </c>
      <c r="J893" s="718">
        <v>0</v>
      </c>
      <c r="K893" s="720">
        <f t="shared" si="26"/>
        <v>4538559</v>
      </c>
      <c r="L893" s="718"/>
      <c r="M893" s="719">
        <v>289858</v>
      </c>
      <c r="N893" s="719">
        <v>0</v>
      </c>
      <c r="O893" s="718">
        <v>598680</v>
      </c>
      <c r="P893" s="720">
        <f t="shared" si="27"/>
        <v>888538</v>
      </c>
      <c r="Q893" s="718"/>
      <c r="R893" s="719">
        <v>3450845</v>
      </c>
      <c r="S893" s="721">
        <v>-236953</v>
      </c>
      <c r="T893" s="721">
        <f>3213891+1</f>
        <v>3213892</v>
      </c>
    </row>
    <row r="894" spans="1:20" x14ac:dyDescent="0.25">
      <c r="A894" s="715">
        <v>99812</v>
      </c>
      <c r="B894" s="716" t="s">
        <v>3424</v>
      </c>
      <c r="C894" s="717">
        <v>2.2099999999999998E-5</v>
      </c>
      <c r="D894" s="717">
        <v>2.5599999999999999E-5</v>
      </c>
      <c r="E894" s="718">
        <v>33763</v>
      </c>
      <c r="F894" s="718"/>
      <c r="G894" s="719">
        <v>1945</v>
      </c>
      <c r="H894" s="720">
        <v>8198</v>
      </c>
      <c r="I894" s="719">
        <v>4822</v>
      </c>
      <c r="J894" s="718">
        <v>11652</v>
      </c>
      <c r="K894" s="720">
        <f t="shared" si="26"/>
        <v>26617</v>
      </c>
      <c r="L894" s="718"/>
      <c r="M894" s="719">
        <v>956</v>
      </c>
      <c r="N894" s="719">
        <v>0</v>
      </c>
      <c r="O894" s="718">
        <v>0</v>
      </c>
      <c r="P894" s="720">
        <f t="shared" si="27"/>
        <v>956</v>
      </c>
      <c r="Q894" s="718"/>
      <c r="R894" s="719">
        <v>11378</v>
      </c>
      <c r="S894" s="721">
        <v>4237</v>
      </c>
      <c r="T894" s="721">
        <v>15615</v>
      </c>
    </row>
    <row r="895" spans="1:20" x14ac:dyDescent="0.25">
      <c r="A895" s="715">
        <v>99818</v>
      </c>
      <c r="B895" s="716" t="s">
        <v>3425</v>
      </c>
      <c r="C895" s="717">
        <v>3.1600000000000002E-5</v>
      </c>
      <c r="D895" s="717">
        <v>3.7700000000000002E-5</v>
      </c>
      <c r="E895" s="718">
        <v>48276</v>
      </c>
      <c r="F895" s="718"/>
      <c r="G895" s="719">
        <v>2781</v>
      </c>
      <c r="H895" s="720">
        <v>11722</v>
      </c>
      <c r="I895" s="719">
        <v>6894</v>
      </c>
      <c r="J895" s="718">
        <v>3054</v>
      </c>
      <c r="K895" s="720">
        <f t="shared" si="26"/>
        <v>24451</v>
      </c>
      <c r="L895" s="718"/>
      <c r="M895" s="719">
        <v>1367</v>
      </c>
      <c r="N895" s="719">
        <v>0</v>
      </c>
      <c r="O895" s="718">
        <v>6414</v>
      </c>
      <c r="P895" s="720">
        <f t="shared" si="27"/>
        <v>7781</v>
      </c>
      <c r="Q895" s="718"/>
      <c r="R895" s="719">
        <v>16269</v>
      </c>
      <c r="S895" s="721">
        <v>695</v>
      </c>
      <c r="T895" s="721">
        <v>16964</v>
      </c>
    </row>
    <row r="896" spans="1:20" x14ac:dyDescent="0.25">
      <c r="A896" s="715">
        <v>99821</v>
      </c>
      <c r="B896" s="716" t="s">
        <v>3426</v>
      </c>
      <c r="C896" s="717">
        <v>9.1100000000000005E-5</v>
      </c>
      <c r="D896" s="717">
        <v>8.2899999999999996E-5</v>
      </c>
      <c r="E896" s="718">
        <v>139176</v>
      </c>
      <c r="F896" s="718"/>
      <c r="G896" s="719">
        <v>8018</v>
      </c>
      <c r="H896" s="720">
        <v>33792</v>
      </c>
      <c r="I896" s="719">
        <v>19876</v>
      </c>
      <c r="J896" s="718">
        <v>21459</v>
      </c>
      <c r="K896" s="720">
        <f t="shared" si="26"/>
        <v>83145</v>
      </c>
      <c r="L896" s="718"/>
      <c r="M896" s="719">
        <v>3940</v>
      </c>
      <c r="N896" s="719">
        <v>0</v>
      </c>
      <c r="O896" s="718">
        <v>555</v>
      </c>
      <c r="P896" s="720">
        <f t="shared" si="27"/>
        <v>4495</v>
      </c>
      <c r="Q896" s="718"/>
      <c r="R896" s="719">
        <v>46902</v>
      </c>
      <c r="S896" s="721">
        <v>9955</v>
      </c>
      <c r="T896" s="721">
        <v>56857</v>
      </c>
    </row>
    <row r="897" spans="1:20" x14ac:dyDescent="0.25">
      <c r="A897" s="715">
        <v>99831</v>
      </c>
      <c r="B897" s="716" t="s">
        <v>3427</v>
      </c>
      <c r="C897" s="717">
        <v>6.3299999999999994E-5</v>
      </c>
      <c r="D897" s="717">
        <v>5.5899999999999997E-5</v>
      </c>
      <c r="E897" s="718">
        <v>96705</v>
      </c>
      <c r="F897" s="718"/>
      <c r="G897" s="719">
        <v>5571</v>
      </c>
      <c r="H897" s="720">
        <v>23480</v>
      </c>
      <c r="I897" s="719">
        <v>13811</v>
      </c>
      <c r="J897" s="718">
        <v>7030</v>
      </c>
      <c r="K897" s="720">
        <f t="shared" si="26"/>
        <v>49892</v>
      </c>
      <c r="L897" s="718"/>
      <c r="M897" s="719">
        <v>2737</v>
      </c>
      <c r="N897" s="719">
        <v>0</v>
      </c>
      <c r="O897" s="718">
        <v>564</v>
      </c>
      <c r="P897" s="720">
        <f t="shared" si="27"/>
        <v>3301</v>
      </c>
      <c r="Q897" s="718"/>
      <c r="R897" s="719">
        <v>32590</v>
      </c>
      <c r="S897" s="721">
        <v>1906</v>
      </c>
      <c r="T897" s="721">
        <f>34495+1</f>
        <v>34496</v>
      </c>
    </row>
    <row r="898" spans="1:20" x14ac:dyDescent="0.25">
      <c r="A898" s="715">
        <v>99841</v>
      </c>
      <c r="B898" s="716" t="s">
        <v>3428</v>
      </c>
      <c r="C898" s="717">
        <v>4.3399999999999998E-5</v>
      </c>
      <c r="D898" s="717">
        <v>4.6E-5</v>
      </c>
      <c r="E898" s="718">
        <v>66303</v>
      </c>
      <c r="F898" s="718"/>
      <c r="G898" s="719">
        <v>3820</v>
      </c>
      <c r="H898" s="720">
        <v>16098</v>
      </c>
      <c r="I898" s="719">
        <v>9469</v>
      </c>
      <c r="J898" s="718">
        <v>1271</v>
      </c>
      <c r="K898" s="720">
        <f t="shared" si="26"/>
        <v>30658</v>
      </c>
      <c r="L898" s="718"/>
      <c r="M898" s="719">
        <v>1877</v>
      </c>
      <c r="N898" s="719">
        <v>0</v>
      </c>
      <c r="O898" s="718">
        <v>4060</v>
      </c>
      <c r="P898" s="720">
        <f t="shared" si="27"/>
        <v>5937</v>
      </c>
      <c r="Q898" s="718"/>
      <c r="R898" s="719">
        <v>22344</v>
      </c>
      <c r="S898" s="721">
        <v>-1214</v>
      </c>
      <c r="T898" s="721">
        <v>21130</v>
      </c>
    </row>
    <row r="899" spans="1:20" x14ac:dyDescent="0.25">
      <c r="A899" s="715">
        <v>99851</v>
      </c>
      <c r="B899" s="716" t="s">
        <v>3429</v>
      </c>
      <c r="C899" s="717">
        <v>2.23E-5</v>
      </c>
      <c r="D899" s="717">
        <v>2.1999999999999999E-5</v>
      </c>
      <c r="E899" s="718">
        <v>34068</v>
      </c>
      <c r="F899" s="718"/>
      <c r="G899" s="719">
        <v>1963</v>
      </c>
      <c r="H899" s="720">
        <v>8272</v>
      </c>
      <c r="I899" s="719">
        <v>4865</v>
      </c>
      <c r="J899" s="718">
        <v>142</v>
      </c>
      <c r="K899" s="720">
        <f t="shared" si="26"/>
        <v>15242</v>
      </c>
      <c r="L899" s="718"/>
      <c r="M899" s="719">
        <v>964</v>
      </c>
      <c r="N899" s="719">
        <v>0</v>
      </c>
      <c r="O899" s="718">
        <v>3191</v>
      </c>
      <c r="P899" s="720">
        <f t="shared" si="27"/>
        <v>4155</v>
      </c>
      <c r="Q899" s="718"/>
      <c r="R899" s="719">
        <v>11481</v>
      </c>
      <c r="S899" s="721">
        <v>-847</v>
      </c>
      <c r="T899" s="721">
        <v>10634</v>
      </c>
    </row>
    <row r="900" spans="1:20" x14ac:dyDescent="0.25">
      <c r="A900" s="715">
        <v>99901</v>
      </c>
      <c r="B900" s="716" t="s">
        <v>3430</v>
      </c>
      <c r="C900" s="717">
        <v>1.6707E-3</v>
      </c>
      <c r="D900" s="717">
        <v>1.6371999999999999E-3</v>
      </c>
      <c r="E900" s="718">
        <v>2552367</v>
      </c>
      <c r="F900" s="718"/>
      <c r="G900" s="719">
        <v>147040</v>
      </c>
      <c r="H900" s="720">
        <v>619718</v>
      </c>
      <c r="I900" s="719">
        <v>364513</v>
      </c>
      <c r="J900" s="718">
        <v>63407</v>
      </c>
      <c r="K900" s="720">
        <f t="shared" si="26"/>
        <v>1194678</v>
      </c>
      <c r="L900" s="718"/>
      <c r="M900" s="719">
        <v>72249</v>
      </c>
      <c r="N900" s="719">
        <v>0</v>
      </c>
      <c r="O900" s="718">
        <v>12021</v>
      </c>
      <c r="P900" s="720">
        <f t="shared" si="27"/>
        <v>84270</v>
      </c>
      <c r="Q900" s="718"/>
      <c r="R900" s="719">
        <v>860150</v>
      </c>
      <c r="S900" s="721">
        <v>13114</v>
      </c>
      <c r="T900" s="721">
        <v>873264</v>
      </c>
    </row>
    <row r="901" spans="1:20" x14ac:dyDescent="0.25">
      <c r="A901" s="715">
        <v>99911</v>
      </c>
      <c r="B901" s="716" t="s">
        <v>3431</v>
      </c>
      <c r="C901" s="717">
        <v>2.5980000000000003E-4</v>
      </c>
      <c r="D901" s="717">
        <v>2.5520000000000002E-4</v>
      </c>
      <c r="E901" s="718">
        <v>396902</v>
      </c>
      <c r="F901" s="718"/>
      <c r="G901" s="719">
        <v>22865</v>
      </c>
      <c r="H901" s="720">
        <v>96368</v>
      </c>
      <c r="I901" s="719">
        <v>56683</v>
      </c>
      <c r="J901" s="718">
        <v>7168</v>
      </c>
      <c r="K901" s="720">
        <f t="shared" si="26"/>
        <v>183084</v>
      </c>
      <c r="L901" s="718"/>
      <c r="M901" s="719">
        <v>11235</v>
      </c>
      <c r="N901" s="719">
        <v>0</v>
      </c>
      <c r="O901" s="718">
        <v>12661</v>
      </c>
      <c r="P901" s="720">
        <f t="shared" si="27"/>
        <v>23896</v>
      </c>
      <c r="Q901" s="718"/>
      <c r="R901" s="719">
        <v>133756</v>
      </c>
      <c r="S901" s="721">
        <v>-5521</v>
      </c>
      <c r="T901" s="721">
        <v>128235</v>
      </c>
    </row>
    <row r="902" spans="1:20" x14ac:dyDescent="0.25">
      <c r="A902" s="715">
        <v>99921</v>
      </c>
      <c r="B902" s="716" t="s">
        <v>3432</v>
      </c>
      <c r="C902" s="717">
        <v>1.506E-4</v>
      </c>
      <c r="D902" s="717">
        <v>1.5129999999999999E-4</v>
      </c>
      <c r="E902" s="718">
        <v>230075</v>
      </c>
      <c r="F902" s="718"/>
      <c r="G902" s="719">
        <v>13254</v>
      </c>
      <c r="H902" s="720">
        <v>55863</v>
      </c>
      <c r="I902" s="719">
        <v>32858</v>
      </c>
      <c r="J902" s="718">
        <v>3258</v>
      </c>
      <c r="K902" s="720">
        <f t="shared" si="26"/>
        <v>105233</v>
      </c>
      <c r="L902" s="718"/>
      <c r="M902" s="719">
        <v>6513</v>
      </c>
      <c r="N902" s="719">
        <v>0</v>
      </c>
      <c r="O902" s="718">
        <v>7306</v>
      </c>
      <c r="P902" s="720">
        <f t="shared" si="27"/>
        <v>13819</v>
      </c>
      <c r="Q902" s="718"/>
      <c r="R902" s="719">
        <v>77536</v>
      </c>
      <c r="S902" s="721">
        <v>-3057</v>
      </c>
      <c r="T902" s="721">
        <v>74479</v>
      </c>
    </row>
    <row r="903" spans="1:20" x14ac:dyDescent="0.25">
      <c r="A903" s="715">
        <v>99931</v>
      </c>
      <c r="B903" s="716" t="s">
        <v>3433</v>
      </c>
      <c r="C903" s="717">
        <v>1.5800000000000001E-5</v>
      </c>
      <c r="D903" s="717">
        <v>2.51E-5</v>
      </c>
      <c r="E903" s="718">
        <v>24138</v>
      </c>
      <c r="F903" s="718"/>
      <c r="G903" s="719">
        <v>1391</v>
      </c>
      <c r="H903" s="720">
        <v>5860</v>
      </c>
      <c r="I903" s="719">
        <v>3447</v>
      </c>
      <c r="J903" s="718">
        <v>0</v>
      </c>
      <c r="K903" s="720">
        <f>G903+H903+I903+J903</f>
        <v>10698</v>
      </c>
      <c r="L903" s="718"/>
      <c r="M903" s="719">
        <v>683</v>
      </c>
      <c r="N903" s="719">
        <v>0</v>
      </c>
      <c r="O903" s="718">
        <v>8477</v>
      </c>
      <c r="P903" s="720">
        <f>M903+N903+O903</f>
        <v>9160</v>
      </c>
      <c r="Q903" s="718"/>
      <c r="R903" s="719">
        <v>8135</v>
      </c>
      <c r="S903" s="721">
        <v>-3271</v>
      </c>
      <c r="T903" s="721">
        <v>4864</v>
      </c>
    </row>
    <row r="904" spans="1:20" x14ac:dyDescent="0.25">
      <c r="A904" s="715">
        <v>99941</v>
      </c>
      <c r="B904" s="716" t="s">
        <v>3434</v>
      </c>
      <c r="C904" s="717">
        <v>7.5400000000000003E-5</v>
      </c>
      <c r="D904" s="717">
        <v>7.8200000000000003E-5</v>
      </c>
      <c r="E904" s="718">
        <v>115190</v>
      </c>
      <c r="F904" s="718"/>
      <c r="G904" s="719">
        <v>6636</v>
      </c>
      <c r="H904" s="720">
        <v>27969</v>
      </c>
      <c r="I904" s="719">
        <v>16451</v>
      </c>
      <c r="J904" s="718">
        <v>0</v>
      </c>
      <c r="K904" s="720">
        <f>G904+H904+I904+J904</f>
        <v>51056</v>
      </c>
      <c r="L904" s="718"/>
      <c r="M904" s="719">
        <v>3261</v>
      </c>
      <c r="N904" s="719">
        <v>0</v>
      </c>
      <c r="O904" s="718">
        <v>11647</v>
      </c>
      <c r="P904" s="720">
        <f>M904+N904+O904</f>
        <v>14908</v>
      </c>
      <c r="Q904" s="718"/>
      <c r="R904" s="719">
        <v>38819</v>
      </c>
      <c r="S904" s="721">
        <v>-4535</v>
      </c>
      <c r="T904" s="721">
        <f>34285-1</f>
        <v>34284</v>
      </c>
    </row>
    <row r="905" spans="1:20" x14ac:dyDescent="0.25">
      <c r="A905" s="715">
        <v>99991</v>
      </c>
      <c r="B905" s="716" t="s">
        <v>3435</v>
      </c>
      <c r="C905" s="717">
        <v>5.3450000000000004E-4</v>
      </c>
      <c r="D905" s="717">
        <v>5.6990000000000003E-4</v>
      </c>
      <c r="E905" s="718">
        <v>816568</v>
      </c>
      <c r="F905" s="718"/>
      <c r="G905" s="719">
        <v>47042</v>
      </c>
      <c r="H905" s="720">
        <v>198264</v>
      </c>
      <c r="I905" s="719">
        <v>116617</v>
      </c>
      <c r="J905" s="718">
        <v>28891</v>
      </c>
      <c r="K905" s="720">
        <f>G905+H905+I905+J905</f>
        <v>390814</v>
      </c>
      <c r="L905" s="718"/>
      <c r="M905" s="719">
        <v>23114</v>
      </c>
      <c r="N905" s="719">
        <v>0</v>
      </c>
      <c r="O905" s="718">
        <v>28214</v>
      </c>
      <c r="P905" s="720">
        <f>M905+N905+O905</f>
        <v>51328</v>
      </c>
      <c r="Q905" s="718"/>
      <c r="R905" s="719">
        <v>275184</v>
      </c>
      <c r="S905" s="721">
        <v>12361</v>
      </c>
      <c r="T905" s="721">
        <v>287545</v>
      </c>
    </row>
    <row r="906" spans="1:20" x14ac:dyDescent="0.25">
      <c r="A906" s="715">
        <v>99999</v>
      </c>
      <c r="B906" s="716" t="s">
        <v>3436</v>
      </c>
      <c r="C906" s="717">
        <v>8.7509999999999997E-4</v>
      </c>
      <c r="D906" s="717">
        <v>1.0101000000000001E-3</v>
      </c>
      <c r="E906" s="718">
        <v>1336910</v>
      </c>
      <c r="F906" s="718"/>
      <c r="G906" s="719">
        <v>77018</v>
      </c>
      <c r="H906" s="720">
        <v>324603</v>
      </c>
      <c r="I906" s="719">
        <v>190929</v>
      </c>
      <c r="J906" s="718">
        <v>77711</v>
      </c>
      <c r="K906" s="720">
        <f>G906+H906+I906+J906</f>
        <v>670261</v>
      </c>
      <c r="L906" s="718"/>
      <c r="M906" s="719">
        <v>37844</v>
      </c>
      <c r="N906" s="719">
        <v>0</v>
      </c>
      <c r="O906" s="718">
        <v>26259</v>
      </c>
      <c r="P906" s="720">
        <f>M906+N906+O906</f>
        <v>64103</v>
      </c>
      <c r="Q906" s="718"/>
      <c r="R906" s="719">
        <v>450540</v>
      </c>
      <c r="S906" s="721">
        <v>10651</v>
      </c>
      <c r="T906" s="721">
        <v>461191</v>
      </c>
    </row>
    <row r="907" spans="1:20" x14ac:dyDescent="0.25">
      <c r="A907" s="715" t="s">
        <v>2526</v>
      </c>
      <c r="B907" s="716" t="s">
        <v>2525</v>
      </c>
      <c r="C907" s="717">
        <v>2.2699999999999999E-4</v>
      </c>
      <c r="D907" s="717">
        <v>2.6160000000000002E-4</v>
      </c>
      <c r="E907" s="718">
        <v>346793</v>
      </c>
      <c r="F907" s="718"/>
      <c r="G907" s="719">
        <v>19978</v>
      </c>
      <c r="H907" s="720">
        <v>84202</v>
      </c>
      <c r="I907" s="719">
        <v>49527</v>
      </c>
      <c r="J907" s="718">
        <v>1542</v>
      </c>
      <c r="K907" s="720">
        <f>G907+H907+I907+J907</f>
        <v>155249</v>
      </c>
      <c r="L907" s="718"/>
      <c r="M907" s="719">
        <v>9817</v>
      </c>
      <c r="N907" s="719">
        <v>0</v>
      </c>
      <c r="O907" s="718">
        <v>15019</v>
      </c>
      <c r="P907" s="720">
        <f>M907+N907+O907</f>
        <v>24836</v>
      </c>
      <c r="Q907" s="718"/>
      <c r="R907" s="719">
        <v>116870</v>
      </c>
      <c r="S907" s="721">
        <v>-3863</v>
      </c>
      <c r="T907" s="721">
        <v>113007</v>
      </c>
    </row>
    <row r="908" spans="1:20" x14ac:dyDescent="0.25">
      <c r="A908" s="715"/>
      <c r="B908" s="716"/>
      <c r="C908" s="717"/>
      <c r="D908" s="717"/>
    </row>
    <row r="909" spans="1:20" s="729" customFormat="1" x14ac:dyDescent="0.25">
      <c r="A909" s="723"/>
      <c r="B909" s="724"/>
      <c r="C909" s="725">
        <v>1</v>
      </c>
      <c r="D909" s="725">
        <v>1</v>
      </c>
      <c r="E909" s="726">
        <f>SUM(E7:E906)</f>
        <v>1527723006</v>
      </c>
      <c r="F909" s="726"/>
      <c r="G909" s="727">
        <f>SUM(G7:G906)</f>
        <v>88010998</v>
      </c>
      <c r="H909" s="728">
        <v>370932998</v>
      </c>
      <c r="I909" s="727">
        <f>SUM(I7:I906)</f>
        <v>218179990</v>
      </c>
      <c r="J909" s="727">
        <f>SUM(J7:J906)</f>
        <v>44399345</v>
      </c>
      <c r="K909" s="728">
        <f>SUM(K7:K906)</f>
        <v>721523331</v>
      </c>
      <c r="L909" s="727"/>
      <c r="M909" s="727">
        <f>SUM(M7:M906)</f>
        <v>43245007</v>
      </c>
      <c r="N909" s="727">
        <f>SUM(N7:N906)</f>
        <v>0</v>
      </c>
      <c r="O909" s="727">
        <f>SUM(O7:O906)</f>
        <v>44399369</v>
      </c>
      <c r="P909" s="728">
        <f>SUM(P7:P906)</f>
        <v>87644376</v>
      </c>
      <c r="Q909" s="727"/>
      <c r="R909" s="727">
        <f>SUM(R7:R906)</f>
        <v>514844016</v>
      </c>
      <c r="S909" s="727">
        <f>SUM(S7:S906)</f>
        <v>36</v>
      </c>
      <c r="T909" s="727">
        <f>SUM(T7:T906)</f>
        <v>514844052</v>
      </c>
    </row>
    <row r="910" spans="1:20" s="729" customFormat="1" x14ac:dyDescent="0.25">
      <c r="A910" s="723"/>
      <c r="B910" s="724"/>
      <c r="C910" s="725"/>
      <c r="D910" s="725"/>
      <c r="E910" s="726"/>
      <c r="F910" s="726"/>
      <c r="G910" s="727"/>
      <c r="H910" s="728"/>
      <c r="I910" s="727"/>
      <c r="J910" s="727"/>
      <c r="K910" s="728"/>
      <c r="L910" s="727"/>
      <c r="M910" s="727"/>
      <c r="N910" s="727"/>
      <c r="O910" s="727"/>
      <c r="P910" s="728"/>
      <c r="Q910" s="727"/>
      <c r="R910" s="727"/>
      <c r="S910" s="727"/>
      <c r="T910" s="727"/>
    </row>
    <row r="911" spans="1:20" s="729" customFormat="1" x14ac:dyDescent="0.25">
      <c r="A911" s="723"/>
      <c r="B911" s="724"/>
      <c r="C911" s="725"/>
      <c r="D911" s="725"/>
      <c r="E911" s="726"/>
      <c r="F911" s="726"/>
      <c r="G911" s="727"/>
      <c r="H911" s="728"/>
      <c r="I911" s="727"/>
      <c r="J911" s="727"/>
      <c r="K911" s="728"/>
      <c r="L911" s="727"/>
      <c r="M911" s="727"/>
      <c r="N911" s="727"/>
      <c r="O911" s="727"/>
      <c r="P911" s="728"/>
      <c r="Q911" s="727"/>
      <c r="R911" s="727"/>
      <c r="S911" s="727"/>
      <c r="T911" s="727"/>
    </row>
    <row r="912" spans="1:20" x14ac:dyDescent="0.25">
      <c r="B912" s="701" t="s">
        <v>2094</v>
      </c>
      <c r="C912" s="713" t="s">
        <v>480</v>
      </c>
    </row>
    <row r="913" spans="2:3" x14ac:dyDescent="0.25">
      <c r="B913" s="743" t="s">
        <v>2525</v>
      </c>
      <c r="C913" s="744" t="s">
        <v>2526</v>
      </c>
    </row>
    <row r="914" spans="2:3" x14ac:dyDescent="0.25">
      <c r="B914" s="730" t="s">
        <v>2097</v>
      </c>
      <c r="C914" s="715">
        <v>96331</v>
      </c>
    </row>
    <row r="915" spans="2:3" x14ac:dyDescent="0.25">
      <c r="B915" s="730" t="s">
        <v>2098</v>
      </c>
      <c r="C915" s="715">
        <v>94611</v>
      </c>
    </row>
    <row r="916" spans="2:3" x14ac:dyDescent="0.25">
      <c r="B916" s="730" t="s">
        <v>1461</v>
      </c>
      <c r="C916" s="715">
        <v>93402</v>
      </c>
    </row>
    <row r="917" spans="2:3" x14ac:dyDescent="0.25">
      <c r="B917" s="730" t="s">
        <v>2099</v>
      </c>
      <c r="C917" s="715">
        <v>90151</v>
      </c>
    </row>
    <row r="918" spans="2:3" x14ac:dyDescent="0.25">
      <c r="B918" s="730" t="s">
        <v>3563</v>
      </c>
      <c r="C918" s="715">
        <v>94109</v>
      </c>
    </row>
    <row r="919" spans="2:3" x14ac:dyDescent="0.25">
      <c r="B919" s="730" t="s">
        <v>1155</v>
      </c>
      <c r="C919" s="715">
        <v>90101</v>
      </c>
    </row>
    <row r="920" spans="2:3" x14ac:dyDescent="0.25">
      <c r="B920" s="730" t="s">
        <v>3437</v>
      </c>
      <c r="C920" s="715">
        <v>90117</v>
      </c>
    </row>
    <row r="921" spans="2:3" x14ac:dyDescent="0.25">
      <c r="B921" s="730" t="s">
        <v>2100</v>
      </c>
      <c r="C921" s="715">
        <v>98411</v>
      </c>
    </row>
    <row r="922" spans="2:3" x14ac:dyDescent="0.25">
      <c r="B922" s="730" t="s">
        <v>3564</v>
      </c>
      <c r="C922" s="715">
        <v>98417</v>
      </c>
    </row>
    <row r="923" spans="2:3" x14ac:dyDescent="0.25">
      <c r="B923" s="730" t="s">
        <v>1770</v>
      </c>
      <c r="C923" s="715">
        <v>97008</v>
      </c>
    </row>
    <row r="924" spans="2:3" x14ac:dyDescent="0.25">
      <c r="B924" s="730" t="s">
        <v>1771</v>
      </c>
      <c r="C924" s="715">
        <v>97010</v>
      </c>
    </row>
    <row r="925" spans="2:3" x14ac:dyDescent="0.25">
      <c r="B925" s="730" t="s">
        <v>3438</v>
      </c>
      <c r="C925" s="715">
        <v>90096</v>
      </c>
    </row>
    <row r="926" spans="2:3" x14ac:dyDescent="0.25">
      <c r="B926" s="730" t="s">
        <v>1204</v>
      </c>
      <c r="C926" s="715">
        <v>90805</v>
      </c>
    </row>
    <row r="927" spans="2:3" x14ac:dyDescent="0.25">
      <c r="B927" s="730" t="s">
        <v>3565</v>
      </c>
      <c r="C927" s="715">
        <v>92109</v>
      </c>
    </row>
    <row r="928" spans="2:3" x14ac:dyDescent="0.25">
      <c r="B928" s="730" t="s">
        <v>1164</v>
      </c>
      <c r="C928" s="715">
        <v>90201</v>
      </c>
    </row>
    <row r="929" spans="2:3" x14ac:dyDescent="0.25">
      <c r="B929" s="730" t="s">
        <v>3566</v>
      </c>
      <c r="C929" s="715">
        <v>90206</v>
      </c>
    </row>
    <row r="930" spans="2:3" x14ac:dyDescent="0.25">
      <c r="B930" s="730" t="s">
        <v>3567</v>
      </c>
      <c r="C930" s="715">
        <v>90203</v>
      </c>
    </row>
    <row r="931" spans="2:3" x14ac:dyDescent="0.25">
      <c r="B931" s="730" t="s">
        <v>3568</v>
      </c>
      <c r="C931" s="715">
        <v>90205</v>
      </c>
    </row>
    <row r="932" spans="2:3" x14ac:dyDescent="0.25">
      <c r="B932" s="730" t="s">
        <v>1169</v>
      </c>
      <c r="C932" s="715">
        <v>90301</v>
      </c>
    </row>
    <row r="933" spans="2:3" x14ac:dyDescent="0.25">
      <c r="B933" s="730" t="s">
        <v>3569</v>
      </c>
      <c r="C933" s="715">
        <v>93209</v>
      </c>
    </row>
    <row r="934" spans="2:3" x14ac:dyDescent="0.25">
      <c r="B934" s="730" t="s">
        <v>2101</v>
      </c>
      <c r="C934" s="715">
        <v>92021</v>
      </c>
    </row>
    <row r="935" spans="2:3" x14ac:dyDescent="0.25">
      <c r="B935" s="730" t="s">
        <v>2102</v>
      </c>
      <c r="C935" s="715">
        <v>94351</v>
      </c>
    </row>
    <row r="936" spans="2:3" x14ac:dyDescent="0.25">
      <c r="B936" s="730" t="s">
        <v>3570</v>
      </c>
      <c r="C936" s="715">
        <v>94347</v>
      </c>
    </row>
    <row r="937" spans="2:3" x14ac:dyDescent="0.25">
      <c r="B937" s="730" t="s">
        <v>1172</v>
      </c>
      <c r="C937" s="715">
        <v>90401</v>
      </c>
    </row>
    <row r="938" spans="2:3" x14ac:dyDescent="0.25">
      <c r="B938" s="730" t="s">
        <v>2103</v>
      </c>
      <c r="C938" s="715">
        <v>90451</v>
      </c>
    </row>
    <row r="939" spans="2:3" x14ac:dyDescent="0.25">
      <c r="B939" s="730" t="s">
        <v>2104</v>
      </c>
      <c r="C939" s="715">
        <v>99271</v>
      </c>
    </row>
    <row r="940" spans="2:3" x14ac:dyDescent="0.25">
      <c r="B940" s="730" t="s">
        <v>3571</v>
      </c>
      <c r="C940" s="715">
        <v>90099</v>
      </c>
    </row>
    <row r="941" spans="2:3" x14ac:dyDescent="0.25">
      <c r="B941" s="730" t="s">
        <v>2014</v>
      </c>
      <c r="C941" s="715">
        <v>99705</v>
      </c>
    </row>
    <row r="942" spans="2:3" x14ac:dyDescent="0.25">
      <c r="B942" s="730" t="s">
        <v>2105</v>
      </c>
      <c r="C942" s="715">
        <v>97651</v>
      </c>
    </row>
    <row r="943" spans="2:3" x14ac:dyDescent="0.25">
      <c r="B943" s="730" t="s">
        <v>2106</v>
      </c>
      <c r="C943" s="715">
        <v>95106</v>
      </c>
    </row>
    <row r="944" spans="2:3" x14ac:dyDescent="0.25">
      <c r="B944" s="730" t="s">
        <v>1181</v>
      </c>
      <c r="C944" s="715">
        <v>90501</v>
      </c>
    </row>
    <row r="945" spans="2:3" x14ac:dyDescent="0.25">
      <c r="B945" s="730" t="s">
        <v>2107</v>
      </c>
      <c r="C945" s="715">
        <v>97611</v>
      </c>
    </row>
    <row r="946" spans="2:3" x14ac:dyDescent="0.25">
      <c r="B946" s="730" t="s">
        <v>3572</v>
      </c>
      <c r="C946" s="715">
        <v>97607</v>
      </c>
    </row>
    <row r="947" spans="2:3" x14ac:dyDescent="0.25">
      <c r="B947" s="730" t="s">
        <v>3573</v>
      </c>
      <c r="C947" s="715">
        <v>97613</v>
      </c>
    </row>
    <row r="948" spans="2:3" x14ac:dyDescent="0.25">
      <c r="B948" s="730" t="s">
        <v>2108</v>
      </c>
      <c r="C948" s="715">
        <v>91121</v>
      </c>
    </row>
    <row r="949" spans="2:3" x14ac:dyDescent="0.25">
      <c r="B949" s="730" t="s">
        <v>3574</v>
      </c>
      <c r="C949" s="715">
        <v>91127</v>
      </c>
    </row>
    <row r="950" spans="2:3" x14ac:dyDescent="0.25">
      <c r="B950" s="730" t="s">
        <v>1258</v>
      </c>
      <c r="C950" s="715">
        <v>91128</v>
      </c>
    </row>
    <row r="951" spans="2:3" x14ac:dyDescent="0.25">
      <c r="B951" s="730" t="s">
        <v>2109</v>
      </c>
      <c r="C951" s="715">
        <v>91681</v>
      </c>
    </row>
    <row r="952" spans="2:3" x14ac:dyDescent="0.25">
      <c r="B952" s="730" t="s">
        <v>2110</v>
      </c>
      <c r="C952" s="715">
        <v>90811</v>
      </c>
    </row>
    <row r="953" spans="2:3" x14ac:dyDescent="0.25">
      <c r="B953" s="730" t="s">
        <v>2111</v>
      </c>
      <c r="C953" s="715">
        <v>90721</v>
      </c>
    </row>
    <row r="954" spans="2:3" x14ac:dyDescent="0.25">
      <c r="B954" s="730" t="s">
        <v>2112</v>
      </c>
      <c r="C954" s="715">
        <v>98271</v>
      </c>
    </row>
    <row r="955" spans="2:3" x14ac:dyDescent="0.25">
      <c r="B955" s="730" t="s">
        <v>1185</v>
      </c>
      <c r="C955" s="715">
        <v>90601</v>
      </c>
    </row>
    <row r="956" spans="2:3" x14ac:dyDescent="0.25">
      <c r="B956" s="730" t="s">
        <v>3575</v>
      </c>
      <c r="C956" s="715">
        <v>90602</v>
      </c>
    </row>
    <row r="957" spans="2:3" x14ac:dyDescent="0.25">
      <c r="B957" s="730" t="s">
        <v>3576</v>
      </c>
      <c r="C957" s="715">
        <v>90605</v>
      </c>
    </row>
    <row r="958" spans="2:3" x14ac:dyDescent="0.25">
      <c r="B958" s="730" t="s">
        <v>2113</v>
      </c>
      <c r="C958" s="715">
        <v>97461</v>
      </c>
    </row>
    <row r="959" spans="2:3" x14ac:dyDescent="0.25">
      <c r="B959" s="730" t="s">
        <v>1804</v>
      </c>
      <c r="C959" s="715">
        <v>97463</v>
      </c>
    </row>
    <row r="960" spans="2:3" x14ac:dyDescent="0.25">
      <c r="B960" s="730" t="s">
        <v>3577</v>
      </c>
      <c r="C960" s="715">
        <v>90705</v>
      </c>
    </row>
    <row r="961" spans="2:3" x14ac:dyDescent="0.25">
      <c r="B961" s="730" t="s">
        <v>2114</v>
      </c>
      <c r="C961" s="715">
        <v>98451</v>
      </c>
    </row>
    <row r="962" spans="2:3" x14ac:dyDescent="0.25">
      <c r="B962" s="730" t="s">
        <v>2115</v>
      </c>
      <c r="C962" s="715">
        <v>96451</v>
      </c>
    </row>
    <row r="963" spans="2:3" x14ac:dyDescent="0.25">
      <c r="B963" s="730" t="s">
        <v>2116</v>
      </c>
      <c r="C963" s="715">
        <v>96121</v>
      </c>
    </row>
    <row r="964" spans="2:3" x14ac:dyDescent="0.25">
      <c r="B964" s="730" t="s">
        <v>2117</v>
      </c>
      <c r="C964" s="715">
        <v>91091</v>
      </c>
    </row>
    <row r="965" spans="2:3" x14ac:dyDescent="0.25">
      <c r="B965" s="730" t="s">
        <v>2118</v>
      </c>
      <c r="C965" s="715">
        <v>90611</v>
      </c>
    </row>
    <row r="966" spans="2:3" x14ac:dyDescent="0.25">
      <c r="B966" s="730" t="s">
        <v>1765</v>
      </c>
      <c r="C966" s="715">
        <v>96918</v>
      </c>
    </row>
    <row r="967" spans="2:3" x14ac:dyDescent="0.25">
      <c r="B967" s="730" t="s">
        <v>2119</v>
      </c>
      <c r="C967" s="715">
        <v>96911</v>
      </c>
    </row>
    <row r="968" spans="2:3" x14ac:dyDescent="0.25">
      <c r="B968" s="730" t="s">
        <v>1965</v>
      </c>
      <c r="C968" s="715">
        <v>99208</v>
      </c>
    </row>
    <row r="969" spans="2:3" x14ac:dyDescent="0.25">
      <c r="B969" s="730" t="s">
        <v>2120</v>
      </c>
      <c r="C969" s="715">
        <v>91631</v>
      </c>
    </row>
    <row r="970" spans="2:3" x14ac:dyDescent="0.25">
      <c r="B970" s="730" t="s">
        <v>1193</v>
      </c>
      <c r="C970" s="715">
        <v>90701</v>
      </c>
    </row>
    <row r="971" spans="2:3" x14ac:dyDescent="0.25">
      <c r="B971" s="730" t="s">
        <v>3578</v>
      </c>
      <c r="C971" s="715">
        <v>90704</v>
      </c>
    </row>
    <row r="972" spans="2:3" x14ac:dyDescent="0.25">
      <c r="B972" s="730" t="s">
        <v>3579</v>
      </c>
      <c r="C972" s="715">
        <v>91633</v>
      </c>
    </row>
    <row r="973" spans="2:3" x14ac:dyDescent="0.25">
      <c r="B973" s="730" t="s">
        <v>2121</v>
      </c>
      <c r="C973" s="715">
        <v>90631</v>
      </c>
    </row>
    <row r="974" spans="2:3" x14ac:dyDescent="0.25">
      <c r="B974" s="730" t="s">
        <v>2122</v>
      </c>
      <c r="C974" s="715">
        <v>90731</v>
      </c>
    </row>
    <row r="975" spans="2:3" x14ac:dyDescent="0.25">
      <c r="B975" s="730" t="s">
        <v>2123</v>
      </c>
      <c r="C975" s="715">
        <v>93621</v>
      </c>
    </row>
    <row r="976" spans="2:3" x14ac:dyDescent="0.25">
      <c r="B976" s="730" t="s">
        <v>1490</v>
      </c>
      <c r="C976" s="715">
        <v>93623</v>
      </c>
    </row>
    <row r="977" spans="2:3" x14ac:dyDescent="0.25">
      <c r="B977" s="730" t="s">
        <v>2124</v>
      </c>
      <c r="C977" s="715">
        <v>91020</v>
      </c>
    </row>
    <row r="978" spans="2:3" x14ac:dyDescent="0.25">
      <c r="B978" s="730" t="s">
        <v>2125</v>
      </c>
      <c r="C978" s="715">
        <v>95141</v>
      </c>
    </row>
    <row r="979" spans="2:3" x14ac:dyDescent="0.25">
      <c r="B979" s="730" t="s">
        <v>1610</v>
      </c>
      <c r="C979" s="715">
        <v>95103</v>
      </c>
    </row>
    <row r="980" spans="2:3" x14ac:dyDescent="0.25">
      <c r="B980" s="730" t="s">
        <v>2126</v>
      </c>
      <c r="C980" s="715">
        <v>93021</v>
      </c>
    </row>
    <row r="981" spans="2:3" x14ac:dyDescent="0.25">
      <c r="B981" s="730" t="s">
        <v>1202</v>
      </c>
      <c r="C981" s="715">
        <v>90801</v>
      </c>
    </row>
    <row r="982" spans="2:3" x14ac:dyDescent="0.25">
      <c r="B982" s="730" t="s">
        <v>3580</v>
      </c>
      <c r="C982" s="715">
        <v>90804</v>
      </c>
    </row>
    <row r="983" spans="2:3" x14ac:dyDescent="0.25">
      <c r="B983" s="730" t="s">
        <v>1205</v>
      </c>
      <c r="C983" s="715">
        <v>90808</v>
      </c>
    </row>
    <row r="984" spans="2:3" x14ac:dyDescent="0.25">
      <c r="B984" s="730" t="s">
        <v>2127</v>
      </c>
      <c r="C984" s="715">
        <v>93671</v>
      </c>
    </row>
    <row r="985" spans="2:3" x14ac:dyDescent="0.25">
      <c r="B985" s="730" t="s">
        <v>2128</v>
      </c>
      <c r="C985" s="715">
        <v>93677</v>
      </c>
    </row>
    <row r="986" spans="2:3" x14ac:dyDescent="0.25">
      <c r="B986" s="730" t="s">
        <v>2129</v>
      </c>
      <c r="C986" s="715">
        <v>97441</v>
      </c>
    </row>
    <row r="987" spans="2:3" x14ac:dyDescent="0.25">
      <c r="B987" s="730" t="s">
        <v>2130</v>
      </c>
      <c r="C987" s="715">
        <v>93111</v>
      </c>
    </row>
    <row r="988" spans="2:3" x14ac:dyDescent="0.25">
      <c r="B988" s="730" t="s">
        <v>2131</v>
      </c>
      <c r="C988" s="715">
        <v>91111</v>
      </c>
    </row>
    <row r="989" spans="2:3" x14ac:dyDescent="0.25">
      <c r="B989" s="730" t="s">
        <v>2132</v>
      </c>
      <c r="C989" s="715">
        <v>96231</v>
      </c>
    </row>
    <row r="990" spans="2:3" x14ac:dyDescent="0.25">
      <c r="B990" s="730" t="s">
        <v>2133</v>
      </c>
      <c r="C990" s="715">
        <v>99831</v>
      </c>
    </row>
    <row r="991" spans="2:3" x14ac:dyDescent="0.25">
      <c r="B991" s="730" t="s">
        <v>2134</v>
      </c>
      <c r="C991" s="715">
        <v>91151</v>
      </c>
    </row>
    <row r="992" spans="2:3" x14ac:dyDescent="0.25">
      <c r="B992" s="730" t="s">
        <v>3581</v>
      </c>
      <c r="C992" s="715">
        <v>91154</v>
      </c>
    </row>
    <row r="993" spans="2:3" x14ac:dyDescent="0.25">
      <c r="B993" s="730" t="s">
        <v>1210</v>
      </c>
      <c r="C993" s="715">
        <v>90901</v>
      </c>
    </row>
    <row r="994" spans="2:3" x14ac:dyDescent="0.25">
      <c r="B994" s="730" t="s">
        <v>2135</v>
      </c>
      <c r="C994" s="715">
        <v>90941</v>
      </c>
    </row>
    <row r="995" spans="2:3" x14ac:dyDescent="0.25">
      <c r="B995" s="730" t="s">
        <v>2136</v>
      </c>
      <c r="C995" s="715">
        <v>99521</v>
      </c>
    </row>
    <row r="996" spans="2:3" x14ac:dyDescent="0.25">
      <c r="B996" s="730" t="s">
        <v>3582</v>
      </c>
      <c r="C996" s="715">
        <v>99527</v>
      </c>
    </row>
    <row r="997" spans="2:3" x14ac:dyDescent="0.25">
      <c r="B997" s="730" t="s">
        <v>1994</v>
      </c>
      <c r="C997" s="715">
        <v>99508</v>
      </c>
    </row>
    <row r="998" spans="2:3" x14ac:dyDescent="0.25">
      <c r="B998" s="730" t="s">
        <v>1576</v>
      </c>
      <c r="C998" s="715">
        <v>94532</v>
      </c>
    </row>
    <row r="999" spans="2:3" x14ac:dyDescent="0.25">
      <c r="B999" s="730" t="s">
        <v>3583</v>
      </c>
      <c r="C999" s="715">
        <v>91071</v>
      </c>
    </row>
    <row r="1000" spans="2:3" x14ac:dyDescent="0.25">
      <c r="B1000" s="730" t="s">
        <v>3584</v>
      </c>
      <c r="C1000" s="715">
        <v>91077</v>
      </c>
    </row>
    <row r="1001" spans="2:3" x14ac:dyDescent="0.25">
      <c r="B1001" s="730" t="s">
        <v>2138</v>
      </c>
      <c r="C1001" s="715">
        <v>92331</v>
      </c>
    </row>
    <row r="1002" spans="2:3" x14ac:dyDescent="0.25">
      <c r="B1002" s="730" t="s">
        <v>2139</v>
      </c>
      <c r="C1002" s="715">
        <v>92414</v>
      </c>
    </row>
    <row r="1003" spans="2:3" x14ac:dyDescent="0.25">
      <c r="B1003" s="730" t="s">
        <v>2140</v>
      </c>
      <c r="C1003" s="715">
        <v>99511</v>
      </c>
    </row>
    <row r="1004" spans="2:3" x14ac:dyDescent="0.25">
      <c r="B1004" s="730" t="s">
        <v>2141</v>
      </c>
      <c r="C1004" s="715">
        <v>99941</v>
      </c>
    </row>
    <row r="1005" spans="2:3" x14ac:dyDescent="0.25">
      <c r="B1005" s="730" t="s">
        <v>1717</v>
      </c>
      <c r="C1005" s="715">
        <v>96405</v>
      </c>
    </row>
    <row r="1006" spans="2:3" x14ac:dyDescent="0.25">
      <c r="B1006" s="730" t="s">
        <v>2142</v>
      </c>
      <c r="C1006" s="715">
        <v>98811</v>
      </c>
    </row>
    <row r="1007" spans="2:3" x14ac:dyDescent="0.25">
      <c r="B1007" s="730" t="s">
        <v>3585</v>
      </c>
      <c r="C1007" s="715">
        <v>98817</v>
      </c>
    </row>
    <row r="1008" spans="2:3" x14ac:dyDescent="0.25">
      <c r="B1008" s="730" t="s">
        <v>2143</v>
      </c>
      <c r="C1008" s="715">
        <v>92561</v>
      </c>
    </row>
    <row r="1009" spans="2:3" x14ac:dyDescent="0.25">
      <c r="B1009" s="730" t="s">
        <v>1879</v>
      </c>
      <c r="C1009" s="715">
        <v>98102</v>
      </c>
    </row>
    <row r="1010" spans="2:3" x14ac:dyDescent="0.25">
      <c r="B1010" s="730" t="s">
        <v>2144</v>
      </c>
      <c r="C1010" s="715">
        <v>95321</v>
      </c>
    </row>
    <row r="1011" spans="2:3" x14ac:dyDescent="0.25">
      <c r="B1011" s="730" t="s">
        <v>2145</v>
      </c>
      <c r="C1011" s="715">
        <v>91861</v>
      </c>
    </row>
    <row r="1012" spans="2:3" x14ac:dyDescent="0.25">
      <c r="B1012" s="730" t="s">
        <v>2146</v>
      </c>
      <c r="C1012" s="715">
        <v>92421</v>
      </c>
    </row>
    <row r="1013" spans="2:3" x14ac:dyDescent="0.25">
      <c r="B1013" s="730" t="s">
        <v>3586</v>
      </c>
      <c r="C1013" s="715">
        <v>91006</v>
      </c>
    </row>
    <row r="1014" spans="2:3" x14ac:dyDescent="0.25">
      <c r="B1014" s="730" t="s">
        <v>3587</v>
      </c>
      <c r="C1014" s="715">
        <v>91003</v>
      </c>
    </row>
    <row r="1015" spans="2:3" x14ac:dyDescent="0.25">
      <c r="B1015" s="730" t="s">
        <v>1217</v>
      </c>
      <c r="C1015" s="715">
        <v>91001</v>
      </c>
    </row>
    <row r="1016" spans="2:3" x14ac:dyDescent="0.25">
      <c r="B1016" s="730" t="s">
        <v>3588</v>
      </c>
      <c r="C1016" s="715">
        <v>91004</v>
      </c>
    </row>
    <row r="1017" spans="2:3" x14ac:dyDescent="0.25">
      <c r="B1017" s="730" t="s">
        <v>3589</v>
      </c>
      <c r="C1017" s="715">
        <v>91009</v>
      </c>
    </row>
    <row r="1018" spans="2:3" x14ac:dyDescent="0.25">
      <c r="B1018" s="730" t="s">
        <v>3590</v>
      </c>
      <c r="C1018" s="715">
        <v>91042</v>
      </c>
    </row>
    <row r="1019" spans="2:3" x14ac:dyDescent="0.25">
      <c r="B1019" s="730" t="s">
        <v>2147</v>
      </c>
      <c r="C1019" s="715">
        <v>98711</v>
      </c>
    </row>
    <row r="1020" spans="2:3" x14ac:dyDescent="0.25">
      <c r="B1020" s="730" t="s">
        <v>3591</v>
      </c>
      <c r="C1020" s="715">
        <v>98717</v>
      </c>
    </row>
    <row r="1021" spans="2:3" x14ac:dyDescent="0.25">
      <c r="B1021" s="730" t="s">
        <v>1247</v>
      </c>
      <c r="C1021" s="715">
        <v>91101</v>
      </c>
    </row>
    <row r="1022" spans="2:3" x14ac:dyDescent="0.25">
      <c r="B1022" s="730" t="s">
        <v>2148</v>
      </c>
      <c r="C1022" s="715">
        <v>93531</v>
      </c>
    </row>
    <row r="1023" spans="2:3" x14ac:dyDescent="0.25">
      <c r="B1023" s="730" t="s">
        <v>3592</v>
      </c>
      <c r="C1023" s="715">
        <v>93537</v>
      </c>
    </row>
    <row r="1024" spans="2:3" x14ac:dyDescent="0.25">
      <c r="B1024" s="730" t="s">
        <v>2149</v>
      </c>
      <c r="C1024" s="715">
        <v>97111</v>
      </c>
    </row>
    <row r="1025" spans="2:3" x14ac:dyDescent="0.25">
      <c r="B1025" s="730" t="s">
        <v>3593</v>
      </c>
      <c r="C1025" s="715">
        <v>91206</v>
      </c>
    </row>
    <row r="1026" spans="2:3" x14ac:dyDescent="0.25">
      <c r="B1026" s="730" t="s">
        <v>3594</v>
      </c>
      <c r="C1026" s="715">
        <v>91203</v>
      </c>
    </row>
    <row r="1027" spans="2:3" x14ac:dyDescent="0.25">
      <c r="B1027" s="730" t="s">
        <v>1266</v>
      </c>
      <c r="C1027" s="715">
        <v>91201</v>
      </c>
    </row>
    <row r="1028" spans="2:3" x14ac:dyDescent="0.25">
      <c r="B1028" s="730" t="s">
        <v>3595</v>
      </c>
      <c r="C1028" s="715">
        <v>91208</v>
      </c>
    </row>
    <row r="1029" spans="2:3" x14ac:dyDescent="0.25">
      <c r="B1029" s="730" t="s">
        <v>3596</v>
      </c>
      <c r="C1029" s="715">
        <v>91202</v>
      </c>
    </row>
    <row r="1030" spans="2:3" x14ac:dyDescent="0.25">
      <c r="B1030" s="730" t="s">
        <v>2150</v>
      </c>
      <c r="C1030" s="715">
        <v>90111</v>
      </c>
    </row>
    <row r="1031" spans="2:3" x14ac:dyDescent="0.25">
      <c r="B1031" s="730" t="s">
        <v>2151</v>
      </c>
      <c r="C1031" s="715">
        <v>90011</v>
      </c>
    </row>
    <row r="1032" spans="2:3" x14ac:dyDescent="0.25">
      <c r="B1032" s="730" t="s">
        <v>2152</v>
      </c>
      <c r="C1032" s="715">
        <v>93931</v>
      </c>
    </row>
    <row r="1033" spans="2:3" x14ac:dyDescent="0.25">
      <c r="B1033" s="730" t="s">
        <v>3597</v>
      </c>
      <c r="C1033" s="715">
        <v>91306</v>
      </c>
    </row>
    <row r="1034" spans="2:3" x14ac:dyDescent="0.25">
      <c r="B1034" s="730" t="s">
        <v>1281</v>
      </c>
      <c r="C1034" s="715">
        <v>91301</v>
      </c>
    </row>
    <row r="1035" spans="2:3" x14ac:dyDescent="0.25">
      <c r="B1035" s="730" t="s">
        <v>3598</v>
      </c>
      <c r="C1035" s="715">
        <v>91308</v>
      </c>
    </row>
    <row r="1036" spans="2:3" x14ac:dyDescent="0.25">
      <c r="B1036" s="730" t="s">
        <v>3599</v>
      </c>
      <c r="C1036" s="715">
        <v>91461</v>
      </c>
    </row>
    <row r="1037" spans="2:3" x14ac:dyDescent="0.25">
      <c r="B1037" s="730" t="s">
        <v>2154</v>
      </c>
      <c r="C1037" s="715">
        <v>91010</v>
      </c>
    </row>
    <row r="1038" spans="2:3" x14ac:dyDescent="0.25">
      <c r="B1038" s="730" t="s">
        <v>3600</v>
      </c>
      <c r="C1038" s="715">
        <v>91007</v>
      </c>
    </row>
    <row r="1039" spans="2:3" x14ac:dyDescent="0.25">
      <c r="B1039" s="730" t="s">
        <v>1291</v>
      </c>
      <c r="C1039" s="715">
        <v>91401</v>
      </c>
    </row>
    <row r="1040" spans="2:3" x14ac:dyDescent="0.25">
      <c r="B1040" s="730" t="s">
        <v>2155</v>
      </c>
      <c r="C1040" s="715">
        <v>93171</v>
      </c>
    </row>
    <row r="1041" spans="2:3" x14ac:dyDescent="0.25">
      <c r="B1041" s="730" t="s">
        <v>1301</v>
      </c>
      <c r="C1041" s="715">
        <v>91501</v>
      </c>
    </row>
    <row r="1042" spans="2:3" x14ac:dyDescent="0.25">
      <c r="B1042" s="730" t="s">
        <v>3601</v>
      </c>
      <c r="C1042" s="715">
        <v>91504</v>
      </c>
    </row>
    <row r="1043" spans="2:3" x14ac:dyDescent="0.25">
      <c r="B1043" s="730" t="s">
        <v>2156</v>
      </c>
      <c r="C1043" s="715">
        <v>96312</v>
      </c>
    </row>
    <row r="1044" spans="2:3" x14ac:dyDescent="0.25">
      <c r="B1044" s="730" t="s">
        <v>2157</v>
      </c>
      <c r="C1044" s="715">
        <v>96241</v>
      </c>
    </row>
    <row r="1045" spans="2:3" x14ac:dyDescent="0.25">
      <c r="B1045" s="730" t="s">
        <v>2158</v>
      </c>
      <c r="C1045" s="715">
        <v>94431</v>
      </c>
    </row>
    <row r="1046" spans="2:3" x14ac:dyDescent="0.25">
      <c r="B1046" s="730" t="s">
        <v>3602</v>
      </c>
      <c r="C1046" s="715">
        <v>94437</v>
      </c>
    </row>
    <row r="1047" spans="2:3" x14ac:dyDescent="0.25">
      <c r="B1047" s="730" t="s">
        <v>2159</v>
      </c>
      <c r="C1047" s="715">
        <v>91671</v>
      </c>
    </row>
    <row r="1048" spans="2:3" x14ac:dyDescent="0.25">
      <c r="B1048" s="730" t="s">
        <v>1223</v>
      </c>
      <c r="C1048" s="715">
        <v>91008</v>
      </c>
    </row>
    <row r="1049" spans="2:3" x14ac:dyDescent="0.25">
      <c r="B1049" s="730" t="s">
        <v>1731</v>
      </c>
      <c r="C1049" s="715">
        <v>96512</v>
      </c>
    </row>
    <row r="1050" spans="2:3" x14ac:dyDescent="0.25">
      <c r="B1050" s="730" t="s">
        <v>1728</v>
      </c>
      <c r="C1050" s="715">
        <v>96507</v>
      </c>
    </row>
    <row r="1051" spans="2:3" x14ac:dyDescent="0.25">
      <c r="B1051" s="730" t="s">
        <v>2160</v>
      </c>
      <c r="C1051" s="715">
        <v>96521</v>
      </c>
    </row>
    <row r="1052" spans="2:3" x14ac:dyDescent="0.25">
      <c r="B1052" s="730" t="s">
        <v>2161</v>
      </c>
      <c r="C1052" s="715">
        <v>91024</v>
      </c>
    </row>
    <row r="1053" spans="2:3" x14ac:dyDescent="0.25">
      <c r="B1053" s="730" t="s">
        <v>2162</v>
      </c>
      <c r="C1053" s="715">
        <v>96821</v>
      </c>
    </row>
    <row r="1054" spans="2:3" x14ac:dyDescent="0.25">
      <c r="B1054" s="730" t="s">
        <v>1303</v>
      </c>
      <c r="C1054" s="715">
        <v>91601</v>
      </c>
    </row>
    <row r="1055" spans="2:3" x14ac:dyDescent="0.25">
      <c r="B1055" s="730" t="s">
        <v>3603</v>
      </c>
      <c r="C1055" s="715">
        <v>91604</v>
      </c>
    </row>
    <row r="1056" spans="2:3" x14ac:dyDescent="0.25">
      <c r="B1056" s="730" t="s">
        <v>2163</v>
      </c>
      <c r="C1056" s="715">
        <v>96391</v>
      </c>
    </row>
    <row r="1057" spans="2:3" x14ac:dyDescent="0.25">
      <c r="B1057" s="730" t="s">
        <v>2164</v>
      </c>
      <c r="C1057" s="715">
        <v>99221</v>
      </c>
    </row>
    <row r="1058" spans="2:3" x14ac:dyDescent="0.25">
      <c r="B1058" s="730" t="s">
        <v>2165</v>
      </c>
      <c r="C1058" s="715">
        <v>91051</v>
      </c>
    </row>
    <row r="1059" spans="2:3" x14ac:dyDescent="0.25">
      <c r="B1059" s="730" t="s">
        <v>3604</v>
      </c>
      <c r="C1059" s="715">
        <v>91706</v>
      </c>
    </row>
    <row r="1060" spans="2:3" x14ac:dyDescent="0.25">
      <c r="B1060" s="730" t="s">
        <v>1316</v>
      </c>
      <c r="C1060" s="715">
        <v>91701</v>
      </c>
    </row>
    <row r="1061" spans="2:3" x14ac:dyDescent="0.25">
      <c r="B1061" s="730" t="s">
        <v>3605</v>
      </c>
      <c r="C1061" s="715">
        <v>91704</v>
      </c>
    </row>
    <row r="1062" spans="2:3" x14ac:dyDescent="0.25">
      <c r="B1062" s="730" t="s">
        <v>2166</v>
      </c>
      <c r="C1062" s="715">
        <v>91881</v>
      </c>
    </row>
    <row r="1063" spans="2:3" x14ac:dyDescent="0.25">
      <c r="B1063" s="730" t="s">
        <v>1320</v>
      </c>
      <c r="C1063" s="715">
        <v>91801</v>
      </c>
    </row>
    <row r="1064" spans="2:3" x14ac:dyDescent="0.25">
      <c r="B1064" s="730" t="s">
        <v>3606</v>
      </c>
      <c r="C1064" s="715">
        <v>91804</v>
      </c>
    </row>
    <row r="1065" spans="2:3" x14ac:dyDescent="0.25">
      <c r="B1065" s="730" t="s">
        <v>2167</v>
      </c>
      <c r="C1065" s="715">
        <v>91691</v>
      </c>
    </row>
    <row r="1066" spans="2:3" x14ac:dyDescent="0.25">
      <c r="B1066" s="730" t="s">
        <v>3607</v>
      </c>
      <c r="C1066" s="715">
        <v>99222</v>
      </c>
    </row>
    <row r="1067" spans="2:3" x14ac:dyDescent="0.25">
      <c r="B1067" s="730" t="s">
        <v>3443</v>
      </c>
      <c r="C1067" s="715">
        <v>93408</v>
      </c>
    </row>
    <row r="1068" spans="2:3" x14ac:dyDescent="0.25">
      <c r="B1068" s="730" t="s">
        <v>1678</v>
      </c>
      <c r="C1068" s="715">
        <v>96009</v>
      </c>
    </row>
    <row r="1069" spans="2:3" x14ac:dyDescent="0.25">
      <c r="B1069" s="730" t="s">
        <v>2168</v>
      </c>
      <c r="C1069" s="715">
        <v>92441</v>
      </c>
    </row>
    <row r="1070" spans="2:3" x14ac:dyDescent="0.25">
      <c r="B1070" s="730" t="s">
        <v>2169</v>
      </c>
      <c r="C1070" s="715">
        <v>96811</v>
      </c>
    </row>
    <row r="1071" spans="2:3" x14ac:dyDescent="0.25">
      <c r="B1071" s="730" t="s">
        <v>2170</v>
      </c>
      <c r="C1071" s="715">
        <v>96011</v>
      </c>
    </row>
    <row r="1072" spans="2:3" x14ac:dyDescent="0.25">
      <c r="B1072" s="730" t="s">
        <v>3608</v>
      </c>
      <c r="C1072" s="715">
        <v>96018</v>
      </c>
    </row>
    <row r="1073" spans="2:3" x14ac:dyDescent="0.25">
      <c r="B1073" s="730" t="s">
        <v>3609</v>
      </c>
      <c r="C1073" s="715">
        <v>96003</v>
      </c>
    </row>
    <row r="1074" spans="2:3" x14ac:dyDescent="0.25">
      <c r="B1074" s="730" t="s">
        <v>3610</v>
      </c>
      <c r="C1074" s="715">
        <v>96005</v>
      </c>
    </row>
    <row r="1075" spans="2:3" x14ac:dyDescent="0.25">
      <c r="B1075" s="730" t="s">
        <v>3444</v>
      </c>
      <c r="C1075" s="715">
        <v>96012</v>
      </c>
    </row>
    <row r="1076" spans="2:3" x14ac:dyDescent="0.25">
      <c r="B1076" s="730" t="s">
        <v>3611</v>
      </c>
      <c r="C1076" s="715">
        <v>91903</v>
      </c>
    </row>
    <row r="1077" spans="2:3" x14ac:dyDescent="0.25">
      <c r="B1077" s="730" t="s">
        <v>1334</v>
      </c>
      <c r="C1077" s="715">
        <v>91901</v>
      </c>
    </row>
    <row r="1078" spans="2:3" x14ac:dyDescent="0.25">
      <c r="B1078" s="730" t="s">
        <v>3612</v>
      </c>
      <c r="C1078" s="715">
        <v>91904</v>
      </c>
    </row>
    <row r="1079" spans="2:3" x14ac:dyDescent="0.25">
      <c r="B1079" s="730" t="s">
        <v>1341</v>
      </c>
      <c r="C1079" s="715">
        <v>92001</v>
      </c>
    </row>
    <row r="1080" spans="2:3" x14ac:dyDescent="0.25">
      <c r="B1080" s="730" t="s">
        <v>2171</v>
      </c>
      <c r="C1080" s="715">
        <v>93641</v>
      </c>
    </row>
    <row r="1081" spans="2:3" x14ac:dyDescent="0.25">
      <c r="B1081" s="730" t="s">
        <v>3613</v>
      </c>
      <c r="C1081" s="715">
        <v>93647</v>
      </c>
    </row>
    <row r="1082" spans="2:3" x14ac:dyDescent="0.25">
      <c r="B1082" s="730" t="s">
        <v>2172</v>
      </c>
      <c r="C1082" s="715">
        <v>98041</v>
      </c>
    </row>
    <row r="1083" spans="2:3" x14ac:dyDescent="0.25">
      <c r="B1083" s="730" t="s">
        <v>3614</v>
      </c>
      <c r="C1083" s="715">
        <v>96612</v>
      </c>
    </row>
    <row r="1084" spans="2:3" x14ac:dyDescent="0.25">
      <c r="B1084" s="730" t="s">
        <v>2173</v>
      </c>
      <c r="C1084" s="715">
        <v>90751</v>
      </c>
    </row>
    <row r="1085" spans="2:3" x14ac:dyDescent="0.25">
      <c r="B1085" s="730" t="s">
        <v>1346</v>
      </c>
      <c r="C1085" s="715">
        <v>92101</v>
      </c>
    </row>
    <row r="1086" spans="2:3" x14ac:dyDescent="0.25">
      <c r="B1086" s="730" t="s">
        <v>3615</v>
      </c>
      <c r="C1086" s="715">
        <v>92104</v>
      </c>
    </row>
    <row r="1087" spans="2:3" x14ac:dyDescent="0.25">
      <c r="B1087" s="730" t="s">
        <v>2174</v>
      </c>
      <c r="C1087" s="715">
        <v>91821</v>
      </c>
    </row>
    <row r="1088" spans="2:3" x14ac:dyDescent="0.25">
      <c r="B1088" s="730" t="s">
        <v>2175</v>
      </c>
      <c r="C1088" s="715">
        <v>90931</v>
      </c>
    </row>
    <row r="1089" spans="2:3" x14ac:dyDescent="0.25">
      <c r="B1089" s="730" t="s">
        <v>1351</v>
      </c>
      <c r="C1089" s="715">
        <v>92201</v>
      </c>
    </row>
    <row r="1090" spans="2:3" x14ac:dyDescent="0.25">
      <c r="B1090" s="730" t="s">
        <v>2176</v>
      </c>
      <c r="C1090" s="715">
        <v>95131</v>
      </c>
    </row>
    <row r="1091" spans="2:3" x14ac:dyDescent="0.25">
      <c r="B1091" s="730" t="s">
        <v>2177</v>
      </c>
      <c r="C1091" s="715">
        <v>93441</v>
      </c>
    </row>
    <row r="1092" spans="2:3" x14ac:dyDescent="0.25">
      <c r="B1092" s="730" t="s">
        <v>1470</v>
      </c>
      <c r="C1092" s="715">
        <v>93442</v>
      </c>
    </row>
    <row r="1093" spans="2:3" x14ac:dyDescent="0.25">
      <c r="B1093" s="730" t="s">
        <v>2178</v>
      </c>
      <c r="C1093" s="715">
        <v>98091</v>
      </c>
    </row>
    <row r="1094" spans="2:3" x14ac:dyDescent="0.25">
      <c r="B1094" s="730" t="s">
        <v>1352</v>
      </c>
      <c r="C1094" s="715">
        <v>92301</v>
      </c>
    </row>
    <row r="1095" spans="2:3" x14ac:dyDescent="0.25">
      <c r="B1095" s="730" t="s">
        <v>3616</v>
      </c>
      <c r="C1095" s="715">
        <v>92302</v>
      </c>
    </row>
    <row r="1096" spans="2:3" x14ac:dyDescent="0.25">
      <c r="B1096" s="730" t="s">
        <v>2179</v>
      </c>
      <c r="C1096" s="715">
        <v>98211</v>
      </c>
    </row>
    <row r="1097" spans="2:3" x14ac:dyDescent="0.25">
      <c r="B1097" s="730" t="s">
        <v>3617</v>
      </c>
      <c r="C1097" s="715">
        <v>98218</v>
      </c>
    </row>
    <row r="1098" spans="2:3" x14ac:dyDescent="0.25">
      <c r="B1098" s="730" t="s">
        <v>3618</v>
      </c>
      <c r="C1098" s="715">
        <v>92506</v>
      </c>
    </row>
    <row r="1099" spans="2:3" x14ac:dyDescent="0.25">
      <c r="B1099" s="730" t="s">
        <v>3619</v>
      </c>
      <c r="C1099" s="715">
        <v>92508</v>
      </c>
    </row>
    <row r="1100" spans="2:3" x14ac:dyDescent="0.25">
      <c r="B1100" s="730" t="s">
        <v>2180</v>
      </c>
      <c r="C1100" s="715">
        <v>94341</v>
      </c>
    </row>
    <row r="1101" spans="2:3" x14ac:dyDescent="0.25">
      <c r="B1101" s="730" t="s">
        <v>2181</v>
      </c>
      <c r="C1101" s="715">
        <v>94641</v>
      </c>
    </row>
    <row r="1102" spans="2:3" x14ac:dyDescent="0.25">
      <c r="B1102" s="730" t="s">
        <v>2182</v>
      </c>
      <c r="C1102" s="715">
        <v>90813</v>
      </c>
    </row>
    <row r="1103" spans="2:3" x14ac:dyDescent="0.25">
      <c r="B1103" s="730" t="s">
        <v>1537</v>
      </c>
      <c r="C1103" s="715">
        <v>94168</v>
      </c>
    </row>
    <row r="1104" spans="2:3" x14ac:dyDescent="0.25">
      <c r="B1104" s="730" t="s">
        <v>2183</v>
      </c>
      <c r="C1104" s="715">
        <v>98911</v>
      </c>
    </row>
    <row r="1105" spans="2:3" x14ac:dyDescent="0.25">
      <c r="B1105" s="730" t="s">
        <v>2184</v>
      </c>
      <c r="C1105" s="715">
        <v>97521</v>
      </c>
    </row>
    <row r="1106" spans="2:3" x14ac:dyDescent="0.25">
      <c r="B1106" s="730" t="s">
        <v>1361</v>
      </c>
      <c r="C1106" s="715">
        <v>92401</v>
      </c>
    </row>
    <row r="1107" spans="2:3" x14ac:dyDescent="0.25">
      <c r="B1107" s="730" t="s">
        <v>2185</v>
      </c>
      <c r="C1107" s="715">
        <v>91311</v>
      </c>
    </row>
    <row r="1108" spans="2:3" x14ac:dyDescent="0.25">
      <c r="B1108" s="730" t="s">
        <v>3620</v>
      </c>
      <c r="C1108" s="715">
        <v>91317</v>
      </c>
    </row>
    <row r="1109" spans="2:3" x14ac:dyDescent="0.25">
      <c r="B1109" s="730" t="s">
        <v>2186</v>
      </c>
      <c r="C1109" s="715">
        <v>91261</v>
      </c>
    </row>
    <row r="1110" spans="2:3" x14ac:dyDescent="0.25">
      <c r="B1110" s="730" t="s">
        <v>2187</v>
      </c>
      <c r="C1110" s="715">
        <v>91851</v>
      </c>
    </row>
    <row r="1111" spans="2:3" x14ac:dyDescent="0.25">
      <c r="B1111" s="730" t="s">
        <v>3621</v>
      </c>
      <c r="C1111" s="715">
        <v>97408</v>
      </c>
    </row>
    <row r="1112" spans="2:3" x14ac:dyDescent="0.25">
      <c r="B1112" s="730" t="s">
        <v>2188</v>
      </c>
      <c r="C1112" s="715">
        <v>96641</v>
      </c>
    </row>
    <row r="1113" spans="2:3" x14ac:dyDescent="0.25">
      <c r="B1113" s="730" t="s">
        <v>2189</v>
      </c>
      <c r="C1113" s="715">
        <v>93031</v>
      </c>
    </row>
    <row r="1114" spans="2:3" x14ac:dyDescent="0.25">
      <c r="B1114" s="730" t="s">
        <v>3622</v>
      </c>
      <c r="C1114" s="715">
        <v>93027</v>
      </c>
    </row>
    <row r="1115" spans="2:3" x14ac:dyDescent="0.25">
      <c r="B1115" s="730" t="s">
        <v>2190</v>
      </c>
      <c r="C1115" s="715">
        <v>96051</v>
      </c>
    </row>
    <row r="1116" spans="2:3" x14ac:dyDescent="0.25">
      <c r="B1116" s="730" t="s">
        <v>3623</v>
      </c>
      <c r="C1116" s="715">
        <v>94501</v>
      </c>
    </row>
    <row r="1117" spans="2:3" x14ac:dyDescent="0.25">
      <c r="B1117" s="730" t="s">
        <v>2191</v>
      </c>
      <c r="C1117" s="715">
        <v>92571</v>
      </c>
    </row>
    <row r="1118" spans="2:3" x14ac:dyDescent="0.25">
      <c r="B1118" s="730" t="s">
        <v>2192</v>
      </c>
      <c r="C1118" s="715">
        <v>93631</v>
      </c>
    </row>
    <row r="1119" spans="2:3" x14ac:dyDescent="0.25">
      <c r="B1119" s="730" t="s">
        <v>3624</v>
      </c>
      <c r="C1119" s="715">
        <v>92504</v>
      </c>
    </row>
    <row r="1120" spans="2:3" x14ac:dyDescent="0.25">
      <c r="B1120" s="730" t="s">
        <v>1373</v>
      </c>
      <c r="C1120" s="715">
        <v>92501</v>
      </c>
    </row>
    <row r="1121" spans="2:3" x14ac:dyDescent="0.25">
      <c r="B1121" s="730" t="s">
        <v>1376</v>
      </c>
      <c r="C1121" s="715">
        <v>92505</v>
      </c>
    </row>
    <row r="1122" spans="2:3" x14ac:dyDescent="0.25">
      <c r="B1122" s="730" t="s">
        <v>2193</v>
      </c>
      <c r="C1122" s="715">
        <v>93921</v>
      </c>
    </row>
    <row r="1123" spans="2:3" x14ac:dyDescent="0.25">
      <c r="B1123" s="730" t="s">
        <v>2194</v>
      </c>
      <c r="C1123" s="715">
        <v>99431</v>
      </c>
    </row>
    <row r="1124" spans="2:3" x14ac:dyDescent="0.25">
      <c r="B1124" s="730" t="s">
        <v>3625</v>
      </c>
      <c r="C1124" s="715">
        <v>92604</v>
      </c>
    </row>
    <row r="1125" spans="2:3" x14ac:dyDescent="0.25">
      <c r="B1125" s="730" t="s">
        <v>1388</v>
      </c>
      <c r="C1125" s="715">
        <v>92601</v>
      </c>
    </row>
    <row r="1126" spans="2:3" x14ac:dyDescent="0.25">
      <c r="B1126" s="730" t="s">
        <v>1392</v>
      </c>
      <c r="C1126" s="715">
        <v>92608</v>
      </c>
    </row>
    <row r="1127" spans="2:3" x14ac:dyDescent="0.25">
      <c r="B1127" s="730" t="s">
        <v>3626</v>
      </c>
      <c r="C1127" s="715">
        <v>92704</v>
      </c>
    </row>
    <row r="1128" spans="2:3" x14ac:dyDescent="0.25">
      <c r="B1128" s="730" t="s">
        <v>1403</v>
      </c>
      <c r="C1128" s="715">
        <v>92701</v>
      </c>
    </row>
    <row r="1129" spans="2:3" x14ac:dyDescent="0.25">
      <c r="B1129" s="730" t="s">
        <v>2195</v>
      </c>
      <c r="C1129" s="715">
        <v>93651</v>
      </c>
    </row>
    <row r="1130" spans="2:3" x14ac:dyDescent="0.25">
      <c r="B1130" s="730" t="s">
        <v>1405</v>
      </c>
      <c r="C1130" s="715">
        <v>92801</v>
      </c>
    </row>
    <row r="1131" spans="2:3" x14ac:dyDescent="0.25">
      <c r="B1131" s="730" t="s">
        <v>3627</v>
      </c>
      <c r="C1131" s="715">
        <v>92804</v>
      </c>
    </row>
    <row r="1132" spans="2:3" x14ac:dyDescent="0.25">
      <c r="B1132" s="730" t="s">
        <v>1406</v>
      </c>
      <c r="C1132" s="715">
        <v>92802</v>
      </c>
    </row>
    <row r="1133" spans="2:3" x14ac:dyDescent="0.25">
      <c r="B1133" s="730" t="s">
        <v>2196</v>
      </c>
      <c r="C1133" s="715">
        <v>96081</v>
      </c>
    </row>
    <row r="1134" spans="2:3" x14ac:dyDescent="0.25">
      <c r="B1134" s="730" t="s">
        <v>1414</v>
      </c>
      <c r="C1134" s="715">
        <v>92901</v>
      </c>
    </row>
    <row r="1135" spans="2:3" x14ac:dyDescent="0.25">
      <c r="B1135" s="730" t="s">
        <v>1421</v>
      </c>
      <c r="C1135" s="715">
        <v>93001</v>
      </c>
    </row>
    <row r="1136" spans="2:3" x14ac:dyDescent="0.25">
      <c r="B1136" s="730" t="s">
        <v>3628</v>
      </c>
      <c r="C1136" s="715">
        <v>93009</v>
      </c>
    </row>
    <row r="1137" spans="2:3" x14ac:dyDescent="0.25">
      <c r="B1137" s="730" t="s">
        <v>2197</v>
      </c>
      <c r="C1137" s="715">
        <v>92921</v>
      </c>
    </row>
    <row r="1138" spans="2:3" x14ac:dyDescent="0.25">
      <c r="B1138" s="730" t="s">
        <v>2198</v>
      </c>
      <c r="C1138" s="715">
        <v>98621</v>
      </c>
    </row>
    <row r="1139" spans="2:3" x14ac:dyDescent="0.25">
      <c r="B1139" s="730" t="s">
        <v>3629</v>
      </c>
      <c r="C1139" s="715">
        <v>98627</v>
      </c>
    </row>
    <row r="1140" spans="2:3" x14ac:dyDescent="0.25">
      <c r="B1140" s="730" t="s">
        <v>2199</v>
      </c>
      <c r="C1140" s="715">
        <v>91221</v>
      </c>
    </row>
    <row r="1141" spans="2:3" x14ac:dyDescent="0.25">
      <c r="B1141" s="730" t="s">
        <v>2200</v>
      </c>
      <c r="C1141" s="715">
        <v>92861</v>
      </c>
    </row>
    <row r="1142" spans="2:3" x14ac:dyDescent="0.25">
      <c r="B1142" s="730" t="s">
        <v>2201</v>
      </c>
      <c r="C1142" s="715">
        <v>94311</v>
      </c>
    </row>
    <row r="1143" spans="2:3" x14ac:dyDescent="0.25">
      <c r="B1143" s="730" t="s">
        <v>3630</v>
      </c>
      <c r="C1143" s="715">
        <v>94317</v>
      </c>
    </row>
    <row r="1144" spans="2:3" x14ac:dyDescent="0.25">
      <c r="B1144" s="730" t="s">
        <v>1552</v>
      </c>
      <c r="C1144" s="715">
        <v>94313</v>
      </c>
    </row>
    <row r="1145" spans="2:3" x14ac:dyDescent="0.25">
      <c r="B1145" s="730" t="s">
        <v>1427</v>
      </c>
      <c r="C1145" s="715">
        <v>93101</v>
      </c>
    </row>
    <row r="1146" spans="2:3" x14ac:dyDescent="0.25">
      <c r="B1146" s="730" t="s">
        <v>2202</v>
      </c>
      <c r="C1146" s="715">
        <v>93103</v>
      </c>
    </row>
    <row r="1147" spans="2:3" x14ac:dyDescent="0.25">
      <c r="B1147" s="730" t="s">
        <v>2203</v>
      </c>
      <c r="C1147" s="715">
        <v>93211</v>
      </c>
    </row>
    <row r="1148" spans="2:3" x14ac:dyDescent="0.25">
      <c r="B1148" s="730" t="s">
        <v>3631</v>
      </c>
      <c r="C1148" s="715">
        <v>93212</v>
      </c>
    </row>
    <row r="1149" spans="2:3" x14ac:dyDescent="0.25">
      <c r="B1149" s="730" t="s">
        <v>1441</v>
      </c>
      <c r="C1149" s="715">
        <v>93201</v>
      </c>
    </row>
    <row r="1150" spans="2:3" x14ac:dyDescent="0.25">
      <c r="B1150" s="730" t="s">
        <v>3632</v>
      </c>
      <c r="C1150" s="715">
        <v>93204</v>
      </c>
    </row>
    <row r="1151" spans="2:3" x14ac:dyDescent="0.25">
      <c r="B1151" s="730" t="s">
        <v>3633</v>
      </c>
      <c r="C1151" s="715">
        <v>99212</v>
      </c>
    </row>
    <row r="1152" spans="2:3" x14ac:dyDescent="0.25">
      <c r="B1152" s="730" t="s">
        <v>1769</v>
      </c>
      <c r="C1152" s="715">
        <v>97005</v>
      </c>
    </row>
    <row r="1153" spans="2:3" x14ac:dyDescent="0.25">
      <c r="B1153" s="730" t="s">
        <v>2204</v>
      </c>
      <c r="C1153" s="715">
        <v>99931</v>
      </c>
    </row>
    <row r="1154" spans="2:3" x14ac:dyDescent="0.25">
      <c r="B1154" s="730" t="s">
        <v>2205</v>
      </c>
      <c r="C1154" s="715">
        <v>98021</v>
      </c>
    </row>
    <row r="1155" spans="2:3" x14ac:dyDescent="0.25">
      <c r="B1155" s="730" t="s">
        <v>1870</v>
      </c>
      <c r="C1155" s="715">
        <v>98023</v>
      </c>
    </row>
    <row r="1156" spans="2:3" x14ac:dyDescent="0.25">
      <c r="B1156" s="730" t="s">
        <v>1144</v>
      </c>
      <c r="C1156" s="715">
        <v>70505</v>
      </c>
    </row>
    <row r="1157" spans="2:3" x14ac:dyDescent="0.25">
      <c r="B1157" s="730" t="s">
        <v>3634</v>
      </c>
      <c r="C1157" s="715">
        <v>99603</v>
      </c>
    </row>
    <row r="1158" spans="2:3" x14ac:dyDescent="0.25">
      <c r="B1158" s="730" t="s">
        <v>3635</v>
      </c>
      <c r="C1158" s="715">
        <v>99610</v>
      </c>
    </row>
    <row r="1159" spans="2:3" x14ac:dyDescent="0.25">
      <c r="B1159" s="730" t="s">
        <v>2206</v>
      </c>
      <c r="C1159" s="715">
        <v>92681</v>
      </c>
    </row>
    <row r="1160" spans="2:3" x14ac:dyDescent="0.25">
      <c r="B1160" s="730" t="s">
        <v>3447</v>
      </c>
      <c r="C1160" s="715">
        <v>93108</v>
      </c>
    </row>
    <row r="1161" spans="2:3" x14ac:dyDescent="0.25">
      <c r="B1161" s="730" t="s">
        <v>2207</v>
      </c>
      <c r="C1161" s="715">
        <v>97951</v>
      </c>
    </row>
    <row r="1162" spans="2:3" x14ac:dyDescent="0.25">
      <c r="B1162" s="730" t="s">
        <v>3636</v>
      </c>
      <c r="C1162" s="715">
        <v>97957</v>
      </c>
    </row>
    <row r="1163" spans="2:3" x14ac:dyDescent="0.25">
      <c r="B1163" s="730" t="s">
        <v>2208</v>
      </c>
      <c r="C1163" s="715">
        <v>92111</v>
      </c>
    </row>
    <row r="1164" spans="2:3" x14ac:dyDescent="0.25">
      <c r="B1164" s="730" t="s">
        <v>1448</v>
      </c>
      <c r="C1164" s="715">
        <v>93301</v>
      </c>
    </row>
    <row r="1165" spans="2:3" x14ac:dyDescent="0.25">
      <c r="B1165" s="730" t="s">
        <v>3637</v>
      </c>
      <c r="C1165" s="715">
        <v>93304</v>
      </c>
    </row>
    <row r="1166" spans="2:3" x14ac:dyDescent="0.25">
      <c r="B1166" s="730" t="s">
        <v>3638</v>
      </c>
      <c r="C1166" s="715">
        <v>93305</v>
      </c>
    </row>
    <row r="1167" spans="2:3" x14ac:dyDescent="0.25">
      <c r="B1167" s="730" t="s">
        <v>3639</v>
      </c>
      <c r="C1167" s="715">
        <v>99210</v>
      </c>
    </row>
    <row r="1168" spans="2:3" x14ac:dyDescent="0.25">
      <c r="B1168" s="730" t="s">
        <v>1772</v>
      </c>
      <c r="C1168" s="715">
        <v>97011</v>
      </c>
    </row>
    <row r="1169" spans="2:3" x14ac:dyDescent="0.25">
      <c r="B1169" s="730" t="s">
        <v>3640</v>
      </c>
      <c r="C1169" s="715">
        <v>97013</v>
      </c>
    </row>
    <row r="1170" spans="2:3" x14ac:dyDescent="0.25">
      <c r="B1170" s="730" t="s">
        <v>3641</v>
      </c>
      <c r="C1170" s="715">
        <v>97012</v>
      </c>
    </row>
    <row r="1171" spans="2:3" x14ac:dyDescent="0.25">
      <c r="B1171" s="730" t="s">
        <v>3642</v>
      </c>
      <c r="C1171" s="715">
        <v>97018</v>
      </c>
    </row>
    <row r="1172" spans="2:3" x14ac:dyDescent="0.25">
      <c r="B1172" s="730" t="s">
        <v>2209</v>
      </c>
      <c r="C1172" s="715">
        <v>90911</v>
      </c>
    </row>
    <row r="1173" spans="2:3" x14ac:dyDescent="0.25">
      <c r="B1173" s="730" t="s">
        <v>3643</v>
      </c>
      <c r="C1173" s="715">
        <v>90917</v>
      </c>
    </row>
    <row r="1174" spans="2:3" x14ac:dyDescent="0.25">
      <c r="B1174" s="730" t="s">
        <v>2210</v>
      </c>
      <c r="C1174" s="715">
        <v>90641</v>
      </c>
    </row>
    <row r="1175" spans="2:3" x14ac:dyDescent="0.25">
      <c r="B1175" s="730" t="s">
        <v>2211</v>
      </c>
      <c r="C1175" s="715">
        <v>98641</v>
      </c>
    </row>
    <row r="1176" spans="2:3" x14ac:dyDescent="0.25">
      <c r="B1176" s="730" t="s">
        <v>2212</v>
      </c>
      <c r="C1176" s="715">
        <v>98161</v>
      </c>
    </row>
    <row r="1177" spans="2:3" x14ac:dyDescent="0.25">
      <c r="B1177" s="730" t="s">
        <v>2213</v>
      </c>
      <c r="C1177" s="715">
        <v>97731</v>
      </c>
    </row>
    <row r="1178" spans="2:3" x14ac:dyDescent="0.25">
      <c r="B1178" s="730" t="s">
        <v>2214</v>
      </c>
      <c r="C1178" s="715">
        <v>99851</v>
      </c>
    </row>
    <row r="1179" spans="2:3" x14ac:dyDescent="0.25">
      <c r="B1179" s="730" t="s">
        <v>3644</v>
      </c>
      <c r="C1179" s="715">
        <v>90131</v>
      </c>
    </row>
    <row r="1180" spans="2:3" x14ac:dyDescent="0.25">
      <c r="B1180" s="730" t="s">
        <v>2216</v>
      </c>
      <c r="C1180" s="715">
        <v>91651</v>
      </c>
    </row>
    <row r="1181" spans="2:3" x14ac:dyDescent="0.25">
      <c r="B1181" s="730" t="s">
        <v>2217</v>
      </c>
      <c r="C1181" s="715">
        <v>94211</v>
      </c>
    </row>
    <row r="1182" spans="2:3" x14ac:dyDescent="0.25">
      <c r="B1182" s="730" t="s">
        <v>2218</v>
      </c>
      <c r="C1182" s="715">
        <v>94331</v>
      </c>
    </row>
    <row r="1183" spans="2:3" x14ac:dyDescent="0.25">
      <c r="B1183" s="730" t="s">
        <v>2219</v>
      </c>
      <c r="C1183" s="715">
        <v>92431</v>
      </c>
    </row>
    <row r="1184" spans="2:3" x14ac:dyDescent="0.25">
      <c r="B1184" s="730" t="s">
        <v>2220</v>
      </c>
      <c r="C1184" s="715">
        <v>97821</v>
      </c>
    </row>
    <row r="1185" spans="2:3" x14ac:dyDescent="0.25">
      <c r="B1185" s="730" t="s">
        <v>1840</v>
      </c>
      <c r="C1185" s="715">
        <v>97823</v>
      </c>
    </row>
    <row r="1186" spans="2:3" x14ac:dyDescent="0.25">
      <c r="B1186" s="730" t="s">
        <v>2221</v>
      </c>
      <c r="C1186" s="715">
        <v>93141</v>
      </c>
    </row>
    <row r="1187" spans="2:3" x14ac:dyDescent="0.25">
      <c r="B1187" s="730" t="s">
        <v>2222</v>
      </c>
      <c r="C1187" s="715">
        <v>98081</v>
      </c>
    </row>
    <row r="1188" spans="2:3" x14ac:dyDescent="0.25">
      <c r="B1188" s="730" t="s">
        <v>2223</v>
      </c>
      <c r="C1188" s="715">
        <v>92671</v>
      </c>
    </row>
    <row r="1189" spans="2:3" x14ac:dyDescent="0.25">
      <c r="B1189" s="730" t="s">
        <v>2224</v>
      </c>
      <c r="C1189" s="715">
        <v>97421</v>
      </c>
    </row>
    <row r="1190" spans="2:3" x14ac:dyDescent="0.25">
      <c r="B1190" s="730" t="s">
        <v>1799</v>
      </c>
      <c r="C1190" s="715">
        <v>97423</v>
      </c>
    </row>
    <row r="1191" spans="2:3" x14ac:dyDescent="0.25">
      <c r="B1191" s="730" t="s">
        <v>2225</v>
      </c>
      <c r="C1191" s="715">
        <v>92611</v>
      </c>
    </row>
    <row r="1192" spans="2:3" x14ac:dyDescent="0.25">
      <c r="B1192" s="730" t="s">
        <v>3645</v>
      </c>
      <c r="C1192" s="715">
        <v>92613</v>
      </c>
    </row>
    <row r="1193" spans="2:3" x14ac:dyDescent="0.25">
      <c r="B1193" s="730" t="s">
        <v>3646</v>
      </c>
      <c r="C1193" s="715">
        <v>92502</v>
      </c>
    </row>
    <row r="1194" spans="2:3" x14ac:dyDescent="0.25">
      <c r="B1194" s="730" t="s">
        <v>2226</v>
      </c>
      <c r="C1194" s="715">
        <v>94531</v>
      </c>
    </row>
    <row r="1195" spans="2:3" x14ac:dyDescent="0.25">
      <c r="B1195" s="730" t="s">
        <v>2227</v>
      </c>
      <c r="C1195" s="715">
        <v>94541</v>
      </c>
    </row>
    <row r="1196" spans="2:3" x14ac:dyDescent="0.25">
      <c r="B1196" s="730" t="s">
        <v>3647</v>
      </c>
      <c r="C1196" s="715">
        <v>94547</v>
      </c>
    </row>
    <row r="1197" spans="2:3" x14ac:dyDescent="0.25">
      <c r="B1197" s="730" t="s">
        <v>1604</v>
      </c>
      <c r="C1197" s="715">
        <v>95005</v>
      </c>
    </row>
    <row r="1198" spans="2:3" x14ac:dyDescent="0.25">
      <c r="B1198" s="730" t="s">
        <v>1883</v>
      </c>
      <c r="C1198" s="715">
        <v>98111</v>
      </c>
    </row>
    <row r="1199" spans="2:3" x14ac:dyDescent="0.25">
      <c r="B1199" s="730" t="s">
        <v>3648</v>
      </c>
      <c r="C1199" s="715">
        <v>98107</v>
      </c>
    </row>
    <row r="1200" spans="2:3" x14ac:dyDescent="0.25">
      <c r="B1200" s="730" t="s">
        <v>1884</v>
      </c>
      <c r="C1200" s="715">
        <v>98113</v>
      </c>
    </row>
    <row r="1201" spans="2:3" x14ac:dyDescent="0.25">
      <c r="B1201" s="730" t="s">
        <v>3649</v>
      </c>
      <c r="C1201" s="715">
        <v>99602</v>
      </c>
    </row>
    <row r="1202" spans="2:3" x14ac:dyDescent="0.25">
      <c r="B1202" s="730" t="s">
        <v>1460</v>
      </c>
      <c r="C1202" s="715">
        <v>93401</v>
      </c>
    </row>
    <row r="1203" spans="2:3" x14ac:dyDescent="0.25">
      <c r="B1203" s="730" t="s">
        <v>3650</v>
      </c>
      <c r="C1203" s="715">
        <v>97491</v>
      </c>
    </row>
    <row r="1204" spans="2:3" x14ac:dyDescent="0.25">
      <c r="B1204" s="730" t="s">
        <v>2229</v>
      </c>
      <c r="C1204" s="715">
        <v>95151</v>
      </c>
    </row>
    <row r="1205" spans="2:3" x14ac:dyDescent="0.25">
      <c r="B1205" s="730" t="s">
        <v>1713</v>
      </c>
      <c r="C1205" s="715">
        <v>96381</v>
      </c>
    </row>
    <row r="1206" spans="2:3" x14ac:dyDescent="0.25">
      <c r="B1206" s="730" t="s">
        <v>2230</v>
      </c>
      <c r="C1206" s="715">
        <v>95611</v>
      </c>
    </row>
    <row r="1207" spans="2:3" x14ac:dyDescent="0.25">
      <c r="B1207" s="730" t="s">
        <v>1474</v>
      </c>
      <c r="C1207" s="715">
        <v>93501</v>
      </c>
    </row>
    <row r="1208" spans="2:3" x14ac:dyDescent="0.25">
      <c r="B1208" s="730" t="s">
        <v>2231</v>
      </c>
      <c r="C1208" s="715">
        <v>93511</v>
      </c>
    </row>
    <row r="1209" spans="2:3" x14ac:dyDescent="0.25">
      <c r="B1209" s="730" t="s">
        <v>3651</v>
      </c>
      <c r="C1209" s="715">
        <v>93517</v>
      </c>
    </row>
    <row r="1210" spans="2:3" x14ac:dyDescent="0.25">
      <c r="B1210" s="730" t="s">
        <v>2232</v>
      </c>
      <c r="C1210" s="715">
        <v>99631</v>
      </c>
    </row>
    <row r="1211" spans="2:3" x14ac:dyDescent="0.25">
      <c r="B1211" s="730" t="s">
        <v>2233</v>
      </c>
      <c r="C1211" s="715">
        <v>99261</v>
      </c>
    </row>
    <row r="1212" spans="2:3" x14ac:dyDescent="0.25">
      <c r="B1212" s="730" t="s">
        <v>2234</v>
      </c>
      <c r="C1212" s="715">
        <v>98241</v>
      </c>
    </row>
    <row r="1213" spans="2:3" x14ac:dyDescent="0.25">
      <c r="B1213" s="730" t="s">
        <v>2235</v>
      </c>
      <c r="C1213" s="715">
        <v>99251</v>
      </c>
    </row>
    <row r="1214" spans="2:3" x14ac:dyDescent="0.25">
      <c r="B1214" s="730" t="s">
        <v>3652</v>
      </c>
      <c r="C1214" s="715">
        <v>99252</v>
      </c>
    </row>
    <row r="1215" spans="2:3" x14ac:dyDescent="0.25">
      <c r="B1215" s="730" t="s">
        <v>2236</v>
      </c>
      <c r="C1215" s="715">
        <v>96631</v>
      </c>
    </row>
    <row r="1216" spans="2:3" x14ac:dyDescent="0.25">
      <c r="B1216" s="730" t="s">
        <v>2237</v>
      </c>
      <c r="C1216" s="715">
        <v>96651</v>
      </c>
    </row>
    <row r="1217" spans="2:3" x14ac:dyDescent="0.25">
      <c r="B1217" s="730" t="s">
        <v>1482</v>
      </c>
      <c r="C1217" s="715">
        <v>93601</v>
      </c>
    </row>
    <row r="1218" spans="2:3" x14ac:dyDescent="0.25">
      <c r="B1218" s="730" t="s">
        <v>3653</v>
      </c>
      <c r="C1218" s="715">
        <v>93618</v>
      </c>
    </row>
    <row r="1219" spans="2:3" x14ac:dyDescent="0.25">
      <c r="B1219" s="730" t="s">
        <v>2238</v>
      </c>
      <c r="C1219" s="715">
        <v>93611</v>
      </c>
    </row>
    <row r="1220" spans="2:3" x14ac:dyDescent="0.25">
      <c r="B1220" s="730" t="s">
        <v>3654</v>
      </c>
      <c r="C1220" s="715">
        <v>93617</v>
      </c>
    </row>
    <row r="1221" spans="2:3" x14ac:dyDescent="0.25">
      <c r="B1221" s="730" t="s">
        <v>1500</v>
      </c>
      <c r="C1221" s="715">
        <v>93701</v>
      </c>
    </row>
    <row r="1222" spans="2:3" x14ac:dyDescent="0.25">
      <c r="B1222" s="730" t="s">
        <v>3655</v>
      </c>
      <c r="C1222" s="715">
        <v>93704</v>
      </c>
    </row>
    <row r="1223" spans="2:3" x14ac:dyDescent="0.25">
      <c r="B1223" s="730" t="s">
        <v>2239</v>
      </c>
      <c r="C1223" s="715">
        <v>98331</v>
      </c>
    </row>
    <row r="1224" spans="2:3" x14ac:dyDescent="0.25">
      <c r="B1224" s="730" t="s">
        <v>2240</v>
      </c>
      <c r="C1224" s="715">
        <v>94151</v>
      </c>
    </row>
    <row r="1225" spans="2:3" x14ac:dyDescent="0.25">
      <c r="B1225" s="730" t="s">
        <v>3656</v>
      </c>
      <c r="C1225" s="715">
        <v>94157</v>
      </c>
    </row>
    <row r="1226" spans="2:3" x14ac:dyDescent="0.25">
      <c r="B1226" s="730" t="s">
        <v>2241</v>
      </c>
      <c r="C1226" s="715">
        <v>91241</v>
      </c>
    </row>
    <row r="1227" spans="2:3" x14ac:dyDescent="0.25">
      <c r="B1227" s="730" t="s">
        <v>1640</v>
      </c>
      <c r="C1227" s="715">
        <v>95412</v>
      </c>
    </row>
    <row r="1228" spans="2:3" x14ac:dyDescent="0.25">
      <c r="B1228" s="730" t="s">
        <v>2242</v>
      </c>
      <c r="C1228" s="715">
        <v>99611</v>
      </c>
    </row>
    <row r="1229" spans="2:3" x14ac:dyDescent="0.25">
      <c r="B1229" s="730" t="s">
        <v>1337</v>
      </c>
      <c r="C1229" s="715">
        <v>91908</v>
      </c>
    </row>
    <row r="1230" spans="2:3" x14ac:dyDescent="0.25">
      <c r="B1230" s="730" t="s">
        <v>2243</v>
      </c>
      <c r="C1230" s="715">
        <v>90121</v>
      </c>
    </row>
    <row r="1231" spans="2:3" x14ac:dyDescent="0.25">
      <c r="B1231" s="730" t="s">
        <v>3657</v>
      </c>
      <c r="C1231" s="715">
        <v>93803</v>
      </c>
    </row>
    <row r="1232" spans="2:3" x14ac:dyDescent="0.25">
      <c r="B1232" s="730" t="s">
        <v>1502</v>
      </c>
      <c r="C1232" s="715">
        <v>93801</v>
      </c>
    </row>
    <row r="1233" spans="2:3" x14ac:dyDescent="0.25">
      <c r="B1233" s="730" t="s">
        <v>3658</v>
      </c>
      <c r="C1233" s="715">
        <v>93806</v>
      </c>
    </row>
    <row r="1234" spans="2:3" x14ac:dyDescent="0.25">
      <c r="B1234" s="730" t="s">
        <v>2244</v>
      </c>
      <c r="C1234" s="715">
        <v>91411</v>
      </c>
    </row>
    <row r="1235" spans="2:3" x14ac:dyDescent="0.25">
      <c r="B1235" s="730" t="s">
        <v>3659</v>
      </c>
      <c r="C1235" s="715">
        <v>91417</v>
      </c>
    </row>
    <row r="1236" spans="2:3" x14ac:dyDescent="0.25">
      <c r="B1236" s="730" t="s">
        <v>2245</v>
      </c>
      <c r="C1236" s="715">
        <v>98061</v>
      </c>
    </row>
    <row r="1237" spans="2:3" x14ac:dyDescent="0.25">
      <c r="B1237" s="730" t="s">
        <v>3660</v>
      </c>
      <c r="C1237" s="715">
        <v>93904</v>
      </c>
    </row>
    <row r="1238" spans="2:3" x14ac:dyDescent="0.25">
      <c r="B1238" s="730" t="s">
        <v>1506</v>
      </c>
      <c r="C1238" s="715">
        <v>93901</v>
      </c>
    </row>
    <row r="1239" spans="2:3" x14ac:dyDescent="0.25">
      <c r="B1239" s="730" t="s">
        <v>1508</v>
      </c>
      <c r="C1239" s="715">
        <v>93906</v>
      </c>
    </row>
    <row r="1240" spans="2:3" x14ac:dyDescent="0.25">
      <c r="B1240" s="730" t="s">
        <v>3661</v>
      </c>
      <c r="C1240" s="715">
        <v>93908</v>
      </c>
    </row>
    <row r="1241" spans="2:3" x14ac:dyDescent="0.25">
      <c r="B1241" s="730" t="s">
        <v>3662</v>
      </c>
      <c r="C1241" s="715">
        <v>94908</v>
      </c>
    </row>
    <row r="1242" spans="2:3" x14ac:dyDescent="0.25">
      <c r="B1242" s="730" t="s">
        <v>2246</v>
      </c>
      <c r="C1242" s="715">
        <v>90161</v>
      </c>
    </row>
    <row r="1243" spans="2:3" x14ac:dyDescent="0.25">
      <c r="B1243" s="730" t="s">
        <v>1516</v>
      </c>
      <c r="C1243" s="715">
        <v>94001</v>
      </c>
    </row>
    <row r="1244" spans="2:3" x14ac:dyDescent="0.25">
      <c r="B1244" s="730" t="s">
        <v>3663</v>
      </c>
      <c r="C1244" s="715">
        <v>94004</v>
      </c>
    </row>
    <row r="1245" spans="2:3" x14ac:dyDescent="0.25">
      <c r="B1245" s="730" t="s">
        <v>2247</v>
      </c>
      <c r="C1245" s="715">
        <v>94111</v>
      </c>
    </row>
    <row r="1246" spans="2:3" x14ac:dyDescent="0.25">
      <c r="B1246" s="730" t="s">
        <v>3664</v>
      </c>
      <c r="C1246" s="715">
        <v>94117</v>
      </c>
    </row>
    <row r="1247" spans="2:3" x14ac:dyDescent="0.25">
      <c r="B1247" s="730" t="s">
        <v>2248</v>
      </c>
      <c r="C1247" s="715">
        <v>97411</v>
      </c>
    </row>
    <row r="1248" spans="2:3" x14ac:dyDescent="0.25">
      <c r="B1248" s="730" t="s">
        <v>1797</v>
      </c>
      <c r="C1248" s="715">
        <v>97413</v>
      </c>
    </row>
    <row r="1249" spans="2:3" x14ac:dyDescent="0.25">
      <c r="B1249" s="730" t="s">
        <v>1796</v>
      </c>
      <c r="C1249" s="715">
        <v>97412</v>
      </c>
    </row>
    <row r="1250" spans="2:3" x14ac:dyDescent="0.25">
      <c r="B1250" s="730" t="s">
        <v>2249</v>
      </c>
      <c r="C1250" s="715">
        <v>97431</v>
      </c>
    </row>
    <row r="1251" spans="2:3" x14ac:dyDescent="0.25">
      <c r="B1251" s="730" t="s">
        <v>2250</v>
      </c>
      <c r="C1251" s="715">
        <v>97471</v>
      </c>
    </row>
    <row r="1252" spans="2:3" x14ac:dyDescent="0.25">
      <c r="B1252" s="730" t="s">
        <v>2251</v>
      </c>
      <c r="C1252" s="715">
        <v>92351</v>
      </c>
    </row>
    <row r="1253" spans="2:3" x14ac:dyDescent="0.25">
      <c r="B1253" s="730" t="s">
        <v>2252</v>
      </c>
      <c r="C1253" s="715">
        <v>94101</v>
      </c>
    </row>
    <row r="1254" spans="2:3" x14ac:dyDescent="0.25">
      <c r="B1254" s="730" t="s">
        <v>3665</v>
      </c>
      <c r="C1254" s="715">
        <v>94118</v>
      </c>
    </row>
    <row r="1255" spans="2:3" x14ac:dyDescent="0.25">
      <c r="B1255" s="730" t="s">
        <v>1524</v>
      </c>
      <c r="C1255" s="715">
        <v>94102</v>
      </c>
    </row>
    <row r="1256" spans="2:3" x14ac:dyDescent="0.25">
      <c r="B1256" s="730" t="s">
        <v>1540</v>
      </c>
      <c r="C1256" s="715">
        <v>94201</v>
      </c>
    </row>
    <row r="1257" spans="2:3" x14ac:dyDescent="0.25">
      <c r="B1257" s="730" t="s">
        <v>3666</v>
      </c>
      <c r="C1257" s="715">
        <v>94204</v>
      </c>
    </row>
    <row r="1258" spans="2:3" x14ac:dyDescent="0.25">
      <c r="B1258" s="730" t="s">
        <v>1542</v>
      </c>
      <c r="C1258" s="715">
        <v>94205</v>
      </c>
    </row>
    <row r="1259" spans="2:3" x14ac:dyDescent="0.25">
      <c r="B1259" s="730" t="s">
        <v>2253</v>
      </c>
      <c r="C1259" s="715">
        <v>95831</v>
      </c>
    </row>
    <row r="1260" spans="2:3" x14ac:dyDescent="0.25">
      <c r="B1260" s="730" t="s">
        <v>2254</v>
      </c>
      <c r="C1260" s="715">
        <v>97721</v>
      </c>
    </row>
    <row r="1261" spans="2:3" x14ac:dyDescent="0.25">
      <c r="B1261" s="730" t="s">
        <v>3667</v>
      </c>
      <c r="C1261" s="715">
        <v>97717</v>
      </c>
    </row>
    <row r="1262" spans="2:3" x14ac:dyDescent="0.25">
      <c r="B1262" s="730" t="s">
        <v>1550</v>
      </c>
      <c r="C1262" s="715">
        <v>94301</v>
      </c>
    </row>
    <row r="1263" spans="2:3" x14ac:dyDescent="0.25">
      <c r="B1263" s="730" t="s">
        <v>2255</v>
      </c>
      <c r="C1263" s="715">
        <v>91441</v>
      </c>
    </row>
    <row r="1264" spans="2:3" x14ac:dyDescent="0.25">
      <c r="B1264" s="730" t="s">
        <v>2256</v>
      </c>
      <c r="C1264" s="715">
        <v>92531</v>
      </c>
    </row>
    <row r="1265" spans="2:3" x14ac:dyDescent="0.25">
      <c r="B1265" s="730" t="s">
        <v>2257</v>
      </c>
      <c r="C1265" s="715">
        <v>90141</v>
      </c>
    </row>
    <row r="1266" spans="2:3" x14ac:dyDescent="0.25">
      <c r="B1266" s="730" t="s">
        <v>1559</v>
      </c>
      <c r="C1266" s="715">
        <v>94401</v>
      </c>
    </row>
    <row r="1267" spans="2:3" x14ac:dyDescent="0.25">
      <c r="B1267" s="730" t="s">
        <v>3668</v>
      </c>
      <c r="C1267" s="715">
        <v>94403</v>
      </c>
    </row>
    <row r="1268" spans="2:3" x14ac:dyDescent="0.25">
      <c r="B1268" s="730" t="s">
        <v>1560</v>
      </c>
      <c r="C1268" s="715">
        <v>94402</v>
      </c>
    </row>
    <row r="1269" spans="2:3" x14ac:dyDescent="0.25">
      <c r="B1269" s="730" t="s">
        <v>2258</v>
      </c>
      <c r="C1269" s="715">
        <v>99111</v>
      </c>
    </row>
    <row r="1270" spans="2:3" x14ac:dyDescent="0.25">
      <c r="B1270" s="730" t="s">
        <v>2259</v>
      </c>
      <c r="C1270" s="715">
        <v>94511</v>
      </c>
    </row>
    <row r="1271" spans="2:3" x14ac:dyDescent="0.25">
      <c r="B1271" s="730" t="s">
        <v>3669</v>
      </c>
      <c r="C1271" s="715">
        <v>94517</v>
      </c>
    </row>
    <row r="1272" spans="2:3" x14ac:dyDescent="0.25">
      <c r="B1272" s="730" t="s">
        <v>1571</v>
      </c>
      <c r="C1272" s="715">
        <v>94512</v>
      </c>
    </row>
    <row r="1273" spans="2:3" x14ac:dyDescent="0.25">
      <c r="B1273" s="730" t="s">
        <v>2260</v>
      </c>
      <c r="C1273" s="715">
        <v>97211</v>
      </c>
    </row>
    <row r="1274" spans="2:3" x14ac:dyDescent="0.25">
      <c r="B1274" s="730" t="s">
        <v>3670</v>
      </c>
      <c r="C1274" s="715">
        <v>97217</v>
      </c>
    </row>
    <row r="1275" spans="2:3" x14ac:dyDescent="0.25">
      <c r="B1275" s="730" t="s">
        <v>1580</v>
      </c>
      <c r="C1275" s="715">
        <v>94601</v>
      </c>
    </row>
    <row r="1276" spans="2:3" x14ac:dyDescent="0.25">
      <c r="B1276" s="730" t="s">
        <v>3671</v>
      </c>
      <c r="C1276" s="715">
        <v>94604</v>
      </c>
    </row>
    <row r="1277" spans="2:3" x14ac:dyDescent="0.25">
      <c r="B1277" s="730" t="s">
        <v>1582</v>
      </c>
      <c r="C1277" s="715">
        <v>94606</v>
      </c>
    </row>
    <row r="1278" spans="2:3" x14ac:dyDescent="0.25">
      <c r="B1278" s="730" t="s">
        <v>3672</v>
      </c>
      <c r="C1278" s="715">
        <v>97213</v>
      </c>
    </row>
    <row r="1279" spans="2:3" x14ac:dyDescent="0.25">
      <c r="B1279" s="730" t="s">
        <v>2261</v>
      </c>
      <c r="C1279" s="715">
        <v>91811</v>
      </c>
    </row>
    <row r="1280" spans="2:3" x14ac:dyDescent="0.25">
      <c r="B1280" s="730" t="s">
        <v>3673</v>
      </c>
      <c r="C1280" s="715">
        <v>91812</v>
      </c>
    </row>
    <row r="1281" spans="2:3" x14ac:dyDescent="0.25">
      <c r="B1281" s="730" t="s">
        <v>3674</v>
      </c>
      <c r="C1281" s="715">
        <v>91813</v>
      </c>
    </row>
    <row r="1282" spans="2:3" x14ac:dyDescent="0.25">
      <c r="B1282" s="730" t="s">
        <v>3675</v>
      </c>
      <c r="C1282" s="715">
        <v>90617</v>
      </c>
    </row>
    <row r="1283" spans="2:3" x14ac:dyDescent="0.25">
      <c r="B1283" s="730" t="s">
        <v>3676</v>
      </c>
      <c r="C1283" s="715">
        <v>94127</v>
      </c>
    </row>
    <row r="1284" spans="2:3" x14ac:dyDescent="0.25">
      <c r="B1284" s="730" t="s">
        <v>2263</v>
      </c>
      <c r="C1284" s="715">
        <v>95621</v>
      </c>
    </row>
    <row r="1285" spans="2:3" x14ac:dyDescent="0.25">
      <c r="B1285" s="730" t="s">
        <v>3677</v>
      </c>
      <c r="C1285" s="715">
        <v>95617</v>
      </c>
    </row>
    <row r="1286" spans="2:3" x14ac:dyDescent="0.25">
      <c r="B1286" s="730" t="s">
        <v>3678</v>
      </c>
      <c r="C1286" s="715">
        <v>94121</v>
      </c>
    </row>
    <row r="1287" spans="2:3" x14ac:dyDescent="0.25">
      <c r="B1287" s="730" t="s">
        <v>3679</v>
      </c>
      <c r="C1287" s="715">
        <v>91251</v>
      </c>
    </row>
    <row r="1288" spans="2:3" x14ac:dyDescent="0.25">
      <c r="B1288" s="730" t="s">
        <v>2265</v>
      </c>
      <c r="C1288" s="715">
        <v>96831</v>
      </c>
    </row>
    <row r="1289" spans="2:3" x14ac:dyDescent="0.25">
      <c r="B1289" s="730" t="s">
        <v>2266</v>
      </c>
      <c r="C1289" s="715">
        <v>94251</v>
      </c>
    </row>
    <row r="1290" spans="2:3" x14ac:dyDescent="0.25">
      <c r="B1290" s="730" t="s">
        <v>1587</v>
      </c>
      <c r="C1290" s="715">
        <v>94701</v>
      </c>
    </row>
    <row r="1291" spans="2:3" x14ac:dyDescent="0.25">
      <c r="B1291" s="730" t="s">
        <v>3680</v>
      </c>
      <c r="C1291" s="715">
        <v>94704</v>
      </c>
    </row>
    <row r="1292" spans="2:3" x14ac:dyDescent="0.25">
      <c r="B1292" s="730" t="s">
        <v>2267</v>
      </c>
      <c r="C1292" s="715">
        <v>91014</v>
      </c>
    </row>
    <row r="1293" spans="2:3" x14ac:dyDescent="0.25">
      <c r="B1293" s="730" t="s">
        <v>2268</v>
      </c>
      <c r="C1293" s="715">
        <v>96731</v>
      </c>
    </row>
    <row r="1294" spans="2:3" x14ac:dyDescent="0.25">
      <c r="B1294" s="730" t="s">
        <v>1753</v>
      </c>
      <c r="C1294" s="715">
        <v>96733</v>
      </c>
    </row>
    <row r="1295" spans="2:3" x14ac:dyDescent="0.25">
      <c r="B1295" s="730" t="s">
        <v>2269</v>
      </c>
      <c r="C1295" s="715">
        <v>99202</v>
      </c>
    </row>
    <row r="1296" spans="2:3" x14ac:dyDescent="0.25">
      <c r="B1296" s="730" t="s">
        <v>2270</v>
      </c>
      <c r="C1296" s="715">
        <v>94011</v>
      </c>
    </row>
    <row r="1297" spans="2:3" x14ac:dyDescent="0.25">
      <c r="B1297" s="730" t="s">
        <v>2271</v>
      </c>
      <c r="C1297" s="715">
        <v>92631</v>
      </c>
    </row>
    <row r="1298" spans="2:3" x14ac:dyDescent="0.25">
      <c r="B1298" s="730" t="s">
        <v>1657</v>
      </c>
      <c r="C1298" s="715">
        <v>95733</v>
      </c>
    </row>
    <row r="1299" spans="2:3" x14ac:dyDescent="0.25">
      <c r="B1299" s="730" t="s">
        <v>3681</v>
      </c>
      <c r="C1299" s="715">
        <v>95413</v>
      </c>
    </row>
    <row r="1300" spans="2:3" x14ac:dyDescent="0.25">
      <c r="B1300" s="730" t="s">
        <v>3682</v>
      </c>
      <c r="C1300" s="715">
        <v>98013</v>
      </c>
    </row>
    <row r="1301" spans="2:3" x14ac:dyDescent="0.25">
      <c r="B1301" s="730" t="s">
        <v>3683</v>
      </c>
      <c r="C1301" s="715">
        <v>99613</v>
      </c>
    </row>
    <row r="1302" spans="2:3" x14ac:dyDescent="0.25">
      <c r="B1302" s="730" t="s">
        <v>2272</v>
      </c>
      <c r="C1302" s="715">
        <v>91431</v>
      </c>
    </row>
    <row r="1303" spans="2:3" x14ac:dyDescent="0.25">
      <c r="B1303" s="730" t="s">
        <v>2273</v>
      </c>
      <c r="C1303" s="715">
        <v>96041</v>
      </c>
    </row>
    <row r="1304" spans="2:3" x14ac:dyDescent="0.25">
      <c r="B1304" s="730" t="s">
        <v>1590</v>
      </c>
      <c r="C1304" s="715">
        <v>94801</v>
      </c>
    </row>
    <row r="1305" spans="2:3" x14ac:dyDescent="0.25">
      <c r="B1305" s="730" t="s">
        <v>3684</v>
      </c>
      <c r="C1305" s="715">
        <v>94804</v>
      </c>
    </row>
    <row r="1306" spans="2:3" x14ac:dyDescent="0.25">
      <c r="B1306" s="730" t="s">
        <v>2274</v>
      </c>
      <c r="C1306" s="715">
        <v>91661</v>
      </c>
    </row>
    <row r="1307" spans="2:3" x14ac:dyDescent="0.25">
      <c r="B1307" s="730" t="s">
        <v>2275</v>
      </c>
      <c r="C1307" s="715">
        <v>99051</v>
      </c>
    </row>
    <row r="1308" spans="2:3" x14ac:dyDescent="0.25">
      <c r="B1308" s="730" t="s">
        <v>3450</v>
      </c>
      <c r="C1308" s="715">
        <v>99014</v>
      </c>
    </row>
    <row r="1309" spans="2:3" x14ac:dyDescent="0.25">
      <c r="B1309" s="730" t="s">
        <v>1593</v>
      </c>
      <c r="C1309" s="715">
        <v>94901</v>
      </c>
    </row>
    <row r="1310" spans="2:3" x14ac:dyDescent="0.25">
      <c r="B1310" s="730" t="s">
        <v>3685</v>
      </c>
      <c r="C1310" s="715">
        <v>98109</v>
      </c>
    </row>
    <row r="1311" spans="2:3" x14ac:dyDescent="0.25">
      <c r="B1311" s="730" t="s">
        <v>3686</v>
      </c>
      <c r="C1311" s="715">
        <v>98205</v>
      </c>
    </row>
    <row r="1312" spans="2:3" x14ac:dyDescent="0.25">
      <c r="B1312" s="730" t="s">
        <v>2276</v>
      </c>
      <c r="C1312" s="715">
        <v>96661</v>
      </c>
    </row>
    <row r="1313" spans="2:3" x14ac:dyDescent="0.25">
      <c r="B1313" s="730" t="s">
        <v>1602</v>
      </c>
      <c r="C1313" s="715">
        <v>95001</v>
      </c>
    </row>
    <row r="1314" spans="2:3" x14ac:dyDescent="0.25">
      <c r="B1314" s="730" t="s">
        <v>3451</v>
      </c>
      <c r="C1314" s="715">
        <v>95017</v>
      </c>
    </row>
    <row r="1315" spans="2:3" x14ac:dyDescent="0.25">
      <c r="B1315" s="730" t="s">
        <v>2277</v>
      </c>
      <c r="C1315" s="715">
        <v>96711</v>
      </c>
    </row>
    <row r="1316" spans="2:3" x14ac:dyDescent="0.25">
      <c r="B1316" s="730" t="s">
        <v>2278</v>
      </c>
      <c r="C1316" s="715">
        <v>94131</v>
      </c>
    </row>
    <row r="1317" spans="2:3" x14ac:dyDescent="0.25">
      <c r="B1317" s="730" t="s">
        <v>2279</v>
      </c>
      <c r="C1317" s="715">
        <v>95841</v>
      </c>
    </row>
    <row r="1318" spans="2:3" x14ac:dyDescent="0.25">
      <c r="B1318" s="730" t="s">
        <v>2280</v>
      </c>
      <c r="C1318" s="715">
        <v>90511</v>
      </c>
    </row>
    <row r="1319" spans="2:3" x14ac:dyDescent="0.25">
      <c r="B1319" s="730" t="s">
        <v>1609</v>
      </c>
      <c r="C1319" s="715">
        <v>95101</v>
      </c>
    </row>
    <row r="1320" spans="2:3" x14ac:dyDescent="0.25">
      <c r="B1320" s="730" t="s">
        <v>3687</v>
      </c>
      <c r="C1320" s="715">
        <v>95104</v>
      </c>
    </row>
    <row r="1321" spans="2:3" x14ac:dyDescent="0.25">
      <c r="B1321" s="730" t="s">
        <v>3452</v>
      </c>
      <c r="C1321" s="715">
        <v>95110</v>
      </c>
    </row>
    <row r="1322" spans="2:3" x14ac:dyDescent="0.25">
      <c r="B1322" s="730" t="s">
        <v>1627</v>
      </c>
      <c r="C1322" s="715">
        <v>95201</v>
      </c>
    </row>
    <row r="1323" spans="2:3" x14ac:dyDescent="0.25">
      <c r="B1323" s="730" t="s">
        <v>3688</v>
      </c>
      <c r="C1323" s="715">
        <v>95204</v>
      </c>
    </row>
    <row r="1324" spans="2:3" x14ac:dyDescent="0.25">
      <c r="B1324" s="730" t="s">
        <v>2281</v>
      </c>
      <c r="C1324" s="715">
        <v>99921</v>
      </c>
    </row>
    <row r="1325" spans="2:3" x14ac:dyDescent="0.25">
      <c r="B1325" s="730" t="s">
        <v>1561</v>
      </c>
      <c r="C1325" s="715">
        <v>94408</v>
      </c>
    </row>
    <row r="1326" spans="2:3" x14ac:dyDescent="0.25">
      <c r="B1326" s="730" t="s">
        <v>2282</v>
      </c>
      <c r="C1326" s="715">
        <v>91331</v>
      </c>
    </row>
    <row r="1327" spans="2:3" x14ac:dyDescent="0.25">
      <c r="B1327" s="730" t="s">
        <v>2283</v>
      </c>
      <c r="C1327" s="715">
        <v>93121</v>
      </c>
    </row>
    <row r="1328" spans="2:3" x14ac:dyDescent="0.25">
      <c r="B1328" s="730" t="s">
        <v>3689</v>
      </c>
      <c r="C1328" s="715">
        <v>93127</v>
      </c>
    </row>
    <row r="1329" spans="2:3" x14ac:dyDescent="0.25">
      <c r="B1329" s="730" t="s">
        <v>2284</v>
      </c>
      <c r="C1329" s="715">
        <v>95171</v>
      </c>
    </row>
    <row r="1330" spans="2:3" x14ac:dyDescent="0.25">
      <c r="B1330" s="730" t="s">
        <v>2285</v>
      </c>
      <c r="C1330" s="715">
        <v>93421</v>
      </c>
    </row>
    <row r="1331" spans="2:3" x14ac:dyDescent="0.25">
      <c r="B1331" s="730" t="s">
        <v>3690</v>
      </c>
      <c r="C1331" s="715">
        <v>99110</v>
      </c>
    </row>
    <row r="1332" spans="2:3" x14ac:dyDescent="0.25">
      <c r="B1332" s="730" t="s">
        <v>3691</v>
      </c>
      <c r="C1332" s="715">
        <v>99109</v>
      </c>
    </row>
    <row r="1333" spans="2:3" x14ac:dyDescent="0.25">
      <c r="B1333" s="730" t="s">
        <v>2286</v>
      </c>
      <c r="C1333" s="715">
        <v>92821</v>
      </c>
    </row>
    <row r="1334" spans="2:3" x14ac:dyDescent="0.25">
      <c r="B1334" s="730" t="s">
        <v>2287</v>
      </c>
      <c r="C1334" s="715">
        <v>98521</v>
      </c>
    </row>
    <row r="1335" spans="2:3" x14ac:dyDescent="0.25">
      <c r="B1335" s="730" t="s">
        <v>3692</v>
      </c>
      <c r="C1335" s="715">
        <v>92327</v>
      </c>
    </row>
    <row r="1336" spans="2:3" x14ac:dyDescent="0.25">
      <c r="B1336" s="730" t="s">
        <v>3693</v>
      </c>
      <c r="C1336" s="715">
        <v>92321</v>
      </c>
    </row>
    <row r="1337" spans="2:3" x14ac:dyDescent="0.25">
      <c r="B1337" s="730" t="s">
        <v>2289</v>
      </c>
      <c r="C1337" s="715">
        <v>95411</v>
      </c>
    </row>
    <row r="1338" spans="2:3" x14ac:dyDescent="0.25">
      <c r="B1338" s="730" t="s">
        <v>3694</v>
      </c>
      <c r="C1338" s="715">
        <v>95415</v>
      </c>
    </row>
    <row r="1339" spans="2:3" x14ac:dyDescent="0.25">
      <c r="B1339" s="730" t="s">
        <v>2290</v>
      </c>
      <c r="C1339" s="715">
        <v>92851</v>
      </c>
    </row>
    <row r="1340" spans="2:3" x14ac:dyDescent="0.25">
      <c r="B1340" s="730" t="s">
        <v>2291</v>
      </c>
      <c r="C1340" s="715">
        <v>99291</v>
      </c>
    </row>
    <row r="1341" spans="2:3" x14ac:dyDescent="0.25">
      <c r="B1341" s="730" t="s">
        <v>2292</v>
      </c>
      <c r="C1341" s="715">
        <v>96541</v>
      </c>
    </row>
    <row r="1342" spans="2:3" x14ac:dyDescent="0.25">
      <c r="B1342" s="730" t="s">
        <v>2293</v>
      </c>
      <c r="C1342" s="715">
        <v>95431</v>
      </c>
    </row>
    <row r="1343" spans="2:3" x14ac:dyDescent="0.25">
      <c r="B1343" s="730" t="s">
        <v>2294</v>
      </c>
      <c r="C1343" s="715">
        <v>98131</v>
      </c>
    </row>
    <row r="1344" spans="2:3" x14ac:dyDescent="0.25">
      <c r="B1344" s="730" t="s">
        <v>3695</v>
      </c>
      <c r="C1344" s="715">
        <v>92461</v>
      </c>
    </row>
    <row r="1345" spans="2:3" x14ac:dyDescent="0.25">
      <c r="B1345" s="730" t="s">
        <v>3696</v>
      </c>
      <c r="C1345" s="715">
        <v>92427</v>
      </c>
    </row>
    <row r="1346" spans="2:3" x14ac:dyDescent="0.25">
      <c r="B1346" s="730" t="s">
        <v>2296</v>
      </c>
      <c r="C1346" s="715">
        <v>98051</v>
      </c>
    </row>
    <row r="1347" spans="2:3" x14ac:dyDescent="0.25">
      <c r="B1347" s="730" t="s">
        <v>1248</v>
      </c>
      <c r="C1347" s="715">
        <v>91102</v>
      </c>
    </row>
    <row r="1348" spans="2:3" x14ac:dyDescent="0.25">
      <c r="B1348" s="730" t="s">
        <v>2297</v>
      </c>
      <c r="C1348" s="715">
        <v>94521</v>
      </c>
    </row>
    <row r="1349" spans="2:3" x14ac:dyDescent="0.25">
      <c r="B1349" s="730" t="s">
        <v>3697</v>
      </c>
      <c r="C1349" s="715">
        <v>94527</v>
      </c>
    </row>
    <row r="1350" spans="2:3" x14ac:dyDescent="0.25">
      <c r="B1350" s="730" t="s">
        <v>2298</v>
      </c>
      <c r="C1350" s="715">
        <v>98311</v>
      </c>
    </row>
    <row r="1351" spans="2:3" x14ac:dyDescent="0.25">
      <c r="B1351" s="730" t="s">
        <v>3698</v>
      </c>
      <c r="C1351" s="715">
        <v>98313</v>
      </c>
    </row>
    <row r="1352" spans="2:3" x14ac:dyDescent="0.25">
      <c r="B1352" s="730" t="s">
        <v>1903</v>
      </c>
      <c r="C1352" s="715">
        <v>98308</v>
      </c>
    </row>
    <row r="1353" spans="2:3" x14ac:dyDescent="0.25">
      <c r="B1353" s="730" t="s">
        <v>2299</v>
      </c>
      <c r="C1353" s="715">
        <v>92341</v>
      </c>
    </row>
    <row r="1354" spans="2:3" x14ac:dyDescent="0.25">
      <c r="B1354" s="730" t="s">
        <v>1632</v>
      </c>
      <c r="C1354" s="715">
        <v>95301</v>
      </c>
    </row>
    <row r="1355" spans="2:3" x14ac:dyDescent="0.25">
      <c r="B1355" s="730" t="s">
        <v>2300</v>
      </c>
      <c r="C1355" s="715">
        <v>91002</v>
      </c>
    </row>
    <row r="1356" spans="2:3" x14ac:dyDescent="0.25">
      <c r="B1356" s="730" t="s">
        <v>2301</v>
      </c>
      <c r="C1356" s="715">
        <v>91451</v>
      </c>
    </row>
    <row r="1357" spans="2:3" x14ac:dyDescent="0.25">
      <c r="B1357" s="730" t="s">
        <v>1636</v>
      </c>
      <c r="C1357" s="715">
        <v>95401</v>
      </c>
    </row>
    <row r="1358" spans="2:3" x14ac:dyDescent="0.25">
      <c r="B1358" s="730" t="s">
        <v>3699</v>
      </c>
      <c r="C1358" s="715">
        <v>95404</v>
      </c>
    </row>
    <row r="1359" spans="2:3" x14ac:dyDescent="0.25">
      <c r="B1359" s="730" t="s">
        <v>1295</v>
      </c>
      <c r="C1359" s="715">
        <v>91423</v>
      </c>
    </row>
    <row r="1360" spans="2:3" x14ac:dyDescent="0.25">
      <c r="B1360" s="730" t="s">
        <v>3700</v>
      </c>
      <c r="C1360" s="715">
        <v>91457</v>
      </c>
    </row>
    <row r="1361" spans="2:3" x14ac:dyDescent="0.25">
      <c r="B1361" s="730" t="s">
        <v>3701</v>
      </c>
      <c r="C1361" s="715">
        <v>90861</v>
      </c>
    </row>
    <row r="1362" spans="2:3" x14ac:dyDescent="0.25">
      <c r="B1362" s="730" t="s">
        <v>2303</v>
      </c>
      <c r="C1362" s="715">
        <v>93451</v>
      </c>
    </row>
    <row r="1363" spans="2:3" x14ac:dyDescent="0.25">
      <c r="B1363" s="730" t="s">
        <v>2304</v>
      </c>
      <c r="C1363" s="715">
        <v>92931</v>
      </c>
    </row>
    <row r="1364" spans="2:3" x14ac:dyDescent="0.25">
      <c r="B1364" s="730" t="s">
        <v>3702</v>
      </c>
      <c r="C1364" s="715">
        <v>92917</v>
      </c>
    </row>
    <row r="1365" spans="2:3" x14ac:dyDescent="0.25">
      <c r="B1365" s="730" t="s">
        <v>2305</v>
      </c>
      <c r="C1365" s="715">
        <v>97631</v>
      </c>
    </row>
    <row r="1366" spans="2:3" x14ac:dyDescent="0.25">
      <c r="B1366" s="730" t="s">
        <v>3703</v>
      </c>
      <c r="C1366" s="715">
        <v>97637</v>
      </c>
    </row>
    <row r="1367" spans="2:3" x14ac:dyDescent="0.25">
      <c r="B1367" s="730" t="s">
        <v>2306</v>
      </c>
      <c r="C1367" s="715">
        <v>90421</v>
      </c>
    </row>
    <row r="1368" spans="2:3" x14ac:dyDescent="0.25">
      <c r="B1368" s="730" t="s">
        <v>2307</v>
      </c>
      <c r="C1368" s="715">
        <v>94321</v>
      </c>
    </row>
    <row r="1369" spans="2:3" x14ac:dyDescent="0.25">
      <c r="B1369" s="730" t="s">
        <v>1645</v>
      </c>
      <c r="C1369" s="715">
        <v>95501</v>
      </c>
    </row>
    <row r="1370" spans="2:3" x14ac:dyDescent="0.25">
      <c r="B1370" s="730" t="s">
        <v>3704</v>
      </c>
      <c r="C1370" s="715">
        <v>95504</v>
      </c>
    </row>
    <row r="1371" spans="2:3" x14ac:dyDescent="0.25">
      <c r="B1371" s="730" t="s">
        <v>2308</v>
      </c>
      <c r="C1371" s="715">
        <v>95511</v>
      </c>
    </row>
    <row r="1372" spans="2:3" x14ac:dyDescent="0.25">
      <c r="B1372" s="730" t="s">
        <v>3705</v>
      </c>
      <c r="C1372" s="715">
        <v>95517</v>
      </c>
    </row>
    <row r="1373" spans="2:3" x14ac:dyDescent="0.25">
      <c r="B1373" s="730" t="s">
        <v>1648</v>
      </c>
      <c r="C1373" s="715">
        <v>95513</v>
      </c>
    </row>
    <row r="1374" spans="2:3" x14ac:dyDescent="0.25">
      <c r="B1374" s="730" t="s">
        <v>2309</v>
      </c>
      <c r="C1374" s="715">
        <v>92651</v>
      </c>
    </row>
    <row r="1375" spans="2:3" x14ac:dyDescent="0.25">
      <c r="B1375" s="730" t="s">
        <v>2310</v>
      </c>
      <c r="C1375" s="715">
        <v>94261</v>
      </c>
    </row>
    <row r="1376" spans="2:3" x14ac:dyDescent="0.25">
      <c r="B1376" s="730" t="s">
        <v>2311</v>
      </c>
      <c r="C1376" s="715">
        <v>98431</v>
      </c>
    </row>
    <row r="1377" spans="2:3" x14ac:dyDescent="0.25">
      <c r="B1377" s="730" t="s">
        <v>3706</v>
      </c>
      <c r="C1377" s="715">
        <v>98404</v>
      </c>
    </row>
    <row r="1378" spans="2:3" x14ac:dyDescent="0.25">
      <c r="B1378" s="730" t="s">
        <v>3707</v>
      </c>
      <c r="C1378" s="715">
        <v>91841</v>
      </c>
    </row>
    <row r="1379" spans="2:3" x14ac:dyDescent="0.25">
      <c r="B1379" s="730" t="s">
        <v>2313</v>
      </c>
      <c r="C1379" s="715">
        <v>93521</v>
      </c>
    </row>
    <row r="1380" spans="2:3" x14ac:dyDescent="0.25">
      <c r="B1380" s="730" t="s">
        <v>3708</v>
      </c>
      <c r="C1380" s="715">
        <v>93527</v>
      </c>
    </row>
    <row r="1381" spans="2:3" x14ac:dyDescent="0.25">
      <c r="B1381" s="730" t="s">
        <v>2314</v>
      </c>
      <c r="C1381" s="715">
        <v>93661</v>
      </c>
    </row>
    <row r="1382" spans="2:3" x14ac:dyDescent="0.25">
      <c r="B1382" s="730" t="s">
        <v>1729</v>
      </c>
      <c r="C1382" s="715">
        <v>96508</v>
      </c>
    </row>
    <row r="1383" spans="2:3" x14ac:dyDescent="0.25">
      <c r="B1383" s="730" t="s">
        <v>2315</v>
      </c>
      <c r="C1383" s="715">
        <v>99841</v>
      </c>
    </row>
    <row r="1384" spans="2:3" x14ac:dyDescent="0.25">
      <c r="B1384" s="730" t="s">
        <v>1833</v>
      </c>
      <c r="C1384" s="715">
        <v>97802</v>
      </c>
    </row>
    <row r="1385" spans="2:3" x14ac:dyDescent="0.25">
      <c r="B1385" s="730" t="s">
        <v>2316</v>
      </c>
      <c r="C1385" s="715">
        <v>97811</v>
      </c>
    </row>
    <row r="1386" spans="2:3" x14ac:dyDescent="0.25">
      <c r="B1386" s="730" t="s">
        <v>3709</v>
      </c>
      <c r="C1386" s="715">
        <v>97817</v>
      </c>
    </row>
    <row r="1387" spans="2:3" x14ac:dyDescent="0.25">
      <c r="B1387" s="730" t="s">
        <v>3710</v>
      </c>
      <c r="C1387" s="715">
        <v>97818</v>
      </c>
    </row>
    <row r="1388" spans="2:3" x14ac:dyDescent="0.25">
      <c r="B1388" s="730" t="s">
        <v>2317</v>
      </c>
      <c r="C1388" s="715">
        <v>93341</v>
      </c>
    </row>
    <row r="1389" spans="2:3" x14ac:dyDescent="0.25">
      <c r="B1389" s="730" t="s">
        <v>1650</v>
      </c>
      <c r="C1389" s="715">
        <v>95601</v>
      </c>
    </row>
    <row r="1390" spans="2:3" x14ac:dyDescent="0.25">
      <c r="B1390" s="730" t="s">
        <v>2318</v>
      </c>
      <c r="C1390" s="715">
        <v>97941</v>
      </c>
    </row>
    <row r="1391" spans="2:3" x14ac:dyDescent="0.25">
      <c r="B1391" s="730" t="s">
        <v>3711</v>
      </c>
      <c r="C1391" s="715">
        <v>97947</v>
      </c>
    </row>
    <row r="1392" spans="2:3" x14ac:dyDescent="0.25">
      <c r="B1392" s="730" t="s">
        <v>1654</v>
      </c>
      <c r="C1392" s="715">
        <v>95701</v>
      </c>
    </row>
    <row r="1393" spans="2:3" x14ac:dyDescent="0.25">
      <c r="B1393" s="730" t="s">
        <v>1859</v>
      </c>
      <c r="C1393" s="715">
        <v>97948</v>
      </c>
    </row>
    <row r="1394" spans="2:3" x14ac:dyDescent="0.25">
      <c r="B1394" s="730" t="s">
        <v>2319</v>
      </c>
      <c r="C1394" s="715">
        <v>94421</v>
      </c>
    </row>
    <row r="1395" spans="2:3" x14ac:dyDescent="0.25">
      <c r="B1395" s="730" t="s">
        <v>3712</v>
      </c>
      <c r="C1395" s="715">
        <v>94427</v>
      </c>
    </row>
    <row r="1396" spans="2:3" x14ac:dyDescent="0.25">
      <c r="B1396" s="730" t="s">
        <v>3713</v>
      </c>
      <c r="C1396" s="715">
        <v>94428</v>
      </c>
    </row>
    <row r="1397" spans="2:3" x14ac:dyDescent="0.25">
      <c r="B1397" s="730" t="s">
        <v>2320</v>
      </c>
      <c r="C1397" s="715">
        <v>93191</v>
      </c>
    </row>
    <row r="1398" spans="2:3" x14ac:dyDescent="0.25">
      <c r="B1398" s="730" t="s">
        <v>2321</v>
      </c>
      <c r="C1398" s="715">
        <v>91831</v>
      </c>
    </row>
    <row r="1399" spans="2:3" x14ac:dyDescent="0.25">
      <c r="B1399" s="730" t="s">
        <v>2322</v>
      </c>
      <c r="C1399" s="715">
        <v>92831</v>
      </c>
    </row>
    <row r="1400" spans="2:3" x14ac:dyDescent="0.25">
      <c r="B1400" s="730" t="s">
        <v>2323</v>
      </c>
      <c r="C1400" s="715">
        <v>95911</v>
      </c>
    </row>
    <row r="1401" spans="2:3" x14ac:dyDescent="0.25">
      <c r="B1401" s="730" t="s">
        <v>3714</v>
      </c>
      <c r="C1401" s="715">
        <v>95917</v>
      </c>
    </row>
    <row r="1402" spans="2:3" x14ac:dyDescent="0.25">
      <c r="B1402" s="730" t="s">
        <v>2324</v>
      </c>
      <c r="C1402" s="715">
        <v>95711</v>
      </c>
    </row>
    <row r="1403" spans="2:3" x14ac:dyDescent="0.25">
      <c r="B1403" s="730" t="s">
        <v>2325</v>
      </c>
      <c r="C1403" s="715">
        <v>95721</v>
      </c>
    </row>
    <row r="1404" spans="2:3" x14ac:dyDescent="0.25">
      <c r="B1404" s="730" t="s">
        <v>2326</v>
      </c>
      <c r="C1404" s="715">
        <v>99021</v>
      </c>
    </row>
    <row r="1405" spans="2:3" x14ac:dyDescent="0.25">
      <c r="B1405" s="730" t="s">
        <v>3715</v>
      </c>
      <c r="C1405" s="715">
        <v>95802</v>
      </c>
    </row>
    <row r="1406" spans="2:3" x14ac:dyDescent="0.25">
      <c r="B1406" s="730" t="s">
        <v>1658</v>
      </c>
      <c r="C1406" s="715">
        <v>95801</v>
      </c>
    </row>
    <row r="1407" spans="2:3" x14ac:dyDescent="0.25">
      <c r="B1407" s="730" t="s">
        <v>3716</v>
      </c>
      <c r="C1407" s="715">
        <v>95804</v>
      </c>
    </row>
    <row r="1408" spans="2:3" x14ac:dyDescent="0.25">
      <c r="B1408" s="730" t="s">
        <v>3717</v>
      </c>
      <c r="C1408" s="715">
        <v>90092</v>
      </c>
    </row>
    <row r="1409" spans="2:3" x14ac:dyDescent="0.25">
      <c r="B1409" s="730" t="s">
        <v>2327</v>
      </c>
      <c r="C1409" s="715">
        <v>99081</v>
      </c>
    </row>
    <row r="1410" spans="2:3" x14ac:dyDescent="0.25">
      <c r="B1410" s="730" t="s">
        <v>2328</v>
      </c>
      <c r="C1410" s="715">
        <v>96071</v>
      </c>
    </row>
    <row r="1411" spans="2:3" x14ac:dyDescent="0.25">
      <c r="B1411" s="730" t="s">
        <v>1517</v>
      </c>
      <c r="C1411" s="715">
        <v>94002</v>
      </c>
    </row>
    <row r="1412" spans="2:3" x14ac:dyDescent="0.25">
      <c r="B1412" s="730" t="s">
        <v>2329</v>
      </c>
      <c r="C1412" s="715">
        <v>97840</v>
      </c>
    </row>
    <row r="1413" spans="2:3" x14ac:dyDescent="0.25">
      <c r="B1413" s="730" t="s">
        <v>3718</v>
      </c>
      <c r="C1413" s="715">
        <v>97847</v>
      </c>
    </row>
    <row r="1414" spans="2:3" x14ac:dyDescent="0.25">
      <c r="B1414" s="730" t="s">
        <v>2330</v>
      </c>
      <c r="C1414" s="715">
        <v>97921</v>
      </c>
    </row>
    <row r="1415" spans="2:3" x14ac:dyDescent="0.25">
      <c r="B1415" s="730" t="s">
        <v>2331</v>
      </c>
      <c r="C1415" s="715">
        <v>95221</v>
      </c>
    </row>
    <row r="1416" spans="2:3" x14ac:dyDescent="0.25">
      <c r="B1416" s="730" t="s">
        <v>2332</v>
      </c>
      <c r="C1416" s="715">
        <v>93610</v>
      </c>
    </row>
    <row r="1417" spans="2:3" x14ac:dyDescent="0.25">
      <c r="B1417" s="730" t="s">
        <v>3719</v>
      </c>
      <c r="C1417" s="715">
        <v>95901</v>
      </c>
    </row>
    <row r="1418" spans="2:3" x14ac:dyDescent="0.25">
      <c r="B1418" s="730" t="s">
        <v>2333</v>
      </c>
      <c r="C1418" s="715">
        <v>90114</v>
      </c>
    </row>
    <row r="1419" spans="2:3" x14ac:dyDescent="0.25">
      <c r="B1419" s="730" t="s">
        <v>1673</v>
      </c>
      <c r="C1419" s="715">
        <v>96001</v>
      </c>
    </row>
    <row r="1420" spans="2:3" x14ac:dyDescent="0.25">
      <c r="B1420" s="730" t="s">
        <v>3720</v>
      </c>
      <c r="C1420" s="715">
        <v>96004</v>
      </c>
    </row>
    <row r="1421" spans="2:3" x14ac:dyDescent="0.25">
      <c r="B1421" s="730" t="s">
        <v>3721</v>
      </c>
      <c r="C1421" s="715">
        <v>96008</v>
      </c>
    </row>
    <row r="1422" spans="2:3" x14ac:dyDescent="0.25">
      <c r="B1422" s="730" t="s">
        <v>1251</v>
      </c>
      <c r="C1422" s="715">
        <v>91108</v>
      </c>
    </row>
    <row r="1423" spans="2:3" x14ac:dyDescent="0.25">
      <c r="B1423" s="730" t="s">
        <v>3722</v>
      </c>
      <c r="C1423" s="715">
        <v>94941</v>
      </c>
    </row>
    <row r="1424" spans="2:3" x14ac:dyDescent="0.25">
      <c r="B1424" s="730" t="s">
        <v>2334</v>
      </c>
      <c r="C1424" s="715">
        <v>95122</v>
      </c>
    </row>
    <row r="1425" spans="2:3" x14ac:dyDescent="0.25">
      <c r="B1425" s="730" t="s">
        <v>3723</v>
      </c>
      <c r="C1425" s="715">
        <v>92607</v>
      </c>
    </row>
    <row r="1426" spans="2:3" x14ac:dyDescent="0.25">
      <c r="B1426" s="730" t="s">
        <v>2335</v>
      </c>
      <c r="C1426" s="715">
        <v>96431</v>
      </c>
    </row>
    <row r="1427" spans="2:3" x14ac:dyDescent="0.25">
      <c r="B1427" s="730" t="s">
        <v>3455</v>
      </c>
      <c r="C1427" s="715">
        <v>90709</v>
      </c>
    </row>
    <row r="1428" spans="2:3" x14ac:dyDescent="0.25">
      <c r="B1428" s="730" t="s">
        <v>2336</v>
      </c>
      <c r="C1428" s="715">
        <v>91341</v>
      </c>
    </row>
    <row r="1429" spans="2:3" x14ac:dyDescent="0.25">
      <c r="B1429" s="730" t="s">
        <v>2337</v>
      </c>
      <c r="C1429" s="715">
        <v>92941</v>
      </c>
    </row>
    <row r="1430" spans="2:3" x14ac:dyDescent="0.25">
      <c r="B1430" s="730" t="s">
        <v>2338</v>
      </c>
      <c r="C1430" s="715">
        <v>94551</v>
      </c>
    </row>
    <row r="1431" spans="2:3" x14ac:dyDescent="0.25">
      <c r="B1431" s="730" t="s">
        <v>2339</v>
      </c>
      <c r="C1431" s="715">
        <v>99022</v>
      </c>
    </row>
    <row r="1432" spans="2:3" x14ac:dyDescent="0.25">
      <c r="B1432" s="730" t="s">
        <v>2340</v>
      </c>
      <c r="C1432" s="715">
        <v>96031</v>
      </c>
    </row>
    <row r="1433" spans="2:3" x14ac:dyDescent="0.25">
      <c r="B1433" s="730" t="s">
        <v>2341</v>
      </c>
      <c r="C1433" s="715">
        <v>98414</v>
      </c>
    </row>
    <row r="1434" spans="2:3" x14ac:dyDescent="0.25">
      <c r="B1434" s="730" t="s">
        <v>1689</v>
      </c>
      <c r="C1434" s="715">
        <v>96101</v>
      </c>
    </row>
    <row r="1435" spans="2:3" x14ac:dyDescent="0.25">
      <c r="B1435" s="730" t="s">
        <v>3724</v>
      </c>
      <c r="C1435" s="715">
        <v>96102</v>
      </c>
    </row>
    <row r="1436" spans="2:3" x14ac:dyDescent="0.25">
      <c r="B1436" s="730" t="s">
        <v>2342</v>
      </c>
      <c r="C1436" s="715">
        <v>93011</v>
      </c>
    </row>
    <row r="1437" spans="2:3" x14ac:dyDescent="0.25">
      <c r="B1437" s="730" t="s">
        <v>2343</v>
      </c>
      <c r="C1437" s="715">
        <v>99011</v>
      </c>
    </row>
    <row r="1438" spans="2:3" x14ac:dyDescent="0.25">
      <c r="B1438" s="730" t="s">
        <v>3725</v>
      </c>
      <c r="C1438" s="715">
        <v>99017</v>
      </c>
    </row>
    <row r="1439" spans="2:3" x14ac:dyDescent="0.25">
      <c r="B1439" s="730" t="s">
        <v>3726</v>
      </c>
      <c r="C1439" s="715">
        <v>99013</v>
      </c>
    </row>
    <row r="1440" spans="2:3" x14ac:dyDescent="0.25">
      <c r="B1440" s="730" t="s">
        <v>1693</v>
      </c>
      <c r="C1440" s="715">
        <v>96201</v>
      </c>
    </row>
    <row r="1441" spans="2:3" x14ac:dyDescent="0.25">
      <c r="B1441" s="730" t="s">
        <v>3727</v>
      </c>
      <c r="C1441" s="715">
        <v>96204</v>
      </c>
    </row>
    <row r="1442" spans="2:3" x14ac:dyDescent="0.25">
      <c r="B1442" s="730" t="s">
        <v>2344</v>
      </c>
      <c r="C1442" s="715">
        <v>91161</v>
      </c>
    </row>
    <row r="1443" spans="2:3" x14ac:dyDescent="0.25">
      <c r="B1443" s="730" t="s">
        <v>1700</v>
      </c>
      <c r="C1443" s="715">
        <v>96301</v>
      </c>
    </row>
    <row r="1444" spans="2:3" x14ac:dyDescent="0.25">
      <c r="B1444" s="730" t="s">
        <v>3728</v>
      </c>
      <c r="C1444" s="715">
        <v>96304</v>
      </c>
    </row>
    <row r="1445" spans="2:3" x14ac:dyDescent="0.25">
      <c r="B1445" s="730" t="s">
        <v>1704</v>
      </c>
      <c r="C1445" s="715">
        <v>96310</v>
      </c>
    </row>
    <row r="1446" spans="2:3" x14ac:dyDescent="0.25">
      <c r="B1446" s="730" t="s">
        <v>3729</v>
      </c>
      <c r="C1446" s="715">
        <v>96305</v>
      </c>
    </row>
    <row r="1447" spans="2:3" x14ac:dyDescent="0.25">
      <c r="B1447" s="730" t="s">
        <v>2345</v>
      </c>
      <c r="C1447" s="715">
        <v>94921</v>
      </c>
    </row>
    <row r="1448" spans="2:3" x14ac:dyDescent="0.25">
      <c r="B1448" s="730" t="s">
        <v>3730</v>
      </c>
      <c r="C1448" s="715">
        <v>94927</v>
      </c>
    </row>
    <row r="1449" spans="2:3" x14ac:dyDescent="0.25">
      <c r="B1449" s="730" t="s">
        <v>1598</v>
      </c>
      <c r="C1449" s="715">
        <v>94923</v>
      </c>
    </row>
    <row r="1450" spans="2:3" x14ac:dyDescent="0.25">
      <c r="B1450" s="730" t="s">
        <v>2346</v>
      </c>
      <c r="C1450" s="715">
        <v>91611</v>
      </c>
    </row>
    <row r="1451" spans="2:3" x14ac:dyDescent="0.25">
      <c r="B1451" s="730" t="s">
        <v>2347</v>
      </c>
      <c r="C1451" s="715">
        <v>91231</v>
      </c>
    </row>
    <row r="1452" spans="2:3" x14ac:dyDescent="0.25">
      <c r="B1452" s="730" t="s">
        <v>3731</v>
      </c>
      <c r="C1452" s="715">
        <v>91217</v>
      </c>
    </row>
    <row r="1453" spans="2:3" x14ac:dyDescent="0.25">
      <c r="B1453" s="730" t="s">
        <v>1277</v>
      </c>
      <c r="C1453" s="715">
        <v>91233</v>
      </c>
    </row>
    <row r="1454" spans="2:3" x14ac:dyDescent="0.25">
      <c r="B1454" s="730" t="s">
        <v>2348</v>
      </c>
      <c r="C1454" s="715">
        <v>99206</v>
      </c>
    </row>
    <row r="1455" spans="2:3" x14ac:dyDescent="0.25">
      <c r="B1455" s="730" t="s">
        <v>2349</v>
      </c>
      <c r="C1455" s="715">
        <v>90461</v>
      </c>
    </row>
    <row r="1456" spans="2:3" x14ac:dyDescent="0.25">
      <c r="B1456" s="730" t="s">
        <v>3732</v>
      </c>
      <c r="C1456" s="715">
        <v>98637</v>
      </c>
    </row>
    <row r="1457" spans="2:3" x14ac:dyDescent="0.25">
      <c r="B1457" s="730" t="s">
        <v>2351</v>
      </c>
      <c r="C1457" s="715">
        <v>96251</v>
      </c>
    </row>
    <row r="1458" spans="2:3" x14ac:dyDescent="0.25">
      <c r="B1458" s="730" t="s">
        <v>2352</v>
      </c>
      <c r="C1458" s="715">
        <v>99621</v>
      </c>
    </row>
    <row r="1459" spans="2:3" x14ac:dyDescent="0.25">
      <c r="B1459" s="730" t="s">
        <v>2353</v>
      </c>
      <c r="C1459" s="715">
        <v>91321</v>
      </c>
    </row>
    <row r="1460" spans="2:3" x14ac:dyDescent="0.25">
      <c r="B1460" s="730" t="s">
        <v>3733</v>
      </c>
      <c r="C1460" s="715">
        <v>98631</v>
      </c>
    </row>
    <row r="1461" spans="2:3" x14ac:dyDescent="0.25">
      <c r="B1461" s="730" t="s">
        <v>3734</v>
      </c>
      <c r="C1461" s="715">
        <v>93691</v>
      </c>
    </row>
    <row r="1462" spans="2:3" x14ac:dyDescent="0.25">
      <c r="B1462" s="730" t="s">
        <v>3735</v>
      </c>
      <c r="C1462" s="715">
        <v>99623</v>
      </c>
    </row>
    <row r="1463" spans="2:3" x14ac:dyDescent="0.25">
      <c r="B1463" s="730" t="s">
        <v>3736</v>
      </c>
      <c r="C1463" s="715">
        <v>91327</v>
      </c>
    </row>
    <row r="1464" spans="2:3" x14ac:dyDescent="0.25">
      <c r="B1464" s="730" t="s">
        <v>2355</v>
      </c>
      <c r="C1464" s="715">
        <v>94621</v>
      </c>
    </row>
    <row r="1465" spans="2:3" x14ac:dyDescent="0.25">
      <c r="B1465" s="730" t="s">
        <v>2356</v>
      </c>
      <c r="C1465" s="715">
        <v>92011</v>
      </c>
    </row>
    <row r="1466" spans="2:3" x14ac:dyDescent="0.25">
      <c r="B1466" s="730" t="s">
        <v>3737</v>
      </c>
      <c r="C1466" s="715">
        <v>92017</v>
      </c>
    </row>
    <row r="1467" spans="2:3" x14ac:dyDescent="0.25">
      <c r="B1467" s="730" t="s">
        <v>3738</v>
      </c>
      <c r="C1467" s="715">
        <v>99991</v>
      </c>
    </row>
    <row r="1468" spans="2:3" x14ac:dyDescent="0.25">
      <c r="B1468" s="730" t="s">
        <v>3739</v>
      </c>
      <c r="C1468" s="715">
        <v>99999</v>
      </c>
    </row>
    <row r="1469" spans="2:3" x14ac:dyDescent="0.25">
      <c r="B1469" s="730" t="s">
        <v>2357</v>
      </c>
      <c r="C1469" s="715">
        <v>92811</v>
      </c>
    </row>
    <row r="1470" spans="2:3" x14ac:dyDescent="0.25">
      <c r="B1470" s="730" t="s">
        <v>1342</v>
      </c>
      <c r="C1470" s="715">
        <v>92005</v>
      </c>
    </row>
    <row r="1471" spans="2:3" x14ac:dyDescent="0.25">
      <c r="B1471" s="730" t="s">
        <v>1715</v>
      </c>
      <c r="C1471" s="715">
        <v>96401</v>
      </c>
    </row>
    <row r="1472" spans="2:3" x14ac:dyDescent="0.25">
      <c r="B1472" s="730" t="s">
        <v>3740</v>
      </c>
      <c r="C1472" s="715">
        <v>96404</v>
      </c>
    </row>
    <row r="1473" spans="2:3" x14ac:dyDescent="0.25">
      <c r="B1473" s="730" t="s">
        <v>2358</v>
      </c>
      <c r="C1473" s="715">
        <v>96421</v>
      </c>
    </row>
    <row r="1474" spans="2:3" x14ac:dyDescent="0.25">
      <c r="B1474" s="730" t="s">
        <v>2359</v>
      </c>
      <c r="C1474" s="715">
        <v>91026</v>
      </c>
    </row>
    <row r="1475" spans="2:3" x14ac:dyDescent="0.25">
      <c r="B1475" s="730" t="s">
        <v>1638</v>
      </c>
      <c r="C1475" s="715">
        <v>95405</v>
      </c>
    </row>
    <row r="1476" spans="2:3" x14ac:dyDescent="0.25">
      <c r="B1476" s="730" t="s">
        <v>3741</v>
      </c>
      <c r="C1476" s="715">
        <v>94005</v>
      </c>
    </row>
    <row r="1477" spans="2:3" x14ac:dyDescent="0.25">
      <c r="B1477" s="730" t="s">
        <v>3742</v>
      </c>
      <c r="C1477" s="715">
        <v>95205</v>
      </c>
    </row>
    <row r="1478" spans="2:3" x14ac:dyDescent="0.25">
      <c r="B1478" s="730" t="s">
        <v>1378</v>
      </c>
      <c r="C1478" s="715">
        <v>92507</v>
      </c>
    </row>
    <row r="1479" spans="2:3" x14ac:dyDescent="0.25">
      <c r="B1479" s="730" t="s">
        <v>3743</v>
      </c>
      <c r="C1479" s="715">
        <v>92113</v>
      </c>
    </row>
    <row r="1480" spans="2:3" x14ac:dyDescent="0.25">
      <c r="B1480" s="730" t="s">
        <v>3744</v>
      </c>
      <c r="C1480" s="715">
        <v>96502</v>
      </c>
    </row>
    <row r="1481" spans="2:3" x14ac:dyDescent="0.25">
      <c r="B1481" s="730" t="s">
        <v>1724</v>
      </c>
      <c r="C1481" s="715">
        <v>96501</v>
      </c>
    </row>
    <row r="1482" spans="2:3" x14ac:dyDescent="0.25">
      <c r="B1482" s="730" t="s">
        <v>3745</v>
      </c>
      <c r="C1482" s="715">
        <v>96504</v>
      </c>
    </row>
    <row r="1483" spans="2:3" x14ac:dyDescent="0.25">
      <c r="B1483" s="730" t="s">
        <v>3746</v>
      </c>
      <c r="C1483" s="715">
        <v>97913</v>
      </c>
    </row>
    <row r="1484" spans="2:3" x14ac:dyDescent="0.25">
      <c r="B1484" s="730" t="s">
        <v>3747</v>
      </c>
      <c r="C1484" s="715">
        <v>92511</v>
      </c>
    </row>
    <row r="1485" spans="2:3" x14ac:dyDescent="0.25">
      <c r="B1485" s="730" t="s">
        <v>2361</v>
      </c>
      <c r="C1485" s="715">
        <v>90621</v>
      </c>
    </row>
    <row r="1486" spans="2:3" x14ac:dyDescent="0.25">
      <c r="B1486" s="730" t="s">
        <v>2362</v>
      </c>
      <c r="C1486" s="715">
        <v>91621</v>
      </c>
    </row>
    <row r="1487" spans="2:3" x14ac:dyDescent="0.25">
      <c r="B1487" s="730" t="s">
        <v>2363</v>
      </c>
      <c r="C1487" s="715">
        <v>91871</v>
      </c>
    </row>
    <row r="1488" spans="2:3" x14ac:dyDescent="0.25">
      <c r="B1488" s="730" t="s">
        <v>2364</v>
      </c>
      <c r="C1488" s="715">
        <v>98231</v>
      </c>
    </row>
    <row r="1489" spans="2:3" x14ac:dyDescent="0.25">
      <c r="B1489" s="730" t="s">
        <v>2365</v>
      </c>
      <c r="C1489" s="715">
        <v>99311</v>
      </c>
    </row>
    <row r="1490" spans="2:3" x14ac:dyDescent="0.25">
      <c r="B1490" s="730" t="s">
        <v>2366</v>
      </c>
      <c r="C1490" s="715">
        <v>96751</v>
      </c>
    </row>
    <row r="1491" spans="2:3" x14ac:dyDescent="0.25">
      <c r="B1491" s="730" t="s">
        <v>2367</v>
      </c>
      <c r="C1491" s="715">
        <v>99711</v>
      </c>
    </row>
    <row r="1492" spans="2:3" x14ac:dyDescent="0.25">
      <c r="B1492" s="730" t="s">
        <v>3748</v>
      </c>
      <c r="C1492" s="715">
        <v>99717</v>
      </c>
    </row>
    <row r="1493" spans="2:3" x14ac:dyDescent="0.25">
      <c r="B1493" s="730" t="s">
        <v>1736</v>
      </c>
      <c r="C1493" s="715">
        <v>96601</v>
      </c>
    </row>
    <row r="1494" spans="2:3" x14ac:dyDescent="0.25">
      <c r="B1494" s="730" t="s">
        <v>3749</v>
      </c>
      <c r="C1494" s="715">
        <v>96604</v>
      </c>
    </row>
    <row r="1495" spans="2:3" x14ac:dyDescent="0.25">
      <c r="B1495" s="730" t="s">
        <v>2368</v>
      </c>
      <c r="C1495" s="715">
        <v>91012</v>
      </c>
    </row>
    <row r="1496" spans="2:3" x14ac:dyDescent="0.25">
      <c r="B1496" s="730" t="s">
        <v>1170</v>
      </c>
      <c r="C1496" s="715">
        <v>90305</v>
      </c>
    </row>
    <row r="1497" spans="2:3" x14ac:dyDescent="0.25">
      <c r="B1497" s="730" t="s">
        <v>2369</v>
      </c>
      <c r="C1497" s="715">
        <v>98421</v>
      </c>
    </row>
    <row r="1498" spans="2:3" x14ac:dyDescent="0.25">
      <c r="B1498" s="730" t="s">
        <v>3750</v>
      </c>
      <c r="C1498" s="715">
        <v>98427</v>
      </c>
    </row>
    <row r="1499" spans="2:3" x14ac:dyDescent="0.25">
      <c r="B1499" s="730" t="s">
        <v>2370</v>
      </c>
      <c r="C1499" s="715">
        <v>95821</v>
      </c>
    </row>
    <row r="1500" spans="2:3" x14ac:dyDescent="0.25">
      <c r="B1500" s="730" t="s">
        <v>2371</v>
      </c>
      <c r="C1500" s="715">
        <v>91021</v>
      </c>
    </row>
    <row r="1501" spans="2:3" x14ac:dyDescent="0.25">
      <c r="B1501" s="730" t="s">
        <v>3751</v>
      </c>
      <c r="C1501" s="715">
        <v>91027</v>
      </c>
    </row>
    <row r="1502" spans="2:3" x14ac:dyDescent="0.25">
      <c r="B1502" s="730" t="s">
        <v>2372</v>
      </c>
      <c r="C1502" s="715">
        <v>94161</v>
      </c>
    </row>
    <row r="1503" spans="2:3" x14ac:dyDescent="0.25">
      <c r="B1503" s="730" t="s">
        <v>2373</v>
      </c>
      <c r="C1503" s="715">
        <v>98441</v>
      </c>
    </row>
    <row r="1504" spans="2:3" x14ac:dyDescent="0.25">
      <c r="B1504" s="730" t="s">
        <v>2374</v>
      </c>
      <c r="C1504" s="715">
        <v>91061</v>
      </c>
    </row>
    <row r="1505" spans="2:3" x14ac:dyDescent="0.25">
      <c r="B1505" s="730" t="s">
        <v>3752</v>
      </c>
      <c r="C1505" s="715">
        <v>91067</v>
      </c>
    </row>
    <row r="1506" spans="2:3" x14ac:dyDescent="0.25">
      <c r="B1506" s="730" t="s">
        <v>3753</v>
      </c>
      <c r="C1506" s="715">
        <v>94812</v>
      </c>
    </row>
    <row r="1507" spans="2:3" x14ac:dyDescent="0.25">
      <c r="B1507" s="730" t="s">
        <v>2375</v>
      </c>
      <c r="C1507" s="715">
        <v>95921</v>
      </c>
    </row>
    <row r="1508" spans="2:3" x14ac:dyDescent="0.25">
      <c r="B1508" s="730" t="s">
        <v>1747</v>
      </c>
      <c r="C1508" s="715">
        <v>96701</v>
      </c>
    </row>
    <row r="1509" spans="2:3" x14ac:dyDescent="0.25">
      <c r="B1509" s="730" t="s">
        <v>3754</v>
      </c>
      <c r="C1509" s="715">
        <v>96704</v>
      </c>
    </row>
    <row r="1510" spans="2:3" x14ac:dyDescent="0.25">
      <c r="B1510" s="730" t="s">
        <v>3755</v>
      </c>
      <c r="C1510" s="715">
        <v>96708</v>
      </c>
    </row>
    <row r="1511" spans="2:3" x14ac:dyDescent="0.25">
      <c r="B1511" s="730" t="s">
        <v>1756</v>
      </c>
      <c r="C1511" s="715">
        <v>96801</v>
      </c>
    </row>
    <row r="1512" spans="2:3" x14ac:dyDescent="0.25">
      <c r="B1512" s="730" t="s">
        <v>3756</v>
      </c>
      <c r="C1512" s="715">
        <v>96804</v>
      </c>
    </row>
    <row r="1513" spans="2:3" x14ac:dyDescent="0.25">
      <c r="B1513" s="730" t="s">
        <v>3757</v>
      </c>
      <c r="C1513" s="715">
        <v>96808</v>
      </c>
    </row>
    <row r="1514" spans="2:3" x14ac:dyDescent="0.25">
      <c r="B1514" s="730" t="s">
        <v>2376</v>
      </c>
      <c r="C1514" s="715">
        <v>96912</v>
      </c>
    </row>
    <row r="1515" spans="2:3" x14ac:dyDescent="0.25">
      <c r="B1515" s="730" t="s">
        <v>2377</v>
      </c>
      <c r="C1515" s="715">
        <v>93911</v>
      </c>
    </row>
    <row r="1516" spans="2:3" x14ac:dyDescent="0.25">
      <c r="B1516" s="730" t="s">
        <v>1512</v>
      </c>
      <c r="C1516" s="715">
        <v>93913</v>
      </c>
    </row>
    <row r="1517" spans="2:3" x14ac:dyDescent="0.25">
      <c r="B1517" s="730" t="s">
        <v>1762</v>
      </c>
      <c r="C1517" s="715">
        <v>96901</v>
      </c>
    </row>
    <row r="1518" spans="2:3" x14ac:dyDescent="0.25">
      <c r="B1518" s="730" t="s">
        <v>3758</v>
      </c>
      <c r="C1518" s="715">
        <v>97841</v>
      </c>
    </row>
    <row r="1519" spans="2:3" x14ac:dyDescent="0.25">
      <c r="B1519" s="730" t="s">
        <v>1442</v>
      </c>
      <c r="C1519" s="715">
        <v>93202</v>
      </c>
    </row>
    <row r="1520" spans="2:3" x14ac:dyDescent="0.25">
      <c r="B1520" s="730" t="s">
        <v>3458</v>
      </c>
      <c r="C1520" s="715">
        <v>93609</v>
      </c>
    </row>
    <row r="1521" spans="2:3" x14ac:dyDescent="0.25">
      <c r="B1521" s="730" t="s">
        <v>3759</v>
      </c>
      <c r="C1521" s="715">
        <v>97004</v>
      </c>
    </row>
    <row r="1522" spans="2:3" x14ac:dyDescent="0.25">
      <c r="B1522" s="730" t="s">
        <v>1766</v>
      </c>
      <c r="C1522" s="715">
        <v>97001</v>
      </c>
    </row>
    <row r="1523" spans="2:3" x14ac:dyDescent="0.25">
      <c r="B1523" s="730" t="s">
        <v>1767</v>
      </c>
      <c r="C1523" s="715">
        <v>97002</v>
      </c>
    </row>
    <row r="1524" spans="2:3" x14ac:dyDescent="0.25">
      <c r="B1524" s="730" t="s">
        <v>1775</v>
      </c>
      <c r="C1524" s="715">
        <v>97015</v>
      </c>
    </row>
    <row r="1525" spans="2:3" x14ac:dyDescent="0.25">
      <c r="B1525" s="730" t="s">
        <v>2378</v>
      </c>
      <c r="C1525" s="715">
        <v>90441</v>
      </c>
    </row>
    <row r="1526" spans="2:3" x14ac:dyDescent="0.25">
      <c r="B1526" s="730" t="s">
        <v>2379</v>
      </c>
      <c r="C1526" s="715">
        <v>97851</v>
      </c>
    </row>
    <row r="1527" spans="2:3" x14ac:dyDescent="0.25">
      <c r="B1527" s="730" t="s">
        <v>1847</v>
      </c>
      <c r="C1527" s="715">
        <v>97853</v>
      </c>
    </row>
    <row r="1528" spans="2:3" x14ac:dyDescent="0.25">
      <c r="B1528" s="730" t="s">
        <v>1777</v>
      </c>
      <c r="C1528" s="715">
        <v>97101</v>
      </c>
    </row>
    <row r="1529" spans="2:3" x14ac:dyDescent="0.25">
      <c r="B1529" s="730" t="s">
        <v>3760</v>
      </c>
      <c r="C1529" s="715">
        <v>97104</v>
      </c>
    </row>
    <row r="1530" spans="2:3" x14ac:dyDescent="0.25">
      <c r="B1530" s="730" t="s">
        <v>1782</v>
      </c>
      <c r="C1530" s="715">
        <v>97201</v>
      </c>
    </row>
    <row r="1531" spans="2:3" x14ac:dyDescent="0.25">
      <c r="B1531" s="730" t="s">
        <v>3761</v>
      </c>
      <c r="C1531" s="715">
        <v>97304</v>
      </c>
    </row>
    <row r="1532" spans="2:3" x14ac:dyDescent="0.25">
      <c r="B1532" s="730" t="s">
        <v>1787</v>
      </c>
      <c r="C1532" s="715">
        <v>97301</v>
      </c>
    </row>
    <row r="1533" spans="2:3" x14ac:dyDescent="0.25">
      <c r="B1533" s="730" t="s">
        <v>1987</v>
      </c>
      <c r="C1533" s="715">
        <v>99405</v>
      </c>
    </row>
    <row r="1534" spans="2:3" x14ac:dyDescent="0.25">
      <c r="B1534" s="730" t="s">
        <v>1146</v>
      </c>
      <c r="C1534" s="715">
        <v>72265</v>
      </c>
    </row>
    <row r="1535" spans="2:3" x14ac:dyDescent="0.25">
      <c r="B1535" s="730" t="s">
        <v>3762</v>
      </c>
      <c r="C1535" s="715">
        <v>94112</v>
      </c>
    </row>
    <row r="1536" spans="2:3" x14ac:dyDescent="0.25">
      <c r="B1536" s="730" t="s">
        <v>1462</v>
      </c>
      <c r="C1536" s="715">
        <v>93406</v>
      </c>
    </row>
    <row r="1537" spans="2:3" x14ac:dyDescent="0.25">
      <c r="B1537" s="730" t="s">
        <v>2380</v>
      </c>
      <c r="C1537" s="715">
        <v>99651</v>
      </c>
    </row>
    <row r="1538" spans="2:3" x14ac:dyDescent="0.25">
      <c r="B1538" s="730" t="s">
        <v>2381</v>
      </c>
      <c r="C1538" s="715">
        <v>98611</v>
      </c>
    </row>
    <row r="1539" spans="2:3" x14ac:dyDescent="0.25">
      <c r="B1539" s="730" t="s">
        <v>3763</v>
      </c>
      <c r="C1539" s="715">
        <v>98607</v>
      </c>
    </row>
    <row r="1540" spans="2:3" x14ac:dyDescent="0.25">
      <c r="B1540" s="730" t="s">
        <v>2382</v>
      </c>
      <c r="C1540" s="715">
        <v>91641</v>
      </c>
    </row>
    <row r="1541" spans="2:3" x14ac:dyDescent="0.25">
      <c r="B1541" s="730" t="s">
        <v>2383</v>
      </c>
      <c r="C1541" s="715">
        <v>95161</v>
      </c>
    </row>
    <row r="1542" spans="2:3" x14ac:dyDescent="0.25">
      <c r="B1542" s="730" t="s">
        <v>2384</v>
      </c>
      <c r="C1542" s="715">
        <v>96361</v>
      </c>
    </row>
    <row r="1543" spans="2:3" x14ac:dyDescent="0.25">
      <c r="B1543" s="730" t="s">
        <v>3764</v>
      </c>
      <c r="C1543" s="715">
        <v>94108</v>
      </c>
    </row>
    <row r="1544" spans="2:3" x14ac:dyDescent="0.25">
      <c r="B1544" s="730" t="s">
        <v>2385</v>
      </c>
      <c r="C1544" s="715">
        <v>96351</v>
      </c>
    </row>
    <row r="1545" spans="2:3" x14ac:dyDescent="0.25">
      <c r="B1545" s="730" t="s">
        <v>2386</v>
      </c>
      <c r="C1545" s="715">
        <v>93331</v>
      </c>
    </row>
    <row r="1546" spans="2:3" x14ac:dyDescent="0.25">
      <c r="B1546" s="730" t="s">
        <v>2387</v>
      </c>
      <c r="C1546" s="715">
        <v>96021</v>
      </c>
    </row>
    <row r="1547" spans="2:3" x14ac:dyDescent="0.25">
      <c r="B1547" s="730" t="s">
        <v>2388</v>
      </c>
      <c r="C1547" s="715">
        <v>95421</v>
      </c>
    </row>
    <row r="1548" spans="2:3" x14ac:dyDescent="0.25">
      <c r="B1548" s="730" t="s">
        <v>1790</v>
      </c>
      <c r="C1548" s="715">
        <v>97401</v>
      </c>
    </row>
    <row r="1549" spans="2:3" x14ac:dyDescent="0.25">
      <c r="B1549" s="730" t="s">
        <v>3765</v>
      </c>
      <c r="C1549" s="715">
        <v>97404</v>
      </c>
    </row>
    <row r="1550" spans="2:3" x14ac:dyDescent="0.25">
      <c r="B1550" s="730" t="s">
        <v>3766</v>
      </c>
      <c r="C1550" s="715">
        <v>97402</v>
      </c>
    </row>
    <row r="1551" spans="2:3" x14ac:dyDescent="0.25">
      <c r="B1551" s="730" t="s">
        <v>2389</v>
      </c>
      <c r="C1551" s="715">
        <v>91921</v>
      </c>
    </row>
    <row r="1552" spans="2:3" x14ac:dyDescent="0.25">
      <c r="B1552" s="730" t="s">
        <v>3767</v>
      </c>
      <c r="C1552" s="715">
        <v>95908</v>
      </c>
    </row>
    <row r="1553" spans="2:3" x14ac:dyDescent="0.25">
      <c r="B1553" s="730" t="s">
        <v>2390</v>
      </c>
      <c r="C1553" s="715">
        <v>99411</v>
      </c>
    </row>
    <row r="1554" spans="2:3" x14ac:dyDescent="0.25">
      <c r="B1554" s="730" t="s">
        <v>1989</v>
      </c>
      <c r="C1554" s="715">
        <v>99413</v>
      </c>
    </row>
    <row r="1555" spans="2:3" x14ac:dyDescent="0.25">
      <c r="B1555" s="730" t="s">
        <v>1808</v>
      </c>
      <c r="C1555" s="715">
        <v>97501</v>
      </c>
    </row>
    <row r="1556" spans="2:3" x14ac:dyDescent="0.25">
      <c r="B1556" s="730" t="s">
        <v>2391</v>
      </c>
      <c r="C1556" s="715">
        <v>90431</v>
      </c>
    </row>
    <row r="1557" spans="2:3" x14ac:dyDescent="0.25">
      <c r="B1557" s="730" t="s">
        <v>2392</v>
      </c>
      <c r="C1557" s="715">
        <v>95211</v>
      </c>
    </row>
    <row r="1558" spans="2:3" x14ac:dyDescent="0.25">
      <c r="B1558" s="730" t="s">
        <v>2393</v>
      </c>
      <c r="C1558" s="715">
        <v>95181</v>
      </c>
    </row>
    <row r="1559" spans="2:3" x14ac:dyDescent="0.25">
      <c r="B1559" s="730" t="s">
        <v>2394</v>
      </c>
      <c r="C1559" s="715">
        <v>93351</v>
      </c>
    </row>
    <row r="1560" spans="2:3" x14ac:dyDescent="0.25">
      <c r="B1560" s="730" t="s">
        <v>3768</v>
      </c>
      <c r="C1560" s="715">
        <v>95105</v>
      </c>
    </row>
    <row r="1561" spans="2:3" x14ac:dyDescent="0.25">
      <c r="B1561" s="730" t="s">
        <v>3769</v>
      </c>
      <c r="C1561" s="715">
        <v>92614</v>
      </c>
    </row>
    <row r="1562" spans="2:3" x14ac:dyDescent="0.25">
      <c r="B1562" s="730" t="s">
        <v>2395</v>
      </c>
      <c r="C1562" s="715">
        <v>94711</v>
      </c>
    </row>
    <row r="1563" spans="2:3" x14ac:dyDescent="0.25">
      <c r="B1563" s="730" t="s">
        <v>2396</v>
      </c>
      <c r="C1563" s="715">
        <v>99211</v>
      </c>
    </row>
    <row r="1564" spans="2:3" x14ac:dyDescent="0.25">
      <c r="B1564" s="730" t="s">
        <v>1970</v>
      </c>
      <c r="C1564" s="715">
        <v>99218</v>
      </c>
    </row>
    <row r="1565" spans="2:3" x14ac:dyDescent="0.25">
      <c r="B1565" s="730" t="s">
        <v>3770</v>
      </c>
      <c r="C1565" s="715">
        <v>99213</v>
      </c>
    </row>
    <row r="1566" spans="2:3" x14ac:dyDescent="0.25">
      <c r="B1566" s="730" t="s">
        <v>2397</v>
      </c>
      <c r="C1566" s="715">
        <v>97641</v>
      </c>
    </row>
    <row r="1567" spans="2:3" x14ac:dyDescent="0.25">
      <c r="B1567" s="730" t="s">
        <v>2398</v>
      </c>
      <c r="C1567" s="715">
        <v>97621</v>
      </c>
    </row>
    <row r="1568" spans="2:3" x14ac:dyDescent="0.25">
      <c r="B1568" s="730" t="s">
        <v>3771</v>
      </c>
      <c r="C1568" s="715">
        <v>97627</v>
      </c>
    </row>
    <row r="1569" spans="2:3" x14ac:dyDescent="0.25">
      <c r="B1569" s="730" t="s">
        <v>3772</v>
      </c>
      <c r="C1569" s="715">
        <v>97623</v>
      </c>
    </row>
    <row r="1570" spans="2:3" x14ac:dyDescent="0.25">
      <c r="B1570" s="730" t="s">
        <v>1812</v>
      </c>
      <c r="C1570" s="715">
        <v>97601</v>
      </c>
    </row>
    <row r="1571" spans="2:3" x14ac:dyDescent="0.25">
      <c r="B1571" s="730" t="s">
        <v>2399</v>
      </c>
      <c r="C1571" s="715">
        <v>93681</v>
      </c>
    </row>
    <row r="1572" spans="2:3" x14ac:dyDescent="0.25">
      <c r="B1572" s="730" t="s">
        <v>2400</v>
      </c>
      <c r="C1572" s="715">
        <v>97871</v>
      </c>
    </row>
    <row r="1573" spans="2:3" x14ac:dyDescent="0.25">
      <c r="B1573" s="730" t="s">
        <v>3773</v>
      </c>
      <c r="C1573" s="715">
        <v>97877</v>
      </c>
    </row>
    <row r="1574" spans="2:3" x14ac:dyDescent="0.25">
      <c r="B1574" s="730" t="s">
        <v>1993</v>
      </c>
      <c r="C1574" s="715">
        <v>99502</v>
      </c>
    </row>
    <row r="1575" spans="2:3" x14ac:dyDescent="0.25">
      <c r="B1575" s="730" t="s">
        <v>2401</v>
      </c>
      <c r="C1575" s="715">
        <v>97911</v>
      </c>
    </row>
    <row r="1576" spans="2:3" x14ac:dyDescent="0.25">
      <c r="B1576" s="730" t="s">
        <v>3774</v>
      </c>
      <c r="C1576" s="715">
        <v>97917</v>
      </c>
    </row>
    <row r="1577" spans="2:3" x14ac:dyDescent="0.25">
      <c r="B1577" s="730" t="s">
        <v>2402</v>
      </c>
      <c r="C1577" s="715">
        <v>96611</v>
      </c>
    </row>
    <row r="1578" spans="2:3" x14ac:dyDescent="0.25">
      <c r="B1578" s="730" t="s">
        <v>2403</v>
      </c>
      <c r="C1578" s="715">
        <v>96741</v>
      </c>
    </row>
    <row r="1579" spans="2:3" x14ac:dyDescent="0.25">
      <c r="B1579" s="730" t="s">
        <v>1824</v>
      </c>
      <c r="C1579" s="715">
        <v>97701</v>
      </c>
    </row>
    <row r="1580" spans="2:3" x14ac:dyDescent="0.25">
      <c r="B1580" s="730" t="s">
        <v>2404</v>
      </c>
      <c r="C1580" s="715">
        <v>92541</v>
      </c>
    </row>
    <row r="1581" spans="2:3" x14ac:dyDescent="0.25">
      <c r="B1581" s="730" t="s">
        <v>1543</v>
      </c>
      <c r="C1581" s="715">
        <v>94209</v>
      </c>
    </row>
    <row r="1582" spans="2:3" x14ac:dyDescent="0.25">
      <c r="B1582" s="730" t="s">
        <v>3775</v>
      </c>
      <c r="C1582" s="715">
        <v>94221</v>
      </c>
    </row>
    <row r="1583" spans="2:3" x14ac:dyDescent="0.25">
      <c r="B1583" s="730" t="s">
        <v>2406</v>
      </c>
      <c r="C1583" s="715">
        <v>96341</v>
      </c>
    </row>
    <row r="1584" spans="2:3" x14ac:dyDescent="0.25">
      <c r="B1584" s="730" t="s">
        <v>2407</v>
      </c>
      <c r="C1584" s="715">
        <v>93821</v>
      </c>
    </row>
    <row r="1585" spans="2:3" x14ac:dyDescent="0.25">
      <c r="B1585" s="730" t="s">
        <v>2408</v>
      </c>
      <c r="C1585" s="715">
        <v>95851</v>
      </c>
    </row>
    <row r="1586" spans="2:3" x14ac:dyDescent="0.25">
      <c r="B1586" s="730" t="s">
        <v>1667</v>
      </c>
      <c r="C1586" s="715">
        <v>95853</v>
      </c>
    </row>
    <row r="1587" spans="2:3" x14ac:dyDescent="0.25">
      <c r="B1587" s="730" t="s">
        <v>1832</v>
      </c>
      <c r="C1587" s="715">
        <v>97801</v>
      </c>
    </row>
    <row r="1588" spans="2:3" x14ac:dyDescent="0.25">
      <c r="B1588" s="730" t="s">
        <v>1834</v>
      </c>
      <c r="C1588" s="715">
        <v>97803</v>
      </c>
    </row>
    <row r="1589" spans="2:3" x14ac:dyDescent="0.25">
      <c r="B1589" s="730" t="s">
        <v>1835</v>
      </c>
      <c r="C1589" s="715">
        <v>97805</v>
      </c>
    </row>
    <row r="1590" spans="2:3" x14ac:dyDescent="0.25">
      <c r="B1590" s="730" t="s">
        <v>2409</v>
      </c>
      <c r="C1590" s="715">
        <v>97711</v>
      </c>
    </row>
    <row r="1591" spans="2:3" x14ac:dyDescent="0.25">
      <c r="B1591" s="730" t="s">
        <v>1851</v>
      </c>
      <c r="C1591" s="715">
        <v>97901</v>
      </c>
    </row>
    <row r="1592" spans="2:3" x14ac:dyDescent="0.25">
      <c r="B1592" s="730" t="s">
        <v>1827</v>
      </c>
      <c r="C1592" s="715">
        <v>97713</v>
      </c>
    </row>
    <row r="1593" spans="2:3" x14ac:dyDescent="0.25">
      <c r="B1593" s="730" t="s">
        <v>3776</v>
      </c>
      <c r="C1593" s="715">
        <v>97727</v>
      </c>
    </row>
    <row r="1594" spans="2:3" x14ac:dyDescent="0.25">
      <c r="B1594" s="730" t="s">
        <v>2410</v>
      </c>
      <c r="C1594" s="715">
        <v>98071</v>
      </c>
    </row>
    <row r="1595" spans="2:3" x14ac:dyDescent="0.25">
      <c r="B1595" s="730" t="s">
        <v>1455</v>
      </c>
      <c r="C1595" s="715">
        <v>93323</v>
      </c>
    </row>
    <row r="1596" spans="2:3" x14ac:dyDescent="0.25">
      <c r="B1596" s="730" t="s">
        <v>3777</v>
      </c>
      <c r="C1596" s="715">
        <v>93333</v>
      </c>
    </row>
    <row r="1597" spans="2:3" x14ac:dyDescent="0.25">
      <c r="B1597" s="730" t="s">
        <v>3778</v>
      </c>
      <c r="C1597" s="715">
        <v>93321</v>
      </c>
    </row>
    <row r="1598" spans="2:3" x14ac:dyDescent="0.25">
      <c r="B1598" s="730" t="s">
        <v>2412</v>
      </c>
      <c r="C1598" s="715">
        <v>99203</v>
      </c>
    </row>
    <row r="1599" spans="2:3" x14ac:dyDescent="0.25">
      <c r="B1599" s="730" t="s">
        <v>2413</v>
      </c>
      <c r="C1599" s="715">
        <v>99421</v>
      </c>
    </row>
    <row r="1600" spans="2:3" x14ac:dyDescent="0.25">
      <c r="B1600" s="730" t="s">
        <v>2414</v>
      </c>
      <c r="C1600" s="715">
        <v>93161</v>
      </c>
    </row>
    <row r="1601" spans="2:3" x14ac:dyDescent="0.25">
      <c r="B1601" s="730" t="s">
        <v>2415</v>
      </c>
      <c r="C1601" s="715">
        <v>98261</v>
      </c>
    </row>
    <row r="1602" spans="2:3" x14ac:dyDescent="0.25">
      <c r="B1602" s="730" t="s">
        <v>3779</v>
      </c>
      <c r="C1602" s="715">
        <v>98237</v>
      </c>
    </row>
    <row r="1603" spans="2:3" x14ac:dyDescent="0.25">
      <c r="B1603" s="730" t="s">
        <v>3780</v>
      </c>
      <c r="C1603" s="715">
        <v>98003</v>
      </c>
    </row>
    <row r="1604" spans="2:3" x14ac:dyDescent="0.25">
      <c r="B1604" s="730" t="s">
        <v>3781</v>
      </c>
      <c r="C1604" s="715">
        <v>98008</v>
      </c>
    </row>
    <row r="1605" spans="2:3" x14ac:dyDescent="0.25">
      <c r="B1605" s="730" t="s">
        <v>3782</v>
      </c>
      <c r="C1605" s="715">
        <v>98002</v>
      </c>
    </row>
    <row r="1606" spans="2:3" x14ac:dyDescent="0.25">
      <c r="B1606" s="730" t="s">
        <v>1862</v>
      </c>
      <c r="C1606" s="715">
        <v>98001</v>
      </c>
    </row>
    <row r="1607" spans="2:3" x14ac:dyDescent="0.25">
      <c r="B1607" s="730" t="s">
        <v>3783</v>
      </c>
      <c r="C1607" s="715">
        <v>98004</v>
      </c>
    </row>
    <row r="1608" spans="2:3" x14ac:dyDescent="0.25">
      <c r="B1608" s="730" t="s">
        <v>2416</v>
      </c>
      <c r="C1608" s="715">
        <v>97861</v>
      </c>
    </row>
    <row r="1609" spans="2:3" x14ac:dyDescent="0.25">
      <c r="B1609" s="730" t="s">
        <v>2417</v>
      </c>
      <c r="C1609" s="715">
        <v>97311</v>
      </c>
    </row>
    <row r="1610" spans="2:3" x14ac:dyDescent="0.25">
      <c r="B1610" s="730" t="s">
        <v>2418</v>
      </c>
      <c r="C1610" s="715">
        <v>93431</v>
      </c>
    </row>
    <row r="1611" spans="2:3" x14ac:dyDescent="0.25">
      <c r="B1611" s="730" t="s">
        <v>2419</v>
      </c>
      <c r="C1611" s="715">
        <v>91214</v>
      </c>
    </row>
    <row r="1612" spans="2:3" x14ac:dyDescent="0.25">
      <c r="B1612" s="730" t="s">
        <v>1878</v>
      </c>
      <c r="C1612" s="715">
        <v>98101</v>
      </c>
    </row>
    <row r="1613" spans="2:3" x14ac:dyDescent="0.25">
      <c r="B1613" s="730" t="s">
        <v>3784</v>
      </c>
      <c r="C1613" s="715">
        <v>98103</v>
      </c>
    </row>
    <row r="1614" spans="2:3" x14ac:dyDescent="0.25">
      <c r="B1614" s="730" t="s">
        <v>2420</v>
      </c>
      <c r="C1614" s="715">
        <v>98141</v>
      </c>
    </row>
    <row r="1615" spans="2:3" x14ac:dyDescent="0.25">
      <c r="B1615" s="730" t="s">
        <v>3785</v>
      </c>
      <c r="C1615" s="715">
        <v>98147</v>
      </c>
    </row>
    <row r="1616" spans="2:3" x14ac:dyDescent="0.25">
      <c r="B1616" s="730" t="s">
        <v>2421</v>
      </c>
      <c r="C1616" s="715">
        <v>98221</v>
      </c>
    </row>
    <row r="1617" spans="2:3" x14ac:dyDescent="0.25">
      <c r="B1617" s="730" t="s">
        <v>2422</v>
      </c>
      <c r="C1617" s="715">
        <v>98011</v>
      </c>
    </row>
    <row r="1618" spans="2:3" x14ac:dyDescent="0.25">
      <c r="B1618" s="730" t="s">
        <v>2423</v>
      </c>
      <c r="C1618" s="715">
        <v>97531</v>
      </c>
    </row>
    <row r="1619" spans="2:3" x14ac:dyDescent="0.25">
      <c r="B1619" s="730" t="s">
        <v>1890</v>
      </c>
      <c r="C1619" s="715">
        <v>98201</v>
      </c>
    </row>
    <row r="1620" spans="2:3" x14ac:dyDescent="0.25">
      <c r="B1620" s="730" t="s">
        <v>1825</v>
      </c>
      <c r="C1620" s="715">
        <v>97705</v>
      </c>
    </row>
    <row r="1621" spans="2:3" x14ac:dyDescent="0.25">
      <c r="B1621" s="730" t="s">
        <v>3460</v>
      </c>
      <c r="C1621" s="715">
        <v>96318</v>
      </c>
    </row>
    <row r="1622" spans="2:3" x14ac:dyDescent="0.25">
      <c r="B1622" s="730" t="s">
        <v>2424</v>
      </c>
      <c r="C1622" s="715">
        <v>95311</v>
      </c>
    </row>
    <row r="1623" spans="2:3" x14ac:dyDescent="0.25">
      <c r="B1623" s="730" t="s">
        <v>3786</v>
      </c>
      <c r="C1623" s="715">
        <v>95317</v>
      </c>
    </row>
    <row r="1624" spans="2:3" x14ac:dyDescent="0.25">
      <c r="B1624" s="730" t="s">
        <v>2425</v>
      </c>
      <c r="C1624" s="715">
        <v>91421</v>
      </c>
    </row>
    <row r="1625" spans="2:3" x14ac:dyDescent="0.25">
      <c r="B1625" s="730" t="s">
        <v>1901</v>
      </c>
      <c r="C1625" s="715">
        <v>98301</v>
      </c>
    </row>
    <row r="1626" spans="2:3" x14ac:dyDescent="0.25">
      <c r="B1626" s="730" t="s">
        <v>3787</v>
      </c>
      <c r="C1626" s="715">
        <v>98304</v>
      </c>
    </row>
    <row r="1627" spans="2:3" x14ac:dyDescent="0.25">
      <c r="B1627" s="730" t="s">
        <v>2426</v>
      </c>
      <c r="C1627" s="715">
        <v>94241</v>
      </c>
    </row>
    <row r="1628" spans="2:3" x14ac:dyDescent="0.25">
      <c r="B1628" s="730" t="s">
        <v>2427</v>
      </c>
      <c r="C1628" s="715">
        <v>96681</v>
      </c>
    </row>
    <row r="1629" spans="2:3" x14ac:dyDescent="0.25">
      <c r="B1629" s="730" t="s">
        <v>3788</v>
      </c>
      <c r="C1629" s="715">
        <v>72593</v>
      </c>
    </row>
    <row r="1630" spans="2:3" x14ac:dyDescent="0.25">
      <c r="B1630" s="730" t="s">
        <v>2428</v>
      </c>
      <c r="C1630" s="715">
        <v>95121</v>
      </c>
    </row>
    <row r="1631" spans="2:3" x14ac:dyDescent="0.25">
      <c r="B1631" s="730" t="s">
        <v>1619</v>
      </c>
      <c r="C1631" s="715">
        <v>95123</v>
      </c>
    </row>
    <row r="1632" spans="2:3" x14ac:dyDescent="0.25">
      <c r="B1632" s="730" t="s">
        <v>2429</v>
      </c>
      <c r="C1632" s="715">
        <v>99531</v>
      </c>
    </row>
    <row r="1633" spans="2:3" x14ac:dyDescent="0.25">
      <c r="B1633" s="730" t="s">
        <v>2430</v>
      </c>
      <c r="C1633" s="715">
        <v>96671</v>
      </c>
    </row>
    <row r="1634" spans="2:3" x14ac:dyDescent="0.25">
      <c r="B1634" s="730" t="s">
        <v>2431</v>
      </c>
      <c r="C1634" s="715">
        <v>91081</v>
      </c>
    </row>
    <row r="1635" spans="2:3" x14ac:dyDescent="0.25">
      <c r="B1635" s="730" t="s">
        <v>3789</v>
      </c>
      <c r="C1635" s="715">
        <v>91057</v>
      </c>
    </row>
    <row r="1636" spans="2:3" x14ac:dyDescent="0.25">
      <c r="B1636" s="730" t="s">
        <v>2432</v>
      </c>
      <c r="C1636" s="715">
        <v>96461</v>
      </c>
    </row>
    <row r="1637" spans="2:3" x14ac:dyDescent="0.25">
      <c r="B1637" s="730" t="s">
        <v>2433</v>
      </c>
      <c r="C1637" s="715">
        <v>92311</v>
      </c>
    </row>
    <row r="1638" spans="2:3" x14ac:dyDescent="0.25">
      <c r="B1638" s="730" t="s">
        <v>3790</v>
      </c>
      <c r="C1638" s="715">
        <v>92317</v>
      </c>
    </row>
    <row r="1639" spans="2:3" x14ac:dyDescent="0.25">
      <c r="B1639" s="730" t="s">
        <v>1793</v>
      </c>
      <c r="C1639" s="715">
        <v>97405</v>
      </c>
    </row>
    <row r="1640" spans="2:3" x14ac:dyDescent="0.25">
      <c r="B1640" s="730" t="s">
        <v>2434</v>
      </c>
      <c r="C1640" s="715">
        <v>91911</v>
      </c>
    </row>
    <row r="1641" spans="2:3" x14ac:dyDescent="0.25">
      <c r="B1641" s="730" t="s">
        <v>3791</v>
      </c>
      <c r="C1641" s="715">
        <v>91917</v>
      </c>
    </row>
    <row r="1642" spans="2:3" x14ac:dyDescent="0.25">
      <c r="B1642" s="730" t="s">
        <v>2435</v>
      </c>
      <c r="C1642" s="715">
        <v>97481</v>
      </c>
    </row>
    <row r="1643" spans="2:3" x14ac:dyDescent="0.25">
      <c r="B1643" s="730" t="s">
        <v>3792</v>
      </c>
      <c r="C1643" s="715">
        <v>91138</v>
      </c>
    </row>
    <row r="1644" spans="2:3" x14ac:dyDescent="0.25">
      <c r="B1644" s="730" t="s">
        <v>2436</v>
      </c>
      <c r="C1644" s="715">
        <v>95111</v>
      </c>
    </row>
    <row r="1645" spans="2:3" x14ac:dyDescent="0.25">
      <c r="B1645" s="730" t="s">
        <v>1616</v>
      </c>
      <c r="C1645" s="715">
        <v>95113</v>
      </c>
    </row>
    <row r="1646" spans="2:3" x14ac:dyDescent="0.25">
      <c r="B1646" s="730" t="s">
        <v>2437</v>
      </c>
      <c r="C1646" s="715">
        <v>94021</v>
      </c>
    </row>
    <row r="1647" spans="2:3" x14ac:dyDescent="0.25">
      <c r="B1647" s="730" t="s">
        <v>3793</v>
      </c>
      <c r="C1647" s="715">
        <v>90918</v>
      </c>
    </row>
    <row r="1648" spans="2:3" x14ac:dyDescent="0.25">
      <c r="B1648" s="730" t="s">
        <v>3794</v>
      </c>
      <c r="C1648" s="715">
        <v>93910</v>
      </c>
    </row>
    <row r="1649" spans="2:3" x14ac:dyDescent="0.25">
      <c r="B1649" s="730" t="s">
        <v>3461</v>
      </c>
      <c r="C1649" s="715">
        <v>91013</v>
      </c>
    </row>
    <row r="1650" spans="2:3" x14ac:dyDescent="0.25">
      <c r="B1650" s="730" t="s">
        <v>2438</v>
      </c>
      <c r="C1650" s="715">
        <v>96311</v>
      </c>
    </row>
    <row r="1651" spans="2:3" x14ac:dyDescent="0.25">
      <c r="B1651" s="730" t="s">
        <v>2439</v>
      </c>
      <c r="C1651" s="715">
        <v>92841</v>
      </c>
    </row>
    <row r="1652" spans="2:3" x14ac:dyDescent="0.25">
      <c r="B1652" s="730" t="s">
        <v>2004</v>
      </c>
      <c r="C1652" s="715">
        <v>99609</v>
      </c>
    </row>
    <row r="1653" spans="2:3" x14ac:dyDescent="0.25">
      <c r="B1653" s="730" t="s">
        <v>2440</v>
      </c>
      <c r="C1653" s="715">
        <v>91011</v>
      </c>
    </row>
    <row r="1654" spans="2:3" x14ac:dyDescent="0.25">
      <c r="B1654" s="730" t="s">
        <v>3795</v>
      </c>
      <c r="C1654" s="715">
        <v>91017</v>
      </c>
    </row>
    <row r="1655" spans="2:3" x14ac:dyDescent="0.25">
      <c r="B1655" s="730" t="s">
        <v>3796</v>
      </c>
      <c r="C1655" s="715">
        <v>95008</v>
      </c>
    </row>
    <row r="1656" spans="2:3" x14ac:dyDescent="0.25">
      <c r="B1656" s="730" t="s">
        <v>2441</v>
      </c>
      <c r="C1656" s="715">
        <v>72657</v>
      </c>
    </row>
    <row r="1657" spans="2:3" x14ac:dyDescent="0.25">
      <c r="B1657" s="730" t="s">
        <v>3797</v>
      </c>
      <c r="C1657" s="715">
        <v>90307</v>
      </c>
    </row>
    <row r="1658" spans="2:3" x14ac:dyDescent="0.25">
      <c r="B1658" s="730" t="s">
        <v>2442</v>
      </c>
      <c r="C1658" s="715">
        <v>98031</v>
      </c>
    </row>
    <row r="1659" spans="2:3" x14ac:dyDescent="0.25">
      <c r="B1659" s="730" t="s">
        <v>2443</v>
      </c>
      <c r="C1659" s="715">
        <v>98121</v>
      </c>
    </row>
    <row r="1660" spans="2:3" x14ac:dyDescent="0.25">
      <c r="B1660" s="730" t="s">
        <v>2444</v>
      </c>
      <c r="C1660" s="715">
        <v>96411</v>
      </c>
    </row>
    <row r="1661" spans="2:3" x14ac:dyDescent="0.25">
      <c r="B1661" s="730" t="s">
        <v>2445</v>
      </c>
      <c r="C1661" s="715">
        <v>92661</v>
      </c>
    </row>
    <row r="1662" spans="2:3" x14ac:dyDescent="0.25">
      <c r="B1662" s="730" t="s">
        <v>2446</v>
      </c>
      <c r="C1662" s="715">
        <v>96111</v>
      </c>
    </row>
    <row r="1663" spans="2:3" x14ac:dyDescent="0.25">
      <c r="B1663" s="730" t="s">
        <v>3798</v>
      </c>
      <c r="C1663" s="715">
        <v>91032</v>
      </c>
    </row>
    <row r="1664" spans="2:3" x14ac:dyDescent="0.25">
      <c r="B1664" s="730" t="s">
        <v>3799</v>
      </c>
      <c r="C1664" s="715">
        <v>97831</v>
      </c>
    </row>
    <row r="1665" spans="2:3" x14ac:dyDescent="0.25">
      <c r="B1665" s="730" t="s">
        <v>3800</v>
      </c>
      <c r="C1665" s="715">
        <v>97837</v>
      </c>
    </row>
    <row r="1666" spans="2:3" x14ac:dyDescent="0.25">
      <c r="B1666" s="730" t="s">
        <v>2449</v>
      </c>
      <c r="C1666" s="715">
        <v>96061</v>
      </c>
    </row>
    <row r="1667" spans="2:3" x14ac:dyDescent="0.25">
      <c r="B1667" s="730" t="s">
        <v>2450</v>
      </c>
      <c r="C1667" s="715">
        <v>98481</v>
      </c>
    </row>
    <row r="1668" spans="2:3" x14ac:dyDescent="0.25">
      <c r="B1668" s="730" t="s">
        <v>2451</v>
      </c>
      <c r="C1668" s="715">
        <v>93602</v>
      </c>
    </row>
    <row r="1669" spans="2:3" x14ac:dyDescent="0.25">
      <c r="B1669" s="730" t="s">
        <v>1908</v>
      </c>
      <c r="C1669" s="715">
        <v>98401</v>
      </c>
    </row>
    <row r="1670" spans="2:3" x14ac:dyDescent="0.25">
      <c r="B1670" s="730" t="s">
        <v>2452</v>
      </c>
      <c r="C1670" s="715">
        <v>99821</v>
      </c>
    </row>
    <row r="1671" spans="2:3" x14ac:dyDescent="0.25">
      <c r="B1671" s="730" t="s">
        <v>2453</v>
      </c>
      <c r="C1671" s="715">
        <v>96211</v>
      </c>
    </row>
    <row r="1672" spans="2:3" x14ac:dyDescent="0.25">
      <c r="B1672" s="730" t="s">
        <v>2454</v>
      </c>
      <c r="C1672" s="715">
        <v>94911</v>
      </c>
    </row>
    <row r="1673" spans="2:3" x14ac:dyDescent="0.25">
      <c r="B1673" s="730" t="s">
        <v>3801</v>
      </c>
      <c r="C1673" s="715">
        <v>94917</v>
      </c>
    </row>
    <row r="1674" spans="2:3" x14ac:dyDescent="0.25">
      <c r="B1674" s="730" t="s">
        <v>2455</v>
      </c>
      <c r="C1674" s="715">
        <v>92621</v>
      </c>
    </row>
    <row r="1675" spans="2:3" x14ac:dyDescent="0.25">
      <c r="B1675" s="730" t="s">
        <v>1917</v>
      </c>
      <c r="C1675" s="715">
        <v>98501</v>
      </c>
    </row>
    <row r="1676" spans="2:3" x14ac:dyDescent="0.25">
      <c r="B1676" s="730" t="s">
        <v>2456</v>
      </c>
      <c r="C1676" s="715">
        <v>97931</v>
      </c>
    </row>
    <row r="1677" spans="2:3" x14ac:dyDescent="0.25">
      <c r="B1677" s="730" t="s">
        <v>2457</v>
      </c>
      <c r="C1677" s="715">
        <v>93914</v>
      </c>
    </row>
    <row r="1678" spans="2:3" x14ac:dyDescent="0.25">
      <c r="B1678" s="730" t="s">
        <v>2458</v>
      </c>
      <c r="C1678" s="715">
        <v>90651</v>
      </c>
    </row>
    <row r="1679" spans="2:3" x14ac:dyDescent="0.25">
      <c r="B1679" s="730" t="s">
        <v>2459</v>
      </c>
      <c r="C1679" s="715">
        <v>94171</v>
      </c>
    </row>
    <row r="1680" spans="2:3" x14ac:dyDescent="0.25">
      <c r="B1680" s="730" t="s">
        <v>1539</v>
      </c>
      <c r="C1680" s="715">
        <v>94172</v>
      </c>
    </row>
    <row r="1681" spans="2:3" x14ac:dyDescent="0.25">
      <c r="B1681" s="730" t="s">
        <v>2460</v>
      </c>
      <c r="C1681" s="715">
        <v>91041</v>
      </c>
    </row>
    <row r="1682" spans="2:3" x14ac:dyDescent="0.25">
      <c r="B1682" s="730" t="s">
        <v>3802</v>
      </c>
      <c r="C1682" s="715">
        <v>91047</v>
      </c>
    </row>
    <row r="1683" spans="2:3" x14ac:dyDescent="0.25">
      <c r="B1683" s="730" t="s">
        <v>1781</v>
      </c>
      <c r="C1683" s="715">
        <v>97131</v>
      </c>
    </row>
    <row r="1684" spans="2:3" x14ac:dyDescent="0.25">
      <c r="B1684" s="730" t="s">
        <v>1921</v>
      </c>
      <c r="C1684" s="715">
        <v>98601</v>
      </c>
    </row>
    <row r="1685" spans="2:3" x14ac:dyDescent="0.25">
      <c r="B1685" s="730" t="s">
        <v>1931</v>
      </c>
      <c r="C1685" s="715">
        <v>98701</v>
      </c>
    </row>
    <row r="1686" spans="2:3" x14ac:dyDescent="0.25">
      <c r="B1686" s="730" t="s">
        <v>2461</v>
      </c>
      <c r="C1686" s="715">
        <v>96721</v>
      </c>
    </row>
    <row r="1687" spans="2:3" x14ac:dyDescent="0.25">
      <c r="B1687" s="730" t="s">
        <v>2462</v>
      </c>
      <c r="C1687" s="715">
        <v>95011</v>
      </c>
    </row>
    <row r="1688" spans="2:3" x14ac:dyDescent="0.25">
      <c r="B1688" s="730" t="s">
        <v>2463</v>
      </c>
      <c r="C1688" s="715">
        <v>92451</v>
      </c>
    </row>
    <row r="1689" spans="2:3" x14ac:dyDescent="0.25">
      <c r="B1689" s="730" t="s">
        <v>2464</v>
      </c>
      <c r="C1689" s="715">
        <v>93311</v>
      </c>
    </row>
    <row r="1690" spans="2:3" x14ac:dyDescent="0.25">
      <c r="B1690" s="730" t="s">
        <v>1453</v>
      </c>
      <c r="C1690" s="715">
        <v>93317</v>
      </c>
    </row>
    <row r="1691" spans="2:3" x14ac:dyDescent="0.25">
      <c r="B1691" s="730" t="s">
        <v>2465</v>
      </c>
      <c r="C1691" s="715">
        <v>90211</v>
      </c>
    </row>
    <row r="1692" spans="2:3" x14ac:dyDescent="0.25">
      <c r="B1692" s="730" t="s">
        <v>2466</v>
      </c>
      <c r="C1692" s="715">
        <v>96302</v>
      </c>
    </row>
    <row r="1693" spans="2:3" x14ac:dyDescent="0.25">
      <c r="B1693" s="730" t="s">
        <v>2467</v>
      </c>
      <c r="C1693" s="715">
        <v>93181</v>
      </c>
    </row>
    <row r="1694" spans="2:3" x14ac:dyDescent="0.25">
      <c r="B1694" s="730" t="s">
        <v>2468</v>
      </c>
      <c r="C1694" s="715">
        <v>92911</v>
      </c>
    </row>
    <row r="1695" spans="2:3" x14ac:dyDescent="0.25">
      <c r="B1695" s="730" t="s">
        <v>3803</v>
      </c>
      <c r="C1695" s="715">
        <v>92914</v>
      </c>
    </row>
    <row r="1696" spans="2:3" x14ac:dyDescent="0.25">
      <c r="B1696" s="730" t="s">
        <v>1416</v>
      </c>
      <c r="C1696" s="715">
        <v>92913</v>
      </c>
    </row>
    <row r="1697" spans="2:3" x14ac:dyDescent="0.25">
      <c r="B1697" s="730" t="s">
        <v>2469</v>
      </c>
      <c r="C1697" s="715">
        <v>93471</v>
      </c>
    </row>
    <row r="1698" spans="2:3" x14ac:dyDescent="0.25">
      <c r="B1698" s="730" t="s">
        <v>3804</v>
      </c>
      <c r="C1698" s="715">
        <v>90098</v>
      </c>
    </row>
    <row r="1699" spans="2:3" x14ac:dyDescent="0.25">
      <c r="B1699" s="730" t="s">
        <v>2470</v>
      </c>
      <c r="C1699" s="715">
        <v>97121</v>
      </c>
    </row>
    <row r="1700" spans="2:3" x14ac:dyDescent="0.25">
      <c r="B1700" s="730" t="s">
        <v>1934</v>
      </c>
      <c r="C1700" s="715">
        <v>98801</v>
      </c>
    </row>
    <row r="1701" spans="2:3" x14ac:dyDescent="0.25">
      <c r="B1701" s="730" t="s">
        <v>2471</v>
      </c>
      <c r="C1701" s="715">
        <v>92521</v>
      </c>
    </row>
    <row r="1702" spans="2:3" x14ac:dyDescent="0.25">
      <c r="B1702" s="730" t="s">
        <v>3462</v>
      </c>
      <c r="C1702" s="715">
        <v>93417</v>
      </c>
    </row>
    <row r="1703" spans="2:3" x14ac:dyDescent="0.25">
      <c r="B1703" s="730" t="s">
        <v>1447</v>
      </c>
      <c r="C1703" s="715">
        <v>93219</v>
      </c>
    </row>
    <row r="1704" spans="2:3" x14ac:dyDescent="0.25">
      <c r="B1704" s="730" t="s">
        <v>3463</v>
      </c>
      <c r="C1704" s="715">
        <v>92513</v>
      </c>
    </row>
    <row r="1705" spans="2:3" x14ac:dyDescent="0.25">
      <c r="B1705" s="730" t="s">
        <v>2472</v>
      </c>
      <c r="C1705" s="715">
        <v>97661</v>
      </c>
    </row>
    <row r="1706" spans="2:3" x14ac:dyDescent="0.25">
      <c r="B1706" s="730" t="s">
        <v>2473</v>
      </c>
      <c r="C1706" s="715">
        <v>94931</v>
      </c>
    </row>
    <row r="1707" spans="2:3" x14ac:dyDescent="0.25">
      <c r="B1707" s="730" t="s">
        <v>2474</v>
      </c>
      <c r="C1707" s="715">
        <v>96221</v>
      </c>
    </row>
    <row r="1708" spans="2:3" x14ac:dyDescent="0.25">
      <c r="B1708" s="730" t="s">
        <v>2475</v>
      </c>
      <c r="C1708" s="715">
        <v>97511</v>
      </c>
    </row>
    <row r="1709" spans="2:3" x14ac:dyDescent="0.25">
      <c r="B1709" s="730" t="s">
        <v>3805</v>
      </c>
      <c r="C1709" s="715">
        <v>95002</v>
      </c>
    </row>
    <row r="1710" spans="2:3" x14ac:dyDescent="0.25">
      <c r="B1710" s="730" t="s">
        <v>2476</v>
      </c>
      <c r="C1710" s="715">
        <v>98251</v>
      </c>
    </row>
    <row r="1711" spans="2:3" x14ac:dyDescent="0.25">
      <c r="B1711" s="730" t="s">
        <v>3806</v>
      </c>
      <c r="C1711" s="715">
        <v>98904</v>
      </c>
    </row>
    <row r="1712" spans="2:3" x14ac:dyDescent="0.25">
      <c r="B1712" s="730" t="s">
        <v>1937</v>
      </c>
      <c r="C1712" s="715">
        <v>98901</v>
      </c>
    </row>
    <row r="1713" spans="2:3" x14ac:dyDescent="0.25">
      <c r="B1713" s="730" t="s">
        <v>1940</v>
      </c>
      <c r="C1713" s="715">
        <v>99001</v>
      </c>
    </row>
    <row r="1714" spans="2:3" x14ac:dyDescent="0.25">
      <c r="B1714" s="730" t="s">
        <v>2477</v>
      </c>
      <c r="C1714" s="715">
        <v>99061</v>
      </c>
    </row>
    <row r="1715" spans="2:3" x14ac:dyDescent="0.25">
      <c r="B1715" s="730" t="s">
        <v>3807</v>
      </c>
      <c r="C1715" s="715">
        <v>93309</v>
      </c>
    </row>
    <row r="1716" spans="2:3" x14ac:dyDescent="0.25">
      <c r="B1716" s="730" t="s">
        <v>2478</v>
      </c>
      <c r="C1716" s="715">
        <v>91211</v>
      </c>
    </row>
    <row r="1717" spans="2:3" x14ac:dyDescent="0.25">
      <c r="B1717" s="730" t="s">
        <v>1272</v>
      </c>
      <c r="C1717" s="715">
        <v>91213</v>
      </c>
    </row>
    <row r="1718" spans="2:3" x14ac:dyDescent="0.25">
      <c r="B1718" s="730" t="s">
        <v>1954</v>
      </c>
      <c r="C1718" s="715">
        <v>99101</v>
      </c>
    </row>
    <row r="1719" spans="2:3" x14ac:dyDescent="0.25">
      <c r="B1719" s="730" t="s">
        <v>3808</v>
      </c>
      <c r="C1719" s="715">
        <v>99104</v>
      </c>
    </row>
    <row r="1720" spans="2:3" x14ac:dyDescent="0.25">
      <c r="B1720" s="730" t="s">
        <v>2479</v>
      </c>
      <c r="C1720" s="715">
        <v>92551</v>
      </c>
    </row>
    <row r="1721" spans="2:3" x14ac:dyDescent="0.25">
      <c r="B1721" s="730" t="s">
        <v>2480</v>
      </c>
      <c r="C1721" s="715">
        <v>96321</v>
      </c>
    </row>
    <row r="1722" spans="2:3" x14ac:dyDescent="0.25">
      <c r="B1722" s="730" t="s">
        <v>3809</v>
      </c>
      <c r="C1722" s="715">
        <v>95009</v>
      </c>
    </row>
    <row r="1723" spans="2:3" x14ac:dyDescent="0.25">
      <c r="B1723" s="730" t="s">
        <v>2481</v>
      </c>
      <c r="C1723" s="715">
        <v>92641</v>
      </c>
    </row>
    <row r="1724" spans="2:3" x14ac:dyDescent="0.25">
      <c r="B1724" s="730" t="s">
        <v>2482</v>
      </c>
      <c r="C1724" s="715">
        <v>90411</v>
      </c>
    </row>
    <row r="1725" spans="2:3" x14ac:dyDescent="0.25">
      <c r="B1725" s="730" t="s">
        <v>3810</v>
      </c>
      <c r="C1725" s="715">
        <v>90417</v>
      </c>
    </row>
    <row r="1726" spans="2:3" x14ac:dyDescent="0.25">
      <c r="B1726" s="730" t="s">
        <v>1174</v>
      </c>
      <c r="C1726" s="715">
        <v>90413</v>
      </c>
    </row>
    <row r="1727" spans="2:3" x14ac:dyDescent="0.25">
      <c r="B1727" s="730" t="s">
        <v>2483</v>
      </c>
      <c r="C1727" s="715">
        <v>98321</v>
      </c>
    </row>
    <row r="1728" spans="2:3" x14ac:dyDescent="0.25">
      <c r="B1728" s="730" t="s">
        <v>1959</v>
      </c>
      <c r="C1728" s="715">
        <v>99201</v>
      </c>
    </row>
    <row r="1729" spans="2:3" x14ac:dyDescent="0.25">
      <c r="B1729" s="730" t="s">
        <v>3811</v>
      </c>
      <c r="C1729" s="715">
        <v>99204</v>
      </c>
    </row>
    <row r="1730" spans="2:3" x14ac:dyDescent="0.25">
      <c r="B1730" s="730" t="s">
        <v>1964</v>
      </c>
      <c r="C1730" s="715">
        <v>99207</v>
      </c>
    </row>
    <row r="1731" spans="2:3" x14ac:dyDescent="0.25">
      <c r="B1731" s="730" t="s">
        <v>2484</v>
      </c>
      <c r="C1731" s="715">
        <v>99281</v>
      </c>
    </row>
    <row r="1732" spans="2:3" x14ac:dyDescent="0.25">
      <c r="B1732" s="730" t="s">
        <v>2485</v>
      </c>
      <c r="C1732" s="715">
        <v>93461</v>
      </c>
    </row>
    <row r="1733" spans="2:3" x14ac:dyDescent="0.25">
      <c r="B1733" s="730" t="s">
        <v>2486</v>
      </c>
      <c r="C1733" s="715">
        <v>93151</v>
      </c>
    </row>
    <row r="1734" spans="2:3" x14ac:dyDescent="0.25">
      <c r="B1734" s="730" t="s">
        <v>3812</v>
      </c>
      <c r="C1734" s="715">
        <v>93157</v>
      </c>
    </row>
    <row r="1735" spans="2:3" x14ac:dyDescent="0.25">
      <c r="B1735" s="730" t="s">
        <v>2487</v>
      </c>
      <c r="C1735" s="715">
        <v>98511</v>
      </c>
    </row>
    <row r="1736" spans="2:3" x14ac:dyDescent="0.25">
      <c r="B1736" s="730" t="s">
        <v>3813</v>
      </c>
      <c r="C1736" s="715">
        <v>98517</v>
      </c>
    </row>
    <row r="1737" spans="2:3" x14ac:dyDescent="0.25">
      <c r="B1737" s="730" t="s">
        <v>2488</v>
      </c>
      <c r="C1737" s="715">
        <v>99661</v>
      </c>
    </row>
    <row r="1738" spans="2:3" x14ac:dyDescent="0.25">
      <c r="B1738" s="730" t="s">
        <v>2489</v>
      </c>
      <c r="C1738" s="715">
        <v>94031</v>
      </c>
    </row>
    <row r="1739" spans="2:3" x14ac:dyDescent="0.25">
      <c r="B1739" s="730" t="s">
        <v>1981</v>
      </c>
      <c r="C1739" s="715">
        <v>99301</v>
      </c>
    </row>
    <row r="1740" spans="2:3" x14ac:dyDescent="0.25">
      <c r="B1740" s="730" t="s">
        <v>3814</v>
      </c>
      <c r="C1740" s="715">
        <v>99304</v>
      </c>
    </row>
    <row r="1741" spans="2:3" x14ac:dyDescent="0.25">
      <c r="B1741" s="730" t="s">
        <v>2490</v>
      </c>
      <c r="C1741" s="715">
        <v>99321</v>
      </c>
    </row>
    <row r="1742" spans="2:3" x14ac:dyDescent="0.25">
      <c r="B1742" s="730" t="s">
        <v>2491</v>
      </c>
      <c r="C1742" s="715">
        <v>93131</v>
      </c>
    </row>
    <row r="1743" spans="2:3" x14ac:dyDescent="0.25">
      <c r="B1743" s="730" t="s">
        <v>3815</v>
      </c>
      <c r="C1743" s="715">
        <v>93137</v>
      </c>
    </row>
    <row r="1744" spans="2:3" x14ac:dyDescent="0.25">
      <c r="B1744" s="730" t="s">
        <v>2492</v>
      </c>
      <c r="C1744" s="715">
        <v>90711</v>
      </c>
    </row>
    <row r="1745" spans="2:3" x14ac:dyDescent="0.25">
      <c r="B1745" s="730" t="s">
        <v>1985</v>
      </c>
      <c r="C1745" s="715">
        <v>99401</v>
      </c>
    </row>
    <row r="1746" spans="2:3" x14ac:dyDescent="0.25">
      <c r="B1746" s="730" t="s">
        <v>3816</v>
      </c>
      <c r="C1746" s="715">
        <v>99404</v>
      </c>
    </row>
    <row r="1747" spans="2:3" x14ac:dyDescent="0.25">
      <c r="B1747" s="730" t="s">
        <v>2493</v>
      </c>
      <c r="C1747" s="715">
        <v>90741</v>
      </c>
    </row>
    <row r="1748" spans="2:3" x14ac:dyDescent="0.25">
      <c r="B1748" s="730" t="s">
        <v>1992</v>
      </c>
      <c r="C1748" s="715">
        <v>99501</v>
      </c>
    </row>
    <row r="1749" spans="2:3" x14ac:dyDescent="0.25">
      <c r="B1749" s="730" t="s">
        <v>3817</v>
      </c>
      <c r="C1749" s="715">
        <v>99509</v>
      </c>
    </row>
    <row r="1750" spans="2:3" x14ac:dyDescent="0.25">
      <c r="B1750" s="730" t="s">
        <v>3818</v>
      </c>
      <c r="C1750" s="715">
        <v>91302</v>
      </c>
    </row>
    <row r="1751" spans="2:3" x14ac:dyDescent="0.25">
      <c r="B1751" s="730" t="s">
        <v>2494</v>
      </c>
      <c r="C1751" s="715">
        <v>99041</v>
      </c>
    </row>
    <row r="1752" spans="2:3" x14ac:dyDescent="0.25">
      <c r="B1752" s="730" t="s">
        <v>3819</v>
      </c>
      <c r="C1752" s="715">
        <v>99047</v>
      </c>
    </row>
    <row r="1753" spans="2:3" x14ac:dyDescent="0.25">
      <c r="B1753" s="730" t="s">
        <v>2000</v>
      </c>
      <c r="C1753" s="715">
        <v>99601</v>
      </c>
    </row>
    <row r="1754" spans="2:3" x14ac:dyDescent="0.25">
      <c r="B1754" s="730" t="s">
        <v>3820</v>
      </c>
      <c r="C1754" s="715">
        <v>99604</v>
      </c>
    </row>
    <row r="1755" spans="2:3" x14ac:dyDescent="0.25">
      <c r="B1755" s="730" t="s">
        <v>2495</v>
      </c>
      <c r="C1755" s="715">
        <v>94411</v>
      </c>
    </row>
    <row r="1756" spans="2:3" x14ac:dyDescent="0.25">
      <c r="B1756" s="730" t="s">
        <v>3821</v>
      </c>
      <c r="C1756" s="715">
        <v>94412</v>
      </c>
    </row>
    <row r="1757" spans="2:3" x14ac:dyDescent="0.25">
      <c r="B1757" s="730" t="s">
        <v>2496</v>
      </c>
      <c r="C1757" s="715">
        <v>91141</v>
      </c>
    </row>
    <row r="1758" spans="2:3" x14ac:dyDescent="0.25">
      <c r="B1758" s="730" t="s">
        <v>3822</v>
      </c>
      <c r="C1758" s="715">
        <v>91147</v>
      </c>
    </row>
    <row r="1759" spans="2:3" x14ac:dyDescent="0.25">
      <c r="B1759" s="730" t="s">
        <v>2497</v>
      </c>
      <c r="C1759" s="715">
        <v>99071</v>
      </c>
    </row>
    <row r="1760" spans="2:3" x14ac:dyDescent="0.25">
      <c r="B1760" s="730" t="s">
        <v>2498</v>
      </c>
      <c r="C1760" s="715">
        <v>94231</v>
      </c>
    </row>
    <row r="1761" spans="2:3" x14ac:dyDescent="0.25">
      <c r="B1761" s="730" t="s">
        <v>2499</v>
      </c>
      <c r="C1761" s="715">
        <v>99231</v>
      </c>
    </row>
    <row r="1762" spans="2:3" x14ac:dyDescent="0.25">
      <c r="B1762" s="730" t="s">
        <v>2500</v>
      </c>
      <c r="C1762" s="715">
        <v>99091</v>
      </c>
    </row>
    <row r="1763" spans="2:3" x14ac:dyDescent="0.25">
      <c r="B1763" s="730" t="s">
        <v>3823</v>
      </c>
      <c r="C1763" s="715">
        <v>91120</v>
      </c>
    </row>
    <row r="1764" spans="2:3" x14ac:dyDescent="0.25">
      <c r="B1764" s="730" t="s">
        <v>3465</v>
      </c>
      <c r="C1764" s="715">
        <v>92444</v>
      </c>
    </row>
    <row r="1765" spans="2:3" x14ac:dyDescent="0.25">
      <c r="B1765" s="730" t="s">
        <v>2501</v>
      </c>
      <c r="C1765" s="715">
        <v>90521</v>
      </c>
    </row>
    <row r="1766" spans="2:3" x14ac:dyDescent="0.25">
      <c r="B1766" s="730" t="s">
        <v>3824</v>
      </c>
      <c r="C1766" s="715">
        <v>90507</v>
      </c>
    </row>
    <row r="1767" spans="2:3" x14ac:dyDescent="0.25">
      <c r="B1767" s="730" t="s">
        <v>3825</v>
      </c>
      <c r="C1767" s="715">
        <v>92602</v>
      </c>
    </row>
    <row r="1768" spans="2:3" x14ac:dyDescent="0.25">
      <c r="B1768" s="730" t="s">
        <v>3826</v>
      </c>
      <c r="C1768" s="715">
        <v>91608</v>
      </c>
    </row>
    <row r="1769" spans="2:3" x14ac:dyDescent="0.25">
      <c r="B1769" s="730" t="s">
        <v>2502</v>
      </c>
      <c r="C1769" s="715">
        <v>91119</v>
      </c>
    </row>
    <row r="1770" spans="2:3" x14ac:dyDescent="0.25">
      <c r="B1770" s="730" t="s">
        <v>3827</v>
      </c>
      <c r="C1770" s="715">
        <v>91107</v>
      </c>
    </row>
    <row r="1771" spans="2:3" x14ac:dyDescent="0.25">
      <c r="B1771" s="730" t="s">
        <v>3828</v>
      </c>
      <c r="C1771" s="715">
        <v>91818</v>
      </c>
    </row>
    <row r="1772" spans="2:3" x14ac:dyDescent="0.25">
      <c r="B1772" s="730" t="s">
        <v>1326</v>
      </c>
      <c r="C1772" s="715">
        <v>91819</v>
      </c>
    </row>
    <row r="1773" spans="2:3" x14ac:dyDescent="0.25">
      <c r="B1773" s="730" t="s">
        <v>2503</v>
      </c>
      <c r="C1773" s="715">
        <v>96371</v>
      </c>
    </row>
    <row r="1774" spans="2:3" x14ac:dyDescent="0.25">
      <c r="B1774" s="730" t="s">
        <v>2504</v>
      </c>
      <c r="C1774" s="715">
        <v>96441</v>
      </c>
    </row>
    <row r="1775" spans="2:3" x14ac:dyDescent="0.25">
      <c r="B1775" s="730" t="s">
        <v>2505</v>
      </c>
      <c r="C1775" s="715">
        <v>90921</v>
      </c>
    </row>
    <row r="1776" spans="2:3" x14ac:dyDescent="0.25">
      <c r="B1776" s="730" t="s">
        <v>2506</v>
      </c>
      <c r="C1776" s="715">
        <v>92411</v>
      </c>
    </row>
    <row r="1777" spans="2:3" x14ac:dyDescent="0.25">
      <c r="B1777" s="730" t="s">
        <v>3829</v>
      </c>
      <c r="C1777" s="715">
        <v>92417</v>
      </c>
    </row>
    <row r="1778" spans="2:3" x14ac:dyDescent="0.25">
      <c r="B1778" s="730" t="s">
        <v>1362</v>
      </c>
      <c r="C1778" s="715">
        <v>92403</v>
      </c>
    </row>
    <row r="1779" spans="2:3" x14ac:dyDescent="0.25">
      <c r="B1779" s="730" t="s">
        <v>2013</v>
      </c>
      <c r="C1779" s="715">
        <v>99701</v>
      </c>
    </row>
    <row r="1780" spans="2:3" x14ac:dyDescent="0.25">
      <c r="B1780" s="730" t="s">
        <v>2507</v>
      </c>
      <c r="C1780" s="715">
        <v>99721</v>
      </c>
    </row>
    <row r="1781" spans="2:3" x14ac:dyDescent="0.25">
      <c r="B1781" s="730" t="s">
        <v>3830</v>
      </c>
      <c r="C1781" s="715">
        <v>99727</v>
      </c>
    </row>
    <row r="1782" spans="2:3" x14ac:dyDescent="0.25">
      <c r="B1782" s="730" t="s">
        <v>2508</v>
      </c>
      <c r="C1782" s="715">
        <v>95811</v>
      </c>
    </row>
    <row r="1783" spans="2:3" x14ac:dyDescent="0.25">
      <c r="B1783" s="730" t="s">
        <v>1662</v>
      </c>
      <c r="C1783" s="715">
        <v>95813</v>
      </c>
    </row>
    <row r="1784" spans="2:3" x14ac:dyDescent="0.25">
      <c r="B1784" s="730" t="s">
        <v>2509</v>
      </c>
      <c r="C1784" s="715">
        <v>96531</v>
      </c>
    </row>
    <row r="1785" spans="2:3" x14ac:dyDescent="0.25">
      <c r="B1785" s="730" t="s">
        <v>1726</v>
      </c>
      <c r="C1785" s="715">
        <v>96503</v>
      </c>
    </row>
    <row r="1786" spans="2:3" x14ac:dyDescent="0.25">
      <c r="B1786" s="730" t="s">
        <v>2510</v>
      </c>
      <c r="C1786" s="715">
        <v>99811</v>
      </c>
    </row>
    <row r="1787" spans="2:3" x14ac:dyDescent="0.25">
      <c r="B1787" s="730" t="s">
        <v>3831</v>
      </c>
      <c r="C1787" s="715">
        <v>99818</v>
      </c>
    </row>
    <row r="1788" spans="2:3" x14ac:dyDescent="0.25">
      <c r="B1788" s="730" t="s">
        <v>2019</v>
      </c>
      <c r="C1788" s="715">
        <v>99801</v>
      </c>
    </row>
    <row r="1789" spans="2:3" x14ac:dyDescent="0.25">
      <c r="B1789" s="730" t="s">
        <v>3832</v>
      </c>
      <c r="C1789" s="715">
        <v>99804</v>
      </c>
    </row>
    <row r="1790" spans="2:3" x14ac:dyDescent="0.25">
      <c r="B1790" s="730" t="s">
        <v>3833</v>
      </c>
      <c r="C1790" s="715">
        <v>99802</v>
      </c>
    </row>
    <row r="1791" spans="2:3" x14ac:dyDescent="0.25">
      <c r="B1791" s="730" t="s">
        <v>3834</v>
      </c>
      <c r="C1791" s="715">
        <v>99812</v>
      </c>
    </row>
    <row r="1792" spans="2:3" x14ac:dyDescent="0.25">
      <c r="B1792" s="730" t="s">
        <v>3835</v>
      </c>
      <c r="C1792" s="715">
        <v>95191</v>
      </c>
    </row>
    <row r="1793" spans="2:3" x14ac:dyDescent="0.25">
      <c r="B1793" s="730" t="s">
        <v>2512</v>
      </c>
      <c r="C1793" s="715">
        <v>90812</v>
      </c>
    </row>
    <row r="1794" spans="2:3" x14ac:dyDescent="0.25">
      <c r="B1794" s="730" t="s">
        <v>2513</v>
      </c>
      <c r="C1794" s="715">
        <v>97221</v>
      </c>
    </row>
    <row r="1795" spans="2:3" x14ac:dyDescent="0.25">
      <c r="B1795" s="730" t="s">
        <v>2514</v>
      </c>
      <c r="C1795" s="715">
        <v>99031</v>
      </c>
    </row>
    <row r="1796" spans="2:3" x14ac:dyDescent="0.25">
      <c r="B1796" s="730" t="s">
        <v>2515</v>
      </c>
      <c r="C1796" s="715">
        <v>93411</v>
      </c>
    </row>
    <row r="1797" spans="2:3" x14ac:dyDescent="0.25">
      <c r="B1797" s="730" t="s">
        <v>1465</v>
      </c>
      <c r="C1797" s="715">
        <v>93413</v>
      </c>
    </row>
    <row r="1798" spans="2:3" x14ac:dyDescent="0.25">
      <c r="B1798" s="730" t="s">
        <v>2516</v>
      </c>
      <c r="C1798" s="715">
        <v>97451</v>
      </c>
    </row>
    <row r="1799" spans="2:3" x14ac:dyDescent="0.25">
      <c r="B1799" s="730" t="s">
        <v>2517</v>
      </c>
      <c r="C1799" s="715">
        <v>94631</v>
      </c>
    </row>
    <row r="1800" spans="2:3" x14ac:dyDescent="0.25">
      <c r="B1800" s="730" t="s">
        <v>2518</v>
      </c>
      <c r="C1800" s="715">
        <v>91171</v>
      </c>
    </row>
    <row r="1801" spans="2:3" x14ac:dyDescent="0.25">
      <c r="B1801" s="730" t="s">
        <v>1249</v>
      </c>
      <c r="C1801" s="715">
        <v>91104</v>
      </c>
    </row>
    <row r="1802" spans="2:3" x14ac:dyDescent="0.25">
      <c r="B1802" s="730" t="s">
        <v>3836</v>
      </c>
      <c r="C1802" s="715">
        <v>91109</v>
      </c>
    </row>
    <row r="1803" spans="2:3" x14ac:dyDescent="0.25">
      <c r="B1803" s="730" t="s">
        <v>2519</v>
      </c>
      <c r="C1803" s="715">
        <v>96621</v>
      </c>
    </row>
    <row r="1804" spans="2:3" x14ac:dyDescent="0.25">
      <c r="B1804" s="730" t="s">
        <v>2520</v>
      </c>
      <c r="C1804" s="715">
        <v>96511</v>
      </c>
    </row>
    <row r="1805" spans="2:3" x14ac:dyDescent="0.25">
      <c r="B1805" s="730" t="s">
        <v>2029</v>
      </c>
      <c r="C1805" s="715">
        <v>99901</v>
      </c>
    </row>
    <row r="1806" spans="2:3" x14ac:dyDescent="0.25">
      <c r="B1806" s="730" t="s">
        <v>3466</v>
      </c>
      <c r="C1806" s="715">
        <v>98604</v>
      </c>
    </row>
    <row r="1807" spans="2:3" x14ac:dyDescent="0.25">
      <c r="B1807" s="730" t="s">
        <v>1923</v>
      </c>
      <c r="C1807" s="715">
        <v>98608</v>
      </c>
    </row>
    <row r="1808" spans="2:3" x14ac:dyDescent="0.25">
      <c r="B1808" s="730" t="s">
        <v>2521</v>
      </c>
      <c r="C1808" s="715">
        <v>99911</v>
      </c>
    </row>
    <row r="1809" spans="2:3" x14ac:dyDescent="0.25">
      <c r="B1809" s="730" t="s">
        <v>1148</v>
      </c>
      <c r="C1809" s="715">
        <v>90001</v>
      </c>
    </row>
    <row r="1810" spans="2:3" x14ac:dyDescent="0.25">
      <c r="B1810" s="730" t="s">
        <v>3837</v>
      </c>
      <c r="C1810" s="715">
        <v>90002</v>
      </c>
    </row>
    <row r="1811" spans="2:3" x14ac:dyDescent="0.25">
      <c r="B1811" s="730" t="s">
        <v>2522</v>
      </c>
      <c r="C1811" s="715">
        <v>91719</v>
      </c>
    </row>
    <row r="1812" spans="2:3" x14ac:dyDescent="0.25">
      <c r="B1812" s="730" t="s">
        <v>2523</v>
      </c>
      <c r="C1812" s="715">
        <v>93541</v>
      </c>
    </row>
    <row r="1813" spans="2:3" x14ac:dyDescent="0.25">
      <c r="B1813" s="730" t="s">
        <v>2524</v>
      </c>
      <c r="C1813" s="715">
        <v>99241</v>
      </c>
    </row>
  </sheetData>
  <pageMargins left="0.7" right="0.7" top="0.75" bottom="0.75" header="0.3" footer="0.3"/>
  <pageSetup paperSize="5" scale="50" fitToHeight="0"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2:V144"/>
  <sheetViews>
    <sheetView workbookViewId="0">
      <selection activeCell="C13" sqref="C13"/>
    </sheetView>
  </sheetViews>
  <sheetFormatPr defaultRowHeight="12.75" x14ac:dyDescent="0.2"/>
  <cols>
    <col min="1" max="1" width="11.85546875" customWidth="1"/>
    <col min="2" max="2" width="45.42578125" customWidth="1"/>
    <col min="3" max="3" width="25.140625" customWidth="1"/>
    <col min="4" max="4" width="23.5703125" customWidth="1"/>
    <col min="5" max="5" width="18.28515625" customWidth="1"/>
    <col min="6" max="6" width="25.42578125" customWidth="1"/>
    <col min="7" max="7" width="18.28515625" customWidth="1"/>
    <col min="8" max="8" width="20" customWidth="1"/>
    <col min="9" max="9" width="32.85546875" customWidth="1"/>
    <col min="10" max="10" width="19.42578125" customWidth="1"/>
    <col min="11" max="11" width="23" customWidth="1"/>
    <col min="12" max="12" width="18.28515625" customWidth="1"/>
    <col min="13" max="13" width="20" customWidth="1"/>
    <col min="14" max="14" width="16.28515625" customWidth="1"/>
    <col min="15" max="15" width="19.42578125" customWidth="1"/>
    <col min="16" max="16" width="28.140625" customWidth="1"/>
    <col min="17" max="17" width="13.85546875" customWidth="1"/>
    <col min="18" max="18" width="22.42578125" customWidth="1"/>
    <col min="19" max="19" width="5.7109375" customWidth="1"/>
    <col min="20" max="20" width="13.5703125" customWidth="1"/>
    <col min="21" max="21" width="26.85546875" customWidth="1"/>
    <col min="22" max="22" width="16.7109375" customWidth="1"/>
  </cols>
  <sheetData>
    <row r="2" spans="1:18" ht="38.25" customHeight="1" x14ac:dyDescent="0.25">
      <c r="A2" s="1095" t="s">
        <v>2045</v>
      </c>
      <c r="B2" s="1096"/>
      <c r="C2" s="1097"/>
    </row>
    <row r="3" spans="1:18" x14ac:dyDescent="0.2">
      <c r="E3" s="5"/>
    </row>
    <row r="4" spans="1:18" x14ac:dyDescent="0.2">
      <c r="E4" s="558"/>
    </row>
    <row r="5" spans="1:18" ht="64.5" customHeight="1" x14ac:dyDescent="0.2">
      <c r="A5" s="1105" t="s">
        <v>3518</v>
      </c>
      <c r="B5" s="1105"/>
      <c r="C5" s="1105"/>
    </row>
    <row r="11" spans="1:18" x14ac:dyDescent="0.2">
      <c r="A11" s="559" t="s">
        <v>860</v>
      </c>
      <c r="B11" s="560" t="s">
        <v>3527</v>
      </c>
      <c r="C11" s="560"/>
      <c r="D11" s="560"/>
    </row>
    <row r="13" spans="1:18" x14ac:dyDescent="0.2">
      <c r="B13" s="214" t="s">
        <v>2037</v>
      </c>
      <c r="C13" s="674" t="s">
        <v>2097</v>
      </c>
      <c r="R13">
        <f>59675+10963</f>
        <v>70638</v>
      </c>
    </row>
    <row r="14" spans="1:18" x14ac:dyDescent="0.2">
      <c r="C14" s="415"/>
    </row>
    <row r="15" spans="1:18" x14ac:dyDescent="0.2">
      <c r="B15" t="s">
        <v>2535</v>
      </c>
      <c r="C15" s="673"/>
    </row>
    <row r="16" spans="1:18" x14ac:dyDescent="0.2">
      <c r="C16" s="415"/>
    </row>
    <row r="17" spans="1:22" ht="50.25" customHeight="1" x14ac:dyDescent="0.2">
      <c r="B17" s="640" t="s">
        <v>4851</v>
      </c>
      <c r="C17" s="675"/>
    </row>
    <row r="18" spans="1:22" x14ac:dyDescent="0.2">
      <c r="C18" s="415"/>
    </row>
    <row r="21" spans="1:22" hidden="1" x14ac:dyDescent="0.2">
      <c r="C21">
        <v>3</v>
      </c>
      <c r="D21">
        <v>4</v>
      </c>
      <c r="F21">
        <v>5</v>
      </c>
      <c r="G21">
        <v>6</v>
      </c>
      <c r="H21">
        <v>7</v>
      </c>
      <c r="I21">
        <v>8</v>
      </c>
      <c r="J21">
        <v>9</v>
      </c>
      <c r="K21">
        <v>10</v>
      </c>
      <c r="L21">
        <v>11</v>
      </c>
      <c r="M21">
        <v>12</v>
      </c>
      <c r="N21">
        <v>13</v>
      </c>
      <c r="O21">
        <v>14</v>
      </c>
      <c r="P21">
        <v>15</v>
      </c>
      <c r="Q21">
        <v>16</v>
      </c>
      <c r="R21">
        <v>17</v>
      </c>
      <c r="S21">
        <v>18</v>
      </c>
      <c r="T21">
        <v>19</v>
      </c>
      <c r="U21">
        <v>20</v>
      </c>
      <c r="V21">
        <v>21</v>
      </c>
    </row>
    <row r="22" spans="1:22" ht="15" x14ac:dyDescent="0.25">
      <c r="J22" s="555" t="s">
        <v>1131</v>
      </c>
      <c r="K22" s="555"/>
      <c r="L22" s="555"/>
      <c r="M22" s="555"/>
      <c r="O22" s="555" t="s">
        <v>1132</v>
      </c>
      <c r="P22" s="555"/>
      <c r="Q22" s="555"/>
      <c r="R22" s="555"/>
      <c r="T22" s="555" t="s">
        <v>1133</v>
      </c>
      <c r="U22" s="555"/>
      <c r="V22" s="555"/>
    </row>
    <row r="23" spans="1:22" ht="105" x14ac:dyDescent="0.25">
      <c r="A23" s="556" t="s">
        <v>1130</v>
      </c>
      <c r="B23" s="556" t="s">
        <v>1134</v>
      </c>
      <c r="C23" s="556" t="s">
        <v>2090</v>
      </c>
      <c r="D23" s="556" t="s">
        <v>2091</v>
      </c>
      <c r="E23" s="556" t="s">
        <v>2527</v>
      </c>
      <c r="F23" s="556" t="s">
        <v>2528</v>
      </c>
      <c r="G23" s="556" t="s">
        <v>2529</v>
      </c>
      <c r="H23" s="556" t="s">
        <v>2530</v>
      </c>
      <c r="I23" s="556"/>
      <c r="J23" s="556" t="s">
        <v>1136</v>
      </c>
      <c r="K23" s="556" t="s">
        <v>1137</v>
      </c>
      <c r="L23" s="556" t="s">
        <v>1138</v>
      </c>
      <c r="M23" s="556" t="s">
        <v>1139</v>
      </c>
      <c r="N23" s="556"/>
      <c r="O23" s="556" t="s">
        <v>1136</v>
      </c>
      <c r="P23" s="556" t="s">
        <v>1137</v>
      </c>
      <c r="Q23" s="556" t="s">
        <v>1138</v>
      </c>
      <c r="R23" s="556" t="s">
        <v>1139</v>
      </c>
      <c r="S23" s="556"/>
      <c r="T23" s="556" t="s">
        <v>1140</v>
      </c>
      <c r="U23" s="556" t="s">
        <v>1141</v>
      </c>
      <c r="V23" s="556" t="s">
        <v>2531</v>
      </c>
    </row>
    <row r="24" spans="1:22" ht="15" x14ac:dyDescent="0.25">
      <c r="A24" s="556"/>
      <c r="B24" s="556"/>
      <c r="C24" s="556"/>
      <c r="D24" s="556"/>
      <c r="E24" s="556"/>
      <c r="F24" s="556"/>
      <c r="G24" s="556"/>
      <c r="H24" s="556"/>
      <c r="I24" s="556"/>
      <c r="J24" s="556"/>
      <c r="K24" s="556"/>
      <c r="L24" s="556"/>
      <c r="M24" s="556"/>
      <c r="N24" s="556"/>
      <c r="O24" s="556"/>
      <c r="P24" s="556"/>
      <c r="Q24" s="556"/>
      <c r="R24" s="556"/>
      <c r="S24" s="556"/>
      <c r="T24" s="556"/>
      <c r="U24" s="556"/>
      <c r="V24" s="556"/>
    </row>
    <row r="25" spans="1:22" ht="30" x14ac:dyDescent="0.25">
      <c r="A25" s="556" t="s">
        <v>2532</v>
      </c>
      <c r="B25" s="556"/>
      <c r="C25" s="556"/>
      <c r="D25" s="556"/>
      <c r="E25" s="556"/>
      <c r="F25" s="556"/>
      <c r="G25" s="556"/>
      <c r="H25" s="556"/>
      <c r="I25" s="556"/>
      <c r="J25" s="556"/>
      <c r="K25" s="556"/>
      <c r="L25" s="556"/>
      <c r="M25" s="556"/>
      <c r="N25" s="556"/>
      <c r="O25" s="556"/>
      <c r="P25" s="556"/>
      <c r="Q25" s="556"/>
      <c r="R25" s="556"/>
      <c r="S25" s="556"/>
      <c r="T25" s="556"/>
      <c r="U25" s="556"/>
      <c r="V25" s="556"/>
    </row>
    <row r="26" spans="1:22" ht="63.75" x14ac:dyDescent="0.2">
      <c r="A26" s="55">
        <f>VLOOKUP(C13,'N.1a 2019 summary'!$B$927:$C$1839,2,FALSE)</f>
        <v>96331</v>
      </c>
      <c r="B26" t="str">
        <f>C13</f>
        <v>Aberdeen</v>
      </c>
      <c r="C26" s="863" t="s">
        <v>4873</v>
      </c>
      <c r="D26" s="863" t="s">
        <v>4873</v>
      </c>
      <c r="E26" s="863" t="s">
        <v>4873</v>
      </c>
      <c r="F26" s="866" t="s">
        <v>4873</v>
      </c>
      <c r="G26" s="866" t="s">
        <v>4873</v>
      </c>
      <c r="H26" s="866" t="s">
        <v>4873</v>
      </c>
      <c r="I26" s="557"/>
      <c r="J26" s="866" t="s">
        <v>4873</v>
      </c>
      <c r="K26" s="866" t="s">
        <v>4873</v>
      </c>
      <c r="L26" s="866" t="s">
        <v>4873</v>
      </c>
      <c r="M26" s="866" t="s">
        <v>4873</v>
      </c>
      <c r="N26" s="557"/>
      <c r="O26" s="866" t="s">
        <v>4873</v>
      </c>
      <c r="P26" s="866" t="s">
        <v>4873</v>
      </c>
      <c r="Q26" s="866" t="s">
        <v>4873</v>
      </c>
      <c r="R26" s="866" t="s">
        <v>4873</v>
      </c>
      <c r="S26" s="557"/>
      <c r="T26" s="866" t="s">
        <v>4873</v>
      </c>
      <c r="U26" s="866" t="s">
        <v>4873</v>
      </c>
      <c r="V26" s="866" t="s">
        <v>4873</v>
      </c>
    </row>
    <row r="27" spans="1:22" ht="15" x14ac:dyDescent="0.25">
      <c r="A27" s="556"/>
      <c r="B27" s="556"/>
      <c r="C27" s="556"/>
      <c r="D27" s="556"/>
      <c r="E27" s="556"/>
      <c r="F27" s="867"/>
      <c r="G27" s="867"/>
      <c r="H27" s="867"/>
      <c r="I27" s="867"/>
      <c r="J27" s="867"/>
      <c r="K27" s="867"/>
      <c r="L27" s="867"/>
      <c r="M27" s="867"/>
      <c r="N27" s="867"/>
      <c r="O27" s="867"/>
      <c r="P27" s="869"/>
      <c r="Q27" s="867"/>
      <c r="R27" s="867"/>
      <c r="S27" s="867"/>
      <c r="T27" s="867"/>
      <c r="U27" s="867"/>
      <c r="V27" s="867"/>
    </row>
    <row r="28" spans="1:22" ht="63.75" x14ac:dyDescent="0.2">
      <c r="A28" s="55" t="e">
        <f>VLOOKUP(C15,'N.1a 2019 summary'!$B$927:$C$1839,2,FALSE)</f>
        <v>#N/A</v>
      </c>
      <c r="B28" s="636">
        <f>C15</f>
        <v>0</v>
      </c>
      <c r="C28" s="863" t="s">
        <v>4873</v>
      </c>
      <c r="D28" s="863" t="s">
        <v>4873</v>
      </c>
      <c r="E28" s="863" t="s">
        <v>4873</v>
      </c>
      <c r="F28" s="866" t="s">
        <v>4873</v>
      </c>
      <c r="G28" s="866" t="s">
        <v>4873</v>
      </c>
      <c r="H28" s="866" t="s">
        <v>4873</v>
      </c>
      <c r="I28" s="557"/>
      <c r="J28" s="866" t="s">
        <v>4873</v>
      </c>
      <c r="K28" s="866" t="s">
        <v>4873</v>
      </c>
      <c r="L28" s="866" t="s">
        <v>4873</v>
      </c>
      <c r="M28" s="866" t="s">
        <v>4873</v>
      </c>
      <c r="N28" s="557"/>
      <c r="O28" s="866" t="s">
        <v>4873</v>
      </c>
      <c r="P28" s="866" t="s">
        <v>4873</v>
      </c>
      <c r="Q28" s="866" t="s">
        <v>4873</v>
      </c>
      <c r="R28" s="866" t="s">
        <v>4873</v>
      </c>
      <c r="S28" s="557"/>
      <c r="T28" s="866" t="s">
        <v>4873</v>
      </c>
      <c r="U28" s="866" t="s">
        <v>4873</v>
      </c>
      <c r="V28" s="866" t="s">
        <v>4873</v>
      </c>
    </row>
    <row r="29" spans="1:22" ht="15" x14ac:dyDescent="0.25">
      <c r="A29" s="556"/>
      <c r="B29" s="556"/>
      <c r="C29" s="556"/>
      <c r="D29" s="556"/>
      <c r="E29" s="556"/>
      <c r="F29" s="867"/>
      <c r="G29" s="867"/>
      <c r="H29" s="867"/>
      <c r="I29" s="867"/>
      <c r="J29" s="867"/>
      <c r="K29" s="867"/>
      <c r="L29" s="867"/>
      <c r="M29" s="867"/>
      <c r="N29" s="867"/>
      <c r="O29" s="867"/>
      <c r="P29" s="869"/>
      <c r="Q29" s="867"/>
      <c r="R29" s="867"/>
      <c r="S29" s="867"/>
      <c r="T29" s="867"/>
      <c r="U29" s="867"/>
      <c r="V29" s="867"/>
    </row>
    <row r="30" spans="1:22" x14ac:dyDescent="0.2">
      <c r="B30" t="s">
        <v>2533</v>
      </c>
      <c r="C30" s="635" t="e">
        <f>C26+C28</f>
        <v>#VALUE!</v>
      </c>
      <c r="D30" s="635" t="e">
        <f>D26+D28</f>
        <v>#VALUE!</v>
      </c>
      <c r="E30" s="635" t="e">
        <f>C30-D30</f>
        <v>#VALUE!</v>
      </c>
      <c r="F30" s="557" t="e">
        <f>F26+F28</f>
        <v>#VALUE!</v>
      </c>
      <c r="G30" s="557" t="e">
        <f>G26+G28</f>
        <v>#VALUE!</v>
      </c>
      <c r="H30" s="557" t="e">
        <f>H26+H28</f>
        <v>#VALUE!</v>
      </c>
      <c r="I30" s="557"/>
      <c r="J30" s="557" t="e">
        <f>J26+J28</f>
        <v>#VALUE!</v>
      </c>
      <c r="K30" s="557" t="e">
        <f>K26+K28</f>
        <v>#VALUE!</v>
      </c>
      <c r="L30" s="557" t="e">
        <f>L26+L28</f>
        <v>#VALUE!</v>
      </c>
      <c r="M30" s="557" t="e">
        <f>M26+M28</f>
        <v>#VALUE!</v>
      </c>
      <c r="N30" s="557"/>
      <c r="O30" s="557" t="e">
        <f>O26+O28</f>
        <v>#VALUE!</v>
      </c>
      <c r="P30" s="870" t="s">
        <v>480</v>
      </c>
      <c r="Q30" s="557" t="e">
        <f>Q26+Q28</f>
        <v>#VALUE!</v>
      </c>
      <c r="R30" s="557" t="e">
        <f>R26+R28</f>
        <v>#VALUE!</v>
      </c>
      <c r="S30" s="557"/>
      <c r="T30" s="557" t="e">
        <f>T26+T28</f>
        <v>#VALUE!</v>
      </c>
      <c r="U30" s="557" t="e">
        <f>U26+U28</f>
        <v>#VALUE!</v>
      </c>
      <c r="V30" s="557" t="e">
        <f>V26+V28</f>
        <v>#VALUE!</v>
      </c>
    </row>
    <row r="31" spans="1:22" x14ac:dyDescent="0.2">
      <c r="F31" s="557"/>
      <c r="G31" s="868"/>
      <c r="H31" s="557"/>
      <c r="I31" s="557"/>
      <c r="J31" s="557"/>
      <c r="K31" s="557"/>
      <c r="L31" s="557"/>
      <c r="M31" s="557"/>
      <c r="N31" s="557"/>
      <c r="O31" s="557"/>
      <c r="P31" s="557"/>
      <c r="Q31" s="557"/>
      <c r="R31" s="557"/>
      <c r="S31" s="557"/>
      <c r="T31" s="557"/>
      <c r="U31" s="557"/>
      <c r="V31" s="557"/>
    </row>
    <row r="32" spans="1:22" ht="63.75" x14ac:dyDescent="0.2">
      <c r="A32" s="31"/>
      <c r="B32" t="s">
        <v>4876</v>
      </c>
      <c r="F32" s="866" t="s">
        <v>4873</v>
      </c>
      <c r="G32" s="866" t="s">
        <v>4873</v>
      </c>
      <c r="H32" s="866" t="s">
        <v>4873</v>
      </c>
      <c r="I32" s="557"/>
      <c r="J32" s="866" t="s">
        <v>4873</v>
      </c>
      <c r="K32" s="866" t="s">
        <v>4873</v>
      </c>
      <c r="L32" s="866" t="s">
        <v>4873</v>
      </c>
      <c r="M32" s="866" t="s">
        <v>4873</v>
      </c>
      <c r="N32" s="557"/>
      <c r="O32" s="866" t="s">
        <v>4873</v>
      </c>
      <c r="P32" s="866" t="s">
        <v>4873</v>
      </c>
      <c r="Q32" s="866" t="s">
        <v>4873</v>
      </c>
      <c r="R32" s="866" t="s">
        <v>4873</v>
      </c>
      <c r="S32" s="557"/>
      <c r="T32" s="866" t="s">
        <v>4873</v>
      </c>
      <c r="U32" s="866" t="s">
        <v>4873</v>
      </c>
      <c r="V32" s="866" t="s">
        <v>4873</v>
      </c>
    </row>
    <row r="33" spans="1:22" x14ac:dyDescent="0.2">
      <c r="A33" s="31"/>
      <c r="F33" s="557"/>
      <c r="G33" s="557"/>
      <c r="H33" s="557"/>
      <c r="I33" s="557"/>
      <c r="J33" s="557"/>
      <c r="K33" s="557"/>
      <c r="L33" s="557"/>
      <c r="M33" s="557"/>
      <c r="N33" s="557"/>
      <c r="O33" s="557"/>
      <c r="P33" s="557"/>
      <c r="Q33" s="557"/>
      <c r="R33" s="557"/>
      <c r="S33" s="557"/>
      <c r="T33" s="557"/>
      <c r="U33" s="557"/>
      <c r="V33" s="557"/>
    </row>
    <row r="34" spans="1:22" ht="15" x14ac:dyDescent="0.25">
      <c r="A34" s="637" t="s">
        <v>2534</v>
      </c>
      <c r="F34" s="557"/>
      <c r="G34" s="557"/>
      <c r="H34" s="557"/>
      <c r="I34" s="557"/>
      <c r="J34" s="557"/>
      <c r="K34" s="557"/>
      <c r="L34" s="557"/>
      <c r="M34" s="557"/>
      <c r="N34" s="557"/>
      <c r="O34" s="557"/>
      <c r="P34" s="557"/>
      <c r="Q34" s="557"/>
      <c r="R34" s="557"/>
      <c r="S34" s="557"/>
      <c r="T34" s="557"/>
      <c r="U34" s="557"/>
      <c r="V34" s="557"/>
    </row>
    <row r="35" spans="1:22" ht="63.75" x14ac:dyDescent="0.2">
      <c r="A35" s="55">
        <f>VLOOKUP(C13,'N.1a 2019 summary'!$B$927:$C$1839,2,FALSE)</f>
        <v>96331</v>
      </c>
      <c r="B35" t="str">
        <f>C13</f>
        <v>Aberdeen</v>
      </c>
      <c r="C35" s="863" t="s">
        <v>4873</v>
      </c>
      <c r="D35" s="863" t="s">
        <v>4873</v>
      </c>
      <c r="E35" s="863" t="s">
        <v>4873</v>
      </c>
      <c r="F35" s="866" t="s">
        <v>4873</v>
      </c>
      <c r="G35" s="866" t="s">
        <v>4873</v>
      </c>
      <c r="H35" s="866" t="s">
        <v>4873</v>
      </c>
      <c r="I35" s="557"/>
      <c r="J35" s="866" t="s">
        <v>4873</v>
      </c>
      <c r="K35" s="866" t="s">
        <v>4873</v>
      </c>
      <c r="L35" s="866" t="s">
        <v>4873</v>
      </c>
      <c r="M35" s="866" t="s">
        <v>4873</v>
      </c>
      <c r="N35" s="557"/>
      <c r="O35" s="866" t="s">
        <v>4873</v>
      </c>
      <c r="P35" s="866" t="s">
        <v>4873</v>
      </c>
      <c r="Q35" s="866" t="s">
        <v>4873</v>
      </c>
      <c r="R35" s="866" t="s">
        <v>4873</v>
      </c>
      <c r="S35" s="557"/>
      <c r="T35" s="866" t="s">
        <v>4873</v>
      </c>
      <c r="U35" s="866" t="s">
        <v>4873</v>
      </c>
      <c r="V35" s="866" t="s">
        <v>4873</v>
      </c>
    </row>
    <row r="36" spans="1:22" ht="15" x14ac:dyDescent="0.25">
      <c r="A36" s="31"/>
      <c r="C36" s="556"/>
      <c r="D36" s="556"/>
      <c r="E36" s="556"/>
      <c r="F36" s="867"/>
      <c r="G36" s="867"/>
      <c r="H36" s="867"/>
      <c r="I36" s="867"/>
      <c r="J36" s="867"/>
      <c r="K36" s="867"/>
      <c r="L36" s="867"/>
      <c r="M36" s="867"/>
      <c r="N36" s="867"/>
      <c r="O36" s="867"/>
      <c r="P36" s="869"/>
      <c r="Q36" s="867"/>
      <c r="R36" s="867"/>
      <c r="S36" s="867"/>
      <c r="T36" s="867"/>
      <c r="U36" s="867"/>
      <c r="V36" s="867"/>
    </row>
    <row r="37" spans="1:22" ht="63.75" x14ac:dyDescent="0.2">
      <c r="A37" s="55" t="e">
        <f>VLOOKUP(C15,'N.1a 2019 summary'!$B$927:$C$1839,2,FALSE)</f>
        <v>#N/A</v>
      </c>
      <c r="B37" s="638">
        <f>C15</f>
        <v>0</v>
      </c>
      <c r="C37" s="863" t="s">
        <v>4873</v>
      </c>
      <c r="D37" s="863" t="s">
        <v>4873</v>
      </c>
      <c r="E37" s="863" t="s">
        <v>4873</v>
      </c>
      <c r="F37" s="866" t="s">
        <v>4873</v>
      </c>
      <c r="G37" s="866" t="s">
        <v>4873</v>
      </c>
      <c r="H37" s="866" t="s">
        <v>4873</v>
      </c>
      <c r="I37" s="557"/>
      <c r="J37" s="866" t="s">
        <v>4873</v>
      </c>
      <c r="K37" s="866" t="s">
        <v>4873</v>
      </c>
      <c r="L37" s="866" t="s">
        <v>4873</v>
      </c>
      <c r="M37" s="866" t="s">
        <v>4873</v>
      </c>
      <c r="N37" s="557"/>
      <c r="O37" s="866" t="s">
        <v>4873</v>
      </c>
      <c r="P37" s="866" t="s">
        <v>4873</v>
      </c>
      <c r="Q37" s="866" t="s">
        <v>4873</v>
      </c>
      <c r="R37" s="866" t="s">
        <v>4873</v>
      </c>
      <c r="S37" s="557"/>
      <c r="T37" s="866" t="s">
        <v>4873</v>
      </c>
      <c r="U37" s="866" t="s">
        <v>4873</v>
      </c>
      <c r="V37" s="866" t="s">
        <v>4873</v>
      </c>
    </row>
    <row r="38" spans="1:22" ht="15" x14ac:dyDescent="0.25">
      <c r="A38" s="637"/>
      <c r="C38" s="556"/>
      <c r="D38" s="556"/>
      <c r="E38" s="556"/>
      <c r="F38" s="867"/>
      <c r="G38" s="867"/>
      <c r="H38" s="867"/>
      <c r="I38" s="867"/>
      <c r="J38" s="867"/>
      <c r="K38" s="867"/>
      <c r="L38" s="867"/>
      <c r="M38" s="867"/>
      <c r="N38" s="867"/>
      <c r="O38" s="867"/>
      <c r="P38" s="869"/>
      <c r="Q38" s="867"/>
      <c r="R38" s="867"/>
      <c r="S38" s="867"/>
      <c r="T38" s="867"/>
      <c r="U38" s="867"/>
      <c r="V38" s="867"/>
    </row>
    <row r="39" spans="1:22" x14ac:dyDescent="0.2">
      <c r="A39" s="31"/>
      <c r="B39" t="s">
        <v>2533</v>
      </c>
      <c r="C39" s="635" t="e">
        <f>C35+C37</f>
        <v>#VALUE!</v>
      </c>
      <c r="D39" s="635" t="e">
        <f>D35+D37</f>
        <v>#VALUE!</v>
      </c>
      <c r="E39" s="635" t="e">
        <f>C39-D39</f>
        <v>#VALUE!</v>
      </c>
      <c r="F39" s="557" t="e">
        <f>F35+F37</f>
        <v>#VALUE!</v>
      </c>
      <c r="G39" s="557" t="e">
        <f>G35+G37</f>
        <v>#VALUE!</v>
      </c>
      <c r="H39" s="557" t="e">
        <f>H35+H37</f>
        <v>#VALUE!</v>
      </c>
      <c r="I39" s="557"/>
      <c r="J39" s="557" t="e">
        <f>J35+J37</f>
        <v>#VALUE!</v>
      </c>
      <c r="K39" s="557" t="e">
        <f>K35+K37</f>
        <v>#VALUE!</v>
      </c>
      <c r="L39" s="557" t="e">
        <f>L35+L37</f>
        <v>#VALUE!</v>
      </c>
      <c r="M39" s="557" t="e">
        <f>M35+M37</f>
        <v>#VALUE!</v>
      </c>
      <c r="N39" s="557"/>
      <c r="O39" s="557" t="e">
        <f>O35+O37</f>
        <v>#VALUE!</v>
      </c>
      <c r="P39" s="870" t="e">
        <f>P35+P37</f>
        <v>#VALUE!</v>
      </c>
      <c r="Q39" s="557" t="e">
        <f>Q35+Q37</f>
        <v>#VALUE!</v>
      </c>
      <c r="R39" s="557" t="e">
        <f>R35+R37</f>
        <v>#VALUE!</v>
      </c>
      <c r="S39" s="557"/>
      <c r="T39" s="557" t="e">
        <f>T35+T37</f>
        <v>#VALUE!</v>
      </c>
      <c r="U39" s="557" t="e">
        <f>U35+U37</f>
        <v>#VALUE!</v>
      </c>
      <c r="V39" s="557" t="e">
        <f>V35+V37</f>
        <v>#VALUE!</v>
      </c>
    </row>
    <row r="40" spans="1:22" x14ac:dyDescent="0.2">
      <c r="A40" s="31"/>
      <c r="F40" s="557"/>
      <c r="G40" s="557"/>
      <c r="H40" s="557"/>
      <c r="I40" s="557"/>
      <c r="J40" s="557"/>
      <c r="K40" s="557"/>
      <c r="L40" s="557"/>
      <c r="M40" s="557"/>
      <c r="N40" s="557"/>
      <c r="O40" s="557"/>
      <c r="P40" s="557"/>
      <c r="Q40" s="557"/>
      <c r="R40" s="557"/>
      <c r="S40" s="557"/>
      <c r="T40" s="557"/>
      <c r="U40" s="557"/>
      <c r="V40" s="557"/>
    </row>
    <row r="41" spans="1:22" ht="63.75" x14ac:dyDescent="0.2">
      <c r="A41" s="31"/>
      <c r="B41" t="s">
        <v>4850</v>
      </c>
      <c r="F41" s="866" t="s">
        <v>4873</v>
      </c>
      <c r="G41" s="866" t="s">
        <v>4873</v>
      </c>
      <c r="H41" s="866" t="s">
        <v>4873</v>
      </c>
      <c r="I41" s="557"/>
      <c r="J41" s="866" t="s">
        <v>4873</v>
      </c>
      <c r="K41" s="866" t="s">
        <v>4873</v>
      </c>
      <c r="L41" s="866" t="s">
        <v>4873</v>
      </c>
      <c r="M41" s="866" t="s">
        <v>4873</v>
      </c>
      <c r="N41" s="557"/>
      <c r="O41" s="866" t="s">
        <v>4873</v>
      </c>
      <c r="P41" s="866" t="s">
        <v>4873</v>
      </c>
      <c r="Q41" s="866" t="s">
        <v>4873</v>
      </c>
      <c r="R41" s="866" t="s">
        <v>4873</v>
      </c>
      <c r="S41" s="557"/>
      <c r="T41" s="866" t="s">
        <v>4873</v>
      </c>
      <c r="U41" s="866" t="s">
        <v>4873</v>
      </c>
      <c r="V41" s="866" t="s">
        <v>4873</v>
      </c>
    </row>
    <row r="42" spans="1:22" x14ac:dyDescent="0.2">
      <c r="C42" s="57"/>
      <c r="D42" s="57"/>
      <c r="E42" s="57"/>
      <c r="F42" s="57"/>
      <c r="G42" s="57"/>
      <c r="H42" s="57"/>
      <c r="I42" s="57"/>
      <c r="J42" s="57"/>
      <c r="K42" s="57"/>
      <c r="L42" s="57"/>
      <c r="M42" s="57"/>
      <c r="N42" s="57"/>
      <c r="O42" s="57"/>
      <c r="P42" s="57"/>
      <c r="Q42" s="57"/>
      <c r="R42" s="57"/>
      <c r="S42" s="57"/>
      <c r="U42" s="5"/>
      <c r="V42" s="5"/>
    </row>
    <row r="43" spans="1:22" x14ac:dyDescent="0.2">
      <c r="J43" s="46"/>
      <c r="K43" s="5"/>
    </row>
    <row r="44" spans="1:22" x14ac:dyDescent="0.2">
      <c r="E44" s="55"/>
      <c r="F44" s="55"/>
    </row>
    <row r="45" spans="1:22" ht="15" x14ac:dyDescent="0.25">
      <c r="A45" s="669"/>
      <c r="B45" t="s">
        <v>3467</v>
      </c>
      <c r="D45" s="5" t="e">
        <f>G30</f>
        <v>#VALUE!</v>
      </c>
      <c r="E45" s="340"/>
      <c r="F45" s="55"/>
    </row>
    <row r="46" spans="1:22" x14ac:dyDescent="0.2">
      <c r="B46" t="s">
        <v>3468</v>
      </c>
      <c r="D46" s="5"/>
      <c r="E46" s="340" t="e">
        <f>H30</f>
        <v>#VALUE!</v>
      </c>
      <c r="F46" s="55"/>
    </row>
    <row r="47" spans="1:22" x14ac:dyDescent="0.2">
      <c r="B47" t="s">
        <v>3486</v>
      </c>
      <c r="D47" s="5" t="e">
        <f>V30</f>
        <v>#VALUE!</v>
      </c>
      <c r="E47" s="340"/>
      <c r="F47" s="55"/>
      <c r="J47" s="670"/>
      <c r="K47" s="670"/>
      <c r="L47" s="670"/>
    </row>
    <row r="48" spans="1:22" x14ac:dyDescent="0.2">
      <c r="B48" t="s">
        <v>3469</v>
      </c>
      <c r="D48" s="5"/>
      <c r="E48" s="340" t="e">
        <f>J39</f>
        <v>#VALUE!</v>
      </c>
      <c r="F48" s="55"/>
    </row>
    <row r="49" spans="1:12" x14ac:dyDescent="0.2">
      <c r="A49" s="671"/>
      <c r="B49" t="s">
        <v>3470</v>
      </c>
      <c r="D49" s="5"/>
      <c r="E49" s="340" t="e">
        <f>IF(K39-P39&gt;0,K39-P39,0)</f>
        <v>#VALUE!</v>
      </c>
      <c r="F49" s="55"/>
      <c r="J49" s="56"/>
      <c r="K49" s="56"/>
      <c r="L49" s="56"/>
    </row>
    <row r="50" spans="1:12" x14ac:dyDescent="0.2">
      <c r="A50" s="31"/>
      <c r="B50" t="s">
        <v>3471</v>
      </c>
      <c r="D50" s="5"/>
      <c r="E50" s="340" t="e">
        <f>L39</f>
        <v>#VALUE!</v>
      </c>
      <c r="F50" s="55"/>
      <c r="J50" s="56"/>
      <c r="K50" s="56"/>
      <c r="L50" s="56"/>
    </row>
    <row r="51" spans="1:12" x14ac:dyDescent="0.2">
      <c r="A51" s="31"/>
      <c r="B51" s="46" t="s">
        <v>3472</v>
      </c>
      <c r="D51" s="5"/>
      <c r="E51" s="340" t="e">
        <f>M39</f>
        <v>#VALUE!</v>
      </c>
      <c r="F51" s="340"/>
      <c r="I51" s="46"/>
      <c r="J51" s="56"/>
      <c r="K51" s="56"/>
      <c r="L51" s="56"/>
    </row>
    <row r="52" spans="1:12" x14ac:dyDescent="0.2">
      <c r="A52" s="31"/>
      <c r="B52" s="46" t="s">
        <v>3473</v>
      </c>
      <c r="D52" s="5" t="e">
        <f>O39</f>
        <v>#VALUE!</v>
      </c>
      <c r="E52" s="139"/>
      <c r="F52" s="139"/>
      <c r="I52" s="46"/>
      <c r="J52" s="5"/>
      <c r="L52" s="5"/>
    </row>
    <row r="53" spans="1:12" x14ac:dyDescent="0.2">
      <c r="A53" s="31"/>
      <c r="B53" t="s">
        <v>3474</v>
      </c>
      <c r="D53" s="5" t="e">
        <f>IF(P39-K39&gt;0,P39-K39,0)</f>
        <v>#VALUE!</v>
      </c>
      <c r="E53" s="340"/>
      <c r="F53" s="55"/>
    </row>
    <row r="54" spans="1:12" x14ac:dyDescent="0.2">
      <c r="A54" s="671"/>
      <c r="B54" s="516" t="s">
        <v>3475</v>
      </c>
      <c r="C54" s="671"/>
      <c r="D54" s="695" t="e">
        <f>Q39</f>
        <v>#VALUE!</v>
      </c>
      <c r="E54" s="695"/>
      <c r="F54" s="55"/>
      <c r="I54" s="46"/>
      <c r="J54" s="5"/>
      <c r="K54" s="5"/>
      <c r="L54" s="5"/>
    </row>
    <row r="55" spans="1:12" x14ac:dyDescent="0.2">
      <c r="A55" s="671"/>
      <c r="B55" s="516" t="s">
        <v>3476</v>
      </c>
      <c r="C55" s="671"/>
      <c r="D55" s="695" t="e">
        <f>R39</f>
        <v>#VALUE!</v>
      </c>
      <c r="E55" s="695"/>
      <c r="F55" s="55"/>
      <c r="J55" s="5"/>
      <c r="K55" s="5"/>
      <c r="L55" s="5"/>
    </row>
    <row r="56" spans="1:12" x14ac:dyDescent="0.2">
      <c r="A56" s="671"/>
      <c r="B56" t="s">
        <v>3477</v>
      </c>
      <c r="C56" s="671"/>
      <c r="D56" s="695" t="e">
        <f>J30</f>
        <v>#VALUE!</v>
      </c>
      <c r="E56" s="695"/>
      <c r="F56" s="55"/>
      <c r="J56" s="5"/>
      <c r="K56" s="5"/>
      <c r="L56" s="5"/>
    </row>
    <row r="57" spans="1:12" x14ac:dyDescent="0.2">
      <c r="A57" s="671"/>
      <c r="B57" t="s">
        <v>3478</v>
      </c>
      <c r="C57" s="671"/>
      <c r="D57" s="695" t="e">
        <f>K30</f>
        <v>#VALUE!</v>
      </c>
      <c r="E57" s="695"/>
      <c r="F57" s="55"/>
      <c r="J57" s="5"/>
      <c r="K57" s="5"/>
      <c r="L57" s="5"/>
    </row>
    <row r="58" spans="1:12" x14ac:dyDescent="0.2">
      <c r="A58" s="671"/>
      <c r="B58" t="s">
        <v>3479</v>
      </c>
      <c r="C58" s="671"/>
      <c r="D58" s="695" t="e">
        <f>L30</f>
        <v>#VALUE!</v>
      </c>
      <c r="E58" s="139"/>
      <c r="F58" s="139"/>
      <c r="J58" s="5"/>
      <c r="K58" s="5"/>
      <c r="L58" s="5"/>
    </row>
    <row r="59" spans="1:12" x14ac:dyDescent="0.2">
      <c r="A59" s="671"/>
      <c r="B59" s="46" t="s">
        <v>3480</v>
      </c>
      <c r="C59" s="671"/>
      <c r="D59" s="695" t="e">
        <f>M30</f>
        <v>#VALUE!</v>
      </c>
      <c r="E59" s="139"/>
      <c r="F59" s="139"/>
      <c r="J59" s="5"/>
      <c r="K59" s="5"/>
      <c r="L59" s="5"/>
    </row>
    <row r="60" spans="1:12" x14ac:dyDescent="0.2">
      <c r="A60" s="671"/>
      <c r="B60" s="46" t="s">
        <v>3481</v>
      </c>
      <c r="C60" s="671"/>
      <c r="D60" s="695"/>
      <c r="E60" s="139" t="e">
        <f>O30</f>
        <v>#VALUE!</v>
      </c>
      <c r="F60" s="139"/>
      <c r="J60" s="5"/>
      <c r="K60" s="5"/>
      <c r="L60" s="5"/>
    </row>
    <row r="61" spans="1:12" x14ac:dyDescent="0.2">
      <c r="A61" s="31"/>
      <c r="B61" t="s">
        <v>3482</v>
      </c>
      <c r="D61" s="5"/>
      <c r="E61" s="340">
        <v>0</v>
      </c>
      <c r="F61" s="55"/>
      <c r="J61" s="5"/>
      <c r="K61" s="5"/>
      <c r="L61" s="5"/>
    </row>
    <row r="62" spans="1:12" x14ac:dyDescent="0.2">
      <c r="A62" s="31"/>
      <c r="B62" s="516" t="s">
        <v>3483</v>
      </c>
      <c r="D62" s="5"/>
      <c r="E62" s="340" t="e">
        <f>Q30</f>
        <v>#VALUE!</v>
      </c>
      <c r="F62" s="55"/>
      <c r="L62" s="5"/>
    </row>
    <row r="63" spans="1:12" x14ac:dyDescent="0.2">
      <c r="A63" s="671"/>
      <c r="B63" s="516" t="s">
        <v>3484</v>
      </c>
      <c r="D63" s="5"/>
      <c r="E63" s="340" t="e">
        <f>R30</f>
        <v>#VALUE!</v>
      </c>
      <c r="F63" s="55"/>
      <c r="K63" s="5"/>
      <c r="L63" s="5"/>
    </row>
    <row r="64" spans="1:12" x14ac:dyDescent="0.2">
      <c r="B64" t="s">
        <v>3485</v>
      </c>
      <c r="D64" s="5"/>
      <c r="E64" s="340">
        <f>C17</f>
        <v>0</v>
      </c>
      <c r="F64" s="55"/>
      <c r="K64" s="5"/>
      <c r="L64" s="5"/>
    </row>
    <row r="65" spans="1:12" x14ac:dyDescent="0.2">
      <c r="B65" t="s">
        <v>3487</v>
      </c>
      <c r="D65" s="5" t="e">
        <f>IF(C17-F30&gt;0,C17-F30,0)</f>
        <v>#VALUE!</v>
      </c>
      <c r="E65" s="340" t="e">
        <f>IF(F30-C17&gt;0,F30-C17,0)</f>
        <v>#VALUE!</v>
      </c>
      <c r="F65" s="55"/>
      <c r="L65" s="5"/>
    </row>
    <row r="66" spans="1:12" x14ac:dyDescent="0.2">
      <c r="B66" t="s">
        <v>3488</v>
      </c>
      <c r="D66" s="5" t="e">
        <f>IF(SUM(E45:E65)&gt;SUM(D45:D65),SUM(E45:E65)-SUM(D45:D65),0)</f>
        <v>#VALUE!</v>
      </c>
      <c r="E66" s="340" t="e">
        <f>IF(SUM(D45:D65)&gt;SUM(E45:E65),SUM(D45:D65)-SUM(E45:E65),0)</f>
        <v>#VALUE!</v>
      </c>
      <c r="F66" s="55"/>
      <c r="K66" s="5"/>
      <c r="L66" s="5"/>
    </row>
    <row r="67" spans="1:12" x14ac:dyDescent="0.2">
      <c r="D67" s="5" t="e">
        <f>SUM(D45:D66)</f>
        <v>#VALUE!</v>
      </c>
      <c r="E67" s="5" t="e">
        <f>SUM(E45:E66)</f>
        <v>#VALUE!</v>
      </c>
      <c r="F67" s="139"/>
      <c r="K67" s="5"/>
      <c r="L67" s="5"/>
    </row>
    <row r="68" spans="1:12" x14ac:dyDescent="0.2">
      <c r="E68" s="139"/>
      <c r="F68" s="139"/>
      <c r="L68" s="5"/>
    </row>
    <row r="69" spans="1:12" x14ac:dyDescent="0.2">
      <c r="A69" s="531"/>
      <c r="B69" s="46"/>
      <c r="C69" s="46"/>
      <c r="D69" s="46"/>
      <c r="E69" s="562"/>
      <c r="F69" s="562"/>
      <c r="K69" s="5"/>
      <c r="L69" s="5"/>
    </row>
    <row r="70" spans="1:12" x14ac:dyDescent="0.2">
      <c r="A70" s="531"/>
      <c r="B70" s="46"/>
      <c r="C70" s="562"/>
      <c r="D70" s="562"/>
      <c r="K70" s="5"/>
      <c r="L70" s="5"/>
    </row>
    <row r="71" spans="1:12" x14ac:dyDescent="0.2">
      <c r="A71" s="531"/>
      <c r="B71" s="46"/>
      <c r="C71" s="557"/>
      <c r="D71" s="557"/>
      <c r="L71" s="5"/>
    </row>
    <row r="72" spans="1:12" x14ac:dyDescent="0.2">
      <c r="A72" s="567" t="s">
        <v>861</v>
      </c>
      <c r="B72" s="1106" t="s">
        <v>2041</v>
      </c>
      <c r="C72" s="1107"/>
      <c r="D72" s="1107"/>
      <c r="E72" s="1107"/>
      <c r="F72" s="1107"/>
      <c r="G72" s="1107"/>
      <c r="H72" s="1107"/>
      <c r="I72" s="1108"/>
      <c r="K72" s="5"/>
      <c r="L72" s="5"/>
    </row>
    <row r="73" spans="1:12" x14ac:dyDescent="0.2">
      <c r="A73" s="567"/>
      <c r="B73" s="157"/>
      <c r="C73" s="157"/>
      <c r="D73" s="157"/>
      <c r="E73" s="157"/>
      <c r="F73" s="157"/>
      <c r="G73" s="157"/>
      <c r="H73" s="157"/>
      <c r="I73" s="157"/>
      <c r="K73" s="5"/>
      <c r="L73" s="5"/>
    </row>
    <row r="74" spans="1:12" x14ac:dyDescent="0.2">
      <c r="A74" s="567"/>
      <c r="B74" s="1109" t="s">
        <v>2065</v>
      </c>
      <c r="C74" s="1110"/>
      <c r="D74" s="1110"/>
      <c r="E74" s="1111"/>
      <c r="F74" s="157"/>
      <c r="G74" s="157"/>
      <c r="H74" s="157"/>
      <c r="I74" s="157"/>
      <c r="L74" s="5"/>
    </row>
    <row r="75" spans="1:12" x14ac:dyDescent="0.2">
      <c r="A75" s="531"/>
      <c r="B75" s="582" t="s">
        <v>2042</v>
      </c>
      <c r="C75" s="579">
        <f>'J. Other Liability &amp; Expenses'!L151</f>
        <v>0</v>
      </c>
      <c r="D75" s="157"/>
      <c r="E75" s="583"/>
    </row>
    <row r="76" spans="1:12" x14ac:dyDescent="0.2">
      <c r="A76" s="531"/>
      <c r="B76" s="582" t="s">
        <v>2080</v>
      </c>
      <c r="C76" s="579">
        <f>'J. Other Liability &amp; Expenses'!L152</f>
        <v>0</v>
      </c>
      <c r="D76" s="759">
        <f>SUM(C75:C76)</f>
        <v>0</v>
      </c>
      <c r="E76" s="583"/>
    </row>
    <row r="77" spans="1:12" x14ac:dyDescent="0.2">
      <c r="A77" s="531"/>
      <c r="B77" s="582" t="s">
        <v>2052</v>
      </c>
      <c r="C77" s="579">
        <f>'J. Other Liability &amp; Expenses'!L153</f>
        <v>0</v>
      </c>
      <c r="D77" s="157"/>
      <c r="E77" s="583"/>
    </row>
    <row r="78" spans="1:12" x14ac:dyDescent="0.2">
      <c r="A78" s="531"/>
      <c r="B78" s="584" t="s">
        <v>2053</v>
      </c>
      <c r="C78" s="579">
        <f>SUM(C75:C77)</f>
        <v>0</v>
      </c>
      <c r="D78" s="157" t="str">
        <f>IF(C78=1,"","DOES NOT EQUAL 100%!!!")</f>
        <v>DOES NOT EQUAL 100%!!!</v>
      </c>
      <c r="E78" s="561"/>
    </row>
    <row r="79" spans="1:12" x14ac:dyDescent="0.2">
      <c r="A79" s="531"/>
      <c r="B79" s="585"/>
      <c r="E79" s="561"/>
    </row>
    <row r="80" spans="1:12" x14ac:dyDescent="0.2">
      <c r="A80" s="531"/>
      <c r="B80" s="586" t="s">
        <v>2054</v>
      </c>
      <c r="E80" s="561"/>
    </row>
    <row r="81" spans="1:7" x14ac:dyDescent="0.2">
      <c r="A81" s="531"/>
      <c r="B81" s="585" t="s">
        <v>2055</v>
      </c>
      <c r="C81" s="579">
        <f>'J. Other Liability &amp; Expenses'!L157</f>
        <v>0</v>
      </c>
      <c r="E81" s="561"/>
    </row>
    <row r="82" spans="1:7" x14ac:dyDescent="0.2">
      <c r="A82" s="531"/>
      <c r="B82" s="585" t="s">
        <v>2056</v>
      </c>
      <c r="C82" s="579">
        <f>'J. Other Liability &amp; Expenses'!L158</f>
        <v>0</v>
      </c>
      <c r="E82" s="561"/>
    </row>
    <row r="83" spans="1:7" x14ac:dyDescent="0.2">
      <c r="A83" s="531"/>
      <c r="B83" s="585" t="s">
        <v>2057</v>
      </c>
      <c r="C83" s="579">
        <f>'J. Other Liability &amp; Expenses'!L159</f>
        <v>0</v>
      </c>
      <c r="E83" s="561"/>
    </row>
    <row r="84" spans="1:7" x14ac:dyDescent="0.2">
      <c r="A84" s="531"/>
      <c r="B84" s="585" t="s">
        <v>2058</v>
      </c>
      <c r="C84" s="579">
        <f>'J. Other Liability &amp; Expenses'!L160</f>
        <v>0</v>
      </c>
      <c r="E84" s="561"/>
    </row>
    <row r="85" spans="1:7" x14ac:dyDescent="0.2">
      <c r="A85" s="531"/>
      <c r="B85" s="585" t="s">
        <v>4928</v>
      </c>
      <c r="C85" s="579">
        <f>'J. Other Liability &amp; Expenses'!L161</f>
        <v>0</v>
      </c>
      <c r="E85" s="561"/>
    </row>
    <row r="86" spans="1:7" x14ac:dyDescent="0.2">
      <c r="A86" s="531"/>
      <c r="B86" s="585" t="s">
        <v>2059</v>
      </c>
      <c r="C86" s="579">
        <f>'J. Other Liability &amp; Expenses'!L162</f>
        <v>0</v>
      </c>
      <c r="E86" s="561"/>
    </row>
    <row r="87" spans="1:7" x14ac:dyDescent="0.2">
      <c r="A87" s="531"/>
      <c r="B87" s="585" t="s">
        <v>2060</v>
      </c>
      <c r="C87" s="579">
        <f>'J. Other Liability &amp; Expenses'!L163</f>
        <v>0</v>
      </c>
      <c r="E87" s="561"/>
    </row>
    <row r="88" spans="1:7" x14ac:dyDescent="0.2">
      <c r="A88" s="531"/>
      <c r="B88" s="585" t="s">
        <v>2062</v>
      </c>
      <c r="C88" s="579">
        <f>'J. Other Liability &amp; Expenses'!L164</f>
        <v>0</v>
      </c>
      <c r="E88" s="561"/>
    </row>
    <row r="89" spans="1:7" x14ac:dyDescent="0.2">
      <c r="A89" s="531"/>
      <c r="B89" s="587" t="s">
        <v>2061</v>
      </c>
      <c r="C89" s="588">
        <f>SUM(C81:C88)</f>
        <v>0</v>
      </c>
      <c r="D89" s="589" t="str">
        <f>IF(C89=C75,"Equals Governmental Activities","DOES NOT EQUAL Governmental Activities!!!")</f>
        <v>Equals Governmental Activities</v>
      </c>
      <c r="E89" s="126"/>
    </row>
    <row r="90" spans="1:7" x14ac:dyDescent="0.2">
      <c r="A90" s="531"/>
      <c r="B90" s="4"/>
    </row>
    <row r="91" spans="1:7" x14ac:dyDescent="0.2">
      <c r="A91" s="531"/>
      <c r="B91" s="4"/>
    </row>
    <row r="92" spans="1:7" x14ac:dyDescent="0.2">
      <c r="A92" s="531"/>
      <c r="B92" s="4"/>
    </row>
    <row r="93" spans="1:7" x14ac:dyDescent="0.2">
      <c r="A93" s="531"/>
      <c r="B93" s="46"/>
      <c r="C93" s="590" t="s">
        <v>2039</v>
      </c>
      <c r="D93" s="590" t="s">
        <v>2040</v>
      </c>
    </row>
    <row r="94" spans="1:7" x14ac:dyDescent="0.2">
      <c r="A94" s="531"/>
      <c r="B94" s="572" t="s">
        <v>1106</v>
      </c>
      <c r="C94" s="344">
        <f>G124</f>
        <v>0</v>
      </c>
      <c r="D94" s="344">
        <f>H124</f>
        <v>0</v>
      </c>
    </row>
    <row r="95" spans="1:7" x14ac:dyDescent="0.2">
      <c r="A95" s="531"/>
      <c r="B95" s="572" t="s">
        <v>2536</v>
      </c>
      <c r="C95" s="344">
        <f t="shared" ref="C95:C113" si="0">G125</f>
        <v>0</v>
      </c>
      <c r="D95" s="344">
        <f t="shared" ref="D95:D113" si="1">H125</f>
        <v>0</v>
      </c>
      <c r="E95" s="558"/>
      <c r="G95" s="5"/>
    </row>
    <row r="96" spans="1:7" x14ac:dyDescent="0.2">
      <c r="A96" s="531"/>
      <c r="B96" s="572" t="s">
        <v>1143</v>
      </c>
      <c r="C96" s="344" t="e">
        <f t="shared" si="0"/>
        <v>#VALUE!</v>
      </c>
      <c r="D96" s="344" t="e">
        <f t="shared" si="1"/>
        <v>#VALUE!</v>
      </c>
      <c r="E96" s="558"/>
      <c r="G96" s="5"/>
    </row>
    <row r="97" spans="1:9" x14ac:dyDescent="0.2">
      <c r="A97" s="531"/>
      <c r="B97" s="572" t="s">
        <v>3905</v>
      </c>
      <c r="C97" s="344" t="e">
        <f t="shared" si="0"/>
        <v>#VALUE!</v>
      </c>
      <c r="D97" s="344" t="e">
        <f t="shared" si="1"/>
        <v>#VALUE!</v>
      </c>
      <c r="E97" s="558"/>
    </row>
    <row r="98" spans="1:9" x14ac:dyDescent="0.2">
      <c r="A98" s="531"/>
      <c r="B98" s="572" t="s">
        <v>2066</v>
      </c>
      <c r="C98" s="344" t="e">
        <f t="shared" si="0"/>
        <v>#VALUE!</v>
      </c>
      <c r="D98" s="344" t="e">
        <f t="shared" si="1"/>
        <v>#VALUE!</v>
      </c>
      <c r="E98" s="558"/>
    </row>
    <row r="99" spans="1:9" x14ac:dyDescent="0.2">
      <c r="A99" s="531"/>
      <c r="B99" s="572" t="s">
        <v>2067</v>
      </c>
      <c r="C99" s="344" t="e">
        <f t="shared" si="0"/>
        <v>#VALUE!</v>
      </c>
      <c r="D99" s="344" t="e">
        <f t="shared" si="1"/>
        <v>#VALUE!</v>
      </c>
      <c r="E99" s="558"/>
    </row>
    <row r="100" spans="1:9" ht="25.5" x14ac:dyDescent="0.2">
      <c r="A100" s="531"/>
      <c r="B100" s="572" t="s">
        <v>2068</v>
      </c>
      <c r="C100" s="344" t="e">
        <f t="shared" si="0"/>
        <v>#VALUE!</v>
      </c>
      <c r="D100" s="344" t="e">
        <f t="shared" si="1"/>
        <v>#VALUE!</v>
      </c>
      <c r="E100" s="558"/>
    </row>
    <row r="101" spans="1:9" x14ac:dyDescent="0.2">
      <c r="A101" s="531"/>
      <c r="B101" s="572" t="s">
        <v>2069</v>
      </c>
      <c r="C101" s="344" t="e">
        <f t="shared" si="0"/>
        <v>#VALUE!</v>
      </c>
      <c r="D101" s="344" t="e">
        <f t="shared" si="1"/>
        <v>#VALUE!</v>
      </c>
      <c r="E101" s="558"/>
    </row>
    <row r="102" spans="1:9" x14ac:dyDescent="0.2">
      <c r="A102" s="531"/>
      <c r="B102" s="572" t="s">
        <v>2070</v>
      </c>
      <c r="C102" s="344" t="e">
        <f t="shared" si="0"/>
        <v>#VALUE!</v>
      </c>
      <c r="D102" s="344" t="e">
        <f t="shared" si="1"/>
        <v>#VALUE!</v>
      </c>
      <c r="E102" s="558"/>
      <c r="G102" s="571"/>
      <c r="H102" s="571"/>
      <c r="I102" s="571"/>
    </row>
    <row r="103" spans="1:9" x14ac:dyDescent="0.2">
      <c r="A103" s="531"/>
      <c r="B103" s="572" t="s">
        <v>2071</v>
      </c>
      <c r="C103" s="344" t="e">
        <f t="shared" si="0"/>
        <v>#VALUE!</v>
      </c>
      <c r="D103" s="344" t="e">
        <f t="shared" si="1"/>
        <v>#VALUE!</v>
      </c>
      <c r="E103" s="558"/>
    </row>
    <row r="104" spans="1:9" x14ac:dyDescent="0.2">
      <c r="A104" s="531"/>
      <c r="B104" s="572" t="s">
        <v>2072</v>
      </c>
      <c r="C104" s="344" t="e">
        <f t="shared" si="0"/>
        <v>#VALUE!</v>
      </c>
      <c r="D104" s="344" t="e">
        <f t="shared" si="1"/>
        <v>#VALUE!</v>
      </c>
      <c r="E104" s="558"/>
    </row>
    <row r="105" spans="1:9" ht="25.5" x14ac:dyDescent="0.2">
      <c r="A105" s="531"/>
      <c r="B105" s="572" t="s">
        <v>3490</v>
      </c>
      <c r="C105" s="344" t="e">
        <f t="shared" si="0"/>
        <v>#VALUE!</v>
      </c>
      <c r="D105" s="344" t="e">
        <f t="shared" si="1"/>
        <v>#VALUE!</v>
      </c>
    </row>
    <row r="106" spans="1:9" ht="38.25" x14ac:dyDescent="0.2">
      <c r="A106" s="531"/>
      <c r="B106" s="572" t="s">
        <v>4927</v>
      </c>
      <c r="C106" s="344" t="e">
        <f t="shared" si="0"/>
        <v>#VALUE!</v>
      </c>
      <c r="D106" s="344" t="e">
        <f t="shared" si="1"/>
        <v>#VALUE!</v>
      </c>
    </row>
    <row r="107" spans="1:9" x14ac:dyDescent="0.2">
      <c r="A107" s="531"/>
      <c r="B107" s="572" t="s">
        <v>3491</v>
      </c>
      <c r="C107" s="344" t="e">
        <f t="shared" si="0"/>
        <v>#VALUE!</v>
      </c>
      <c r="D107" s="344" t="e">
        <f t="shared" si="1"/>
        <v>#VALUE!</v>
      </c>
    </row>
    <row r="108" spans="1:9" ht="38.25" x14ac:dyDescent="0.2">
      <c r="A108" s="531"/>
      <c r="B108" s="572" t="s">
        <v>3489</v>
      </c>
      <c r="C108" s="344" t="e">
        <f t="shared" si="0"/>
        <v>#VALUE!</v>
      </c>
      <c r="D108" s="344" t="e">
        <f t="shared" si="1"/>
        <v>#VALUE!</v>
      </c>
    </row>
    <row r="109" spans="1:9" ht="25.5" x14ac:dyDescent="0.2">
      <c r="A109" s="531"/>
      <c r="B109" s="572" t="s">
        <v>3492</v>
      </c>
      <c r="C109" s="344" t="e">
        <f t="shared" si="0"/>
        <v>#VALUE!</v>
      </c>
      <c r="D109" s="344" t="e">
        <f t="shared" si="1"/>
        <v>#VALUE!</v>
      </c>
    </row>
    <row r="110" spans="1:9" ht="38.25" x14ac:dyDescent="0.2">
      <c r="A110" s="531"/>
      <c r="B110" s="572" t="s">
        <v>3493</v>
      </c>
      <c r="C110" s="344" t="e">
        <f t="shared" si="0"/>
        <v>#VALUE!</v>
      </c>
      <c r="D110" s="344" t="e">
        <f t="shared" si="1"/>
        <v>#VALUE!</v>
      </c>
    </row>
    <row r="111" spans="1:9" x14ac:dyDescent="0.2">
      <c r="A111" s="531"/>
      <c r="B111" s="572" t="s">
        <v>3495</v>
      </c>
      <c r="C111" s="344" t="e">
        <f t="shared" si="0"/>
        <v>#VALUE!</v>
      </c>
      <c r="D111" s="344" t="e">
        <f t="shared" si="1"/>
        <v>#VALUE!</v>
      </c>
    </row>
    <row r="112" spans="1:9" ht="38.25" x14ac:dyDescent="0.2">
      <c r="A112" s="531"/>
      <c r="B112" s="572" t="s">
        <v>3494</v>
      </c>
      <c r="C112" s="344" t="e">
        <f t="shared" si="0"/>
        <v>#VALUE!</v>
      </c>
      <c r="D112" s="344" t="e">
        <f t="shared" si="1"/>
        <v>#VALUE!</v>
      </c>
    </row>
    <row r="113" spans="1:8" ht="25.5" x14ac:dyDescent="0.2">
      <c r="A113" s="531"/>
      <c r="B113" s="572" t="s">
        <v>2038</v>
      </c>
      <c r="C113" s="344">
        <f t="shared" si="0"/>
        <v>0</v>
      </c>
      <c r="D113" s="344">
        <f t="shared" si="1"/>
        <v>0</v>
      </c>
    </row>
    <row r="114" spans="1:8" x14ac:dyDescent="0.2">
      <c r="A114" s="531"/>
      <c r="B114" s="572"/>
      <c r="C114" s="344"/>
      <c r="D114" s="344"/>
    </row>
    <row r="115" spans="1:8" x14ac:dyDescent="0.2">
      <c r="A115" s="531"/>
      <c r="B115" s="46"/>
      <c r="C115" s="557"/>
      <c r="D115" s="557"/>
    </row>
    <row r="116" spans="1:8" ht="13.5" thickBot="1" x14ac:dyDescent="0.25">
      <c r="A116" s="531"/>
      <c r="B116" s="46"/>
      <c r="C116" s="568" t="e">
        <f>SUM(C94:C115)</f>
        <v>#VALUE!</v>
      </c>
      <c r="D116" s="568" t="e">
        <f>SUM(D94:D115)</f>
        <v>#VALUE!</v>
      </c>
    </row>
    <row r="117" spans="1:8" ht="13.5" thickTop="1" x14ac:dyDescent="0.2">
      <c r="A117" s="531"/>
      <c r="B117" s="46"/>
      <c r="C117" s="557"/>
      <c r="D117" s="557"/>
    </row>
    <row r="118" spans="1:8" x14ac:dyDescent="0.2">
      <c r="A118" s="531"/>
      <c r="B118" s="1104" t="s">
        <v>2073</v>
      </c>
      <c r="C118" s="1104"/>
      <c r="D118" s="1104"/>
      <c r="E118" s="1104"/>
      <c r="F118" s="1104"/>
      <c r="G118" s="1104"/>
      <c r="H118" s="1104"/>
    </row>
    <row r="119" spans="1:8" x14ac:dyDescent="0.2">
      <c r="A119" s="531"/>
      <c r="B119" s="1104"/>
      <c r="C119" s="1104"/>
      <c r="D119" s="1104"/>
      <c r="E119" s="1104"/>
      <c r="F119" s="1104"/>
      <c r="G119" s="1104"/>
      <c r="H119" s="1104"/>
    </row>
    <row r="120" spans="1:8" ht="18" x14ac:dyDescent="0.25">
      <c r="A120" s="531"/>
      <c r="B120" s="591"/>
      <c r="C120" s="591"/>
      <c r="D120" s="591"/>
      <c r="E120" s="591"/>
      <c r="F120" s="591"/>
      <c r="G120" s="591"/>
      <c r="H120" s="592"/>
    </row>
    <row r="121" spans="1:8" ht="18" x14ac:dyDescent="0.2">
      <c r="A121" s="531"/>
      <c r="B121" s="591"/>
      <c r="C121" s="593"/>
      <c r="D121" s="594"/>
      <c r="E121" s="595"/>
      <c r="F121" s="591"/>
      <c r="G121" s="975" t="s">
        <v>102</v>
      </c>
      <c r="H121" s="976"/>
    </row>
    <row r="122" spans="1:8" x14ac:dyDescent="0.2">
      <c r="B122" s="46"/>
      <c r="C122" s="596"/>
      <c r="D122" s="597"/>
      <c r="E122" s="598"/>
      <c r="G122" s="198"/>
      <c r="H122" s="199"/>
    </row>
    <row r="123" spans="1:8" x14ac:dyDescent="0.2">
      <c r="B123" s="46"/>
      <c r="C123" s="599" t="s">
        <v>64</v>
      </c>
      <c r="D123" s="147" t="s">
        <v>65</v>
      </c>
      <c r="E123" s="608" t="s">
        <v>2074</v>
      </c>
      <c r="G123" s="71" t="s">
        <v>64</v>
      </c>
      <c r="H123" s="72" t="s">
        <v>65</v>
      </c>
    </row>
    <row r="124" spans="1:8" x14ac:dyDescent="0.2">
      <c r="B124" s="572" t="s">
        <v>1106</v>
      </c>
      <c r="C124" s="600">
        <v>0</v>
      </c>
      <c r="D124" s="601">
        <v>0</v>
      </c>
      <c r="E124" s="603">
        <f>C124-D124</f>
        <v>0</v>
      </c>
      <c r="G124" s="112">
        <f t="shared" ref="G124:G134" si="2">IF(E124&lt;0,0,E124)</f>
        <v>0</v>
      </c>
      <c r="H124" s="604">
        <f t="shared" ref="H124:H134" si="3">IF(E124&gt;0,0,E124*-1)</f>
        <v>0</v>
      </c>
    </row>
    <row r="125" spans="1:8" x14ac:dyDescent="0.2">
      <c r="B125" s="572" t="s">
        <v>2536</v>
      </c>
      <c r="C125" s="639">
        <v>0</v>
      </c>
      <c r="D125" s="602">
        <v>0</v>
      </c>
      <c r="E125" s="603">
        <f t="shared" ref="E125:E143" si="4">C125-D125</f>
        <v>0</v>
      </c>
      <c r="G125" s="112">
        <f t="shared" si="2"/>
        <v>0</v>
      </c>
      <c r="H125" s="604">
        <f>IF(E125&gt;0,0,E125*-1)</f>
        <v>0</v>
      </c>
    </row>
    <row r="126" spans="1:8" x14ac:dyDescent="0.2">
      <c r="B126" s="572" t="s">
        <v>1143</v>
      </c>
      <c r="C126" s="639" t="e">
        <f>(D45+D46)*(C75)</f>
        <v>#VALUE!</v>
      </c>
      <c r="D126" s="602" t="e">
        <f>(E45+E46)*(C75)</f>
        <v>#VALUE!</v>
      </c>
      <c r="E126" s="603" t="e">
        <f t="shared" si="4"/>
        <v>#VALUE!</v>
      </c>
      <c r="G126" s="112" t="e">
        <f>IF(E126&lt;0,0,E126)</f>
        <v>#VALUE!</v>
      </c>
      <c r="H126" s="604" t="e">
        <f>IF(E126&gt;0,0,E126*-1)</f>
        <v>#VALUE!</v>
      </c>
    </row>
    <row r="127" spans="1:8" x14ac:dyDescent="0.2">
      <c r="B127" s="572" t="s">
        <v>3905</v>
      </c>
      <c r="C127" s="639" t="e">
        <f>($D$47+$D$65+$D$66)*(C75)-1</f>
        <v>#VALUE!</v>
      </c>
      <c r="D127" s="602" t="e">
        <f>($E$47+$E$65+$E$66)*C81</f>
        <v>#VALUE!</v>
      </c>
      <c r="E127" s="603" t="e">
        <f t="shared" si="4"/>
        <v>#VALUE!</v>
      </c>
      <c r="G127" s="112" t="e">
        <f>IF(E127&lt;0,0,E127)-E144</f>
        <v>#VALUE!</v>
      </c>
      <c r="H127" s="604" t="e">
        <f t="shared" si="3"/>
        <v>#VALUE!</v>
      </c>
    </row>
    <row r="128" spans="1:8" x14ac:dyDescent="0.2">
      <c r="B128" s="572" t="s">
        <v>2066</v>
      </c>
      <c r="C128" s="639" t="e">
        <f t="shared" ref="C128:C134" si="5">($D$47+$D$65+$D$66)*C82</f>
        <v>#VALUE!</v>
      </c>
      <c r="D128" s="602" t="e">
        <f t="shared" ref="D128:D134" si="6">($E$47+$E$65+$E$66)*C82</f>
        <v>#VALUE!</v>
      </c>
      <c r="E128" s="603" t="e">
        <f t="shared" si="4"/>
        <v>#VALUE!</v>
      </c>
      <c r="G128" s="112" t="e">
        <f t="shared" si="2"/>
        <v>#VALUE!</v>
      </c>
      <c r="H128" s="604" t="e">
        <f t="shared" si="3"/>
        <v>#VALUE!</v>
      </c>
    </row>
    <row r="129" spans="2:9" x14ac:dyDescent="0.2">
      <c r="B129" s="572" t="s">
        <v>2067</v>
      </c>
      <c r="C129" s="639" t="e">
        <f t="shared" si="5"/>
        <v>#VALUE!</v>
      </c>
      <c r="D129" s="602" t="e">
        <f t="shared" si="6"/>
        <v>#VALUE!</v>
      </c>
      <c r="E129" s="603" t="e">
        <f t="shared" si="4"/>
        <v>#VALUE!</v>
      </c>
      <c r="G129" s="112" t="e">
        <f t="shared" si="2"/>
        <v>#VALUE!</v>
      </c>
      <c r="H129" s="604" t="e">
        <f t="shared" si="3"/>
        <v>#VALUE!</v>
      </c>
    </row>
    <row r="130" spans="2:9" ht="25.5" x14ac:dyDescent="0.2">
      <c r="B130" s="572" t="s">
        <v>2068</v>
      </c>
      <c r="C130" s="639" t="e">
        <f t="shared" si="5"/>
        <v>#VALUE!</v>
      </c>
      <c r="D130" s="602" t="e">
        <f t="shared" si="6"/>
        <v>#VALUE!</v>
      </c>
      <c r="E130" s="603" t="e">
        <f t="shared" si="4"/>
        <v>#VALUE!</v>
      </c>
      <c r="G130" s="112" t="e">
        <f t="shared" si="2"/>
        <v>#VALUE!</v>
      </c>
      <c r="H130" s="604" t="e">
        <f t="shared" si="3"/>
        <v>#VALUE!</v>
      </c>
    </row>
    <row r="131" spans="2:9" x14ac:dyDescent="0.2">
      <c r="B131" s="572" t="s">
        <v>2069</v>
      </c>
      <c r="C131" s="639" t="e">
        <f t="shared" si="5"/>
        <v>#VALUE!</v>
      </c>
      <c r="D131" s="602" t="e">
        <f t="shared" si="6"/>
        <v>#VALUE!</v>
      </c>
      <c r="E131" s="603" t="e">
        <f t="shared" si="4"/>
        <v>#VALUE!</v>
      </c>
      <c r="G131" s="112" t="e">
        <f t="shared" si="2"/>
        <v>#VALUE!</v>
      </c>
      <c r="H131" s="604" t="e">
        <f t="shared" si="3"/>
        <v>#VALUE!</v>
      </c>
    </row>
    <row r="132" spans="2:9" x14ac:dyDescent="0.2">
      <c r="B132" s="572" t="s">
        <v>2070</v>
      </c>
      <c r="C132" s="639" t="e">
        <f t="shared" si="5"/>
        <v>#VALUE!</v>
      </c>
      <c r="D132" s="602" t="e">
        <f t="shared" si="6"/>
        <v>#VALUE!</v>
      </c>
      <c r="E132" s="603" t="e">
        <f t="shared" si="4"/>
        <v>#VALUE!</v>
      </c>
      <c r="G132" s="112" t="e">
        <f t="shared" si="2"/>
        <v>#VALUE!</v>
      </c>
      <c r="H132" s="604" t="e">
        <f t="shared" si="3"/>
        <v>#VALUE!</v>
      </c>
    </row>
    <row r="133" spans="2:9" x14ac:dyDescent="0.2">
      <c r="B133" s="572" t="s">
        <v>2071</v>
      </c>
      <c r="C133" s="639" t="e">
        <f t="shared" si="5"/>
        <v>#VALUE!</v>
      </c>
      <c r="D133" s="602" t="e">
        <f t="shared" si="6"/>
        <v>#VALUE!</v>
      </c>
      <c r="E133" s="603" t="e">
        <f t="shared" si="4"/>
        <v>#VALUE!</v>
      </c>
      <c r="G133" s="112" t="e">
        <f t="shared" si="2"/>
        <v>#VALUE!</v>
      </c>
      <c r="H133" s="604" t="e">
        <f t="shared" si="3"/>
        <v>#VALUE!</v>
      </c>
    </row>
    <row r="134" spans="2:9" x14ac:dyDescent="0.2">
      <c r="B134" s="572" t="s">
        <v>2072</v>
      </c>
      <c r="C134" s="639" t="e">
        <f t="shared" si="5"/>
        <v>#VALUE!</v>
      </c>
      <c r="D134" s="602" t="e">
        <f t="shared" si="6"/>
        <v>#VALUE!</v>
      </c>
      <c r="E134" s="603" t="e">
        <f t="shared" si="4"/>
        <v>#VALUE!</v>
      </c>
      <c r="G134" s="112" t="e">
        <f t="shared" si="2"/>
        <v>#VALUE!</v>
      </c>
      <c r="H134" s="604" t="e">
        <f t="shared" si="3"/>
        <v>#VALUE!</v>
      </c>
    </row>
    <row r="135" spans="2:9" ht="25.5" x14ac:dyDescent="0.2">
      <c r="B135" s="572" t="s">
        <v>3490</v>
      </c>
      <c r="C135" s="639" t="e">
        <f>(D48+D56)*(C75)</f>
        <v>#VALUE!</v>
      </c>
      <c r="D135" s="602" t="e">
        <f>(E48+E56)*(C75)</f>
        <v>#VALUE!</v>
      </c>
      <c r="E135" s="603" t="e">
        <f t="shared" si="4"/>
        <v>#VALUE!</v>
      </c>
      <c r="G135" s="112" t="e">
        <f>IF(E135&lt;0,0,E135)</f>
        <v>#VALUE!</v>
      </c>
      <c r="H135" s="604" t="e">
        <f>IF(E135&gt;0,0,E135*-1)</f>
        <v>#VALUE!</v>
      </c>
      <c r="I135" s="610"/>
    </row>
    <row r="136" spans="2:9" ht="38.25" x14ac:dyDescent="0.2">
      <c r="B136" s="572" t="s">
        <v>4927</v>
      </c>
      <c r="C136" s="639" t="e">
        <f>(D49+D57)*(C75)</f>
        <v>#VALUE!</v>
      </c>
      <c r="D136" s="602" t="e">
        <f>(E49+E57)*(C75)</f>
        <v>#VALUE!</v>
      </c>
      <c r="E136" s="603" t="e">
        <f t="shared" si="4"/>
        <v>#VALUE!</v>
      </c>
      <c r="G136" s="112" t="e">
        <f>IF(E136&lt;0,0,E136)</f>
        <v>#VALUE!</v>
      </c>
      <c r="H136" s="604" t="e">
        <f>IF(E136&gt;0,0,E136*-1)</f>
        <v>#VALUE!</v>
      </c>
      <c r="I136" s="610"/>
    </row>
    <row r="137" spans="2:9" x14ac:dyDescent="0.2">
      <c r="B137" s="572" t="s">
        <v>3491</v>
      </c>
      <c r="C137" s="639" t="e">
        <f>(D50+D58)*(C75)</f>
        <v>#VALUE!</v>
      </c>
      <c r="D137" s="602" t="e">
        <f>(E50+E58)*(C75)</f>
        <v>#VALUE!</v>
      </c>
      <c r="E137" s="603" t="e">
        <f t="shared" si="4"/>
        <v>#VALUE!</v>
      </c>
      <c r="G137" s="112" t="e">
        <f>IF(E137&lt;0,0,E137)</f>
        <v>#VALUE!</v>
      </c>
      <c r="H137" s="604" t="e">
        <f>IF(E137&gt;0,0,E137*-1)</f>
        <v>#VALUE!</v>
      </c>
      <c r="I137" s="610"/>
    </row>
    <row r="138" spans="2:9" ht="38.25" x14ac:dyDescent="0.2">
      <c r="B138" s="572" t="s">
        <v>3489</v>
      </c>
      <c r="C138" s="639" t="e">
        <f>(D51+D59)*(C75)</f>
        <v>#VALUE!</v>
      </c>
      <c r="D138" s="602" t="e">
        <f>(E51+E59)*(C75)</f>
        <v>#VALUE!</v>
      </c>
      <c r="E138" s="603" t="e">
        <f t="shared" si="4"/>
        <v>#VALUE!</v>
      </c>
      <c r="G138" s="112" t="e">
        <f t="shared" ref="G138:G143" si="7">IF(E138&lt;0,0,E138)</f>
        <v>#VALUE!</v>
      </c>
      <c r="H138" s="604" t="e">
        <f t="shared" ref="H138:H143" si="8">IF(E138&gt;0,0,E138*-1)</f>
        <v>#VALUE!</v>
      </c>
      <c r="I138" s="610"/>
    </row>
    <row r="139" spans="2:9" ht="25.5" x14ac:dyDescent="0.2">
      <c r="B139" s="572" t="s">
        <v>3492</v>
      </c>
      <c r="C139" s="639" t="e">
        <f>(D52+D60)*(C75)</f>
        <v>#VALUE!</v>
      </c>
      <c r="D139" s="602" t="e">
        <f>(E52+E60)*(C75)</f>
        <v>#VALUE!</v>
      </c>
      <c r="E139" s="603" t="e">
        <f t="shared" si="4"/>
        <v>#VALUE!</v>
      </c>
      <c r="G139" s="112" t="e">
        <f t="shared" si="7"/>
        <v>#VALUE!</v>
      </c>
      <c r="H139" s="604" t="e">
        <f t="shared" si="8"/>
        <v>#VALUE!</v>
      </c>
    </row>
    <row r="140" spans="2:9" ht="38.25" x14ac:dyDescent="0.2">
      <c r="B140" s="572" t="s">
        <v>3493</v>
      </c>
      <c r="C140" s="639" t="e">
        <f>(D53+D61)*C75</f>
        <v>#VALUE!</v>
      </c>
      <c r="D140" s="602">
        <f>(E53+E61)*C75</f>
        <v>0</v>
      </c>
      <c r="E140" s="603" t="e">
        <f t="shared" si="4"/>
        <v>#VALUE!</v>
      </c>
      <c r="G140" s="112" t="e">
        <f t="shared" si="7"/>
        <v>#VALUE!</v>
      </c>
      <c r="H140" s="604" t="e">
        <f t="shared" si="8"/>
        <v>#VALUE!</v>
      </c>
    </row>
    <row r="141" spans="2:9" x14ac:dyDescent="0.2">
      <c r="B141" s="572" t="s">
        <v>3495</v>
      </c>
      <c r="C141" s="639" t="e">
        <f>(D54+D62)*C75</f>
        <v>#VALUE!</v>
      </c>
      <c r="D141" s="602" t="e">
        <f>(E54+E62)*C75</f>
        <v>#VALUE!</v>
      </c>
      <c r="E141" s="603" t="e">
        <f t="shared" si="4"/>
        <v>#VALUE!</v>
      </c>
      <c r="G141" s="112" t="e">
        <f t="shared" si="7"/>
        <v>#VALUE!</v>
      </c>
      <c r="H141" s="604" t="e">
        <f t="shared" si="8"/>
        <v>#VALUE!</v>
      </c>
    </row>
    <row r="142" spans="2:9" ht="38.25" x14ac:dyDescent="0.2">
      <c r="B142" s="572" t="s">
        <v>3494</v>
      </c>
      <c r="C142" s="639" t="e">
        <f>(D55+D63)*(C75)</f>
        <v>#VALUE!</v>
      </c>
      <c r="D142" s="602" t="e">
        <f>(E55+E63)*(C75)</f>
        <v>#VALUE!</v>
      </c>
      <c r="E142" s="603" t="e">
        <f t="shared" si="4"/>
        <v>#VALUE!</v>
      </c>
      <c r="G142" s="112" t="e">
        <f t="shared" si="7"/>
        <v>#VALUE!</v>
      </c>
      <c r="H142" s="604" t="e">
        <f t="shared" si="8"/>
        <v>#VALUE!</v>
      </c>
    </row>
    <row r="143" spans="2:9" ht="25.5" x14ac:dyDescent="0.2">
      <c r="B143" s="572" t="s">
        <v>2038</v>
      </c>
      <c r="C143" s="639">
        <f>D64*C75</f>
        <v>0</v>
      </c>
      <c r="D143" s="602">
        <f>E64*(C75)</f>
        <v>0</v>
      </c>
      <c r="E143" s="603">
        <f t="shared" si="4"/>
        <v>0</v>
      </c>
      <c r="G143" s="112">
        <f t="shared" si="7"/>
        <v>0</v>
      </c>
      <c r="H143" s="604">
        <f t="shared" si="8"/>
        <v>0</v>
      </c>
    </row>
    <row r="144" spans="2:9" x14ac:dyDescent="0.2">
      <c r="C144" s="605" t="e">
        <f>SUM(C123:C143)</f>
        <v>#VALUE!</v>
      </c>
      <c r="D144" s="606" t="e">
        <f>SUM(D123:D143)</f>
        <v>#VALUE!</v>
      </c>
      <c r="E144" s="607" t="e">
        <f>SUM(E123:E143)</f>
        <v>#VALUE!</v>
      </c>
      <c r="G144" s="605" t="e">
        <f>SUM(G123:G143)</f>
        <v>#VALUE!</v>
      </c>
      <c r="H144" s="606" t="e">
        <f>SUM(H123:H143)</f>
        <v>#VALUE!</v>
      </c>
    </row>
  </sheetData>
  <sheetProtection algorithmName="SHA-512" hashValue="O382bsGHfMkMfmAkdNV6FGxRGyZvMMsRbgHpv7oocANpCqpsvL1N1aTpiG0johvIAQ4HZBrYLVFBTBLp5vEiMg==" saltValue="M8rD4pRuRedzQbUYf7bbpg==" spinCount="100000" sheet="1" objects="1" scenarios="1"/>
  <mergeCells count="6">
    <mergeCell ref="B118:H119"/>
    <mergeCell ref="G121:H121"/>
    <mergeCell ref="A2:C2"/>
    <mergeCell ref="A5:C5"/>
    <mergeCell ref="B72:I72"/>
    <mergeCell ref="B74:E74"/>
  </mergeCells>
  <conditionalFormatting sqref="A54:B63">
    <cfRule type="expression" dxfId="9" priority="1">
      <formula>#REF!=2</formula>
    </cfRule>
  </conditionalFormatting>
  <conditionalFormatting sqref="A46:F53 C61:F63 A64:F68">
    <cfRule type="expression" dxfId="8" priority="15">
      <formula>#REF!=2</formula>
    </cfRule>
  </conditionalFormatting>
  <conditionalFormatting sqref="C55:D60">
    <cfRule type="expression" dxfId="7" priority="5">
      <formula>#REF!=2</formula>
    </cfRule>
  </conditionalFormatting>
  <conditionalFormatting sqref="C54:E54">
    <cfRule type="expression" dxfId="6" priority="10">
      <formula>#REF!=2</formula>
    </cfRule>
  </conditionalFormatting>
  <conditionalFormatting sqref="E55:E57">
    <cfRule type="expression" dxfId="5" priority="4">
      <formula>#REF!=2</formula>
    </cfRule>
  </conditionalFormatting>
  <conditionalFormatting sqref="E58:F60">
    <cfRule type="expression" dxfId="4" priority="11">
      <formula>#REF!=2</formula>
    </cfRule>
  </conditionalFormatting>
  <conditionalFormatting sqref="F54:F57">
    <cfRule type="expression" dxfId="3" priority="9">
      <formula>#REF!=2</formula>
    </cfRule>
  </conditionalFormatting>
  <pageMargins left="0.7" right="0.7" top="0.75" bottom="0.75" header="0.3" footer="0.3"/>
  <pageSetup scale="26" fitToHeight="11"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400-000000000000}">
          <x14:formula1>
            <xm:f>'N.1a LGERS Data CY'!$B$907:$B$1807</xm:f>
          </x14:formula1>
          <xm:sqref>C15</xm:sqref>
        </x14:dataValidation>
        <x14:dataValidation type="list" allowBlank="1" showInputMessage="1" showErrorMessage="1" xr:uid="{00000000-0002-0000-1400-000001000000}">
          <x14:formula1>
            <xm:f>'N.1a 2018 summary'!$B$912:$B$1813</xm:f>
          </x14:formula1>
          <xm:sqref>C13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V1812"/>
  <sheetViews>
    <sheetView workbookViewId="0"/>
  </sheetViews>
  <sheetFormatPr defaultColWidth="9.140625" defaultRowHeight="15" x14ac:dyDescent="0.25"/>
  <cols>
    <col min="1" max="1" width="15.28515625" style="701" customWidth="1"/>
    <col min="2" max="2" width="39.5703125" style="701" customWidth="1"/>
    <col min="3" max="5" width="13.85546875" style="701" customWidth="1"/>
    <col min="6" max="6" width="13.42578125" style="701" customWidth="1"/>
    <col min="7" max="7" width="18.28515625" style="701" customWidth="1"/>
    <col min="8" max="8" width="1.5703125" style="701" customWidth="1"/>
    <col min="9" max="9" width="18.28515625" style="701" customWidth="1"/>
    <col min="10" max="10" width="20" style="701" customWidth="1"/>
    <col min="11" max="11" width="14.42578125" style="701" customWidth="1"/>
    <col min="12" max="12" width="19.42578125" style="701" customWidth="1"/>
    <col min="13" max="13" width="3" style="701" customWidth="1"/>
    <col min="14" max="14" width="18.28515625" style="701" customWidth="1"/>
    <col min="15" max="15" width="20" style="701" customWidth="1"/>
    <col min="16" max="16" width="9.140625" style="701" customWidth="1"/>
    <col min="17" max="17" width="19.42578125" style="701" customWidth="1"/>
    <col min="18" max="18" width="14" style="701" customWidth="1"/>
    <col min="19" max="19" width="2.42578125" style="701" customWidth="1"/>
    <col min="20" max="20" width="13.85546875" style="701" customWidth="1"/>
    <col min="21" max="21" width="22.42578125" style="701" customWidth="1"/>
    <col min="22" max="22" width="14.28515625" style="701" customWidth="1"/>
    <col min="23" max="16384" width="9.140625" style="701"/>
  </cols>
  <sheetData>
    <row r="1" spans="1:22" x14ac:dyDescent="0.25">
      <c r="A1" s="701" t="s">
        <v>3838</v>
      </c>
    </row>
    <row r="2" spans="1:22" x14ac:dyDescent="0.25">
      <c r="A2" s="701" t="s">
        <v>3839</v>
      </c>
    </row>
    <row r="4" spans="1:22" x14ac:dyDescent="0.25">
      <c r="A4" s="704" t="s">
        <v>2544</v>
      </c>
      <c r="I4" s="731" t="s">
        <v>1131</v>
      </c>
      <c r="J4" s="731"/>
      <c r="K4" s="731"/>
      <c r="L4" s="731"/>
      <c r="N4" s="731" t="s">
        <v>1132</v>
      </c>
      <c r="O4" s="731"/>
      <c r="P4" s="731"/>
      <c r="Q4" s="731"/>
      <c r="T4" s="731" t="s">
        <v>1133</v>
      </c>
      <c r="U4" s="731"/>
      <c r="V4" s="731"/>
    </row>
    <row r="5" spans="1:22" ht="165" x14ac:dyDescent="0.25">
      <c r="A5" s="713" t="s">
        <v>920</v>
      </c>
      <c r="B5" s="713" t="s">
        <v>1134</v>
      </c>
      <c r="C5" s="713" t="s">
        <v>2090</v>
      </c>
      <c r="D5" s="713" t="s">
        <v>2091</v>
      </c>
      <c r="E5" s="713" t="s">
        <v>2545</v>
      </c>
      <c r="F5" s="713" t="s">
        <v>2546</v>
      </c>
      <c r="G5" s="713" t="s">
        <v>1135</v>
      </c>
      <c r="H5" s="713"/>
      <c r="I5" s="713" t="s">
        <v>1136</v>
      </c>
      <c r="J5" s="713" t="s">
        <v>1137</v>
      </c>
      <c r="K5" s="713" t="s">
        <v>1138</v>
      </c>
      <c r="L5" s="713" t="s">
        <v>1139</v>
      </c>
      <c r="M5" s="713"/>
      <c r="N5" s="713" t="s">
        <v>1136</v>
      </c>
      <c r="O5" s="713" t="s">
        <v>1137</v>
      </c>
      <c r="P5" s="713" t="s">
        <v>1138</v>
      </c>
      <c r="Q5" s="713" t="s">
        <v>1139</v>
      </c>
      <c r="R5" s="713" t="s">
        <v>3840</v>
      </c>
      <c r="S5" s="713"/>
      <c r="T5" s="713" t="s">
        <v>1140</v>
      </c>
      <c r="U5" s="713" t="s">
        <v>1141</v>
      </c>
      <c r="V5" s="713" t="s">
        <v>1142</v>
      </c>
    </row>
    <row r="6" spans="1:22" x14ac:dyDescent="0.25">
      <c r="A6" s="713" t="s">
        <v>480</v>
      </c>
      <c r="B6" s="714" t="s">
        <v>2094</v>
      </c>
      <c r="C6" s="719"/>
      <c r="D6" s="719"/>
      <c r="E6" s="719"/>
      <c r="F6" s="719"/>
      <c r="G6" s="719"/>
      <c r="H6" s="713"/>
      <c r="I6" s="719"/>
      <c r="J6" s="719"/>
      <c r="K6" s="719"/>
      <c r="L6" s="719"/>
      <c r="M6" s="732"/>
      <c r="N6" s="719"/>
      <c r="O6" s="719"/>
      <c r="P6" s="719"/>
      <c r="Q6" s="719"/>
      <c r="R6" s="719">
        <f>IF(J6&gt;O6,J6-O6,O6-J6)</f>
        <v>0</v>
      </c>
      <c r="S6" s="719"/>
      <c r="T6" s="719"/>
      <c r="U6" s="719"/>
      <c r="V6" s="719"/>
    </row>
    <row r="7" spans="1:22" x14ac:dyDescent="0.25">
      <c r="A7" s="715">
        <v>70505</v>
      </c>
      <c r="B7" s="716" t="s">
        <v>2547</v>
      </c>
      <c r="C7" s="717">
        <v>4.6880000000000001E-4</v>
      </c>
      <c r="D7" s="717">
        <v>5.0319999999999998E-4</v>
      </c>
      <c r="E7" s="718">
        <v>186822</v>
      </c>
      <c r="F7" s="718">
        <v>225833</v>
      </c>
      <c r="G7" s="718">
        <v>994951</v>
      </c>
      <c r="H7" s="718"/>
      <c r="I7" s="719">
        <v>18693</v>
      </c>
      <c r="J7" s="719">
        <v>871894</v>
      </c>
      <c r="K7" s="719">
        <v>68145</v>
      </c>
      <c r="L7" s="718">
        <v>0</v>
      </c>
      <c r="M7" s="718"/>
      <c r="N7" s="719">
        <v>34864</v>
      </c>
      <c r="O7" s="719">
        <v>321812</v>
      </c>
      <c r="P7" s="719">
        <v>0</v>
      </c>
      <c r="Q7" s="718">
        <v>31773</v>
      </c>
      <c r="R7" s="719">
        <f t="shared" ref="R7:R70" si="0">IF(J7&gt;O7,J7-O7,O7-J7)</f>
        <v>550082</v>
      </c>
      <c r="S7" s="718"/>
      <c r="T7" s="719">
        <v>265936</v>
      </c>
      <c r="U7" s="721">
        <v>-10267</v>
      </c>
      <c r="V7" s="721">
        <v>255668</v>
      </c>
    </row>
    <row r="8" spans="1:22" x14ac:dyDescent="0.25">
      <c r="A8" s="715">
        <v>71786</v>
      </c>
      <c r="B8" s="716" t="s">
        <v>2548</v>
      </c>
      <c r="C8" s="717">
        <v>4.3600000000000003E-5</v>
      </c>
      <c r="D8" s="717">
        <v>4.3699999999999998E-5</v>
      </c>
      <c r="E8" s="718">
        <v>14646.29</v>
      </c>
      <c r="F8" s="718">
        <v>19612</v>
      </c>
      <c r="G8" s="718">
        <v>92534</v>
      </c>
      <c r="H8" s="718"/>
      <c r="I8" s="719">
        <v>1739</v>
      </c>
      <c r="J8" s="719">
        <v>81089</v>
      </c>
      <c r="K8" s="719">
        <v>6338</v>
      </c>
      <c r="L8" s="718">
        <v>0</v>
      </c>
      <c r="M8" s="718"/>
      <c r="N8" s="719">
        <v>3242</v>
      </c>
      <c r="O8" s="719">
        <v>29930</v>
      </c>
      <c r="P8" s="719">
        <v>0</v>
      </c>
      <c r="Q8" s="718">
        <v>6350</v>
      </c>
      <c r="R8" s="719">
        <f t="shared" si="0"/>
        <v>51159</v>
      </c>
      <c r="S8" s="718"/>
      <c r="T8" s="719">
        <v>24733</v>
      </c>
      <c r="U8" s="721">
        <v>-2337</v>
      </c>
      <c r="V8" s="721">
        <v>22396</v>
      </c>
    </row>
    <row r="9" spans="1:22" x14ac:dyDescent="0.25">
      <c r="A9" s="715">
        <v>72265</v>
      </c>
      <c r="B9" s="716" t="s">
        <v>2549</v>
      </c>
      <c r="C9" s="717">
        <v>1.327E-4</v>
      </c>
      <c r="D9" s="717">
        <v>1.3329999999999999E-4</v>
      </c>
      <c r="E9" s="718">
        <v>48905</v>
      </c>
      <c r="F9" s="718">
        <v>59824</v>
      </c>
      <c r="G9" s="718">
        <v>281634</v>
      </c>
      <c r="H9" s="718"/>
      <c r="I9" s="719">
        <v>5291</v>
      </c>
      <c r="J9" s="719">
        <v>246801</v>
      </c>
      <c r="K9" s="719">
        <v>19289</v>
      </c>
      <c r="L9" s="718">
        <v>7214</v>
      </c>
      <c r="M9" s="718"/>
      <c r="N9" s="719">
        <v>9869</v>
      </c>
      <c r="O9" s="719">
        <v>91093</v>
      </c>
      <c r="P9" s="719">
        <v>0</v>
      </c>
      <c r="Q9" s="718">
        <v>5063</v>
      </c>
      <c r="R9" s="719">
        <f t="shared" si="0"/>
        <v>155708</v>
      </c>
      <c r="S9" s="718"/>
      <c r="T9" s="719">
        <v>75277</v>
      </c>
      <c r="U9" s="721">
        <v>2291</v>
      </c>
      <c r="V9" s="721">
        <v>77567</v>
      </c>
    </row>
    <row r="10" spans="1:22" x14ac:dyDescent="0.25">
      <c r="A10" s="715">
        <v>72657</v>
      </c>
      <c r="B10" s="716" t="s">
        <v>2550</v>
      </c>
      <c r="C10" s="717">
        <v>4.2799999999999997E-5</v>
      </c>
      <c r="D10" s="717">
        <v>4.0800000000000002E-5</v>
      </c>
      <c r="E10" s="718">
        <v>15356.17</v>
      </c>
      <c r="F10" s="718">
        <v>18311</v>
      </c>
      <c r="G10" s="718">
        <v>90836</v>
      </c>
      <c r="H10" s="718"/>
      <c r="I10" s="719">
        <v>1707</v>
      </c>
      <c r="J10" s="719">
        <v>79601</v>
      </c>
      <c r="K10" s="719">
        <v>6221</v>
      </c>
      <c r="L10" s="718">
        <v>6577</v>
      </c>
      <c r="M10" s="718"/>
      <c r="N10" s="719">
        <v>3183</v>
      </c>
      <c r="O10" s="719">
        <v>29380</v>
      </c>
      <c r="P10" s="719">
        <v>0</v>
      </c>
      <c r="Q10" s="718">
        <v>4643</v>
      </c>
      <c r="R10" s="719">
        <f t="shared" si="0"/>
        <v>50221</v>
      </c>
      <c r="S10" s="718"/>
      <c r="T10" s="719">
        <v>24279</v>
      </c>
      <c r="U10" s="721">
        <v>1725</v>
      </c>
      <c r="V10" s="721">
        <v>26005</v>
      </c>
    </row>
    <row r="11" spans="1:22" x14ac:dyDescent="0.25">
      <c r="A11" s="715">
        <v>90001</v>
      </c>
      <c r="B11" s="716" t="s">
        <v>2551</v>
      </c>
      <c r="C11" s="717">
        <v>8.6910000000000004E-4</v>
      </c>
      <c r="D11" s="717">
        <v>8.2339999999999996E-4</v>
      </c>
      <c r="E11" s="718">
        <v>342848</v>
      </c>
      <c r="F11" s="718">
        <v>369537</v>
      </c>
      <c r="G11" s="718">
        <v>1844521</v>
      </c>
      <c r="H11" s="718"/>
      <c r="I11" s="719">
        <v>34655</v>
      </c>
      <c r="J11" s="719">
        <v>1616389</v>
      </c>
      <c r="K11" s="719">
        <v>126333</v>
      </c>
      <c r="L11" s="718">
        <v>17611</v>
      </c>
      <c r="M11" s="718"/>
      <c r="N11" s="719">
        <v>64634</v>
      </c>
      <c r="O11" s="719">
        <v>596601</v>
      </c>
      <c r="P11" s="719">
        <v>0</v>
      </c>
      <c r="Q11" s="718">
        <v>4549</v>
      </c>
      <c r="R11" s="719">
        <f t="shared" si="0"/>
        <v>1019788</v>
      </c>
      <c r="S11" s="718"/>
      <c r="T11" s="719">
        <v>493013</v>
      </c>
      <c r="U11" s="721">
        <v>4026</v>
      </c>
      <c r="V11" s="721">
        <v>497039</v>
      </c>
    </row>
    <row r="12" spans="1:22" x14ac:dyDescent="0.25">
      <c r="A12" s="715">
        <v>90002</v>
      </c>
      <c r="B12" s="716" t="s">
        <v>2552</v>
      </c>
      <c r="C12" s="717">
        <v>1.15E-5</v>
      </c>
      <c r="D12" s="717">
        <v>1.15E-5</v>
      </c>
      <c r="E12" s="718">
        <v>5945</v>
      </c>
      <c r="F12" s="718">
        <v>5161</v>
      </c>
      <c r="G12" s="718">
        <v>24407</v>
      </c>
      <c r="H12" s="718"/>
      <c r="I12" s="719">
        <v>458.5625</v>
      </c>
      <c r="J12" s="719">
        <v>21388</v>
      </c>
      <c r="K12" s="719">
        <v>1672</v>
      </c>
      <c r="L12" s="718">
        <v>1428</v>
      </c>
      <c r="M12" s="718"/>
      <c r="N12" s="719">
        <v>855</v>
      </c>
      <c r="O12" s="719">
        <v>7894</v>
      </c>
      <c r="P12" s="719">
        <v>0</v>
      </c>
      <c r="Q12" s="718">
        <v>0</v>
      </c>
      <c r="R12" s="719">
        <f t="shared" si="0"/>
        <v>13494</v>
      </c>
      <c r="S12" s="718"/>
      <c r="T12" s="719">
        <v>6524</v>
      </c>
      <c r="U12" s="721">
        <v>436</v>
      </c>
      <c r="V12" s="721">
        <v>6960</v>
      </c>
    </row>
    <row r="13" spans="1:22" x14ac:dyDescent="0.25">
      <c r="A13" s="715">
        <v>90011</v>
      </c>
      <c r="B13" s="716" t="s">
        <v>2553</v>
      </c>
      <c r="C13" s="717">
        <v>2.0819999999999999E-4</v>
      </c>
      <c r="D13" s="717">
        <v>2.2800000000000001E-4</v>
      </c>
      <c r="E13" s="718">
        <v>74534</v>
      </c>
      <c r="F13" s="718">
        <v>102325</v>
      </c>
      <c r="G13" s="718">
        <v>441870</v>
      </c>
      <c r="H13" s="718"/>
      <c r="I13" s="719">
        <v>8302</v>
      </c>
      <c r="J13" s="719">
        <v>387219</v>
      </c>
      <c r="K13" s="719">
        <v>30264</v>
      </c>
      <c r="L13" s="718">
        <v>4623</v>
      </c>
      <c r="M13" s="718"/>
      <c r="N13" s="719">
        <v>15484</v>
      </c>
      <c r="O13" s="719">
        <v>142921</v>
      </c>
      <c r="P13" s="719">
        <v>0</v>
      </c>
      <c r="Q13" s="718">
        <v>24562</v>
      </c>
      <c r="R13" s="719">
        <f t="shared" si="0"/>
        <v>244298</v>
      </c>
      <c r="S13" s="718"/>
      <c r="T13" s="719">
        <v>118105</v>
      </c>
      <c r="U13" s="721">
        <v>-4521</v>
      </c>
      <c r="V13" s="721">
        <v>113585</v>
      </c>
    </row>
    <row r="14" spans="1:22" x14ac:dyDescent="0.25">
      <c r="A14" s="715">
        <v>90092</v>
      </c>
      <c r="B14" s="716" t="s">
        <v>2554</v>
      </c>
      <c r="C14" s="717">
        <v>3.946E-4</v>
      </c>
      <c r="D14" s="717">
        <v>4.8670000000000001E-4</v>
      </c>
      <c r="E14" s="718">
        <v>169426.22</v>
      </c>
      <c r="F14" s="718">
        <v>218428</v>
      </c>
      <c r="G14" s="718">
        <v>837473</v>
      </c>
      <c r="H14" s="718"/>
      <c r="I14" s="719">
        <v>15735</v>
      </c>
      <c r="J14" s="719">
        <v>733894</v>
      </c>
      <c r="K14" s="719">
        <v>57359</v>
      </c>
      <c r="L14" s="718">
        <v>0</v>
      </c>
      <c r="M14" s="718"/>
      <c r="N14" s="719">
        <v>29346</v>
      </c>
      <c r="O14" s="719">
        <v>270876</v>
      </c>
      <c r="P14" s="719">
        <v>0</v>
      </c>
      <c r="Q14" s="718">
        <v>115870</v>
      </c>
      <c r="R14" s="719">
        <f t="shared" si="0"/>
        <v>463018</v>
      </c>
      <c r="S14" s="718"/>
      <c r="T14" s="719">
        <v>223844</v>
      </c>
      <c r="U14" s="721">
        <v>-40775</v>
      </c>
      <c r="V14" s="721">
        <v>183070</v>
      </c>
    </row>
    <row r="15" spans="1:22" x14ac:dyDescent="0.25">
      <c r="A15" s="715">
        <v>90096</v>
      </c>
      <c r="B15" s="716" t="s">
        <v>2555</v>
      </c>
      <c r="C15" s="717">
        <v>1.3860999999999999E-3</v>
      </c>
      <c r="D15" s="717">
        <v>1.4866E-3</v>
      </c>
      <c r="E15" s="718">
        <v>582268</v>
      </c>
      <c r="F15" s="718">
        <v>667177</v>
      </c>
      <c r="G15" s="718">
        <v>2941769</v>
      </c>
      <c r="H15" s="718"/>
      <c r="I15" s="719">
        <v>55271</v>
      </c>
      <c r="J15" s="719">
        <v>2577927</v>
      </c>
      <c r="K15" s="719">
        <v>201485</v>
      </c>
      <c r="L15" s="718">
        <v>79002</v>
      </c>
      <c r="M15" s="718"/>
      <c r="N15" s="719">
        <v>103083</v>
      </c>
      <c r="O15" s="719">
        <v>951499</v>
      </c>
      <c r="P15" s="719">
        <v>0</v>
      </c>
      <c r="Q15" s="718">
        <v>44718</v>
      </c>
      <c r="R15" s="719">
        <f t="shared" si="0"/>
        <v>1626428</v>
      </c>
      <c r="S15" s="718"/>
      <c r="T15" s="719">
        <v>786292</v>
      </c>
      <c r="U15" s="721">
        <v>23820</v>
      </c>
      <c r="V15" s="721">
        <v>810111</v>
      </c>
    </row>
    <row r="16" spans="1:22" x14ac:dyDescent="0.25">
      <c r="A16" s="715">
        <v>90098</v>
      </c>
      <c r="B16" s="716" t="s">
        <v>2556</v>
      </c>
      <c r="C16" s="717">
        <v>2.9280000000000002E-4</v>
      </c>
      <c r="D16" s="717">
        <v>5.0869999999999995E-4</v>
      </c>
      <c r="E16" s="718">
        <v>129330</v>
      </c>
      <c r="F16" s="718">
        <v>228302</v>
      </c>
      <c r="G16" s="718">
        <v>621420</v>
      </c>
      <c r="H16" s="718"/>
      <c r="I16" s="719">
        <v>11675</v>
      </c>
      <c r="J16" s="719">
        <v>544562</v>
      </c>
      <c r="K16" s="719">
        <v>42562</v>
      </c>
      <c r="L16" s="718">
        <v>0</v>
      </c>
      <c r="M16" s="718"/>
      <c r="N16" s="719">
        <v>21775</v>
      </c>
      <c r="O16" s="719">
        <v>200995</v>
      </c>
      <c r="P16" s="719">
        <v>0</v>
      </c>
      <c r="Q16" s="718">
        <v>163662</v>
      </c>
      <c r="R16" s="719">
        <f t="shared" si="0"/>
        <v>343567</v>
      </c>
      <c r="S16" s="718"/>
      <c r="T16" s="719">
        <v>166096</v>
      </c>
      <c r="U16" s="721">
        <v>-52769</v>
      </c>
      <c r="V16" s="721">
        <v>113327</v>
      </c>
    </row>
    <row r="17" spans="1:22" x14ac:dyDescent="0.25">
      <c r="A17" s="715">
        <v>90099</v>
      </c>
      <c r="B17" s="716" t="s">
        <v>2557</v>
      </c>
      <c r="C17" s="717">
        <v>4.9330000000000001E-4</v>
      </c>
      <c r="D17" s="717">
        <v>5.9599999999999996E-4</v>
      </c>
      <c r="E17" s="718">
        <v>207476.25</v>
      </c>
      <c r="F17" s="718">
        <v>267481</v>
      </c>
      <c r="G17" s="718">
        <v>1046948</v>
      </c>
      <c r="H17" s="718"/>
      <c r="I17" s="719">
        <v>19670</v>
      </c>
      <c r="J17" s="719">
        <v>917460</v>
      </c>
      <c r="K17" s="719">
        <v>71707</v>
      </c>
      <c r="L17" s="718">
        <v>4838</v>
      </c>
      <c r="M17" s="718"/>
      <c r="N17" s="719">
        <v>36686</v>
      </c>
      <c r="O17" s="719">
        <v>338630</v>
      </c>
      <c r="P17" s="719">
        <v>0</v>
      </c>
      <c r="Q17" s="718">
        <v>60491</v>
      </c>
      <c r="R17" s="719">
        <f t="shared" si="0"/>
        <v>578830</v>
      </c>
      <c r="S17" s="718"/>
      <c r="T17" s="719">
        <v>279834</v>
      </c>
      <c r="U17" s="721">
        <v>-14054</v>
      </c>
      <c r="V17" s="721">
        <v>265780</v>
      </c>
    </row>
    <row r="18" spans="1:22" x14ac:dyDescent="0.25">
      <c r="A18" s="715">
        <v>90101</v>
      </c>
      <c r="B18" s="716" t="s">
        <v>2558</v>
      </c>
      <c r="C18" s="717">
        <v>6.3996000000000001E-3</v>
      </c>
      <c r="D18" s="717">
        <v>6.1599000000000003E-3</v>
      </c>
      <c r="E18" s="718">
        <v>2594375.06</v>
      </c>
      <c r="F18" s="718">
        <v>2764526</v>
      </c>
      <c r="G18" s="718">
        <v>13582095</v>
      </c>
      <c r="H18" s="718"/>
      <c r="I18" s="719">
        <v>255184</v>
      </c>
      <c r="J18" s="719">
        <v>11902245</v>
      </c>
      <c r="K18" s="719">
        <v>930252</v>
      </c>
      <c r="L18" s="718">
        <v>229062</v>
      </c>
      <c r="M18" s="718"/>
      <c r="N18" s="719">
        <v>475932</v>
      </c>
      <c r="O18" s="719">
        <v>4393057</v>
      </c>
      <c r="P18" s="719">
        <v>0</v>
      </c>
      <c r="Q18" s="718">
        <v>51491</v>
      </c>
      <c r="R18" s="719">
        <f t="shared" si="0"/>
        <v>7509188</v>
      </c>
      <c r="S18" s="718"/>
      <c r="T18" s="719">
        <v>3630295</v>
      </c>
      <c r="U18" s="721">
        <v>45786</v>
      </c>
      <c r="V18" s="721">
        <v>3676081</v>
      </c>
    </row>
    <row r="19" spans="1:22" x14ac:dyDescent="0.25">
      <c r="A19" s="715">
        <v>90111</v>
      </c>
      <c r="B19" s="716" t="s">
        <v>2559</v>
      </c>
      <c r="C19" s="717">
        <v>4.8874000000000001E-3</v>
      </c>
      <c r="D19" s="717">
        <v>4.9893000000000003E-3</v>
      </c>
      <c r="E19" s="718">
        <v>1973481.4</v>
      </c>
      <c r="F19" s="718">
        <v>2239168</v>
      </c>
      <c r="G19" s="718">
        <v>10372700</v>
      </c>
      <c r="H19" s="718"/>
      <c r="I19" s="719">
        <v>194885</v>
      </c>
      <c r="J19" s="719">
        <v>9089792</v>
      </c>
      <c r="K19" s="719">
        <v>710437</v>
      </c>
      <c r="L19" s="718">
        <v>0</v>
      </c>
      <c r="M19" s="718"/>
      <c r="N19" s="719">
        <v>363471</v>
      </c>
      <c r="O19" s="719">
        <v>3354995</v>
      </c>
      <c r="P19" s="719">
        <v>0</v>
      </c>
      <c r="Q19" s="718">
        <v>163983</v>
      </c>
      <c r="R19" s="719">
        <f t="shared" si="0"/>
        <v>5734797</v>
      </c>
      <c r="S19" s="718"/>
      <c r="T19" s="719">
        <v>2772471</v>
      </c>
      <c r="U19" s="721">
        <v>-57381</v>
      </c>
      <c r="V19" s="721">
        <v>2715090</v>
      </c>
    </row>
    <row r="20" spans="1:22" x14ac:dyDescent="0.25">
      <c r="A20" s="715">
        <v>90114</v>
      </c>
      <c r="B20" s="716" t="s">
        <v>2560</v>
      </c>
      <c r="C20" s="717">
        <v>1.0681E-3</v>
      </c>
      <c r="D20" s="717">
        <v>1.0043000000000001E-3</v>
      </c>
      <c r="E20" s="718">
        <v>1022992</v>
      </c>
      <c r="F20" s="718">
        <v>450724</v>
      </c>
      <c r="G20" s="718">
        <v>2266866</v>
      </c>
      <c r="H20" s="718"/>
      <c r="I20" s="719">
        <v>42590</v>
      </c>
      <c r="J20" s="719">
        <v>1986497</v>
      </c>
      <c r="K20" s="719">
        <v>155260</v>
      </c>
      <c r="L20" s="718">
        <v>821100</v>
      </c>
      <c r="M20" s="718"/>
      <c r="N20" s="719">
        <v>79434</v>
      </c>
      <c r="O20" s="719">
        <v>733206</v>
      </c>
      <c r="P20" s="719">
        <v>0</v>
      </c>
      <c r="Q20" s="718">
        <v>0</v>
      </c>
      <c r="R20" s="719">
        <f t="shared" si="0"/>
        <v>1253291</v>
      </c>
      <c r="S20" s="718"/>
      <c r="T20" s="719">
        <v>605900</v>
      </c>
      <c r="U20" s="721">
        <v>245765</v>
      </c>
      <c r="V20" s="721">
        <v>851665</v>
      </c>
    </row>
    <row r="21" spans="1:22" x14ac:dyDescent="0.25">
      <c r="A21" s="715">
        <v>90117</v>
      </c>
      <c r="B21" s="716" t="s">
        <v>2561</v>
      </c>
      <c r="C21" s="717">
        <v>1.35E-4</v>
      </c>
      <c r="D21" s="717">
        <v>1.3019999999999999E-4</v>
      </c>
      <c r="E21" s="718">
        <v>78954</v>
      </c>
      <c r="F21" s="718">
        <v>58433</v>
      </c>
      <c r="G21" s="718">
        <v>286515</v>
      </c>
      <c r="H21" s="718"/>
      <c r="I21" s="719">
        <v>5383.125</v>
      </c>
      <c r="J21" s="719">
        <v>251078.67</v>
      </c>
      <c r="K21" s="719">
        <v>19624</v>
      </c>
      <c r="L21" s="718">
        <v>42554</v>
      </c>
      <c r="M21" s="718"/>
      <c r="N21" s="719">
        <v>10040</v>
      </c>
      <c r="O21" s="719">
        <v>92671.83</v>
      </c>
      <c r="P21" s="719">
        <v>0</v>
      </c>
      <c r="Q21" s="718">
        <v>0</v>
      </c>
      <c r="R21" s="719">
        <f t="shared" si="0"/>
        <v>158407</v>
      </c>
      <c r="S21" s="718"/>
      <c r="T21" s="719">
        <v>76581</v>
      </c>
      <c r="U21" s="721">
        <v>14293</v>
      </c>
      <c r="V21" s="721">
        <v>90874</v>
      </c>
    </row>
    <row r="22" spans="1:22" x14ac:dyDescent="0.25">
      <c r="A22" s="715">
        <v>90121</v>
      </c>
      <c r="B22" s="716" t="s">
        <v>2562</v>
      </c>
      <c r="C22" s="717">
        <v>1.0789E-3</v>
      </c>
      <c r="D22" s="717">
        <v>1.1057E-3</v>
      </c>
      <c r="E22" s="718">
        <v>394126</v>
      </c>
      <c r="F22" s="718">
        <v>496232</v>
      </c>
      <c r="G22" s="718">
        <v>2289787</v>
      </c>
      <c r="H22" s="718"/>
      <c r="I22" s="719">
        <v>43021</v>
      </c>
      <c r="J22" s="719">
        <v>2006584</v>
      </c>
      <c r="K22" s="719">
        <v>156830</v>
      </c>
      <c r="L22" s="718">
        <v>6521</v>
      </c>
      <c r="M22" s="718"/>
      <c r="N22" s="719">
        <v>80237</v>
      </c>
      <c r="O22" s="719">
        <v>740620</v>
      </c>
      <c r="P22" s="719">
        <v>0</v>
      </c>
      <c r="Q22" s="718">
        <v>74370</v>
      </c>
      <c r="R22" s="719">
        <f t="shared" si="0"/>
        <v>1265964</v>
      </c>
      <c r="S22" s="718"/>
      <c r="T22" s="719">
        <v>612027</v>
      </c>
      <c r="U22" s="721">
        <v>-17947</v>
      </c>
      <c r="V22" s="721">
        <v>594079</v>
      </c>
    </row>
    <row r="23" spans="1:22" x14ac:dyDescent="0.25">
      <c r="A23" s="715">
        <v>90131</v>
      </c>
      <c r="B23" s="716" t="s">
        <v>2563</v>
      </c>
      <c r="C23" s="717">
        <v>5.0440000000000001E-4</v>
      </c>
      <c r="D23" s="717">
        <v>4.727E-4</v>
      </c>
      <c r="E23" s="718">
        <v>173703</v>
      </c>
      <c r="F23" s="718">
        <v>212145</v>
      </c>
      <c r="G23" s="718">
        <v>1070506</v>
      </c>
      <c r="H23" s="718"/>
      <c r="I23" s="719">
        <v>20112.95</v>
      </c>
      <c r="J23" s="719">
        <v>938104</v>
      </c>
      <c r="K23" s="719">
        <v>73320</v>
      </c>
      <c r="L23" s="718">
        <v>0</v>
      </c>
      <c r="M23" s="718"/>
      <c r="N23" s="719">
        <v>37512</v>
      </c>
      <c r="O23" s="719">
        <v>346249</v>
      </c>
      <c r="P23" s="719">
        <v>0</v>
      </c>
      <c r="Q23" s="718">
        <v>23072</v>
      </c>
      <c r="R23" s="719">
        <f t="shared" si="0"/>
        <v>591855</v>
      </c>
      <c r="S23" s="718"/>
      <c r="T23" s="719">
        <v>286130</v>
      </c>
      <c r="U23" s="721">
        <v>-8951</v>
      </c>
      <c r="V23" s="721">
        <v>277180</v>
      </c>
    </row>
    <row r="24" spans="1:22" x14ac:dyDescent="0.25">
      <c r="A24" s="715">
        <v>90141</v>
      </c>
      <c r="B24" s="716" t="s">
        <v>2564</v>
      </c>
      <c r="C24" s="717">
        <v>1.306E-4</v>
      </c>
      <c r="D24" s="717">
        <v>1.5919999999999999E-4</v>
      </c>
      <c r="E24" s="718">
        <v>55925.87</v>
      </c>
      <c r="F24" s="718">
        <v>71448</v>
      </c>
      <c r="G24" s="718">
        <v>277177</v>
      </c>
      <c r="H24" s="718"/>
      <c r="I24" s="719">
        <v>5208</v>
      </c>
      <c r="J24" s="719">
        <v>242895</v>
      </c>
      <c r="K24" s="719">
        <v>18984</v>
      </c>
      <c r="L24" s="718">
        <v>2143</v>
      </c>
      <c r="M24" s="718"/>
      <c r="N24" s="719">
        <v>9713</v>
      </c>
      <c r="O24" s="719">
        <v>89651</v>
      </c>
      <c r="P24" s="719">
        <v>0</v>
      </c>
      <c r="Q24" s="718">
        <v>13732</v>
      </c>
      <c r="R24" s="719">
        <f t="shared" si="0"/>
        <v>153244</v>
      </c>
      <c r="S24" s="718"/>
      <c r="T24" s="719">
        <v>74085</v>
      </c>
      <c r="U24" s="721">
        <v>-2701</v>
      </c>
      <c r="V24" s="721">
        <v>71385</v>
      </c>
    </row>
    <row r="25" spans="1:22" x14ac:dyDescent="0.25">
      <c r="A25" s="715">
        <v>90151</v>
      </c>
      <c r="B25" s="716" t="s">
        <v>2565</v>
      </c>
      <c r="C25" s="717">
        <v>1.0000000000000001E-5</v>
      </c>
      <c r="D25" s="717">
        <v>9.7999999999999993E-6</v>
      </c>
      <c r="E25" s="718">
        <v>2703</v>
      </c>
      <c r="F25" s="718">
        <v>4398</v>
      </c>
      <c r="G25" s="718">
        <v>21223</v>
      </c>
      <c r="H25" s="718"/>
      <c r="I25" s="719">
        <v>399</v>
      </c>
      <c r="J25" s="719">
        <v>18598</v>
      </c>
      <c r="K25" s="719">
        <v>1454</v>
      </c>
      <c r="L25" s="718">
        <v>0</v>
      </c>
      <c r="M25" s="718"/>
      <c r="N25" s="719">
        <v>743.69</v>
      </c>
      <c r="O25" s="719">
        <v>6865</v>
      </c>
      <c r="P25" s="719">
        <v>0</v>
      </c>
      <c r="Q25" s="718">
        <v>2266</v>
      </c>
      <c r="R25" s="719">
        <f t="shared" si="0"/>
        <v>11733</v>
      </c>
      <c r="S25" s="718"/>
      <c r="T25" s="719">
        <v>5673</v>
      </c>
      <c r="U25" s="721">
        <v>-782</v>
      </c>
      <c r="V25" s="721">
        <v>4891</v>
      </c>
    </row>
    <row r="26" spans="1:22" x14ac:dyDescent="0.25">
      <c r="A26" s="715">
        <v>90161</v>
      </c>
      <c r="B26" s="716" t="s">
        <v>2566</v>
      </c>
      <c r="C26" s="717">
        <v>3.4799999999999999E-5</v>
      </c>
      <c r="D26" s="717">
        <v>2.6299999999999999E-5</v>
      </c>
      <c r="E26" s="718">
        <v>13115.62</v>
      </c>
      <c r="F26" s="718">
        <v>11803</v>
      </c>
      <c r="G26" s="718">
        <v>73857</v>
      </c>
      <c r="H26" s="718"/>
      <c r="I26" s="719">
        <v>1388</v>
      </c>
      <c r="J26" s="719">
        <v>64723</v>
      </c>
      <c r="K26" s="719">
        <v>5059</v>
      </c>
      <c r="L26" s="718">
        <v>5728</v>
      </c>
      <c r="M26" s="718"/>
      <c r="N26" s="719">
        <v>2588</v>
      </c>
      <c r="O26" s="719">
        <v>23889</v>
      </c>
      <c r="P26" s="719">
        <v>0</v>
      </c>
      <c r="Q26" s="718">
        <v>0</v>
      </c>
      <c r="R26" s="719">
        <f t="shared" si="0"/>
        <v>40834</v>
      </c>
      <c r="S26" s="718"/>
      <c r="T26" s="719">
        <v>19741</v>
      </c>
      <c r="U26" s="721">
        <v>1706</v>
      </c>
      <c r="V26" s="721">
        <v>21447</v>
      </c>
    </row>
    <row r="27" spans="1:22" x14ac:dyDescent="0.25">
      <c r="A27" s="715">
        <v>90201</v>
      </c>
      <c r="B27" s="716" t="s">
        <v>2567</v>
      </c>
      <c r="C27" s="717">
        <v>1.2419E-3</v>
      </c>
      <c r="D27" s="717">
        <v>1.1842999999999999E-3</v>
      </c>
      <c r="E27" s="718">
        <v>470870</v>
      </c>
      <c r="F27" s="718">
        <v>531507</v>
      </c>
      <c r="G27" s="718">
        <v>2635728</v>
      </c>
      <c r="H27" s="718"/>
      <c r="I27" s="719">
        <v>49521</v>
      </c>
      <c r="J27" s="719">
        <v>2309738</v>
      </c>
      <c r="K27" s="719">
        <v>180524</v>
      </c>
      <c r="L27" s="718">
        <v>70694</v>
      </c>
      <c r="M27" s="718"/>
      <c r="N27" s="719">
        <v>92359</v>
      </c>
      <c r="O27" s="719">
        <v>852512</v>
      </c>
      <c r="P27" s="719">
        <v>0</v>
      </c>
      <c r="Q27" s="718">
        <v>450</v>
      </c>
      <c r="R27" s="719">
        <f t="shared" si="0"/>
        <v>1457226</v>
      </c>
      <c r="S27" s="718"/>
      <c r="T27" s="719">
        <v>704491</v>
      </c>
      <c r="U27" s="721">
        <v>33957</v>
      </c>
      <c r="V27" s="721">
        <v>738448</v>
      </c>
    </row>
    <row r="28" spans="1:22" x14ac:dyDescent="0.25">
      <c r="A28" s="715">
        <v>90203</v>
      </c>
      <c r="B28" s="716" t="s">
        <v>2568</v>
      </c>
      <c r="C28" s="717">
        <v>2.3680000000000001E-4</v>
      </c>
      <c r="D28" s="717">
        <v>2.7530000000000002E-4</v>
      </c>
      <c r="E28" s="718">
        <v>95318</v>
      </c>
      <c r="F28" s="718">
        <v>123553</v>
      </c>
      <c r="G28" s="718">
        <v>502569</v>
      </c>
      <c r="H28" s="718"/>
      <c r="I28" s="719">
        <v>9442.4</v>
      </c>
      <c r="J28" s="719">
        <v>440411</v>
      </c>
      <c r="K28" s="719">
        <v>34421</v>
      </c>
      <c r="L28" s="718">
        <v>3338</v>
      </c>
      <c r="M28" s="718"/>
      <c r="N28" s="719">
        <v>17611</v>
      </c>
      <c r="O28" s="719">
        <v>162553</v>
      </c>
      <c r="P28" s="719">
        <v>0</v>
      </c>
      <c r="Q28" s="718">
        <v>36458</v>
      </c>
      <c r="R28" s="719">
        <f t="shared" si="0"/>
        <v>277858</v>
      </c>
      <c r="S28" s="718"/>
      <c r="T28" s="719">
        <v>134329</v>
      </c>
      <c r="U28" s="721">
        <v>-11660</v>
      </c>
      <c r="V28" s="721">
        <v>122669</v>
      </c>
    </row>
    <row r="29" spans="1:22" x14ac:dyDescent="0.25">
      <c r="A29" s="715">
        <v>90205</v>
      </c>
      <c r="B29" s="716" t="s">
        <v>2569</v>
      </c>
      <c r="C29" s="717">
        <v>3.3599999999999997E-5</v>
      </c>
      <c r="D29" s="717">
        <v>3.5299999999999997E-5</v>
      </c>
      <c r="E29" s="718">
        <v>13992.72</v>
      </c>
      <c r="F29" s="718">
        <v>15842</v>
      </c>
      <c r="G29" s="718">
        <v>71310</v>
      </c>
      <c r="H29" s="718"/>
      <c r="I29" s="719">
        <v>1339.8</v>
      </c>
      <c r="J29" s="719">
        <v>62491</v>
      </c>
      <c r="K29" s="719">
        <v>4884</v>
      </c>
      <c r="L29" s="718">
        <v>1378</v>
      </c>
      <c r="M29" s="718"/>
      <c r="N29" s="719">
        <v>2499</v>
      </c>
      <c r="O29" s="719">
        <v>23065</v>
      </c>
      <c r="P29" s="719">
        <v>0</v>
      </c>
      <c r="Q29" s="718">
        <v>782</v>
      </c>
      <c r="R29" s="719">
        <f t="shared" si="0"/>
        <v>39426</v>
      </c>
      <c r="S29" s="718"/>
      <c r="T29" s="719">
        <v>19060</v>
      </c>
      <c r="U29" s="721">
        <v>406</v>
      </c>
      <c r="V29" s="721">
        <v>19467</v>
      </c>
    </row>
    <row r="30" spans="1:22" x14ac:dyDescent="0.25">
      <c r="A30" s="715">
        <v>90206</v>
      </c>
      <c r="B30" s="716" t="s">
        <v>2570</v>
      </c>
      <c r="C30" s="717">
        <v>4.347E-4</v>
      </c>
      <c r="D30" s="717">
        <v>4.3810000000000002E-4</v>
      </c>
      <c r="E30" s="718">
        <v>170440.57</v>
      </c>
      <c r="F30" s="718">
        <v>196617</v>
      </c>
      <c r="G30" s="718">
        <v>922579</v>
      </c>
      <c r="H30" s="718"/>
      <c r="I30" s="719">
        <v>17334</v>
      </c>
      <c r="J30" s="719">
        <v>808473</v>
      </c>
      <c r="K30" s="719">
        <v>63188</v>
      </c>
      <c r="L30" s="718">
        <v>18047</v>
      </c>
      <c r="M30" s="718"/>
      <c r="N30" s="719">
        <v>32328</v>
      </c>
      <c r="O30" s="719">
        <v>298403</v>
      </c>
      <c r="P30" s="719">
        <v>0</v>
      </c>
      <c r="Q30" s="718">
        <v>12515</v>
      </c>
      <c r="R30" s="719">
        <f t="shared" si="0"/>
        <v>510070</v>
      </c>
      <c r="S30" s="718"/>
      <c r="T30" s="719">
        <v>246592</v>
      </c>
      <c r="U30" s="721">
        <v>5439</v>
      </c>
      <c r="V30" s="721">
        <v>252031</v>
      </c>
    </row>
    <row r="31" spans="1:22" x14ac:dyDescent="0.25">
      <c r="A31" s="715">
        <v>90211</v>
      </c>
      <c r="B31" s="716" t="s">
        <v>2571</v>
      </c>
      <c r="C31" s="717">
        <v>1.5689999999999999E-4</v>
      </c>
      <c r="D31" s="717">
        <v>1.708E-4</v>
      </c>
      <c r="E31" s="718">
        <v>58970</v>
      </c>
      <c r="F31" s="718">
        <v>76654</v>
      </c>
      <c r="G31" s="718">
        <v>332994</v>
      </c>
      <c r="H31" s="718"/>
      <c r="I31" s="719">
        <v>6256</v>
      </c>
      <c r="J31" s="719">
        <v>291809</v>
      </c>
      <c r="K31" s="719">
        <v>22807</v>
      </c>
      <c r="L31" s="718">
        <v>0</v>
      </c>
      <c r="M31" s="718"/>
      <c r="N31" s="719">
        <v>11668</v>
      </c>
      <c r="O31" s="719">
        <v>107705</v>
      </c>
      <c r="P31" s="719">
        <v>0</v>
      </c>
      <c r="Q31" s="718">
        <v>17335</v>
      </c>
      <c r="R31" s="719">
        <f t="shared" si="0"/>
        <v>184104</v>
      </c>
      <c r="S31" s="718"/>
      <c r="T31" s="719">
        <v>89005</v>
      </c>
      <c r="U31" s="721">
        <v>-5305</v>
      </c>
      <c r="V31" s="721">
        <v>83699</v>
      </c>
    </row>
    <row r="32" spans="1:22" x14ac:dyDescent="0.25">
      <c r="A32" s="715">
        <v>90301</v>
      </c>
      <c r="B32" s="716" t="s">
        <v>2572</v>
      </c>
      <c r="C32" s="717">
        <v>6.4000000000000005E-4</v>
      </c>
      <c r="D32" s="717">
        <v>6.2489999999999996E-4</v>
      </c>
      <c r="E32" s="718">
        <v>241334.31</v>
      </c>
      <c r="F32" s="718">
        <v>280451</v>
      </c>
      <c r="G32" s="718">
        <v>1358294</v>
      </c>
      <c r="H32" s="718"/>
      <c r="I32" s="719">
        <v>25520</v>
      </c>
      <c r="J32" s="719">
        <v>1190299</v>
      </c>
      <c r="K32" s="719">
        <v>93031</v>
      </c>
      <c r="L32" s="718">
        <v>6684</v>
      </c>
      <c r="M32" s="718"/>
      <c r="N32" s="719">
        <v>47596.160000000003</v>
      </c>
      <c r="O32" s="719">
        <v>439333</v>
      </c>
      <c r="P32" s="719">
        <v>0</v>
      </c>
      <c r="Q32" s="718">
        <v>19561</v>
      </c>
      <c r="R32" s="719">
        <f t="shared" si="0"/>
        <v>750966</v>
      </c>
      <c r="S32" s="718"/>
      <c r="T32" s="719">
        <v>363052</v>
      </c>
      <c r="U32" s="721">
        <v>-5224</v>
      </c>
      <c r="V32" s="721">
        <v>357828</v>
      </c>
    </row>
    <row r="33" spans="1:22" x14ac:dyDescent="0.25">
      <c r="A33" s="715">
        <v>90305</v>
      </c>
      <c r="B33" s="716" t="s">
        <v>2573</v>
      </c>
      <c r="C33" s="717">
        <v>1.7009999999999999E-4</v>
      </c>
      <c r="D33" s="717">
        <v>1.773E-4</v>
      </c>
      <c r="E33" s="718">
        <v>84901.17</v>
      </c>
      <c r="F33" s="718">
        <v>79571</v>
      </c>
      <c r="G33" s="718">
        <v>361009</v>
      </c>
      <c r="H33" s="718"/>
      <c r="I33" s="719">
        <v>6783</v>
      </c>
      <c r="J33" s="719">
        <v>316359</v>
      </c>
      <c r="K33" s="719">
        <v>24726</v>
      </c>
      <c r="L33" s="718">
        <v>26122</v>
      </c>
      <c r="M33" s="718"/>
      <c r="N33" s="719">
        <v>12650</v>
      </c>
      <c r="O33" s="719">
        <v>116767</v>
      </c>
      <c r="P33" s="719">
        <v>0</v>
      </c>
      <c r="Q33" s="718">
        <v>0</v>
      </c>
      <c r="R33" s="719">
        <f t="shared" si="0"/>
        <v>199592</v>
      </c>
      <c r="S33" s="718"/>
      <c r="T33" s="719">
        <v>96492</v>
      </c>
      <c r="U33" s="721">
        <v>9101</v>
      </c>
      <c r="V33" s="721">
        <v>105594</v>
      </c>
    </row>
    <row r="34" spans="1:22" x14ac:dyDescent="0.25">
      <c r="A34" s="715">
        <v>90307</v>
      </c>
      <c r="B34" s="716" t="s">
        <v>2574</v>
      </c>
      <c r="C34" s="717">
        <v>7.7000000000000008E-6</v>
      </c>
      <c r="D34" s="717">
        <v>8.4999999999999999E-6</v>
      </c>
      <c r="E34" s="718">
        <v>3744</v>
      </c>
      <c r="F34" s="718">
        <v>3815</v>
      </c>
      <c r="G34" s="718">
        <v>16342</v>
      </c>
      <c r="H34" s="718"/>
      <c r="I34" s="719">
        <v>307</v>
      </c>
      <c r="J34" s="719">
        <v>14321</v>
      </c>
      <c r="K34" s="719">
        <v>1119</v>
      </c>
      <c r="L34" s="718">
        <v>213</v>
      </c>
      <c r="M34" s="718"/>
      <c r="N34" s="719">
        <v>573</v>
      </c>
      <c r="O34" s="719">
        <v>5286</v>
      </c>
      <c r="P34" s="719">
        <v>0</v>
      </c>
      <c r="Q34" s="718">
        <v>80</v>
      </c>
      <c r="R34" s="719">
        <f t="shared" si="0"/>
        <v>9035</v>
      </c>
      <c r="S34" s="718"/>
      <c r="T34" s="719">
        <v>4368</v>
      </c>
      <c r="U34" s="721">
        <v>33</v>
      </c>
      <c r="V34" s="721">
        <v>4401</v>
      </c>
    </row>
    <row r="35" spans="1:22" x14ac:dyDescent="0.25">
      <c r="A35" s="715">
        <v>90401</v>
      </c>
      <c r="B35" s="716" t="s">
        <v>2575</v>
      </c>
      <c r="C35" s="717">
        <v>1.3626999999999999E-3</v>
      </c>
      <c r="D35" s="717">
        <v>1.359E-3</v>
      </c>
      <c r="E35" s="718">
        <v>569788.09</v>
      </c>
      <c r="F35" s="718">
        <v>609911</v>
      </c>
      <c r="G35" s="718">
        <v>2892106</v>
      </c>
      <c r="H35" s="718"/>
      <c r="I35" s="719">
        <v>54338</v>
      </c>
      <c r="J35" s="719">
        <f>VLOOKUP($A35,'N.1b 2017 summary'!A:Y,'N.1 GASB 68 LGERS'!J$21,FALSE)</f>
        <v>54338</v>
      </c>
      <c r="K35" s="719">
        <v>198083</v>
      </c>
      <c r="L35" s="718">
        <v>70826</v>
      </c>
      <c r="M35" s="718"/>
      <c r="N35" s="719">
        <v>101343</v>
      </c>
      <c r="O35" s="719">
        <v>935436</v>
      </c>
      <c r="P35" s="719">
        <v>0</v>
      </c>
      <c r="Q35" s="718">
        <v>0</v>
      </c>
      <c r="R35" s="719">
        <f t="shared" si="0"/>
        <v>881098</v>
      </c>
      <c r="S35" s="718"/>
      <c r="T35" s="719">
        <v>773017</v>
      </c>
      <c r="U35" s="721">
        <v>26807</v>
      </c>
      <c r="V35" s="721">
        <v>799824</v>
      </c>
    </row>
    <row r="36" spans="1:22" x14ac:dyDescent="0.25">
      <c r="A36" s="715">
        <v>90411</v>
      </c>
      <c r="B36" s="716" t="s">
        <v>2576</v>
      </c>
      <c r="C36" s="717">
        <v>3.5490000000000001E-4</v>
      </c>
      <c r="D36" s="717">
        <v>4.0069999999999998E-4</v>
      </c>
      <c r="E36" s="718">
        <v>139271.16</v>
      </c>
      <c r="F36" s="718">
        <v>179832</v>
      </c>
      <c r="G36" s="718">
        <v>753217</v>
      </c>
      <c r="H36" s="718"/>
      <c r="I36" s="719">
        <v>14152</v>
      </c>
      <c r="J36" s="719">
        <v>660058</v>
      </c>
      <c r="K36" s="719">
        <v>51589</v>
      </c>
      <c r="L36" s="718">
        <v>0</v>
      </c>
      <c r="M36" s="718"/>
      <c r="N36" s="719">
        <v>26394</v>
      </c>
      <c r="O36" s="719">
        <v>243624</v>
      </c>
      <c r="P36" s="719">
        <v>0</v>
      </c>
      <c r="Q36" s="718">
        <v>45866</v>
      </c>
      <c r="R36" s="719">
        <f t="shared" si="0"/>
        <v>416434</v>
      </c>
      <c r="S36" s="718"/>
      <c r="T36" s="719">
        <v>201324</v>
      </c>
      <c r="U36" s="721">
        <v>-13553</v>
      </c>
      <c r="V36" s="721">
        <v>187770</v>
      </c>
    </row>
    <row r="37" spans="1:22" x14ac:dyDescent="0.25">
      <c r="A37" s="715">
        <v>90413</v>
      </c>
      <c r="B37" s="716" t="s">
        <v>2577</v>
      </c>
      <c r="C37" s="717">
        <v>3.7299999999999999E-5</v>
      </c>
      <c r="D37" s="717">
        <v>3.6399999999999997E-5</v>
      </c>
      <c r="E37" s="718">
        <v>16560</v>
      </c>
      <c r="F37" s="718">
        <v>16336</v>
      </c>
      <c r="G37" s="718">
        <v>79163</v>
      </c>
      <c r="H37" s="718"/>
      <c r="I37" s="719">
        <v>1487</v>
      </c>
      <c r="J37" s="719">
        <v>69372</v>
      </c>
      <c r="K37" s="719">
        <v>5422</v>
      </c>
      <c r="L37" s="718">
        <v>9568</v>
      </c>
      <c r="M37" s="718"/>
      <c r="N37" s="719">
        <v>2774</v>
      </c>
      <c r="O37" s="719">
        <v>25605</v>
      </c>
      <c r="P37" s="719">
        <v>0</v>
      </c>
      <c r="Q37" s="718">
        <v>0</v>
      </c>
      <c r="R37" s="719">
        <f t="shared" si="0"/>
        <v>43767</v>
      </c>
      <c r="S37" s="718"/>
      <c r="T37" s="719">
        <v>21159</v>
      </c>
      <c r="U37" s="721">
        <v>3645</v>
      </c>
      <c r="V37" s="721">
        <v>24804</v>
      </c>
    </row>
    <row r="38" spans="1:22" x14ac:dyDescent="0.25">
      <c r="A38" s="715">
        <v>90417</v>
      </c>
      <c r="B38" s="716" t="s">
        <v>2578</v>
      </c>
      <c r="C38" s="717">
        <v>1.2099999999999999E-5</v>
      </c>
      <c r="D38" s="717">
        <v>1.38E-5</v>
      </c>
      <c r="E38" s="718">
        <v>7492</v>
      </c>
      <c r="F38" s="718">
        <v>6193</v>
      </c>
      <c r="G38" s="718">
        <v>25680</v>
      </c>
      <c r="H38" s="718"/>
      <c r="I38" s="719">
        <v>482</v>
      </c>
      <c r="J38" s="719">
        <v>22504</v>
      </c>
      <c r="K38" s="719">
        <v>1759</v>
      </c>
      <c r="L38" s="718">
        <v>2032</v>
      </c>
      <c r="M38" s="718"/>
      <c r="N38" s="719">
        <v>900</v>
      </c>
      <c r="O38" s="719">
        <v>8306</v>
      </c>
      <c r="P38" s="719">
        <v>0</v>
      </c>
      <c r="Q38" s="718">
        <v>0</v>
      </c>
      <c r="R38" s="719">
        <f t="shared" si="0"/>
        <v>14198</v>
      </c>
      <c r="S38" s="718"/>
      <c r="T38" s="719">
        <v>6864</v>
      </c>
      <c r="U38" s="721">
        <v>687</v>
      </c>
      <c r="V38" s="721">
        <v>7551</v>
      </c>
    </row>
    <row r="39" spans="1:22" x14ac:dyDescent="0.25">
      <c r="A39" s="715">
        <v>90421</v>
      </c>
      <c r="B39" s="716" t="s">
        <v>2579</v>
      </c>
      <c r="C39" s="717">
        <v>2.3600000000000001E-5</v>
      </c>
      <c r="D39" s="717">
        <v>2.4700000000000001E-5</v>
      </c>
      <c r="E39" s="718">
        <v>7745.31</v>
      </c>
      <c r="F39" s="718">
        <v>11085</v>
      </c>
      <c r="G39" s="718">
        <v>50087</v>
      </c>
      <c r="H39" s="718"/>
      <c r="I39" s="719">
        <v>941</v>
      </c>
      <c r="J39" s="719">
        <v>43892</v>
      </c>
      <c r="K39" s="719">
        <v>3431</v>
      </c>
      <c r="L39" s="718">
        <v>0</v>
      </c>
      <c r="M39" s="718"/>
      <c r="N39" s="719">
        <v>1755</v>
      </c>
      <c r="O39" s="719">
        <v>16200</v>
      </c>
      <c r="P39" s="719">
        <v>0</v>
      </c>
      <c r="Q39" s="718">
        <v>3590</v>
      </c>
      <c r="R39" s="719">
        <f t="shared" si="0"/>
        <v>27692</v>
      </c>
      <c r="S39" s="718"/>
      <c r="T39" s="719">
        <v>13388</v>
      </c>
      <c r="U39" s="721">
        <v>-1226</v>
      </c>
      <c r="V39" s="721">
        <v>12162</v>
      </c>
    </row>
    <row r="40" spans="1:22" x14ac:dyDescent="0.25">
      <c r="A40" s="715">
        <v>90431</v>
      </c>
      <c r="B40" s="716" t="s">
        <v>2580</v>
      </c>
      <c r="C40" s="717">
        <v>4.2799999999999997E-5</v>
      </c>
      <c r="D40" s="717">
        <v>4.7599999999999998E-5</v>
      </c>
      <c r="E40" s="718">
        <v>18711.07</v>
      </c>
      <c r="F40" s="718">
        <v>21363</v>
      </c>
      <c r="G40" s="718">
        <v>90836</v>
      </c>
      <c r="H40" s="718"/>
      <c r="I40" s="719">
        <v>1707</v>
      </c>
      <c r="J40" s="719">
        <v>79601</v>
      </c>
      <c r="K40" s="719">
        <v>6221</v>
      </c>
      <c r="L40" s="718">
        <v>8478</v>
      </c>
      <c r="M40" s="718"/>
      <c r="N40" s="719">
        <v>3183</v>
      </c>
      <c r="O40" s="719">
        <v>29380</v>
      </c>
      <c r="P40" s="719">
        <v>0</v>
      </c>
      <c r="Q40" s="718">
        <v>1719</v>
      </c>
      <c r="R40" s="719">
        <f t="shared" si="0"/>
        <v>50221</v>
      </c>
      <c r="S40" s="718"/>
      <c r="T40" s="719">
        <v>24279</v>
      </c>
      <c r="U40" s="721">
        <v>2793</v>
      </c>
      <c r="V40" s="721">
        <v>27072</v>
      </c>
    </row>
    <row r="41" spans="1:22" x14ac:dyDescent="0.25">
      <c r="A41" s="715">
        <v>90441</v>
      </c>
      <c r="B41" s="716" t="s">
        <v>2581</v>
      </c>
      <c r="C41" s="717">
        <v>9.3999999999999998E-6</v>
      </c>
      <c r="D41" s="717">
        <v>1.03E-5</v>
      </c>
      <c r="E41" s="718">
        <v>4675</v>
      </c>
      <c r="F41" s="718">
        <v>4623</v>
      </c>
      <c r="G41" s="718">
        <v>19950</v>
      </c>
      <c r="H41" s="718"/>
      <c r="I41" s="719">
        <v>374.82499999999999</v>
      </c>
      <c r="J41" s="719">
        <v>17483</v>
      </c>
      <c r="K41" s="719">
        <v>1366</v>
      </c>
      <c r="L41" s="718">
        <v>1367</v>
      </c>
      <c r="M41" s="718"/>
      <c r="N41" s="719">
        <v>699</v>
      </c>
      <c r="O41" s="719">
        <v>6453</v>
      </c>
      <c r="P41" s="719">
        <v>0</v>
      </c>
      <c r="Q41" s="718">
        <v>200</v>
      </c>
      <c r="R41" s="719">
        <f t="shared" si="0"/>
        <v>11030</v>
      </c>
      <c r="S41" s="718"/>
      <c r="T41" s="719">
        <v>5332</v>
      </c>
      <c r="U41" s="721">
        <v>578</v>
      </c>
      <c r="V41" s="721">
        <v>5911</v>
      </c>
    </row>
    <row r="42" spans="1:22" x14ac:dyDescent="0.25">
      <c r="A42" s="715">
        <v>90451</v>
      </c>
      <c r="B42" s="716" t="s">
        <v>2582</v>
      </c>
      <c r="C42" s="717">
        <v>1.7900000000000001E-5</v>
      </c>
      <c r="D42" s="717">
        <v>1.2099999999999999E-5</v>
      </c>
      <c r="E42" s="718">
        <v>6772.25</v>
      </c>
      <c r="F42" s="718">
        <v>5430</v>
      </c>
      <c r="G42" s="718">
        <v>37990</v>
      </c>
      <c r="H42" s="718"/>
      <c r="I42" s="719">
        <v>713.76250000000005</v>
      </c>
      <c r="J42" s="719">
        <v>33291</v>
      </c>
      <c r="K42" s="719">
        <v>2602</v>
      </c>
      <c r="L42" s="718">
        <v>3118</v>
      </c>
      <c r="M42" s="718"/>
      <c r="N42" s="719">
        <v>1331</v>
      </c>
      <c r="O42" s="719">
        <v>12288</v>
      </c>
      <c r="P42" s="719">
        <v>0</v>
      </c>
      <c r="Q42" s="718">
        <v>288</v>
      </c>
      <c r="R42" s="719">
        <f t="shared" si="0"/>
        <v>21003</v>
      </c>
      <c r="S42" s="718"/>
      <c r="T42" s="719">
        <v>10154</v>
      </c>
      <c r="U42" s="721">
        <v>814</v>
      </c>
      <c r="V42" s="721">
        <v>10968</v>
      </c>
    </row>
    <row r="43" spans="1:22" x14ac:dyDescent="0.25">
      <c r="A43" s="715">
        <v>90461</v>
      </c>
      <c r="B43" s="716" t="s">
        <v>2583</v>
      </c>
      <c r="C43" s="717">
        <v>1.7200000000000001E-5</v>
      </c>
      <c r="D43" s="717">
        <v>1.7200000000000001E-5</v>
      </c>
      <c r="E43" s="718">
        <v>6466.34</v>
      </c>
      <c r="F43" s="718">
        <v>7719</v>
      </c>
      <c r="G43" s="718">
        <v>36504</v>
      </c>
      <c r="H43" s="718"/>
      <c r="I43" s="719">
        <v>685.85</v>
      </c>
      <c r="J43" s="719">
        <v>31989</v>
      </c>
      <c r="K43" s="719">
        <v>2500</v>
      </c>
      <c r="L43" s="718">
        <v>4750</v>
      </c>
      <c r="M43" s="718"/>
      <c r="N43" s="719">
        <v>1279</v>
      </c>
      <c r="O43" s="719">
        <v>11807</v>
      </c>
      <c r="P43" s="719">
        <v>0</v>
      </c>
      <c r="Q43" s="718">
        <v>2426</v>
      </c>
      <c r="R43" s="719">
        <f t="shared" si="0"/>
        <v>20182</v>
      </c>
      <c r="S43" s="718"/>
      <c r="T43" s="719">
        <v>9757</v>
      </c>
      <c r="U43" s="721">
        <v>583</v>
      </c>
      <c r="V43" s="721">
        <v>10340</v>
      </c>
    </row>
    <row r="44" spans="1:22" x14ac:dyDescent="0.25">
      <c r="A44" s="715">
        <v>90501</v>
      </c>
      <c r="B44" s="716" t="s">
        <v>2584</v>
      </c>
      <c r="C44" s="717">
        <v>1.4001E-3</v>
      </c>
      <c r="D44" s="717">
        <v>1.4352E-3</v>
      </c>
      <c r="E44" s="718">
        <v>603983</v>
      </c>
      <c r="F44" s="718">
        <v>644109</v>
      </c>
      <c r="G44" s="718">
        <v>2971481</v>
      </c>
      <c r="H44" s="718"/>
      <c r="I44" s="719">
        <v>55829</v>
      </c>
      <c r="J44" s="719">
        <v>2603965</v>
      </c>
      <c r="K44" s="719">
        <v>203520</v>
      </c>
      <c r="L44" s="718">
        <v>46994</v>
      </c>
      <c r="M44" s="718"/>
      <c r="N44" s="719">
        <v>104124</v>
      </c>
      <c r="O44" s="719">
        <v>961110</v>
      </c>
      <c r="P44" s="719">
        <v>0</v>
      </c>
      <c r="Q44" s="718">
        <v>0</v>
      </c>
      <c r="R44" s="719">
        <f t="shared" si="0"/>
        <v>1642855</v>
      </c>
      <c r="S44" s="718"/>
      <c r="T44" s="719">
        <v>794233</v>
      </c>
      <c r="U44" s="721">
        <v>20332</v>
      </c>
      <c r="V44" s="721">
        <v>814566</v>
      </c>
    </row>
    <row r="45" spans="1:22" x14ac:dyDescent="0.25">
      <c r="A45" s="715">
        <v>90507</v>
      </c>
      <c r="B45" s="716" t="s">
        <v>1182</v>
      </c>
      <c r="C45" s="717">
        <v>7.3000000000000004E-6</v>
      </c>
      <c r="D45" s="717">
        <v>7.7000000000000008E-6</v>
      </c>
      <c r="E45" s="718">
        <v>9534.18</v>
      </c>
      <c r="F45" s="718">
        <v>3456</v>
      </c>
      <c r="G45" s="718">
        <v>15493</v>
      </c>
      <c r="H45" s="718"/>
      <c r="I45" s="719">
        <v>291</v>
      </c>
      <c r="J45" s="719">
        <v>13577</v>
      </c>
      <c r="K45" s="719">
        <v>1061</v>
      </c>
      <c r="L45" s="718">
        <v>8871</v>
      </c>
      <c r="M45" s="718"/>
      <c r="N45" s="719">
        <v>543</v>
      </c>
      <c r="O45" s="719">
        <v>5011</v>
      </c>
      <c r="P45" s="719">
        <v>0</v>
      </c>
      <c r="Q45" s="718">
        <v>0</v>
      </c>
      <c r="R45" s="719">
        <f t="shared" si="0"/>
        <v>8566</v>
      </c>
      <c r="S45" s="718"/>
      <c r="T45" s="719">
        <v>4141</v>
      </c>
      <c r="U45" s="721">
        <v>2759</v>
      </c>
      <c r="V45" s="721">
        <v>6900</v>
      </c>
    </row>
    <row r="46" spans="1:22" x14ac:dyDescent="0.25">
      <c r="A46" s="715">
        <v>90511</v>
      </c>
      <c r="B46" s="716" t="s">
        <v>2585</v>
      </c>
      <c r="C46" s="717">
        <v>9.5500000000000004E-5</v>
      </c>
      <c r="D46" s="717">
        <v>9.0699999999999996E-5</v>
      </c>
      <c r="E46" s="718">
        <v>45634.76</v>
      </c>
      <c r="F46" s="718">
        <v>40706</v>
      </c>
      <c r="G46" s="718">
        <v>202683</v>
      </c>
      <c r="H46" s="718"/>
      <c r="I46" s="719">
        <v>3808.0625</v>
      </c>
      <c r="J46" s="719">
        <v>177615</v>
      </c>
      <c r="K46" s="719">
        <v>13882</v>
      </c>
      <c r="L46" s="718">
        <v>15579</v>
      </c>
      <c r="M46" s="718"/>
      <c r="N46" s="719">
        <v>7102</v>
      </c>
      <c r="O46" s="719">
        <v>65557</v>
      </c>
      <c r="P46" s="719">
        <v>0</v>
      </c>
      <c r="Q46" s="718">
        <v>0</v>
      </c>
      <c r="R46" s="719">
        <f t="shared" si="0"/>
        <v>112058</v>
      </c>
      <c r="S46" s="718"/>
      <c r="T46" s="719">
        <v>54174</v>
      </c>
      <c r="U46" s="721">
        <v>5418</v>
      </c>
      <c r="V46" s="721">
        <v>59592</v>
      </c>
    </row>
    <row r="47" spans="1:22" x14ac:dyDescent="0.25">
      <c r="A47" s="715">
        <v>90521</v>
      </c>
      <c r="B47" s="716" t="s">
        <v>2586</v>
      </c>
      <c r="C47" s="717">
        <v>1.395E-4</v>
      </c>
      <c r="D47" s="717">
        <v>1.451E-4</v>
      </c>
      <c r="E47" s="718">
        <v>47723.41</v>
      </c>
      <c r="F47" s="718">
        <v>65120</v>
      </c>
      <c r="G47" s="718">
        <v>296066</v>
      </c>
      <c r="H47" s="718"/>
      <c r="I47" s="719">
        <v>5562.5625</v>
      </c>
      <c r="J47" s="719">
        <v>259448</v>
      </c>
      <c r="K47" s="719">
        <v>20278</v>
      </c>
      <c r="L47" s="718">
        <v>0</v>
      </c>
      <c r="M47" s="718"/>
      <c r="N47" s="719">
        <v>10374</v>
      </c>
      <c r="O47" s="719">
        <v>95761</v>
      </c>
      <c r="P47" s="719">
        <v>0</v>
      </c>
      <c r="Q47" s="718">
        <v>17468</v>
      </c>
      <c r="R47" s="719">
        <f t="shared" si="0"/>
        <v>163687</v>
      </c>
      <c r="S47" s="718"/>
      <c r="T47" s="719">
        <v>79134</v>
      </c>
      <c r="U47" s="721">
        <v>-5509</v>
      </c>
      <c r="V47" s="721">
        <v>73625</v>
      </c>
    </row>
    <row r="48" spans="1:22" x14ac:dyDescent="0.25">
      <c r="A48" s="715">
        <v>90601</v>
      </c>
      <c r="B48" s="716" t="s">
        <v>2587</v>
      </c>
      <c r="C48" s="717">
        <v>1.1785999999999999E-3</v>
      </c>
      <c r="D48" s="717">
        <v>1.2051E-3</v>
      </c>
      <c r="E48" s="718">
        <v>469146.06</v>
      </c>
      <c r="F48" s="718">
        <v>540842</v>
      </c>
      <c r="G48" s="718">
        <v>2501384</v>
      </c>
      <c r="H48" s="718"/>
      <c r="I48" s="719">
        <v>46997</v>
      </c>
      <c r="J48" s="719">
        <v>2192010</v>
      </c>
      <c r="K48" s="719">
        <v>171322</v>
      </c>
      <c r="L48" s="718">
        <v>32298</v>
      </c>
      <c r="M48" s="718"/>
      <c r="N48" s="719">
        <v>87651</v>
      </c>
      <c r="O48" s="719">
        <v>809059</v>
      </c>
      <c r="P48" s="719">
        <v>0</v>
      </c>
      <c r="Q48" s="718">
        <v>26702</v>
      </c>
      <c r="R48" s="719">
        <f t="shared" si="0"/>
        <v>1382951</v>
      </c>
      <c r="S48" s="718"/>
      <c r="T48" s="719">
        <v>668583</v>
      </c>
      <c r="U48" s="721">
        <v>7604</v>
      </c>
      <c r="V48" s="721">
        <v>676188</v>
      </c>
    </row>
    <row r="49" spans="1:22" x14ac:dyDescent="0.25">
      <c r="A49" s="715">
        <v>90602</v>
      </c>
      <c r="B49" s="716" t="s">
        <v>2095</v>
      </c>
      <c r="C49" s="717">
        <v>6.3299999999999994E-5</v>
      </c>
      <c r="D49" s="717">
        <v>0</v>
      </c>
      <c r="E49" s="718">
        <v>31566.720000000001</v>
      </c>
      <c r="F49" s="718">
        <v>0</v>
      </c>
      <c r="G49" s="718">
        <v>134344</v>
      </c>
      <c r="H49" s="718"/>
      <c r="I49" s="719">
        <v>2524</v>
      </c>
      <c r="J49" s="719">
        <v>117728</v>
      </c>
      <c r="K49" s="719">
        <v>9201</v>
      </c>
      <c r="L49" s="718">
        <v>46975</v>
      </c>
      <c r="M49" s="718"/>
      <c r="N49" s="719">
        <v>4708</v>
      </c>
      <c r="O49" s="719">
        <v>43453</v>
      </c>
      <c r="P49" s="719">
        <v>0</v>
      </c>
      <c r="Q49" s="718">
        <v>0</v>
      </c>
      <c r="R49" s="719">
        <f t="shared" si="0"/>
        <v>74275</v>
      </c>
      <c r="S49" s="718"/>
      <c r="T49" s="719">
        <v>35908</v>
      </c>
      <c r="U49" s="721">
        <v>12962</v>
      </c>
      <c r="V49" s="721">
        <v>48870</v>
      </c>
    </row>
    <row r="50" spans="1:22" x14ac:dyDescent="0.25">
      <c r="A50" s="715">
        <v>90605</v>
      </c>
      <c r="B50" s="716" t="s">
        <v>2588</v>
      </c>
      <c r="C50" s="717">
        <v>3.8399999999999998E-5</v>
      </c>
      <c r="D50" s="717">
        <v>3.6399999999999997E-5</v>
      </c>
      <c r="E50" s="718">
        <v>22332.880000000001</v>
      </c>
      <c r="F50" s="718">
        <v>16336</v>
      </c>
      <c r="G50" s="718">
        <v>81498</v>
      </c>
      <c r="H50" s="718"/>
      <c r="I50" s="719">
        <v>1531</v>
      </c>
      <c r="J50" s="719">
        <v>71418</v>
      </c>
      <c r="K50" s="719">
        <v>5582</v>
      </c>
      <c r="L50" s="718">
        <v>11852</v>
      </c>
      <c r="M50" s="718"/>
      <c r="N50" s="719">
        <v>2856</v>
      </c>
      <c r="O50" s="719">
        <v>26360</v>
      </c>
      <c r="P50" s="719">
        <v>0</v>
      </c>
      <c r="Q50" s="718">
        <v>0</v>
      </c>
      <c r="R50" s="719">
        <f t="shared" si="0"/>
        <v>45058</v>
      </c>
      <c r="S50" s="718"/>
      <c r="T50" s="719">
        <v>21783</v>
      </c>
      <c r="U50" s="721">
        <v>3784</v>
      </c>
      <c r="V50" s="721">
        <v>25567</v>
      </c>
    </row>
    <row r="51" spans="1:22" x14ac:dyDescent="0.25">
      <c r="A51" s="715">
        <v>90611</v>
      </c>
      <c r="B51" s="716" t="s">
        <v>2589</v>
      </c>
      <c r="C51" s="717">
        <v>1.5669999999999999E-4</v>
      </c>
      <c r="D51" s="717">
        <v>1.663E-4</v>
      </c>
      <c r="E51" s="718">
        <v>56254</v>
      </c>
      <c r="F51" s="718">
        <v>74634</v>
      </c>
      <c r="G51" s="718">
        <v>332570</v>
      </c>
      <c r="H51" s="718"/>
      <c r="I51" s="719">
        <v>6248</v>
      </c>
      <c r="J51" s="719">
        <v>291437</v>
      </c>
      <c r="K51" s="719">
        <v>22778</v>
      </c>
      <c r="L51" s="718">
        <v>5072.51</v>
      </c>
      <c r="M51" s="718"/>
      <c r="N51" s="719">
        <v>11654</v>
      </c>
      <c r="O51" s="719">
        <v>107568</v>
      </c>
      <c r="P51" s="719">
        <v>0</v>
      </c>
      <c r="Q51" s="718">
        <v>13074</v>
      </c>
      <c r="R51" s="719">
        <f t="shared" si="0"/>
        <v>183869</v>
      </c>
      <c r="S51" s="718"/>
      <c r="T51" s="719">
        <v>88891</v>
      </c>
      <c r="U51" s="721">
        <v>-969</v>
      </c>
      <c r="V51" s="721">
        <v>87922</v>
      </c>
    </row>
    <row r="52" spans="1:22" x14ac:dyDescent="0.25">
      <c r="A52" s="715">
        <v>90617</v>
      </c>
      <c r="B52" s="716" t="s">
        <v>2590</v>
      </c>
      <c r="C52" s="717">
        <v>2.6800000000000001E-5</v>
      </c>
      <c r="D52" s="717">
        <v>2.6599999999999999E-5</v>
      </c>
      <c r="E52" s="718">
        <v>14103</v>
      </c>
      <c r="F52" s="718">
        <v>11938</v>
      </c>
      <c r="G52" s="718">
        <v>56879</v>
      </c>
      <c r="H52" s="718"/>
      <c r="I52" s="719">
        <v>1069</v>
      </c>
      <c r="J52" s="719">
        <v>49844</v>
      </c>
      <c r="K52" s="719">
        <v>3896</v>
      </c>
      <c r="L52" s="718">
        <v>8505</v>
      </c>
      <c r="M52" s="718"/>
      <c r="N52" s="719">
        <v>1993</v>
      </c>
      <c r="O52" s="719">
        <v>18397</v>
      </c>
      <c r="P52" s="719">
        <v>0</v>
      </c>
      <c r="Q52" s="718">
        <v>0</v>
      </c>
      <c r="R52" s="719">
        <f t="shared" si="0"/>
        <v>31447</v>
      </c>
      <c r="S52" s="718"/>
      <c r="T52" s="719">
        <v>15203</v>
      </c>
      <c r="U52" s="721">
        <v>3445</v>
      </c>
      <c r="V52" s="721">
        <v>18647</v>
      </c>
    </row>
    <row r="53" spans="1:22" x14ac:dyDescent="0.25">
      <c r="A53" s="715">
        <v>90621</v>
      </c>
      <c r="B53" s="716" t="s">
        <v>2591</v>
      </c>
      <c r="C53" s="717">
        <v>8.2100000000000003E-5</v>
      </c>
      <c r="D53" s="717">
        <v>7.9400000000000006E-5</v>
      </c>
      <c r="E53" s="718">
        <v>28252</v>
      </c>
      <c r="F53" s="718">
        <v>35634</v>
      </c>
      <c r="G53" s="718">
        <v>174244</v>
      </c>
      <c r="H53" s="718"/>
      <c r="I53" s="719">
        <v>3274</v>
      </c>
      <c r="J53" s="719">
        <v>152693</v>
      </c>
      <c r="K53" s="719">
        <v>11934</v>
      </c>
      <c r="L53" s="718">
        <v>1182</v>
      </c>
      <c r="M53" s="718"/>
      <c r="N53" s="719">
        <v>6106</v>
      </c>
      <c r="O53" s="719">
        <v>56358</v>
      </c>
      <c r="P53" s="719">
        <v>0</v>
      </c>
      <c r="Q53" s="718">
        <v>7913</v>
      </c>
      <c r="R53" s="719">
        <f t="shared" si="0"/>
        <v>96335</v>
      </c>
      <c r="S53" s="718"/>
      <c r="T53" s="719">
        <v>46573</v>
      </c>
      <c r="U53" s="721">
        <v>-1933</v>
      </c>
      <c r="V53" s="721">
        <v>44639</v>
      </c>
    </row>
    <row r="54" spans="1:22" x14ac:dyDescent="0.25">
      <c r="A54" s="715">
        <v>90631</v>
      </c>
      <c r="B54" s="716" t="s">
        <v>2592</v>
      </c>
      <c r="C54" s="717">
        <v>3.8000000000000002E-4</v>
      </c>
      <c r="D54" s="717">
        <v>3.4539999999999999E-4</v>
      </c>
      <c r="E54" s="718">
        <v>153531.72</v>
      </c>
      <c r="F54" s="718">
        <v>155013</v>
      </c>
      <c r="G54" s="718">
        <v>806487.3</v>
      </c>
      <c r="H54" s="718"/>
      <c r="I54" s="719">
        <v>15152.5</v>
      </c>
      <c r="J54" s="719">
        <v>706740</v>
      </c>
      <c r="K54" s="719">
        <v>55237.18</v>
      </c>
      <c r="L54" s="718">
        <v>16567</v>
      </c>
      <c r="M54" s="718"/>
      <c r="N54" s="719">
        <v>28260.22</v>
      </c>
      <c r="O54" s="719">
        <v>260854.04</v>
      </c>
      <c r="P54" s="719">
        <v>0</v>
      </c>
      <c r="Q54" s="718">
        <v>14381</v>
      </c>
      <c r="R54" s="719">
        <f t="shared" si="0"/>
        <v>445886</v>
      </c>
      <c r="S54" s="718"/>
      <c r="T54" s="719">
        <v>215562.22</v>
      </c>
      <c r="U54" s="721">
        <v>-1856</v>
      </c>
      <c r="V54" s="721">
        <v>213706</v>
      </c>
    </row>
    <row r="55" spans="1:22" x14ac:dyDescent="0.25">
      <c r="A55" s="715">
        <v>90641</v>
      </c>
      <c r="B55" s="716" t="s">
        <v>2593</v>
      </c>
      <c r="C55" s="717">
        <v>1.4399999999999999E-5</v>
      </c>
      <c r="D55" s="717">
        <v>1.5400000000000002E-5</v>
      </c>
      <c r="E55" s="718">
        <v>5940.04</v>
      </c>
      <c r="F55" s="718">
        <v>6911</v>
      </c>
      <c r="G55" s="718">
        <v>30562</v>
      </c>
      <c r="H55" s="718"/>
      <c r="I55" s="719">
        <v>574</v>
      </c>
      <c r="J55" s="719">
        <v>26782</v>
      </c>
      <c r="K55" s="719">
        <v>2093</v>
      </c>
      <c r="L55" s="718">
        <v>340</v>
      </c>
      <c r="M55" s="718"/>
      <c r="N55" s="719">
        <v>1071</v>
      </c>
      <c r="O55" s="719">
        <v>9885</v>
      </c>
      <c r="P55" s="719">
        <v>0</v>
      </c>
      <c r="Q55" s="718">
        <v>782</v>
      </c>
      <c r="R55" s="719">
        <f t="shared" si="0"/>
        <v>16897</v>
      </c>
      <c r="S55" s="718"/>
      <c r="T55" s="719">
        <v>8169</v>
      </c>
      <c r="U55" s="721">
        <v>-144</v>
      </c>
      <c r="V55" s="721">
        <v>8025</v>
      </c>
    </row>
    <row r="56" spans="1:22" x14ac:dyDescent="0.25">
      <c r="A56" s="715">
        <v>90651</v>
      </c>
      <c r="B56" s="716" t="s">
        <v>2594</v>
      </c>
      <c r="C56" s="717">
        <v>1.108E-4</v>
      </c>
      <c r="D56" s="717">
        <v>1.042E-4</v>
      </c>
      <c r="E56" s="718">
        <v>96248</v>
      </c>
      <c r="F56" s="718">
        <v>46764</v>
      </c>
      <c r="G56" s="718">
        <v>235155</v>
      </c>
      <c r="H56" s="718"/>
      <c r="I56" s="719">
        <v>4418</v>
      </c>
      <c r="J56" s="719">
        <v>206070</v>
      </c>
      <c r="K56" s="719">
        <v>16106</v>
      </c>
      <c r="L56" s="718">
        <v>73167</v>
      </c>
      <c r="M56" s="718"/>
      <c r="N56" s="719">
        <v>8240</v>
      </c>
      <c r="O56" s="719">
        <v>76060</v>
      </c>
      <c r="P56" s="719">
        <v>0</v>
      </c>
      <c r="Q56" s="718">
        <v>9364.94</v>
      </c>
      <c r="R56" s="719">
        <f t="shared" si="0"/>
        <v>130010</v>
      </c>
      <c r="S56" s="718"/>
      <c r="T56" s="719">
        <v>62853</v>
      </c>
      <c r="U56" s="721">
        <v>17052</v>
      </c>
      <c r="V56" s="721">
        <v>79906</v>
      </c>
    </row>
    <row r="57" spans="1:22" x14ac:dyDescent="0.25">
      <c r="A57" s="715">
        <v>90701</v>
      </c>
      <c r="B57" s="716" t="s">
        <v>2595</v>
      </c>
      <c r="C57" s="717">
        <v>2.3587E-3</v>
      </c>
      <c r="D57" s="717">
        <v>2.3326000000000002E-3</v>
      </c>
      <c r="E57" s="718">
        <v>908617.53</v>
      </c>
      <c r="F57" s="718">
        <v>1046857</v>
      </c>
      <c r="G57" s="718">
        <v>5005952</v>
      </c>
      <c r="H57" s="718"/>
      <c r="I57" s="719">
        <v>94053</v>
      </c>
      <c r="J57" s="719">
        <v>4386809</v>
      </c>
      <c r="K57" s="719">
        <v>342863</v>
      </c>
      <c r="L57" s="718">
        <v>35812.04</v>
      </c>
      <c r="M57" s="718"/>
      <c r="N57" s="719">
        <v>175414</v>
      </c>
      <c r="O57" s="719">
        <v>1619148</v>
      </c>
      <c r="P57" s="719">
        <v>0</v>
      </c>
      <c r="Q57" s="718">
        <v>44222</v>
      </c>
      <c r="R57" s="719">
        <f t="shared" si="0"/>
        <v>2767661</v>
      </c>
      <c r="S57" s="718"/>
      <c r="T57" s="719">
        <v>1338017</v>
      </c>
      <c r="U57" s="721">
        <v>5621</v>
      </c>
      <c r="V57" s="721">
        <v>1343639</v>
      </c>
    </row>
    <row r="58" spans="1:22" x14ac:dyDescent="0.25">
      <c r="A58" s="715">
        <v>90704</v>
      </c>
      <c r="B58" s="716" t="s">
        <v>2596</v>
      </c>
      <c r="C58" s="717">
        <v>3.4900000000000001E-5</v>
      </c>
      <c r="D58" s="717">
        <v>3.3300000000000003E-5</v>
      </c>
      <c r="E58" s="718">
        <v>22788</v>
      </c>
      <c r="F58" s="718">
        <v>14945</v>
      </c>
      <c r="G58" s="718">
        <v>74069</v>
      </c>
      <c r="H58" s="718"/>
      <c r="I58" s="719">
        <v>1392</v>
      </c>
      <c r="J58" s="719">
        <v>64908</v>
      </c>
      <c r="K58" s="719">
        <v>5073</v>
      </c>
      <c r="L58" s="718">
        <v>13042</v>
      </c>
      <c r="M58" s="718"/>
      <c r="N58" s="719">
        <v>2595</v>
      </c>
      <c r="O58" s="719">
        <v>23957</v>
      </c>
      <c r="P58" s="719">
        <v>0</v>
      </c>
      <c r="Q58" s="718">
        <v>0</v>
      </c>
      <c r="R58" s="719">
        <f t="shared" si="0"/>
        <v>40951</v>
      </c>
      <c r="S58" s="718"/>
      <c r="T58" s="719">
        <v>19798</v>
      </c>
      <c r="U58" s="721">
        <v>4197</v>
      </c>
      <c r="V58" s="721">
        <v>23995</v>
      </c>
    </row>
    <row r="59" spans="1:22" x14ac:dyDescent="0.25">
      <c r="A59" s="715">
        <v>90705</v>
      </c>
      <c r="B59" s="716" t="s">
        <v>2597</v>
      </c>
      <c r="C59" s="717">
        <v>3.3899999999999997E-5</v>
      </c>
      <c r="D59" s="717">
        <v>3.0599999999999998E-5</v>
      </c>
      <c r="E59" s="718">
        <v>17670</v>
      </c>
      <c r="F59" s="718">
        <v>13733</v>
      </c>
      <c r="G59" s="718">
        <v>71947</v>
      </c>
      <c r="H59" s="718"/>
      <c r="I59" s="719">
        <v>1352</v>
      </c>
      <c r="J59" s="719">
        <v>63049</v>
      </c>
      <c r="K59" s="719">
        <v>4928</v>
      </c>
      <c r="L59" s="718">
        <v>9785</v>
      </c>
      <c r="M59" s="718"/>
      <c r="N59" s="719">
        <v>2521</v>
      </c>
      <c r="O59" s="719">
        <v>23271</v>
      </c>
      <c r="P59" s="719">
        <v>0</v>
      </c>
      <c r="Q59" s="718">
        <v>0</v>
      </c>
      <c r="R59" s="719">
        <f t="shared" si="0"/>
        <v>39778</v>
      </c>
      <c r="S59" s="718"/>
      <c r="T59" s="719">
        <v>19230</v>
      </c>
      <c r="U59" s="721">
        <v>3239</v>
      </c>
      <c r="V59" s="721">
        <v>22470</v>
      </c>
    </row>
    <row r="60" spans="1:22" x14ac:dyDescent="0.25">
      <c r="A60" s="715">
        <v>90709</v>
      </c>
      <c r="B60" s="716" t="s">
        <v>2598</v>
      </c>
      <c r="C60" s="717">
        <v>1.4569999999999999E-4</v>
      </c>
      <c r="D60" s="717">
        <v>2.1790000000000001E-4</v>
      </c>
      <c r="E60" s="718">
        <v>59289.13</v>
      </c>
      <c r="F60" s="718">
        <v>97792</v>
      </c>
      <c r="G60" s="718">
        <v>309224</v>
      </c>
      <c r="H60" s="718"/>
      <c r="I60" s="719">
        <v>5810</v>
      </c>
      <c r="J60" s="719">
        <v>270979</v>
      </c>
      <c r="K60" s="719">
        <v>21179</v>
      </c>
      <c r="L60" s="718">
        <v>10221</v>
      </c>
      <c r="M60" s="718"/>
      <c r="N60" s="719">
        <v>10836</v>
      </c>
      <c r="O60" s="719">
        <v>100017</v>
      </c>
      <c r="P60" s="719">
        <v>0</v>
      </c>
      <c r="Q60" s="718">
        <v>44565</v>
      </c>
      <c r="R60" s="719">
        <f t="shared" si="0"/>
        <v>170962</v>
      </c>
      <c r="S60" s="718"/>
      <c r="T60" s="719">
        <v>82651</v>
      </c>
      <c r="U60" s="721">
        <v>-6883</v>
      </c>
      <c r="V60" s="721">
        <v>75769</v>
      </c>
    </row>
    <row r="61" spans="1:22" x14ac:dyDescent="0.25">
      <c r="A61" s="715">
        <v>90711</v>
      </c>
      <c r="B61" s="716" t="s">
        <v>2599</v>
      </c>
      <c r="C61" s="717">
        <v>1.7302000000000001E-3</v>
      </c>
      <c r="D61" s="717">
        <v>1.8802000000000001E-3</v>
      </c>
      <c r="E61" s="718">
        <v>667293.38</v>
      </c>
      <c r="F61" s="718">
        <v>843822</v>
      </c>
      <c r="G61" s="718">
        <v>3672064</v>
      </c>
      <c r="H61" s="718"/>
      <c r="I61" s="719">
        <v>68992</v>
      </c>
      <c r="J61" s="719">
        <v>3217899</v>
      </c>
      <c r="K61" s="719">
        <v>251504</v>
      </c>
      <c r="L61" s="718">
        <v>0</v>
      </c>
      <c r="M61" s="718"/>
      <c r="N61" s="719">
        <v>128673</v>
      </c>
      <c r="O61" s="719">
        <v>1187710</v>
      </c>
      <c r="P61" s="719">
        <v>0</v>
      </c>
      <c r="Q61" s="718">
        <v>193488</v>
      </c>
      <c r="R61" s="719">
        <f t="shared" si="0"/>
        <v>2030189</v>
      </c>
      <c r="S61" s="718"/>
      <c r="T61" s="719">
        <v>981489</v>
      </c>
      <c r="U61" s="721">
        <v>-61566</v>
      </c>
      <c r="V61" s="721">
        <v>919922</v>
      </c>
    </row>
    <row r="62" spans="1:22" x14ac:dyDescent="0.25">
      <c r="A62" s="715">
        <v>90721</v>
      </c>
      <c r="B62" s="716" t="s">
        <v>2600</v>
      </c>
      <c r="C62" s="717">
        <v>3.7299999999999999E-5</v>
      </c>
      <c r="D62" s="717">
        <v>3.82E-5</v>
      </c>
      <c r="E62" s="718">
        <v>14531.46</v>
      </c>
      <c r="F62" s="718">
        <v>17144</v>
      </c>
      <c r="G62" s="718">
        <v>79163</v>
      </c>
      <c r="H62" s="718"/>
      <c r="I62" s="719">
        <v>1487</v>
      </c>
      <c r="J62" s="719">
        <v>69372</v>
      </c>
      <c r="K62" s="719">
        <v>5422</v>
      </c>
      <c r="L62" s="718">
        <v>5347</v>
      </c>
      <c r="M62" s="718"/>
      <c r="N62" s="719">
        <v>2774</v>
      </c>
      <c r="O62" s="719">
        <v>25605</v>
      </c>
      <c r="P62" s="719">
        <v>0</v>
      </c>
      <c r="Q62" s="718">
        <v>1129</v>
      </c>
      <c r="R62" s="719">
        <f t="shared" si="0"/>
        <v>43767</v>
      </c>
      <c r="S62" s="718"/>
      <c r="T62" s="719">
        <v>21159</v>
      </c>
      <c r="U62" s="721">
        <v>2098</v>
      </c>
      <c r="V62" s="721">
        <v>23258</v>
      </c>
    </row>
    <row r="63" spans="1:22" x14ac:dyDescent="0.25">
      <c r="A63" s="715">
        <v>90731</v>
      </c>
      <c r="B63" s="716" t="s">
        <v>2601</v>
      </c>
      <c r="C63" s="717">
        <v>1.917E-4</v>
      </c>
      <c r="D63" s="717">
        <v>1.9459999999999999E-4</v>
      </c>
      <c r="E63" s="718">
        <v>77066</v>
      </c>
      <c r="F63" s="718">
        <v>87335</v>
      </c>
      <c r="G63" s="718">
        <v>406852</v>
      </c>
      <c r="H63" s="718"/>
      <c r="I63" s="719">
        <v>7644</v>
      </c>
      <c r="J63" s="719">
        <v>356532</v>
      </c>
      <c r="K63" s="719">
        <v>27866</v>
      </c>
      <c r="L63" s="718">
        <v>0</v>
      </c>
      <c r="M63" s="718"/>
      <c r="N63" s="719">
        <v>14257</v>
      </c>
      <c r="O63" s="719">
        <v>131594</v>
      </c>
      <c r="P63" s="719">
        <v>0</v>
      </c>
      <c r="Q63" s="718">
        <v>10037</v>
      </c>
      <c r="R63" s="719">
        <f t="shared" si="0"/>
        <v>224938</v>
      </c>
      <c r="S63" s="718"/>
      <c r="T63" s="719">
        <v>108745</v>
      </c>
      <c r="U63" s="721">
        <v>-3998</v>
      </c>
      <c r="V63" s="721">
        <v>104747</v>
      </c>
    </row>
    <row r="64" spans="1:22" x14ac:dyDescent="0.25">
      <c r="A64" s="715">
        <v>90741</v>
      </c>
      <c r="B64" s="716" t="s">
        <v>2602</v>
      </c>
      <c r="C64" s="717">
        <v>1.2099999999999999E-5</v>
      </c>
      <c r="D64" s="717">
        <v>1.2799999999999999E-5</v>
      </c>
      <c r="E64" s="718">
        <v>6754</v>
      </c>
      <c r="F64" s="718">
        <v>5745</v>
      </c>
      <c r="G64" s="718">
        <v>25680</v>
      </c>
      <c r="H64" s="718"/>
      <c r="I64" s="719">
        <v>482</v>
      </c>
      <c r="J64" s="719">
        <v>22504</v>
      </c>
      <c r="K64" s="719">
        <v>1759</v>
      </c>
      <c r="L64" s="718">
        <v>3208</v>
      </c>
      <c r="M64" s="718"/>
      <c r="N64" s="719">
        <v>900</v>
      </c>
      <c r="O64" s="719">
        <v>8306</v>
      </c>
      <c r="P64" s="719">
        <v>0</v>
      </c>
      <c r="Q64" s="718">
        <v>1496</v>
      </c>
      <c r="R64" s="719">
        <f t="shared" si="0"/>
        <v>14198</v>
      </c>
      <c r="S64" s="718"/>
      <c r="T64" s="719">
        <v>6864</v>
      </c>
      <c r="U64" s="721">
        <v>287</v>
      </c>
      <c r="V64" s="721">
        <v>7151</v>
      </c>
    </row>
    <row r="65" spans="1:22" x14ac:dyDescent="0.25">
      <c r="A65" s="715">
        <v>90751</v>
      </c>
      <c r="B65" s="716" t="s">
        <v>2603</v>
      </c>
      <c r="C65" s="717">
        <v>6.5599999999999995E-5</v>
      </c>
      <c r="D65" s="717">
        <v>6.2000000000000003E-5</v>
      </c>
      <c r="E65" s="718">
        <v>24796.57</v>
      </c>
      <c r="F65" s="718">
        <v>27825</v>
      </c>
      <c r="G65" s="718">
        <v>139225</v>
      </c>
      <c r="H65" s="718"/>
      <c r="I65" s="719">
        <v>2616</v>
      </c>
      <c r="J65" s="719">
        <v>122006</v>
      </c>
      <c r="K65" s="719">
        <v>9536</v>
      </c>
      <c r="L65" s="718">
        <v>8610</v>
      </c>
      <c r="M65" s="718"/>
      <c r="N65" s="719">
        <v>4879</v>
      </c>
      <c r="O65" s="719">
        <v>45032</v>
      </c>
      <c r="P65" s="719">
        <v>0</v>
      </c>
      <c r="Q65" s="718">
        <v>0</v>
      </c>
      <c r="R65" s="719">
        <f t="shared" si="0"/>
        <v>76974</v>
      </c>
      <c r="S65" s="718"/>
      <c r="T65" s="719">
        <v>37213</v>
      </c>
      <c r="U65" s="721">
        <v>3670</v>
      </c>
      <c r="V65" s="721">
        <v>40883</v>
      </c>
    </row>
    <row r="66" spans="1:22" x14ac:dyDescent="0.25">
      <c r="A66" s="715">
        <v>90801</v>
      </c>
      <c r="B66" s="716" t="s">
        <v>2604</v>
      </c>
      <c r="C66" s="717">
        <v>1.1404E-3</v>
      </c>
      <c r="D66" s="717">
        <v>1.0472000000000001E-3</v>
      </c>
      <c r="E66" s="718">
        <v>442982.95</v>
      </c>
      <c r="F66" s="718">
        <v>469977</v>
      </c>
      <c r="G66" s="718">
        <v>2420311</v>
      </c>
      <c r="H66" s="718"/>
      <c r="I66" s="719">
        <v>45473.45</v>
      </c>
      <c r="J66" s="719">
        <v>2120964</v>
      </c>
      <c r="K66" s="719">
        <v>165770</v>
      </c>
      <c r="L66" s="718">
        <v>156481</v>
      </c>
      <c r="M66" s="718"/>
      <c r="N66" s="719">
        <v>84810</v>
      </c>
      <c r="O66" s="719">
        <v>782837</v>
      </c>
      <c r="P66" s="719">
        <v>0</v>
      </c>
      <c r="Q66" s="718">
        <v>0</v>
      </c>
      <c r="R66" s="719">
        <f t="shared" si="0"/>
        <v>1338127</v>
      </c>
      <c r="S66" s="718"/>
      <c r="T66" s="719">
        <v>646914</v>
      </c>
      <c r="U66" s="721">
        <v>53264</v>
      </c>
      <c r="V66" s="721">
        <v>700177</v>
      </c>
    </row>
    <row r="67" spans="1:22" x14ac:dyDescent="0.25">
      <c r="A67" s="715">
        <v>90804</v>
      </c>
      <c r="B67" s="716" t="s">
        <v>2605</v>
      </c>
      <c r="C67" s="717">
        <v>6.0000000000000002E-6</v>
      </c>
      <c r="D67" s="717">
        <v>4.6999999999999999E-6</v>
      </c>
      <c r="E67" s="718">
        <v>2490.12</v>
      </c>
      <c r="F67" s="718">
        <v>2109</v>
      </c>
      <c r="G67" s="718">
        <v>12734.01</v>
      </c>
      <c r="H67" s="718"/>
      <c r="I67" s="719">
        <v>239.25</v>
      </c>
      <c r="J67" s="719">
        <v>11159</v>
      </c>
      <c r="K67" s="719">
        <v>872</v>
      </c>
      <c r="L67" s="718">
        <v>2282</v>
      </c>
      <c r="M67" s="718"/>
      <c r="N67" s="719">
        <v>446</v>
      </c>
      <c r="O67" s="719">
        <v>4119</v>
      </c>
      <c r="P67" s="719">
        <v>0</v>
      </c>
      <c r="Q67" s="718">
        <v>0</v>
      </c>
      <c r="R67" s="719">
        <f t="shared" si="0"/>
        <v>7040</v>
      </c>
      <c r="S67" s="718"/>
      <c r="T67" s="719">
        <v>3404</v>
      </c>
      <c r="U67" s="721">
        <v>878</v>
      </c>
      <c r="V67" s="721">
        <v>4282</v>
      </c>
    </row>
    <row r="68" spans="1:22" x14ac:dyDescent="0.25">
      <c r="A68" s="715">
        <v>90805</v>
      </c>
      <c r="B68" s="716" t="s">
        <v>2606</v>
      </c>
      <c r="C68" s="717">
        <v>5.5099999999999998E-5</v>
      </c>
      <c r="D68" s="717">
        <v>5.2800000000000003E-5</v>
      </c>
      <c r="E68" s="718">
        <v>34303</v>
      </c>
      <c r="F68" s="718">
        <v>23696</v>
      </c>
      <c r="G68" s="718">
        <v>116941</v>
      </c>
      <c r="H68" s="718"/>
      <c r="I68" s="719">
        <v>2197</v>
      </c>
      <c r="J68" s="719">
        <v>102477</v>
      </c>
      <c r="K68" s="719">
        <v>8009</v>
      </c>
      <c r="L68" s="718">
        <v>22372</v>
      </c>
      <c r="M68" s="718"/>
      <c r="N68" s="719">
        <v>4098</v>
      </c>
      <c r="O68" s="719">
        <v>37824</v>
      </c>
      <c r="P68" s="719">
        <v>0</v>
      </c>
      <c r="Q68" s="718">
        <v>0</v>
      </c>
      <c r="R68" s="719">
        <f t="shared" si="0"/>
        <v>64653</v>
      </c>
      <c r="S68" s="718"/>
      <c r="T68" s="719">
        <v>31257</v>
      </c>
      <c r="U68" s="721">
        <v>7625</v>
      </c>
      <c r="V68" s="721">
        <v>38881</v>
      </c>
    </row>
    <row r="69" spans="1:22" x14ac:dyDescent="0.25">
      <c r="A69" s="715">
        <v>90808</v>
      </c>
      <c r="B69" s="716" t="s">
        <v>2607</v>
      </c>
      <c r="C69" s="717">
        <v>1.109E-4</v>
      </c>
      <c r="D69" s="717">
        <v>1.176E-4</v>
      </c>
      <c r="E69" s="718">
        <v>47437.34</v>
      </c>
      <c r="F69" s="718">
        <v>52778</v>
      </c>
      <c r="G69" s="718">
        <v>235367</v>
      </c>
      <c r="H69" s="718"/>
      <c r="I69" s="719">
        <v>4422</v>
      </c>
      <c r="J69" s="719">
        <v>206256</v>
      </c>
      <c r="K69" s="719">
        <v>16121</v>
      </c>
      <c r="L69" s="718">
        <v>1422</v>
      </c>
      <c r="M69" s="718"/>
      <c r="N69" s="719">
        <v>8248</v>
      </c>
      <c r="O69" s="719">
        <v>76128</v>
      </c>
      <c r="P69" s="719">
        <v>0</v>
      </c>
      <c r="Q69" s="718">
        <v>2972</v>
      </c>
      <c r="R69" s="719">
        <f t="shared" si="0"/>
        <v>130128</v>
      </c>
      <c r="S69" s="718"/>
      <c r="T69" s="719">
        <v>62910</v>
      </c>
      <c r="U69" s="721">
        <v>-460</v>
      </c>
      <c r="V69" s="721">
        <v>62451</v>
      </c>
    </row>
    <row r="70" spans="1:22" x14ac:dyDescent="0.25">
      <c r="A70" s="715">
        <v>90811</v>
      </c>
      <c r="B70" s="716" t="s">
        <v>2608</v>
      </c>
      <c r="C70" s="717">
        <v>4.0000000000000003E-5</v>
      </c>
      <c r="D70" s="717">
        <v>3.6199999999999999E-5</v>
      </c>
      <c r="E70" s="718">
        <v>12069.34</v>
      </c>
      <c r="F70" s="718">
        <v>16246</v>
      </c>
      <c r="G70" s="718">
        <v>84893</v>
      </c>
      <c r="H70" s="718"/>
      <c r="I70" s="719">
        <v>1595</v>
      </c>
      <c r="J70" s="719">
        <v>74394</v>
      </c>
      <c r="K70" s="719">
        <v>5814</v>
      </c>
      <c r="L70" s="718">
        <v>947</v>
      </c>
      <c r="M70" s="718"/>
      <c r="N70" s="719">
        <v>2974.76</v>
      </c>
      <c r="O70" s="719">
        <v>27458</v>
      </c>
      <c r="P70" s="719">
        <v>0</v>
      </c>
      <c r="Q70" s="718">
        <v>2175</v>
      </c>
      <c r="R70" s="719">
        <f t="shared" si="0"/>
        <v>46936</v>
      </c>
      <c r="S70" s="718"/>
      <c r="T70" s="719">
        <v>22691</v>
      </c>
      <c r="U70" s="721">
        <v>-159</v>
      </c>
      <c r="V70" s="721">
        <v>22531</v>
      </c>
    </row>
    <row r="71" spans="1:22" x14ac:dyDescent="0.25">
      <c r="A71" s="715">
        <v>90812</v>
      </c>
      <c r="B71" s="716" t="s">
        <v>2609</v>
      </c>
      <c r="C71" s="717">
        <v>2.13E-4</v>
      </c>
      <c r="D71" s="717">
        <v>2.409E-4</v>
      </c>
      <c r="E71" s="718">
        <v>88699.09</v>
      </c>
      <c r="F71" s="718">
        <v>108114</v>
      </c>
      <c r="G71" s="718">
        <v>452057</v>
      </c>
      <c r="H71" s="718"/>
      <c r="I71" s="719">
        <v>8493.375</v>
      </c>
      <c r="J71" s="719">
        <v>396146</v>
      </c>
      <c r="K71" s="719">
        <v>30962</v>
      </c>
      <c r="L71" s="718">
        <v>8573</v>
      </c>
      <c r="M71" s="718"/>
      <c r="N71" s="719">
        <v>15841</v>
      </c>
      <c r="O71" s="719">
        <v>146216</v>
      </c>
      <c r="P71" s="719">
        <v>0</v>
      </c>
      <c r="Q71" s="718">
        <v>14237</v>
      </c>
      <c r="R71" s="719">
        <f t="shared" ref="R71:R134" si="1">IF(J71&gt;O71,J71-O71,O71-J71)</f>
        <v>249930</v>
      </c>
      <c r="S71" s="718"/>
      <c r="T71" s="719">
        <v>120828</v>
      </c>
      <c r="U71" s="721">
        <v>453</v>
      </c>
      <c r="V71" s="721">
        <v>121281</v>
      </c>
    </row>
    <row r="72" spans="1:22" x14ac:dyDescent="0.25">
      <c r="A72" s="715">
        <v>90813</v>
      </c>
      <c r="B72" s="716" t="s">
        <v>2610</v>
      </c>
      <c r="C72" s="717">
        <v>5.4999999999999999E-6</v>
      </c>
      <c r="D72" s="717">
        <v>5.4E-6</v>
      </c>
      <c r="E72" s="718">
        <v>1841</v>
      </c>
      <c r="F72" s="718">
        <v>2423</v>
      </c>
      <c r="G72" s="718">
        <v>11673</v>
      </c>
      <c r="H72" s="718"/>
      <c r="I72" s="719">
        <v>219.3125</v>
      </c>
      <c r="J72" s="719">
        <v>10229</v>
      </c>
      <c r="K72" s="719">
        <v>799</v>
      </c>
      <c r="L72" s="718">
        <v>0</v>
      </c>
      <c r="M72" s="718"/>
      <c r="N72" s="719">
        <v>409</v>
      </c>
      <c r="O72" s="719">
        <v>3776</v>
      </c>
      <c r="P72" s="719">
        <v>0</v>
      </c>
      <c r="Q72" s="718">
        <v>1089</v>
      </c>
      <c r="R72" s="719">
        <f t="shared" si="1"/>
        <v>6453</v>
      </c>
      <c r="S72" s="718"/>
      <c r="T72" s="719">
        <v>3120</v>
      </c>
      <c r="U72" s="721">
        <v>-397</v>
      </c>
      <c r="V72" s="721">
        <v>2723</v>
      </c>
    </row>
    <row r="73" spans="1:22" x14ac:dyDescent="0.25">
      <c r="A73" s="715">
        <v>90861</v>
      </c>
      <c r="B73" s="716" t="s">
        <v>2611</v>
      </c>
      <c r="C73" s="717">
        <v>4.7999999999999998E-6</v>
      </c>
      <c r="D73" s="717">
        <v>5.3000000000000001E-6</v>
      </c>
      <c r="E73" s="718">
        <v>3510</v>
      </c>
      <c r="F73" s="718">
        <v>2379</v>
      </c>
      <c r="G73" s="718">
        <v>10187</v>
      </c>
      <c r="H73" s="718"/>
      <c r="I73" s="719">
        <v>191</v>
      </c>
      <c r="J73" s="719">
        <v>8927</v>
      </c>
      <c r="K73" s="719">
        <v>698</v>
      </c>
      <c r="L73" s="718">
        <v>3258</v>
      </c>
      <c r="M73" s="718"/>
      <c r="N73" s="719">
        <v>357</v>
      </c>
      <c r="O73" s="719">
        <v>3295</v>
      </c>
      <c r="P73" s="719">
        <v>0</v>
      </c>
      <c r="Q73" s="718">
        <v>2245</v>
      </c>
      <c r="R73" s="719">
        <f t="shared" si="1"/>
        <v>5632</v>
      </c>
      <c r="S73" s="718"/>
      <c r="T73" s="719">
        <v>2723</v>
      </c>
      <c r="U73" s="721">
        <v>-63</v>
      </c>
      <c r="V73" s="721">
        <v>2659</v>
      </c>
    </row>
    <row r="74" spans="1:22" x14ac:dyDescent="0.25">
      <c r="A74" s="715">
        <v>90901</v>
      </c>
      <c r="B74" s="716" t="s">
        <v>2612</v>
      </c>
      <c r="C74" s="717">
        <v>2.1302999999999999E-3</v>
      </c>
      <c r="D74" s="717">
        <v>2.2187000000000001E-3</v>
      </c>
      <c r="E74" s="718">
        <v>886463</v>
      </c>
      <c r="F74" s="718">
        <v>995739</v>
      </c>
      <c r="G74" s="718">
        <v>4521210</v>
      </c>
      <c r="H74" s="718"/>
      <c r="I74" s="719">
        <v>84946</v>
      </c>
      <c r="J74" s="719">
        <v>3962021</v>
      </c>
      <c r="K74" s="719">
        <v>309663</v>
      </c>
      <c r="L74" s="718">
        <v>9118.18</v>
      </c>
      <c r="M74" s="718"/>
      <c r="N74" s="719">
        <v>158428</v>
      </c>
      <c r="O74" s="719">
        <v>1462361</v>
      </c>
      <c r="P74" s="719">
        <v>0</v>
      </c>
      <c r="Q74" s="718">
        <v>53019</v>
      </c>
      <c r="R74" s="719">
        <f t="shared" si="1"/>
        <v>2499660</v>
      </c>
      <c r="S74" s="718"/>
      <c r="T74" s="719">
        <v>1208453</v>
      </c>
      <c r="U74" s="721">
        <v>-10432</v>
      </c>
      <c r="V74" s="721">
        <v>1198021</v>
      </c>
    </row>
    <row r="75" spans="1:22" x14ac:dyDescent="0.25">
      <c r="A75" s="715">
        <v>90911</v>
      </c>
      <c r="B75" s="716" t="s">
        <v>2613</v>
      </c>
      <c r="C75" s="717">
        <v>3.6010000000000003E-4</v>
      </c>
      <c r="D75" s="717">
        <v>3.6860000000000001E-4</v>
      </c>
      <c r="E75" s="718">
        <v>130625.3</v>
      </c>
      <c r="F75" s="718">
        <v>165425</v>
      </c>
      <c r="G75" s="718">
        <v>764253</v>
      </c>
      <c r="H75" s="718"/>
      <c r="I75" s="719">
        <v>14359</v>
      </c>
      <c r="J75" s="719">
        <v>669729</v>
      </c>
      <c r="K75" s="719">
        <v>52344</v>
      </c>
      <c r="L75" s="718">
        <v>0</v>
      </c>
      <c r="M75" s="718"/>
      <c r="N75" s="719">
        <v>26780</v>
      </c>
      <c r="O75" s="719">
        <v>247194</v>
      </c>
      <c r="P75" s="719">
        <v>0</v>
      </c>
      <c r="Q75" s="718">
        <v>51509</v>
      </c>
      <c r="R75" s="719">
        <f t="shared" si="1"/>
        <v>422535</v>
      </c>
      <c r="S75" s="718"/>
      <c r="T75" s="719">
        <v>204274</v>
      </c>
      <c r="U75" s="721">
        <v>-20027</v>
      </c>
      <c r="V75" s="721">
        <v>184246</v>
      </c>
    </row>
    <row r="76" spans="1:22" x14ac:dyDescent="0.25">
      <c r="A76" s="715">
        <v>90917</v>
      </c>
      <c r="B76" s="716" t="s">
        <v>2614</v>
      </c>
      <c r="C76" s="717">
        <v>1.42E-5</v>
      </c>
      <c r="D76" s="717">
        <v>1.01E-5</v>
      </c>
      <c r="E76" s="718">
        <v>5169</v>
      </c>
      <c r="F76" s="718">
        <v>4533</v>
      </c>
      <c r="G76" s="718">
        <v>30137</v>
      </c>
      <c r="H76" s="718"/>
      <c r="I76" s="719">
        <v>566.22500000000002</v>
      </c>
      <c r="J76" s="719">
        <v>26410</v>
      </c>
      <c r="K76" s="719">
        <v>2064</v>
      </c>
      <c r="L76" s="718">
        <v>2014</v>
      </c>
      <c r="M76" s="718"/>
      <c r="N76" s="719">
        <v>1056</v>
      </c>
      <c r="O76" s="719">
        <v>9748</v>
      </c>
      <c r="P76" s="719">
        <v>0</v>
      </c>
      <c r="Q76" s="718">
        <v>881.57</v>
      </c>
      <c r="R76" s="719">
        <f t="shared" si="1"/>
        <v>16662</v>
      </c>
      <c r="S76" s="718"/>
      <c r="T76" s="719">
        <v>8055</v>
      </c>
      <c r="U76" s="721">
        <v>110</v>
      </c>
      <c r="V76" s="721">
        <v>8165</v>
      </c>
    </row>
    <row r="77" spans="1:22" x14ac:dyDescent="0.25">
      <c r="A77" s="715">
        <v>90918</v>
      </c>
      <c r="B77" s="716" t="s">
        <v>2615</v>
      </c>
      <c r="C77" s="717">
        <v>1.24E-5</v>
      </c>
      <c r="D77" s="717">
        <v>1.3499999999999999E-5</v>
      </c>
      <c r="E77" s="718">
        <v>4291.66</v>
      </c>
      <c r="F77" s="718">
        <v>6059</v>
      </c>
      <c r="G77" s="718">
        <v>26317</v>
      </c>
      <c r="H77" s="718"/>
      <c r="I77" s="719">
        <v>494.45</v>
      </c>
      <c r="J77" s="719">
        <v>23062</v>
      </c>
      <c r="K77" s="719">
        <v>1802</v>
      </c>
      <c r="L77" s="718">
        <v>0</v>
      </c>
      <c r="M77" s="718"/>
      <c r="N77" s="719">
        <v>922</v>
      </c>
      <c r="O77" s="719">
        <v>8512</v>
      </c>
      <c r="P77" s="719">
        <v>0</v>
      </c>
      <c r="Q77" s="718">
        <v>2531</v>
      </c>
      <c r="R77" s="719">
        <f t="shared" si="1"/>
        <v>14550</v>
      </c>
      <c r="S77" s="718"/>
      <c r="T77" s="719">
        <v>7034</v>
      </c>
      <c r="U77" s="721">
        <v>-865</v>
      </c>
      <c r="V77" s="721">
        <v>6169</v>
      </c>
    </row>
    <row r="78" spans="1:22" x14ac:dyDescent="0.25">
      <c r="A78" s="715">
        <v>90921</v>
      </c>
      <c r="B78" s="716" t="s">
        <v>2616</v>
      </c>
      <c r="C78" s="717">
        <v>8.7399999999999997E-5</v>
      </c>
      <c r="D78" s="717">
        <v>1.149E-4</v>
      </c>
      <c r="E78" s="718">
        <v>45670.59</v>
      </c>
      <c r="F78" s="718">
        <v>51566</v>
      </c>
      <c r="G78" s="718">
        <v>185492</v>
      </c>
      <c r="H78" s="718"/>
      <c r="I78" s="719">
        <v>3485</v>
      </c>
      <c r="J78" s="719">
        <v>162550</v>
      </c>
      <c r="K78" s="719">
        <v>12705</v>
      </c>
      <c r="L78" s="718">
        <v>4488</v>
      </c>
      <c r="M78" s="718"/>
      <c r="N78" s="719">
        <v>6500</v>
      </c>
      <c r="O78" s="719">
        <v>59996</v>
      </c>
      <c r="P78" s="719">
        <v>0</v>
      </c>
      <c r="Q78" s="718">
        <v>10576</v>
      </c>
      <c r="R78" s="719">
        <f t="shared" si="1"/>
        <v>102554</v>
      </c>
      <c r="S78" s="718"/>
      <c r="T78" s="719">
        <v>49579</v>
      </c>
      <c r="U78" s="721">
        <v>-1977</v>
      </c>
      <c r="V78" s="721">
        <v>47602</v>
      </c>
    </row>
    <row r="79" spans="1:22" x14ac:dyDescent="0.25">
      <c r="A79" s="715">
        <v>90931</v>
      </c>
      <c r="B79" s="716" t="s">
        <v>2617</v>
      </c>
      <c r="C79" s="717">
        <v>5.1900000000000001E-5</v>
      </c>
      <c r="D79" s="717">
        <v>6.2700000000000006E-5</v>
      </c>
      <c r="E79" s="718">
        <v>20869.29</v>
      </c>
      <c r="F79" s="718">
        <v>28139</v>
      </c>
      <c r="G79" s="718">
        <v>110149</v>
      </c>
      <c r="H79" s="718"/>
      <c r="I79" s="719">
        <v>2070</v>
      </c>
      <c r="J79" s="719">
        <v>96526</v>
      </c>
      <c r="K79" s="719">
        <v>7544</v>
      </c>
      <c r="L79" s="718">
        <v>6439</v>
      </c>
      <c r="M79" s="718"/>
      <c r="N79" s="719">
        <v>3860</v>
      </c>
      <c r="O79" s="719">
        <v>35627</v>
      </c>
      <c r="P79" s="719">
        <v>0</v>
      </c>
      <c r="Q79" s="718">
        <v>6227</v>
      </c>
      <c r="R79" s="719">
        <f t="shared" si="1"/>
        <v>60899</v>
      </c>
      <c r="S79" s="718"/>
      <c r="T79" s="719">
        <v>29441</v>
      </c>
      <c r="U79" s="721">
        <v>1082</v>
      </c>
      <c r="V79" s="721">
        <v>30524</v>
      </c>
    </row>
    <row r="80" spans="1:22" x14ac:dyDescent="0.25">
      <c r="A80" s="715">
        <v>90941</v>
      </c>
      <c r="B80" s="716" t="s">
        <v>2618</v>
      </c>
      <c r="C80" s="717">
        <v>9.0799999999999998E-5</v>
      </c>
      <c r="D80" s="717">
        <v>8.1199999999999995E-5</v>
      </c>
      <c r="E80" s="718">
        <v>33657.32</v>
      </c>
      <c r="F80" s="718">
        <v>36442</v>
      </c>
      <c r="G80" s="718">
        <v>192708</v>
      </c>
      <c r="H80" s="718"/>
      <c r="I80" s="719">
        <v>3620.65</v>
      </c>
      <c r="J80" s="719">
        <v>168874</v>
      </c>
      <c r="K80" s="719">
        <v>13199</v>
      </c>
      <c r="L80" s="718">
        <v>2275</v>
      </c>
      <c r="M80" s="718"/>
      <c r="N80" s="719">
        <v>6753</v>
      </c>
      <c r="O80" s="719">
        <v>62330</v>
      </c>
      <c r="P80" s="719">
        <v>0</v>
      </c>
      <c r="Q80" s="718">
        <v>7609</v>
      </c>
      <c r="R80" s="719">
        <f t="shared" si="1"/>
        <v>106544</v>
      </c>
      <c r="S80" s="718"/>
      <c r="T80" s="719">
        <v>51508</v>
      </c>
      <c r="U80" s="721">
        <v>-2188</v>
      </c>
      <c r="V80" s="721">
        <v>49320</v>
      </c>
    </row>
    <row r="81" spans="1:22" x14ac:dyDescent="0.25">
      <c r="A81" s="715">
        <v>91001</v>
      </c>
      <c r="B81" s="716" t="s">
        <v>2619</v>
      </c>
      <c r="C81" s="717">
        <v>6.6189999999999999E-3</v>
      </c>
      <c r="D81" s="717">
        <v>6.5719999999999997E-3</v>
      </c>
      <c r="E81" s="718">
        <v>2476167.31</v>
      </c>
      <c r="F81" s="718">
        <v>2949474</v>
      </c>
      <c r="G81" s="718">
        <v>14047735</v>
      </c>
      <c r="H81" s="718"/>
      <c r="I81" s="719">
        <v>263933</v>
      </c>
      <c r="J81" s="719">
        <v>12310294</v>
      </c>
      <c r="K81" s="719">
        <v>962144</v>
      </c>
      <c r="L81" s="718">
        <v>72024</v>
      </c>
      <c r="M81" s="718"/>
      <c r="N81" s="719">
        <v>492248</v>
      </c>
      <c r="O81" s="719">
        <v>4543666</v>
      </c>
      <c r="P81" s="719">
        <v>0</v>
      </c>
      <c r="Q81" s="718">
        <v>203248</v>
      </c>
      <c r="R81" s="719">
        <f t="shared" si="1"/>
        <v>7766628</v>
      </c>
      <c r="S81" s="718"/>
      <c r="T81" s="719">
        <v>3754754</v>
      </c>
      <c r="U81" s="721">
        <v>-19657</v>
      </c>
      <c r="V81" s="721">
        <v>3735096</v>
      </c>
    </row>
    <row r="82" spans="1:22" x14ac:dyDescent="0.25">
      <c r="A82" s="715">
        <v>91002</v>
      </c>
      <c r="B82" s="716" t="s">
        <v>2620</v>
      </c>
      <c r="C82" s="717">
        <v>5.6360000000000004E-4</v>
      </c>
      <c r="D82" s="717">
        <v>5.8929999999999996E-4</v>
      </c>
      <c r="E82" s="718">
        <v>198213.95</v>
      </c>
      <c r="F82" s="718">
        <v>264474</v>
      </c>
      <c r="G82" s="718">
        <v>1196148</v>
      </c>
      <c r="H82" s="718"/>
      <c r="I82" s="719">
        <v>22474</v>
      </c>
      <c r="J82" s="719">
        <v>1048207</v>
      </c>
      <c r="K82" s="719">
        <v>81925</v>
      </c>
      <c r="L82" s="718">
        <v>5287.43</v>
      </c>
      <c r="M82" s="718"/>
      <c r="N82" s="719">
        <v>41914</v>
      </c>
      <c r="O82" s="719">
        <v>386888</v>
      </c>
      <c r="P82" s="719">
        <v>0</v>
      </c>
      <c r="Q82" s="718">
        <v>69296</v>
      </c>
      <c r="R82" s="719">
        <f t="shared" si="1"/>
        <v>661319</v>
      </c>
      <c r="S82" s="718"/>
      <c r="T82" s="719">
        <v>319713</v>
      </c>
      <c r="U82" s="721">
        <v>-18039</v>
      </c>
      <c r="V82" s="721">
        <v>301674</v>
      </c>
    </row>
    <row r="83" spans="1:22" x14ac:dyDescent="0.25">
      <c r="A83" s="715">
        <v>91003</v>
      </c>
      <c r="B83" s="716" t="s">
        <v>2621</v>
      </c>
      <c r="C83" s="717">
        <v>5.6550000000000003E-4</v>
      </c>
      <c r="D83" s="717">
        <v>6.4320000000000002E-4</v>
      </c>
      <c r="E83" s="718">
        <v>237083</v>
      </c>
      <c r="F83" s="718">
        <v>288664</v>
      </c>
      <c r="G83" s="718">
        <v>1200180</v>
      </c>
      <c r="H83" s="718"/>
      <c r="I83" s="719">
        <v>22549.3125</v>
      </c>
      <c r="J83" s="719">
        <v>1051741</v>
      </c>
      <c r="K83" s="719">
        <v>82202</v>
      </c>
      <c r="L83" s="718">
        <v>33107</v>
      </c>
      <c r="M83" s="718"/>
      <c r="N83" s="719">
        <v>42056</v>
      </c>
      <c r="O83" s="719">
        <v>388192</v>
      </c>
      <c r="P83" s="719">
        <v>0</v>
      </c>
      <c r="Q83" s="718">
        <v>38498</v>
      </c>
      <c r="R83" s="719">
        <f t="shared" si="1"/>
        <v>663549</v>
      </c>
      <c r="S83" s="718"/>
      <c r="T83" s="719">
        <v>320791</v>
      </c>
      <c r="U83" s="721">
        <v>4893</v>
      </c>
      <c r="V83" s="721">
        <v>325683</v>
      </c>
    </row>
    <row r="84" spans="1:22" x14ac:dyDescent="0.25">
      <c r="A84" s="715">
        <v>91004</v>
      </c>
      <c r="B84" s="716" t="s">
        <v>2622</v>
      </c>
      <c r="C84" s="717">
        <v>1.7499999999999998E-5</v>
      </c>
      <c r="D84" s="717">
        <v>1.8199999999999999E-5</v>
      </c>
      <c r="E84" s="718">
        <v>9480</v>
      </c>
      <c r="F84" s="718">
        <v>8168</v>
      </c>
      <c r="G84" s="718">
        <v>37141</v>
      </c>
      <c r="H84" s="718"/>
      <c r="I84" s="719">
        <v>698</v>
      </c>
      <c r="J84" s="719">
        <v>32547</v>
      </c>
      <c r="K84" s="719">
        <v>2544</v>
      </c>
      <c r="L84" s="718">
        <v>7859</v>
      </c>
      <c r="M84" s="718"/>
      <c r="N84" s="719">
        <v>1301.4575</v>
      </c>
      <c r="O84" s="719">
        <v>12013</v>
      </c>
      <c r="P84" s="719">
        <v>0</v>
      </c>
      <c r="Q84" s="718">
        <v>217</v>
      </c>
      <c r="R84" s="719">
        <f t="shared" si="1"/>
        <v>20534</v>
      </c>
      <c r="S84" s="718"/>
      <c r="T84" s="719">
        <v>9927</v>
      </c>
      <c r="U84" s="721">
        <v>2541</v>
      </c>
      <c r="V84" s="721">
        <v>12468</v>
      </c>
    </row>
    <row r="85" spans="1:22" x14ac:dyDescent="0.25">
      <c r="A85" s="715">
        <v>91006</v>
      </c>
      <c r="B85" s="716" t="s">
        <v>2623</v>
      </c>
      <c r="C85" s="717">
        <v>1.0096E-3</v>
      </c>
      <c r="D85" s="717">
        <v>1.0097000000000001E-3</v>
      </c>
      <c r="E85" s="718">
        <v>387783</v>
      </c>
      <c r="F85" s="718">
        <v>453147</v>
      </c>
      <c r="G85" s="718">
        <v>2142709</v>
      </c>
      <c r="H85" s="718"/>
      <c r="I85" s="719">
        <v>40258</v>
      </c>
      <c r="J85" s="719">
        <v>1877696</v>
      </c>
      <c r="K85" s="719">
        <v>146756</v>
      </c>
      <c r="L85" s="718">
        <v>28780</v>
      </c>
      <c r="M85" s="718"/>
      <c r="N85" s="719">
        <v>75083</v>
      </c>
      <c r="O85" s="719">
        <v>693048</v>
      </c>
      <c r="P85" s="719">
        <v>0</v>
      </c>
      <c r="Q85" s="718">
        <v>21822</v>
      </c>
      <c r="R85" s="719">
        <f t="shared" si="1"/>
        <v>1184648</v>
      </c>
      <c r="S85" s="718"/>
      <c r="T85" s="719">
        <v>572715</v>
      </c>
      <c r="U85" s="721">
        <v>4927</v>
      </c>
      <c r="V85" s="721">
        <v>577642</v>
      </c>
    </row>
    <row r="86" spans="1:22" x14ac:dyDescent="0.25">
      <c r="A86" s="715">
        <v>91007</v>
      </c>
      <c r="B86" s="716" t="s">
        <v>2624</v>
      </c>
      <c r="C86" s="717">
        <v>1.2500000000000001E-5</v>
      </c>
      <c r="D86" s="717">
        <v>9.5999999999999996E-6</v>
      </c>
      <c r="E86" s="718">
        <v>10106.58</v>
      </c>
      <c r="F86" s="718">
        <v>4308</v>
      </c>
      <c r="G86" s="718">
        <v>26529.1875</v>
      </c>
      <c r="H86" s="718"/>
      <c r="I86" s="719">
        <v>498.4375</v>
      </c>
      <c r="J86" s="719">
        <v>23248</v>
      </c>
      <c r="K86" s="719">
        <v>1817</v>
      </c>
      <c r="L86" s="718">
        <v>7512</v>
      </c>
      <c r="M86" s="718"/>
      <c r="N86" s="719">
        <v>930</v>
      </c>
      <c r="O86" s="719">
        <v>8581</v>
      </c>
      <c r="P86" s="719">
        <v>0</v>
      </c>
      <c r="Q86" s="718">
        <v>1019</v>
      </c>
      <c r="R86" s="719">
        <f t="shared" si="1"/>
        <v>14667</v>
      </c>
      <c r="S86" s="718"/>
      <c r="T86" s="719">
        <v>7091</v>
      </c>
      <c r="U86" s="721">
        <v>1625</v>
      </c>
      <c r="V86" s="721">
        <v>8716</v>
      </c>
    </row>
    <row r="87" spans="1:22" x14ac:dyDescent="0.25">
      <c r="A87" s="715">
        <v>91008</v>
      </c>
      <c r="B87" s="716" t="s">
        <v>2625</v>
      </c>
      <c r="C87" s="717">
        <v>1.273E-4</v>
      </c>
      <c r="D87" s="717">
        <v>1.1629999999999999E-4</v>
      </c>
      <c r="E87" s="718">
        <v>64143</v>
      </c>
      <c r="F87" s="718">
        <v>52195</v>
      </c>
      <c r="G87" s="718">
        <v>270173</v>
      </c>
      <c r="H87" s="718"/>
      <c r="I87" s="719">
        <v>5076</v>
      </c>
      <c r="J87" s="719">
        <v>236758</v>
      </c>
      <c r="K87" s="719">
        <v>18504</v>
      </c>
      <c r="L87" s="718">
        <v>45460</v>
      </c>
      <c r="M87" s="718"/>
      <c r="N87" s="719">
        <v>9467</v>
      </c>
      <c r="O87" s="719">
        <v>87386</v>
      </c>
      <c r="P87" s="719">
        <v>0</v>
      </c>
      <c r="Q87" s="718">
        <v>0</v>
      </c>
      <c r="R87" s="719">
        <f t="shared" si="1"/>
        <v>149372</v>
      </c>
      <c r="S87" s="718"/>
      <c r="T87" s="719">
        <v>72213</v>
      </c>
      <c r="U87" s="721">
        <v>15722</v>
      </c>
      <c r="V87" s="721">
        <v>87935</v>
      </c>
    </row>
    <row r="88" spans="1:22" x14ac:dyDescent="0.25">
      <c r="A88" s="715">
        <v>91009</v>
      </c>
      <c r="B88" s="716" t="s">
        <v>2626</v>
      </c>
      <c r="C88" s="717">
        <v>1.8700000000000001E-5</v>
      </c>
      <c r="D88" s="717">
        <v>1.5099999999999999E-5</v>
      </c>
      <c r="E88" s="718">
        <v>10450.36</v>
      </c>
      <c r="F88" s="718">
        <v>6777</v>
      </c>
      <c r="G88" s="718">
        <v>39688</v>
      </c>
      <c r="H88" s="718"/>
      <c r="I88" s="719">
        <v>745.66250000000002</v>
      </c>
      <c r="J88" s="719">
        <v>34779</v>
      </c>
      <c r="K88" s="719">
        <v>2718</v>
      </c>
      <c r="L88" s="718">
        <v>4142</v>
      </c>
      <c r="M88" s="718"/>
      <c r="N88" s="719">
        <v>1391</v>
      </c>
      <c r="O88" s="719">
        <v>12837</v>
      </c>
      <c r="P88" s="719">
        <v>0</v>
      </c>
      <c r="Q88" s="718">
        <v>3815</v>
      </c>
      <c r="R88" s="719">
        <f t="shared" si="1"/>
        <v>21942</v>
      </c>
      <c r="S88" s="718"/>
      <c r="T88" s="719">
        <v>10608</v>
      </c>
      <c r="U88" s="721">
        <v>-284</v>
      </c>
      <c r="V88" s="721">
        <v>10324</v>
      </c>
    </row>
    <row r="89" spans="1:22" x14ac:dyDescent="0.25">
      <c r="A89" s="715">
        <v>91010</v>
      </c>
      <c r="B89" s="716" t="s">
        <v>2627</v>
      </c>
      <c r="C89" s="717">
        <v>6.8399999999999996E-5</v>
      </c>
      <c r="D89" s="717">
        <v>7.08E-5</v>
      </c>
      <c r="E89" s="718">
        <v>29262</v>
      </c>
      <c r="F89" s="718">
        <v>31775</v>
      </c>
      <c r="G89" s="718">
        <v>145168</v>
      </c>
      <c r="H89" s="718"/>
      <c r="I89" s="719">
        <v>2727.45</v>
      </c>
      <c r="J89" s="719">
        <v>127213</v>
      </c>
      <c r="K89" s="719">
        <v>9943</v>
      </c>
      <c r="L89" s="718">
        <v>10683</v>
      </c>
      <c r="M89" s="718"/>
      <c r="N89" s="719">
        <v>5087</v>
      </c>
      <c r="O89" s="719">
        <v>46954</v>
      </c>
      <c r="P89" s="719">
        <v>0</v>
      </c>
      <c r="Q89" s="718">
        <v>400</v>
      </c>
      <c r="R89" s="719">
        <f t="shared" si="1"/>
        <v>80259</v>
      </c>
      <c r="S89" s="718"/>
      <c r="T89" s="719">
        <v>38801</v>
      </c>
      <c r="U89" s="721">
        <v>4384</v>
      </c>
      <c r="V89" s="721">
        <v>43185</v>
      </c>
    </row>
    <row r="90" spans="1:22" x14ac:dyDescent="0.25">
      <c r="A90" s="715">
        <v>91011</v>
      </c>
      <c r="B90" s="716" t="s">
        <v>2628</v>
      </c>
      <c r="C90" s="717">
        <v>3.1789999999999998E-4</v>
      </c>
      <c r="D90" s="717">
        <v>3.0249999999999998E-4</v>
      </c>
      <c r="E90" s="718">
        <v>134881.49</v>
      </c>
      <c r="F90" s="718">
        <v>135760</v>
      </c>
      <c r="G90" s="718">
        <v>674690</v>
      </c>
      <c r="H90" s="718"/>
      <c r="I90" s="719">
        <v>12676</v>
      </c>
      <c r="J90" s="719">
        <v>591244</v>
      </c>
      <c r="K90" s="719">
        <v>46210</v>
      </c>
      <c r="L90" s="718">
        <v>30818</v>
      </c>
      <c r="M90" s="718"/>
      <c r="N90" s="719">
        <v>23642</v>
      </c>
      <c r="O90" s="719">
        <v>218225</v>
      </c>
      <c r="P90" s="719">
        <v>0</v>
      </c>
      <c r="Q90" s="718">
        <v>0</v>
      </c>
      <c r="R90" s="719">
        <f t="shared" si="1"/>
        <v>373019</v>
      </c>
      <c r="S90" s="718"/>
      <c r="T90" s="719">
        <v>180335</v>
      </c>
      <c r="U90" s="721">
        <v>10335</v>
      </c>
      <c r="V90" s="721">
        <v>190670</v>
      </c>
    </row>
    <row r="91" spans="1:22" x14ac:dyDescent="0.25">
      <c r="A91" s="715">
        <v>91012</v>
      </c>
      <c r="B91" s="716" t="s">
        <v>2629</v>
      </c>
      <c r="C91" s="717">
        <v>1.49E-5</v>
      </c>
      <c r="D91" s="717">
        <v>1.08E-5</v>
      </c>
      <c r="E91" s="718">
        <v>7817.43</v>
      </c>
      <c r="F91" s="718">
        <v>4847</v>
      </c>
      <c r="G91" s="718">
        <v>31623</v>
      </c>
      <c r="H91" s="718"/>
      <c r="I91" s="719">
        <v>594</v>
      </c>
      <c r="J91" s="719">
        <v>27712</v>
      </c>
      <c r="K91" s="719">
        <v>2166</v>
      </c>
      <c r="L91" s="718">
        <v>3563</v>
      </c>
      <c r="M91" s="718"/>
      <c r="N91" s="719">
        <v>1108</v>
      </c>
      <c r="O91" s="719">
        <v>10228</v>
      </c>
      <c r="P91" s="719">
        <v>0</v>
      </c>
      <c r="Q91" s="718">
        <v>4733</v>
      </c>
      <c r="R91" s="719">
        <f t="shared" si="1"/>
        <v>17484</v>
      </c>
      <c r="S91" s="718"/>
      <c r="T91" s="719">
        <v>8452</v>
      </c>
      <c r="U91" s="721">
        <v>-1352</v>
      </c>
      <c r="V91" s="721">
        <v>7100</v>
      </c>
    </row>
    <row r="92" spans="1:22" x14ac:dyDescent="0.25">
      <c r="A92" s="715">
        <v>91013</v>
      </c>
      <c r="B92" s="716" t="s">
        <v>2630</v>
      </c>
      <c r="C92" s="717">
        <v>2.1800000000000001E-5</v>
      </c>
      <c r="D92" s="717">
        <v>0</v>
      </c>
      <c r="E92" s="718">
        <v>20992.21</v>
      </c>
      <c r="F92" s="718">
        <v>0</v>
      </c>
      <c r="G92" s="718">
        <v>46267</v>
      </c>
      <c r="H92" s="718"/>
      <c r="I92" s="719">
        <v>869</v>
      </c>
      <c r="J92" s="719">
        <v>40545</v>
      </c>
      <c r="K92" s="719">
        <v>3169</v>
      </c>
      <c r="L92" s="718">
        <v>21362</v>
      </c>
      <c r="M92" s="718"/>
      <c r="N92" s="719">
        <v>1621</v>
      </c>
      <c r="O92" s="719">
        <v>14965</v>
      </c>
      <c r="P92" s="719">
        <v>0</v>
      </c>
      <c r="Q92" s="718">
        <v>0</v>
      </c>
      <c r="R92" s="719">
        <f t="shared" si="1"/>
        <v>25580</v>
      </c>
      <c r="S92" s="718"/>
      <c r="T92" s="719">
        <v>12366</v>
      </c>
      <c r="U92" s="721">
        <v>5534</v>
      </c>
      <c r="V92" s="721">
        <v>17901</v>
      </c>
    </row>
    <row r="93" spans="1:22" x14ac:dyDescent="0.25">
      <c r="A93" s="715">
        <v>91014</v>
      </c>
      <c r="B93" s="716" t="s">
        <v>2631</v>
      </c>
      <c r="C93" s="717">
        <v>2.1499999999999999E-4</v>
      </c>
      <c r="D93" s="717">
        <v>2.241E-4</v>
      </c>
      <c r="E93" s="718">
        <v>84391.47</v>
      </c>
      <c r="F93" s="718">
        <v>100575</v>
      </c>
      <c r="G93" s="718">
        <v>456302</v>
      </c>
      <c r="H93" s="718"/>
      <c r="I93" s="719">
        <v>8573.125</v>
      </c>
      <c r="J93" s="719">
        <v>399866</v>
      </c>
      <c r="K93" s="719">
        <v>31253</v>
      </c>
      <c r="L93" s="718">
        <v>0</v>
      </c>
      <c r="M93" s="718"/>
      <c r="N93" s="719">
        <v>15989</v>
      </c>
      <c r="O93" s="719">
        <v>147588.47</v>
      </c>
      <c r="P93" s="719">
        <v>0</v>
      </c>
      <c r="Q93" s="718">
        <v>17744</v>
      </c>
      <c r="R93" s="719">
        <f t="shared" si="1"/>
        <v>252278</v>
      </c>
      <c r="S93" s="718"/>
      <c r="T93" s="719">
        <v>121963</v>
      </c>
      <c r="U93" s="721">
        <v>-6457</v>
      </c>
      <c r="V93" s="721">
        <v>115506</v>
      </c>
    </row>
    <row r="94" spans="1:22" x14ac:dyDescent="0.25">
      <c r="A94" s="715">
        <v>91017</v>
      </c>
      <c r="B94" s="716" t="s">
        <v>2632</v>
      </c>
      <c r="C94" s="717">
        <v>2.3E-5</v>
      </c>
      <c r="D94" s="717">
        <v>1.01E-5</v>
      </c>
      <c r="E94" s="718">
        <v>10837.78</v>
      </c>
      <c r="F94" s="718">
        <v>4533</v>
      </c>
      <c r="G94" s="718">
        <v>48814</v>
      </c>
      <c r="H94" s="718"/>
      <c r="I94" s="719">
        <v>917.125</v>
      </c>
      <c r="J94" s="719">
        <v>42776</v>
      </c>
      <c r="K94" s="719">
        <v>3343</v>
      </c>
      <c r="L94" s="718">
        <v>11872</v>
      </c>
      <c r="M94" s="718"/>
      <c r="N94" s="719">
        <v>1710</v>
      </c>
      <c r="O94" s="719">
        <v>15789</v>
      </c>
      <c r="P94" s="719">
        <v>0</v>
      </c>
      <c r="Q94" s="718">
        <v>0</v>
      </c>
      <c r="R94" s="719">
        <f t="shared" si="1"/>
        <v>26987</v>
      </c>
      <c r="S94" s="718"/>
      <c r="T94" s="719">
        <v>13047</v>
      </c>
      <c r="U94" s="721">
        <v>3546</v>
      </c>
      <c r="V94" s="721">
        <v>16593</v>
      </c>
    </row>
    <row r="95" spans="1:22" x14ac:dyDescent="0.25">
      <c r="A95" s="715">
        <v>91020</v>
      </c>
      <c r="B95" s="716" t="s">
        <v>2633</v>
      </c>
      <c r="C95" s="717">
        <v>1.9899999999999999E-5</v>
      </c>
      <c r="D95" s="717">
        <v>1.7E-5</v>
      </c>
      <c r="E95" s="718">
        <v>8500.07</v>
      </c>
      <c r="F95" s="718">
        <v>7629</v>
      </c>
      <c r="G95" s="718">
        <v>42234</v>
      </c>
      <c r="H95" s="718"/>
      <c r="I95" s="719">
        <v>794</v>
      </c>
      <c r="J95" s="719">
        <v>37011</v>
      </c>
      <c r="K95" s="719">
        <v>2893</v>
      </c>
      <c r="L95" s="718">
        <v>2656</v>
      </c>
      <c r="M95" s="718"/>
      <c r="N95" s="719">
        <v>1480</v>
      </c>
      <c r="O95" s="719">
        <v>13661</v>
      </c>
      <c r="P95" s="719">
        <v>0</v>
      </c>
      <c r="Q95" s="718">
        <v>582</v>
      </c>
      <c r="R95" s="719">
        <f t="shared" si="1"/>
        <v>23350</v>
      </c>
      <c r="S95" s="718"/>
      <c r="T95" s="719">
        <v>11289</v>
      </c>
      <c r="U95" s="721">
        <v>685</v>
      </c>
      <c r="V95" s="721">
        <v>11973</v>
      </c>
    </row>
    <row r="96" spans="1:22" x14ac:dyDescent="0.25">
      <c r="A96" s="715">
        <v>91021</v>
      </c>
      <c r="B96" s="716" t="s">
        <v>2634</v>
      </c>
      <c r="C96" s="717">
        <v>8.6989999999999995E-4</v>
      </c>
      <c r="D96" s="717">
        <v>9.4979999999999999E-4</v>
      </c>
      <c r="E96" s="718">
        <v>366474.75</v>
      </c>
      <c r="F96" s="718">
        <v>426265</v>
      </c>
      <c r="G96" s="718">
        <v>1846219</v>
      </c>
      <c r="H96" s="718"/>
      <c r="I96" s="719">
        <v>34687</v>
      </c>
      <c r="J96" s="719">
        <v>1617877</v>
      </c>
      <c r="K96" s="719">
        <v>126450</v>
      </c>
      <c r="L96" s="718">
        <v>0</v>
      </c>
      <c r="M96" s="718"/>
      <c r="N96" s="719">
        <v>64694</v>
      </c>
      <c r="O96" s="719">
        <v>597150</v>
      </c>
      <c r="P96" s="719">
        <v>0</v>
      </c>
      <c r="Q96" s="718">
        <v>117733</v>
      </c>
      <c r="R96" s="719">
        <f t="shared" si="1"/>
        <v>1020727</v>
      </c>
      <c r="S96" s="718"/>
      <c r="T96" s="719">
        <v>493467</v>
      </c>
      <c r="U96" s="721">
        <v>-45954</v>
      </c>
      <c r="V96" s="721">
        <v>447513</v>
      </c>
    </row>
    <row r="97" spans="1:22" x14ac:dyDescent="0.25">
      <c r="A97" s="715">
        <v>91024</v>
      </c>
      <c r="B97" s="716" t="s">
        <v>2635</v>
      </c>
      <c r="C97" s="717">
        <v>6.6299999999999999E-5</v>
      </c>
      <c r="D97" s="717">
        <v>4.3800000000000001E-5</v>
      </c>
      <c r="E97" s="718">
        <v>26295.57</v>
      </c>
      <c r="F97" s="718">
        <v>19657</v>
      </c>
      <c r="G97" s="718">
        <v>140711</v>
      </c>
      <c r="H97" s="718"/>
      <c r="I97" s="719">
        <v>2644</v>
      </c>
      <c r="J97" s="719">
        <v>123308</v>
      </c>
      <c r="K97" s="719">
        <v>9637</v>
      </c>
      <c r="L97" s="718">
        <v>28363</v>
      </c>
      <c r="M97" s="718"/>
      <c r="N97" s="719">
        <v>4931</v>
      </c>
      <c r="O97" s="719">
        <v>45512</v>
      </c>
      <c r="P97" s="719">
        <v>0</v>
      </c>
      <c r="Q97" s="718">
        <v>0</v>
      </c>
      <c r="R97" s="719">
        <f t="shared" si="1"/>
        <v>77796</v>
      </c>
      <c r="S97" s="718"/>
      <c r="T97" s="719">
        <v>37610</v>
      </c>
      <c r="U97" s="721">
        <v>9531</v>
      </c>
      <c r="V97" s="721">
        <v>47141</v>
      </c>
    </row>
    <row r="98" spans="1:22" x14ac:dyDescent="0.25">
      <c r="A98" s="715">
        <v>91026</v>
      </c>
      <c r="B98" s="716" t="s">
        <v>1233</v>
      </c>
      <c r="C98" s="717">
        <v>6.0900000000000003E-5</v>
      </c>
      <c r="D98" s="717">
        <v>5.4700000000000001E-5</v>
      </c>
      <c r="E98" s="718">
        <v>45660</v>
      </c>
      <c r="F98" s="718">
        <v>24549</v>
      </c>
      <c r="G98" s="718">
        <v>129250</v>
      </c>
      <c r="H98" s="718"/>
      <c r="I98" s="719">
        <v>2428</v>
      </c>
      <c r="J98" s="719">
        <v>113264</v>
      </c>
      <c r="K98" s="719">
        <v>8852</v>
      </c>
      <c r="L98" s="718">
        <v>43564</v>
      </c>
      <c r="M98" s="718"/>
      <c r="N98" s="719">
        <v>4529</v>
      </c>
      <c r="O98" s="719">
        <v>41805</v>
      </c>
      <c r="P98" s="719">
        <v>0</v>
      </c>
      <c r="Q98" s="718">
        <v>6237</v>
      </c>
      <c r="R98" s="719">
        <f t="shared" si="1"/>
        <v>71459</v>
      </c>
      <c r="S98" s="718"/>
      <c r="T98" s="719">
        <v>34547</v>
      </c>
      <c r="U98" s="721">
        <v>10429</v>
      </c>
      <c r="V98" s="721">
        <v>44976</v>
      </c>
    </row>
    <row r="99" spans="1:22" x14ac:dyDescent="0.25">
      <c r="A99" s="715">
        <v>91027</v>
      </c>
      <c r="B99" s="716" t="s">
        <v>2636</v>
      </c>
      <c r="C99" s="717">
        <v>1.6099999999999998E-5</v>
      </c>
      <c r="D99" s="717">
        <v>1.6099999999999998E-5</v>
      </c>
      <c r="E99" s="718">
        <v>15581</v>
      </c>
      <c r="F99" s="718">
        <v>7226</v>
      </c>
      <c r="G99" s="718">
        <v>34170</v>
      </c>
      <c r="H99" s="718"/>
      <c r="I99" s="719">
        <v>642</v>
      </c>
      <c r="J99" s="719">
        <v>29943</v>
      </c>
      <c r="K99" s="719">
        <v>2340</v>
      </c>
      <c r="L99" s="718">
        <v>15162</v>
      </c>
      <c r="M99" s="718"/>
      <c r="N99" s="719">
        <v>1197</v>
      </c>
      <c r="O99" s="719">
        <v>11052</v>
      </c>
      <c r="P99" s="719">
        <v>0</v>
      </c>
      <c r="Q99" s="718">
        <v>0</v>
      </c>
      <c r="R99" s="719">
        <f t="shared" si="1"/>
        <v>18891</v>
      </c>
      <c r="S99" s="718"/>
      <c r="T99" s="719">
        <v>9133</v>
      </c>
      <c r="U99" s="721">
        <v>5044</v>
      </c>
      <c r="V99" s="721">
        <v>14177</v>
      </c>
    </row>
    <row r="100" spans="1:22" x14ac:dyDescent="0.25">
      <c r="A100" s="715">
        <v>91032</v>
      </c>
      <c r="B100" s="716" t="s">
        <v>2637</v>
      </c>
      <c r="C100" s="717">
        <v>1.8600000000000001E-5</v>
      </c>
      <c r="D100" s="717">
        <v>2.12E-5</v>
      </c>
      <c r="E100" s="718">
        <v>14204.55</v>
      </c>
      <c r="F100" s="718">
        <v>9514</v>
      </c>
      <c r="G100" s="718">
        <v>39475</v>
      </c>
      <c r="H100" s="718"/>
      <c r="I100" s="719">
        <v>742</v>
      </c>
      <c r="J100" s="719">
        <v>34593</v>
      </c>
      <c r="K100" s="719">
        <v>2704</v>
      </c>
      <c r="L100" s="718">
        <v>14052</v>
      </c>
      <c r="M100" s="718"/>
      <c r="N100" s="719">
        <v>1383</v>
      </c>
      <c r="O100" s="719">
        <v>12768</v>
      </c>
      <c r="P100" s="719">
        <v>0</v>
      </c>
      <c r="Q100" s="718">
        <v>0</v>
      </c>
      <c r="R100" s="719">
        <f t="shared" si="1"/>
        <v>21825</v>
      </c>
      <c r="S100" s="718"/>
      <c r="T100" s="719">
        <v>10551</v>
      </c>
      <c r="U100" s="721">
        <v>4978</v>
      </c>
      <c r="V100" s="721">
        <v>15529</v>
      </c>
    </row>
    <row r="101" spans="1:22" x14ac:dyDescent="0.25">
      <c r="A101" s="715">
        <v>91041</v>
      </c>
      <c r="B101" s="716" t="s">
        <v>2638</v>
      </c>
      <c r="C101" s="717">
        <v>4.3609999999999998E-4</v>
      </c>
      <c r="D101" s="717">
        <v>4.8910000000000002E-4</v>
      </c>
      <c r="E101" s="718">
        <v>143841.5</v>
      </c>
      <c r="F101" s="718">
        <v>219505</v>
      </c>
      <c r="G101" s="718">
        <v>925550</v>
      </c>
      <c r="H101" s="718"/>
      <c r="I101" s="719">
        <v>17389</v>
      </c>
      <c r="J101" s="719">
        <v>811077</v>
      </c>
      <c r="K101" s="719">
        <v>63392</v>
      </c>
      <c r="L101" s="718">
        <v>0</v>
      </c>
      <c r="M101" s="718"/>
      <c r="N101" s="719">
        <v>32432</v>
      </c>
      <c r="O101" s="719">
        <v>299364</v>
      </c>
      <c r="P101" s="719">
        <v>0</v>
      </c>
      <c r="Q101" s="718">
        <v>93669</v>
      </c>
      <c r="R101" s="719">
        <f t="shared" si="1"/>
        <v>511713</v>
      </c>
      <c r="S101" s="718"/>
      <c r="T101" s="719">
        <v>247386</v>
      </c>
      <c r="U101" s="721">
        <v>-28115</v>
      </c>
      <c r="V101" s="721">
        <v>219271</v>
      </c>
    </row>
    <row r="102" spans="1:22" x14ac:dyDescent="0.25">
      <c r="A102" s="715">
        <v>91042</v>
      </c>
      <c r="B102" s="716" t="s">
        <v>2639</v>
      </c>
      <c r="C102" s="717">
        <v>2.062E-4</v>
      </c>
      <c r="D102" s="717">
        <v>2.1579999999999999E-4</v>
      </c>
      <c r="E102" s="718">
        <v>79476</v>
      </c>
      <c r="F102" s="718">
        <v>96850</v>
      </c>
      <c r="G102" s="718">
        <v>437625</v>
      </c>
      <c r="H102" s="718"/>
      <c r="I102" s="719">
        <v>8222</v>
      </c>
      <c r="J102" s="719">
        <v>383499</v>
      </c>
      <c r="K102" s="719">
        <v>29973</v>
      </c>
      <c r="L102" s="718">
        <v>241</v>
      </c>
      <c r="M102" s="718"/>
      <c r="N102" s="719">
        <v>15335</v>
      </c>
      <c r="O102" s="719">
        <v>141548</v>
      </c>
      <c r="P102" s="719">
        <v>0</v>
      </c>
      <c r="Q102" s="718">
        <v>9427</v>
      </c>
      <c r="R102" s="719">
        <f t="shared" si="1"/>
        <v>241951</v>
      </c>
      <c r="S102" s="718"/>
      <c r="T102" s="719">
        <v>116971</v>
      </c>
      <c r="U102" s="721">
        <v>-2338</v>
      </c>
      <c r="V102" s="721">
        <v>114633</v>
      </c>
    </row>
    <row r="103" spans="1:22" x14ac:dyDescent="0.25">
      <c r="A103" s="715">
        <v>91047</v>
      </c>
      <c r="B103" s="716" t="s">
        <v>2640</v>
      </c>
      <c r="C103" s="717">
        <v>1.3200000000000001E-5</v>
      </c>
      <c r="D103" s="717">
        <v>1.29E-5</v>
      </c>
      <c r="E103" s="718">
        <v>17711.78</v>
      </c>
      <c r="F103" s="718">
        <v>5789</v>
      </c>
      <c r="G103" s="718">
        <v>28015</v>
      </c>
      <c r="H103" s="718"/>
      <c r="I103" s="719">
        <v>526.35</v>
      </c>
      <c r="J103" s="719">
        <v>24550</v>
      </c>
      <c r="K103" s="719">
        <v>1919</v>
      </c>
      <c r="L103" s="718">
        <v>17767</v>
      </c>
      <c r="M103" s="718"/>
      <c r="N103" s="719">
        <v>982</v>
      </c>
      <c r="O103" s="719">
        <v>9061</v>
      </c>
      <c r="P103" s="719">
        <v>0</v>
      </c>
      <c r="Q103" s="718">
        <v>0</v>
      </c>
      <c r="R103" s="719">
        <f t="shared" si="1"/>
        <v>15489</v>
      </c>
      <c r="S103" s="718"/>
      <c r="T103" s="719">
        <v>7488</v>
      </c>
      <c r="U103" s="721">
        <v>5499</v>
      </c>
      <c r="V103" s="721">
        <v>12987</v>
      </c>
    </row>
    <row r="104" spans="1:22" x14ac:dyDescent="0.25">
      <c r="A104" s="715">
        <v>91051</v>
      </c>
      <c r="B104" s="716" t="s">
        <v>2641</v>
      </c>
      <c r="C104" s="717">
        <v>7.6600000000000005E-5</v>
      </c>
      <c r="D104" s="717">
        <v>8.14E-5</v>
      </c>
      <c r="E104" s="718">
        <v>31833</v>
      </c>
      <c r="F104" s="718">
        <v>36532</v>
      </c>
      <c r="G104" s="718">
        <v>162571</v>
      </c>
      <c r="H104" s="718"/>
      <c r="I104" s="719">
        <v>3054</v>
      </c>
      <c r="J104" s="719">
        <v>142464</v>
      </c>
      <c r="K104" s="719">
        <v>11135</v>
      </c>
      <c r="L104" s="718">
        <v>2509</v>
      </c>
      <c r="M104" s="718"/>
      <c r="N104" s="719">
        <v>5697</v>
      </c>
      <c r="O104" s="719">
        <v>52583</v>
      </c>
      <c r="P104" s="719">
        <v>0</v>
      </c>
      <c r="Q104" s="718">
        <v>2829</v>
      </c>
      <c r="R104" s="719">
        <f t="shared" si="1"/>
        <v>89881</v>
      </c>
      <c r="S104" s="718"/>
      <c r="T104" s="719">
        <v>43453</v>
      </c>
      <c r="U104" s="721">
        <v>37</v>
      </c>
      <c r="V104" s="721">
        <v>43490</v>
      </c>
    </row>
    <row r="105" spans="1:22" x14ac:dyDescent="0.25">
      <c r="A105" s="715">
        <v>91057</v>
      </c>
      <c r="B105" s="716" t="s">
        <v>2642</v>
      </c>
      <c r="C105" s="717">
        <v>1.5E-5</v>
      </c>
      <c r="D105" s="717">
        <v>1.49E-5</v>
      </c>
      <c r="E105" s="718">
        <v>9524.76</v>
      </c>
      <c r="F105" s="718">
        <v>6687</v>
      </c>
      <c r="G105" s="718">
        <v>31835</v>
      </c>
      <c r="H105" s="718"/>
      <c r="I105" s="719">
        <v>598.125</v>
      </c>
      <c r="J105" s="719">
        <v>27897.63</v>
      </c>
      <c r="K105" s="719">
        <v>2180.415</v>
      </c>
      <c r="L105" s="718">
        <v>5494</v>
      </c>
      <c r="M105" s="718"/>
      <c r="N105" s="719">
        <v>1116</v>
      </c>
      <c r="O105" s="719">
        <v>10297</v>
      </c>
      <c r="P105" s="719">
        <v>0</v>
      </c>
      <c r="Q105" s="718">
        <v>0</v>
      </c>
      <c r="R105" s="719">
        <f t="shared" si="1"/>
        <v>17601</v>
      </c>
      <c r="S105" s="718"/>
      <c r="T105" s="719">
        <v>8509</v>
      </c>
      <c r="U105" s="721">
        <v>1691</v>
      </c>
      <c r="V105" s="721">
        <v>10200</v>
      </c>
    </row>
    <row r="106" spans="1:22" x14ac:dyDescent="0.25">
      <c r="A106" s="715">
        <v>91061</v>
      </c>
      <c r="B106" s="716" t="s">
        <v>2643</v>
      </c>
      <c r="C106" s="717">
        <v>3.7730000000000001E-4</v>
      </c>
      <c r="D106" s="717">
        <v>3.322E-4</v>
      </c>
      <c r="E106" s="718">
        <v>141049.84</v>
      </c>
      <c r="F106" s="718">
        <v>149089</v>
      </c>
      <c r="G106" s="718">
        <v>800757</v>
      </c>
      <c r="H106" s="718"/>
      <c r="I106" s="719">
        <v>15045</v>
      </c>
      <c r="J106" s="719">
        <v>701718</v>
      </c>
      <c r="K106" s="719">
        <v>54845</v>
      </c>
      <c r="L106" s="718">
        <v>13223</v>
      </c>
      <c r="M106" s="718"/>
      <c r="N106" s="719">
        <v>28059</v>
      </c>
      <c r="O106" s="719">
        <v>259001</v>
      </c>
      <c r="P106" s="719">
        <v>0</v>
      </c>
      <c r="Q106" s="718">
        <v>46977</v>
      </c>
      <c r="R106" s="719">
        <f t="shared" si="1"/>
        <v>442717</v>
      </c>
      <c r="S106" s="718"/>
      <c r="T106" s="719">
        <v>214031</v>
      </c>
      <c r="U106" s="721">
        <v>-15751</v>
      </c>
      <c r="V106" s="721">
        <v>198279</v>
      </c>
    </row>
    <row r="107" spans="1:22" x14ac:dyDescent="0.25">
      <c r="A107" s="715">
        <v>91067</v>
      </c>
      <c r="B107" s="716" t="s">
        <v>2644</v>
      </c>
      <c r="C107" s="717">
        <v>1.8499999999999999E-5</v>
      </c>
      <c r="D107" s="717">
        <v>1.7099999999999999E-5</v>
      </c>
      <c r="E107" s="718">
        <v>8476</v>
      </c>
      <c r="F107" s="718">
        <v>7674</v>
      </c>
      <c r="G107" s="718">
        <v>39263</v>
      </c>
      <c r="H107" s="718"/>
      <c r="I107" s="719">
        <v>737.6875</v>
      </c>
      <c r="J107" s="719">
        <v>34407</v>
      </c>
      <c r="K107" s="719">
        <v>2689</v>
      </c>
      <c r="L107" s="718">
        <v>3670</v>
      </c>
      <c r="M107" s="718"/>
      <c r="N107" s="719">
        <v>1376</v>
      </c>
      <c r="O107" s="719">
        <v>12699</v>
      </c>
      <c r="P107" s="719">
        <v>0</v>
      </c>
      <c r="Q107" s="718">
        <v>0</v>
      </c>
      <c r="R107" s="719">
        <f t="shared" si="1"/>
        <v>21708</v>
      </c>
      <c r="S107" s="718"/>
      <c r="T107" s="719">
        <v>10494</v>
      </c>
      <c r="U107" s="721">
        <v>1258</v>
      </c>
      <c r="V107" s="721">
        <v>11752</v>
      </c>
    </row>
    <row r="108" spans="1:22" x14ac:dyDescent="0.25">
      <c r="A108" s="715">
        <v>91071</v>
      </c>
      <c r="B108" s="716" t="s">
        <v>2645</v>
      </c>
      <c r="C108" s="717">
        <v>2.4379999999999999E-4</v>
      </c>
      <c r="D108" s="717">
        <v>2.321E-4</v>
      </c>
      <c r="E108" s="718">
        <v>89648</v>
      </c>
      <c r="F108" s="718">
        <v>104165</v>
      </c>
      <c r="G108" s="718">
        <v>517425</v>
      </c>
      <c r="H108" s="718"/>
      <c r="I108" s="719">
        <v>9722</v>
      </c>
      <c r="J108" s="719">
        <v>453429</v>
      </c>
      <c r="K108" s="719">
        <v>35439</v>
      </c>
      <c r="L108" s="718">
        <v>16829.43</v>
      </c>
      <c r="M108" s="718"/>
      <c r="N108" s="719">
        <v>18131</v>
      </c>
      <c r="O108" s="719">
        <v>167358</v>
      </c>
      <c r="P108" s="719">
        <v>0</v>
      </c>
      <c r="Q108" s="718">
        <v>3799</v>
      </c>
      <c r="R108" s="719">
        <f t="shared" si="1"/>
        <v>286071</v>
      </c>
      <c r="S108" s="718"/>
      <c r="T108" s="719">
        <v>138300</v>
      </c>
      <c r="U108" s="721">
        <v>7310</v>
      </c>
      <c r="V108" s="721">
        <v>145610</v>
      </c>
    </row>
    <row r="109" spans="1:22" x14ac:dyDescent="0.25">
      <c r="A109" s="715">
        <v>91077</v>
      </c>
      <c r="B109" s="716" t="s">
        <v>2646</v>
      </c>
      <c r="C109" s="717">
        <v>3.9999999999999998E-6</v>
      </c>
      <c r="D109" s="717">
        <v>4.7999999999999998E-6</v>
      </c>
      <c r="E109" s="718">
        <v>2964.42</v>
      </c>
      <c r="F109" s="718">
        <v>2154</v>
      </c>
      <c r="G109" s="718">
        <v>8489.34</v>
      </c>
      <c r="H109" s="718"/>
      <c r="I109" s="719">
        <v>159.5</v>
      </c>
      <c r="J109" s="719">
        <v>7439</v>
      </c>
      <c r="K109" s="719">
        <v>581</v>
      </c>
      <c r="L109" s="718">
        <v>1140</v>
      </c>
      <c r="M109" s="718"/>
      <c r="N109" s="719">
        <v>297</v>
      </c>
      <c r="O109" s="719">
        <v>2746</v>
      </c>
      <c r="P109" s="719">
        <v>0</v>
      </c>
      <c r="Q109" s="718">
        <v>103</v>
      </c>
      <c r="R109" s="719">
        <f t="shared" si="1"/>
        <v>4693</v>
      </c>
      <c r="S109" s="718"/>
      <c r="T109" s="719">
        <v>2269</v>
      </c>
      <c r="U109" s="721">
        <v>294</v>
      </c>
      <c r="V109" s="721">
        <v>2563</v>
      </c>
    </row>
    <row r="110" spans="1:22" x14ac:dyDescent="0.25">
      <c r="A110" s="715">
        <v>91081</v>
      </c>
      <c r="B110" s="716" t="s">
        <v>2647</v>
      </c>
      <c r="C110" s="717">
        <v>3.6499999999999998E-4</v>
      </c>
      <c r="D110" s="717">
        <v>3.5750000000000002E-4</v>
      </c>
      <c r="E110" s="718">
        <v>146436</v>
      </c>
      <c r="F110" s="718">
        <v>160444</v>
      </c>
      <c r="G110" s="718">
        <v>774652</v>
      </c>
      <c r="H110" s="718"/>
      <c r="I110" s="719">
        <v>14554.375</v>
      </c>
      <c r="J110" s="719">
        <v>678842.33</v>
      </c>
      <c r="K110" s="719">
        <v>53057</v>
      </c>
      <c r="L110" s="718">
        <v>1642</v>
      </c>
      <c r="M110" s="718"/>
      <c r="N110" s="719">
        <v>27145</v>
      </c>
      <c r="O110" s="719">
        <v>250557</v>
      </c>
      <c r="P110" s="719">
        <v>0</v>
      </c>
      <c r="Q110" s="718">
        <v>27235</v>
      </c>
      <c r="R110" s="719">
        <f t="shared" si="1"/>
        <v>428285</v>
      </c>
      <c r="S110" s="718"/>
      <c r="T110" s="719">
        <v>207053</v>
      </c>
      <c r="U110" s="721">
        <v>-13214</v>
      </c>
      <c r="V110" s="721">
        <v>193840</v>
      </c>
    </row>
    <row r="111" spans="1:22" x14ac:dyDescent="0.25">
      <c r="A111" s="715">
        <v>91091</v>
      </c>
      <c r="B111" s="716" t="s">
        <v>2648</v>
      </c>
      <c r="C111" s="717">
        <v>5.6380000000000004E-4</v>
      </c>
      <c r="D111" s="717">
        <v>5.3359999999999996E-4</v>
      </c>
      <c r="E111" s="718">
        <v>203382.8</v>
      </c>
      <c r="F111" s="718">
        <v>239476</v>
      </c>
      <c r="G111" s="718">
        <v>1196572</v>
      </c>
      <c r="H111" s="718"/>
      <c r="I111" s="719">
        <v>22482</v>
      </c>
      <c r="J111" s="719">
        <v>1048579</v>
      </c>
      <c r="K111" s="719">
        <v>81955</v>
      </c>
      <c r="L111" s="718">
        <v>0</v>
      </c>
      <c r="M111" s="718"/>
      <c r="N111" s="719">
        <v>41929</v>
      </c>
      <c r="O111" s="719">
        <v>387025</v>
      </c>
      <c r="P111" s="719">
        <v>0</v>
      </c>
      <c r="Q111" s="718">
        <v>54149</v>
      </c>
      <c r="R111" s="719">
        <f t="shared" si="1"/>
        <v>661554</v>
      </c>
      <c r="S111" s="718"/>
      <c r="T111" s="719">
        <v>319826</v>
      </c>
      <c r="U111" s="721">
        <v>-22256</v>
      </c>
      <c r="V111" s="721">
        <v>297571</v>
      </c>
    </row>
    <row r="112" spans="1:22" x14ac:dyDescent="0.25">
      <c r="A112" s="715">
        <v>91101</v>
      </c>
      <c r="B112" s="716" t="s">
        <v>2649</v>
      </c>
      <c r="C112" s="717">
        <v>1.36685E-2</v>
      </c>
      <c r="D112" s="717">
        <v>1.3700499999999999E-2</v>
      </c>
      <c r="E112" s="718">
        <v>5218349</v>
      </c>
      <c r="F112" s="718">
        <v>6148702</v>
      </c>
      <c r="G112" s="718">
        <v>29009136</v>
      </c>
      <c r="H112" s="718"/>
      <c r="I112" s="719">
        <v>545031</v>
      </c>
      <c r="J112" s="719">
        <v>25421250</v>
      </c>
      <c r="K112" s="719">
        <v>1986867</v>
      </c>
      <c r="L112" s="718">
        <v>791280</v>
      </c>
      <c r="M112" s="718"/>
      <c r="N112" s="719">
        <v>1016513</v>
      </c>
      <c r="O112" s="719">
        <v>9382851</v>
      </c>
      <c r="P112" s="719">
        <v>0</v>
      </c>
      <c r="Q112" s="718">
        <v>337196</v>
      </c>
      <c r="R112" s="719">
        <f t="shared" si="1"/>
        <v>16038399</v>
      </c>
      <c r="S112" s="718"/>
      <c r="T112" s="719">
        <v>7753716</v>
      </c>
      <c r="U112" s="721">
        <v>232315</v>
      </c>
      <c r="V112" s="721">
        <v>7986031</v>
      </c>
    </row>
    <row r="113" spans="1:22" x14ac:dyDescent="0.25">
      <c r="A113" s="715">
        <v>91102</v>
      </c>
      <c r="B113" s="716" t="s">
        <v>2650</v>
      </c>
      <c r="C113" s="717">
        <v>3.034E-4</v>
      </c>
      <c r="D113" s="717">
        <v>2.834E-4</v>
      </c>
      <c r="E113" s="718">
        <v>133771</v>
      </c>
      <c r="F113" s="718">
        <v>127188</v>
      </c>
      <c r="G113" s="718">
        <v>643916</v>
      </c>
      <c r="H113" s="718"/>
      <c r="I113" s="719">
        <v>12098</v>
      </c>
      <c r="J113" s="719">
        <v>564276</v>
      </c>
      <c r="K113" s="719">
        <v>44103</v>
      </c>
      <c r="L113" s="718">
        <v>18534</v>
      </c>
      <c r="M113" s="718"/>
      <c r="N113" s="719">
        <v>22564</v>
      </c>
      <c r="O113" s="719">
        <v>208271</v>
      </c>
      <c r="P113" s="719">
        <v>0</v>
      </c>
      <c r="Q113" s="718">
        <v>52648</v>
      </c>
      <c r="R113" s="719">
        <f t="shared" si="1"/>
        <v>356005</v>
      </c>
      <c r="S113" s="718"/>
      <c r="T113" s="719">
        <v>172109</v>
      </c>
      <c r="U113" s="721">
        <v>-13734</v>
      </c>
      <c r="V113" s="721">
        <v>158376</v>
      </c>
    </row>
    <row r="114" spans="1:22" x14ac:dyDescent="0.25">
      <c r="A114" s="715">
        <v>91104</v>
      </c>
      <c r="B114" s="716" t="s">
        <v>2651</v>
      </c>
      <c r="C114" s="717">
        <v>8.1999999999999994E-6</v>
      </c>
      <c r="D114" s="717">
        <v>9.2E-6</v>
      </c>
      <c r="E114" s="718">
        <v>5034.29</v>
      </c>
      <c r="F114" s="718">
        <v>4129</v>
      </c>
      <c r="G114" s="718">
        <v>17403</v>
      </c>
      <c r="H114" s="718"/>
      <c r="I114" s="719">
        <v>327</v>
      </c>
      <c r="J114" s="719">
        <v>15251</v>
      </c>
      <c r="K114" s="719">
        <v>1192</v>
      </c>
      <c r="L114" s="718">
        <v>993</v>
      </c>
      <c r="M114" s="718"/>
      <c r="N114" s="719">
        <v>610</v>
      </c>
      <c r="O114" s="719">
        <v>5629</v>
      </c>
      <c r="P114" s="719">
        <v>0</v>
      </c>
      <c r="Q114" s="718">
        <v>78</v>
      </c>
      <c r="R114" s="719">
        <f t="shared" si="1"/>
        <v>9622</v>
      </c>
      <c r="S114" s="718"/>
      <c r="T114" s="719">
        <v>4652</v>
      </c>
      <c r="U114" s="721">
        <v>239</v>
      </c>
      <c r="V114" s="721">
        <v>4890</v>
      </c>
    </row>
    <row r="115" spans="1:22" x14ac:dyDescent="0.25">
      <c r="A115" s="715">
        <v>91107</v>
      </c>
      <c r="B115" s="716" t="s">
        <v>2652</v>
      </c>
      <c r="C115" s="717">
        <v>6.7899999999999997E-5</v>
      </c>
      <c r="D115" s="717">
        <v>6.3999999999999997E-5</v>
      </c>
      <c r="E115" s="718">
        <v>34872.559999999998</v>
      </c>
      <c r="F115" s="718">
        <v>28723</v>
      </c>
      <c r="G115" s="718">
        <v>144107</v>
      </c>
      <c r="H115" s="718"/>
      <c r="I115" s="719">
        <v>2708</v>
      </c>
      <c r="J115" s="719">
        <v>126283</v>
      </c>
      <c r="K115" s="719">
        <v>9870</v>
      </c>
      <c r="L115" s="718">
        <v>11761</v>
      </c>
      <c r="M115" s="718"/>
      <c r="N115" s="719">
        <v>5050</v>
      </c>
      <c r="O115" s="719">
        <v>46610</v>
      </c>
      <c r="P115" s="719">
        <v>0</v>
      </c>
      <c r="Q115" s="718">
        <v>0</v>
      </c>
      <c r="R115" s="719">
        <f t="shared" si="1"/>
        <v>79673</v>
      </c>
      <c r="S115" s="718"/>
      <c r="T115" s="719">
        <v>38518</v>
      </c>
      <c r="U115" s="721">
        <v>3853</v>
      </c>
      <c r="V115" s="721">
        <v>42371</v>
      </c>
    </row>
    <row r="116" spans="1:22" x14ac:dyDescent="0.25">
      <c r="A116" s="715">
        <v>91108</v>
      </c>
      <c r="B116" s="716" t="s">
        <v>2653</v>
      </c>
      <c r="C116" s="717">
        <v>1.2622E-3</v>
      </c>
      <c r="D116" s="717">
        <v>1.2565E-3</v>
      </c>
      <c r="E116" s="718">
        <v>552346.72</v>
      </c>
      <c r="F116" s="718">
        <v>563910</v>
      </c>
      <c r="G116" s="718">
        <v>2678811</v>
      </c>
      <c r="H116" s="718"/>
      <c r="I116" s="719">
        <v>50330</v>
      </c>
      <c r="J116" s="719">
        <v>2347493</v>
      </c>
      <c r="K116" s="719">
        <v>183475</v>
      </c>
      <c r="L116" s="718">
        <v>83626</v>
      </c>
      <c r="M116" s="718"/>
      <c r="N116" s="719">
        <v>93869</v>
      </c>
      <c r="O116" s="719">
        <v>866447</v>
      </c>
      <c r="P116" s="719">
        <v>0</v>
      </c>
      <c r="Q116" s="718">
        <v>0</v>
      </c>
      <c r="R116" s="719">
        <f t="shared" si="1"/>
        <v>1481046</v>
      </c>
      <c r="S116" s="718"/>
      <c r="T116" s="719">
        <v>716007</v>
      </c>
      <c r="U116" s="721">
        <v>29649</v>
      </c>
      <c r="V116" s="721">
        <v>745656</v>
      </c>
    </row>
    <row r="117" spans="1:22" x14ac:dyDescent="0.25">
      <c r="A117" s="715">
        <v>91109</v>
      </c>
      <c r="B117" s="716" t="s">
        <v>2654</v>
      </c>
      <c r="C117" s="717">
        <v>9.2100000000000003E-5</v>
      </c>
      <c r="D117" s="717">
        <v>9.6600000000000003E-5</v>
      </c>
      <c r="E117" s="718">
        <v>40330</v>
      </c>
      <c r="F117" s="718">
        <v>43354</v>
      </c>
      <c r="G117" s="718">
        <v>195467</v>
      </c>
      <c r="H117" s="718"/>
      <c r="I117" s="719">
        <v>3672</v>
      </c>
      <c r="J117" s="719">
        <v>171291</v>
      </c>
      <c r="K117" s="719">
        <v>13388</v>
      </c>
      <c r="L117" s="718">
        <v>2200</v>
      </c>
      <c r="M117" s="718"/>
      <c r="N117" s="719">
        <v>6849</v>
      </c>
      <c r="O117" s="719">
        <v>63223</v>
      </c>
      <c r="P117" s="719">
        <v>0</v>
      </c>
      <c r="Q117" s="718">
        <v>1611</v>
      </c>
      <c r="R117" s="719">
        <f t="shared" si="1"/>
        <v>108068</v>
      </c>
      <c r="S117" s="718"/>
      <c r="T117" s="719">
        <v>52245</v>
      </c>
      <c r="U117" s="721">
        <v>89</v>
      </c>
      <c r="V117" s="721">
        <v>52335</v>
      </c>
    </row>
    <row r="118" spans="1:22" x14ac:dyDescent="0.25">
      <c r="A118" s="715">
        <v>91111</v>
      </c>
      <c r="B118" s="716" t="s">
        <v>2655</v>
      </c>
      <c r="C118" s="717">
        <v>2.2359999999999999E-4</v>
      </c>
      <c r="D118" s="717">
        <v>2.2049999999999999E-4</v>
      </c>
      <c r="E118" s="718">
        <v>98685</v>
      </c>
      <c r="F118" s="718">
        <v>98959</v>
      </c>
      <c r="G118" s="718">
        <v>474554</v>
      </c>
      <c r="H118" s="718"/>
      <c r="I118" s="719">
        <v>8916</v>
      </c>
      <c r="J118" s="719">
        <v>415861</v>
      </c>
      <c r="K118" s="719">
        <v>32503</v>
      </c>
      <c r="L118" s="718">
        <v>26669</v>
      </c>
      <c r="M118" s="718"/>
      <c r="N118" s="719">
        <v>16629</v>
      </c>
      <c r="O118" s="719">
        <v>153492</v>
      </c>
      <c r="P118" s="719">
        <v>0</v>
      </c>
      <c r="Q118" s="718">
        <v>0</v>
      </c>
      <c r="R118" s="719">
        <f t="shared" si="1"/>
        <v>262369</v>
      </c>
      <c r="S118" s="718"/>
      <c r="T118" s="719">
        <v>126841</v>
      </c>
      <c r="U118" s="721">
        <v>8870</v>
      </c>
      <c r="V118" s="721">
        <v>135711</v>
      </c>
    </row>
    <row r="119" spans="1:22" x14ac:dyDescent="0.25">
      <c r="A119" s="715">
        <v>91119</v>
      </c>
      <c r="B119" s="716" t="s">
        <v>1254</v>
      </c>
      <c r="C119" s="717">
        <v>0</v>
      </c>
      <c r="D119" s="717">
        <v>0</v>
      </c>
      <c r="E119" s="718">
        <v>0</v>
      </c>
      <c r="F119" s="718">
        <v>0</v>
      </c>
      <c r="G119" s="718">
        <v>0</v>
      </c>
      <c r="H119" s="718"/>
      <c r="I119" s="719">
        <v>0</v>
      </c>
      <c r="J119" s="719">
        <v>0</v>
      </c>
      <c r="K119" s="719">
        <v>0</v>
      </c>
      <c r="L119" s="718">
        <v>0</v>
      </c>
      <c r="M119" s="718"/>
      <c r="N119" s="719">
        <v>0</v>
      </c>
      <c r="O119" s="719">
        <v>0</v>
      </c>
      <c r="P119" s="719">
        <v>0</v>
      </c>
      <c r="Q119" s="718">
        <v>645424.66</v>
      </c>
      <c r="R119" s="719">
        <f t="shared" si="1"/>
        <v>0</v>
      </c>
      <c r="S119" s="718"/>
      <c r="T119" s="719">
        <v>0</v>
      </c>
      <c r="U119" s="721">
        <v>-324334</v>
      </c>
      <c r="V119" s="721">
        <v>-324334</v>
      </c>
    </row>
    <row r="120" spans="1:22" x14ac:dyDescent="0.25">
      <c r="A120" s="715">
        <v>91120</v>
      </c>
      <c r="B120" s="716" t="s">
        <v>2656</v>
      </c>
      <c r="C120" s="717">
        <v>1.184E-4</v>
      </c>
      <c r="D120" s="717">
        <v>1.161E-4</v>
      </c>
      <c r="E120" s="718">
        <v>42592.1</v>
      </c>
      <c r="F120" s="718">
        <v>52105</v>
      </c>
      <c r="G120" s="718">
        <v>251284</v>
      </c>
      <c r="H120" s="718"/>
      <c r="I120" s="719">
        <v>4721.2</v>
      </c>
      <c r="J120" s="719">
        <v>220205</v>
      </c>
      <c r="K120" s="719">
        <v>17211</v>
      </c>
      <c r="L120" s="718">
        <v>0</v>
      </c>
      <c r="M120" s="718"/>
      <c r="N120" s="719">
        <v>8805</v>
      </c>
      <c r="O120" s="719">
        <v>81277</v>
      </c>
      <c r="P120" s="719">
        <v>0</v>
      </c>
      <c r="Q120" s="718">
        <v>29635</v>
      </c>
      <c r="R120" s="719">
        <f t="shared" si="1"/>
        <v>138928</v>
      </c>
      <c r="S120" s="718"/>
      <c r="T120" s="719">
        <v>67165</v>
      </c>
      <c r="U120" s="721">
        <v>-11244</v>
      </c>
      <c r="V120" s="721">
        <v>55921</v>
      </c>
    </row>
    <row r="121" spans="1:22" x14ac:dyDescent="0.25">
      <c r="A121" s="715">
        <v>91121</v>
      </c>
      <c r="B121" s="716" t="s">
        <v>2657</v>
      </c>
      <c r="C121" s="717">
        <v>9.7842999999999992E-3</v>
      </c>
      <c r="D121" s="717">
        <v>1.0167600000000001E-2</v>
      </c>
      <c r="E121" s="718">
        <v>3705845</v>
      </c>
      <c r="F121" s="718">
        <v>4563158</v>
      </c>
      <c r="G121" s="718">
        <v>20765562</v>
      </c>
      <c r="H121" s="718"/>
      <c r="I121" s="719">
        <v>390149</v>
      </c>
      <c r="J121" s="719">
        <v>18197252</v>
      </c>
      <c r="K121" s="719">
        <v>1422256</v>
      </c>
      <c r="L121" s="718">
        <v>0</v>
      </c>
      <c r="M121" s="718"/>
      <c r="N121" s="719">
        <v>727649</v>
      </c>
      <c r="O121" s="719">
        <v>6716511</v>
      </c>
      <c r="P121" s="719">
        <v>0</v>
      </c>
      <c r="Q121" s="718">
        <v>834506</v>
      </c>
      <c r="R121" s="719">
        <f t="shared" si="1"/>
        <v>11480741</v>
      </c>
      <c r="S121" s="718"/>
      <c r="T121" s="719">
        <v>5550330</v>
      </c>
      <c r="U121" s="721">
        <v>-296106</v>
      </c>
      <c r="V121" s="721">
        <v>5254224</v>
      </c>
    </row>
    <row r="122" spans="1:22" x14ac:dyDescent="0.25">
      <c r="A122" s="715">
        <v>91127</v>
      </c>
      <c r="B122" s="716" t="s">
        <v>2658</v>
      </c>
      <c r="C122" s="717">
        <v>2.8229999999999998E-4</v>
      </c>
      <c r="D122" s="717">
        <v>2.7680000000000001E-4</v>
      </c>
      <c r="E122" s="718">
        <v>136473</v>
      </c>
      <c r="F122" s="718">
        <v>124226</v>
      </c>
      <c r="G122" s="718">
        <v>599135</v>
      </c>
      <c r="H122" s="718"/>
      <c r="I122" s="719">
        <v>11257</v>
      </c>
      <c r="J122" s="719">
        <v>525033</v>
      </c>
      <c r="K122" s="719">
        <v>41035</v>
      </c>
      <c r="L122" s="718">
        <v>59704</v>
      </c>
      <c r="M122" s="718"/>
      <c r="N122" s="719">
        <v>20994</v>
      </c>
      <c r="O122" s="719">
        <v>193787</v>
      </c>
      <c r="P122" s="719">
        <v>0</v>
      </c>
      <c r="Q122" s="718">
        <v>0</v>
      </c>
      <c r="R122" s="719">
        <f t="shared" si="1"/>
        <v>331246</v>
      </c>
      <c r="S122" s="718"/>
      <c r="T122" s="719">
        <v>160140</v>
      </c>
      <c r="U122" s="721">
        <v>22617</v>
      </c>
      <c r="V122" s="721">
        <v>182757</v>
      </c>
    </row>
    <row r="123" spans="1:22" x14ac:dyDescent="0.25">
      <c r="A123" s="715">
        <v>91128</v>
      </c>
      <c r="B123" s="716" t="s">
        <v>2659</v>
      </c>
      <c r="C123" s="717">
        <v>5.0929999999999997E-4</v>
      </c>
      <c r="D123" s="717">
        <v>5.042E-4</v>
      </c>
      <c r="E123" s="718">
        <v>208474</v>
      </c>
      <c r="F123" s="718">
        <v>226282</v>
      </c>
      <c r="G123" s="718">
        <v>1080905</v>
      </c>
      <c r="H123" s="718"/>
      <c r="I123" s="719">
        <v>20308</v>
      </c>
      <c r="J123" s="719">
        <v>947218</v>
      </c>
      <c r="K123" s="719">
        <v>74032</v>
      </c>
      <c r="L123" s="718">
        <v>10827</v>
      </c>
      <c r="M123" s="718"/>
      <c r="N123" s="719">
        <v>37876</v>
      </c>
      <c r="O123" s="719">
        <v>349613</v>
      </c>
      <c r="P123" s="719">
        <v>0</v>
      </c>
      <c r="Q123" s="718">
        <v>12589</v>
      </c>
      <c r="R123" s="719">
        <f t="shared" si="1"/>
        <v>597605</v>
      </c>
      <c r="S123" s="718"/>
      <c r="T123" s="719">
        <v>288910</v>
      </c>
      <c r="U123" s="721">
        <v>-2677</v>
      </c>
      <c r="V123" s="721">
        <v>286233</v>
      </c>
    </row>
    <row r="124" spans="1:22" x14ac:dyDescent="0.25">
      <c r="A124" s="715">
        <v>91138</v>
      </c>
      <c r="B124" s="716" t="s">
        <v>2660</v>
      </c>
      <c r="C124" s="717">
        <v>6.2350000000000003E-4</v>
      </c>
      <c r="D124" s="717">
        <v>6.6279999999999996E-4</v>
      </c>
      <c r="E124" s="718">
        <v>190650</v>
      </c>
      <c r="F124" s="718">
        <v>297461</v>
      </c>
      <c r="G124" s="718">
        <v>1323276</v>
      </c>
      <c r="H124" s="718"/>
      <c r="I124" s="719">
        <v>24862.0625</v>
      </c>
      <c r="J124" s="719">
        <v>1159611</v>
      </c>
      <c r="K124" s="719">
        <v>90633</v>
      </c>
      <c r="L124" s="718">
        <v>0</v>
      </c>
      <c r="M124" s="718"/>
      <c r="N124" s="719">
        <v>46369</v>
      </c>
      <c r="O124" s="719">
        <v>428007</v>
      </c>
      <c r="P124" s="719">
        <v>0</v>
      </c>
      <c r="Q124" s="718">
        <v>111983</v>
      </c>
      <c r="R124" s="719">
        <f t="shared" si="1"/>
        <v>731604</v>
      </c>
      <c r="S124" s="718"/>
      <c r="T124" s="719">
        <v>353692</v>
      </c>
      <c r="U124" s="721">
        <v>-35624</v>
      </c>
      <c r="V124" s="721">
        <v>318068</v>
      </c>
    </row>
    <row r="125" spans="1:22" x14ac:dyDescent="0.25">
      <c r="A125" s="715">
        <v>91141</v>
      </c>
      <c r="B125" s="716" t="s">
        <v>2661</v>
      </c>
      <c r="C125" s="717">
        <v>5.5679999999999998E-4</v>
      </c>
      <c r="D125" s="717">
        <v>6.2560000000000003E-4</v>
      </c>
      <c r="E125" s="718">
        <v>214309.96</v>
      </c>
      <c r="F125" s="718">
        <v>280766</v>
      </c>
      <c r="G125" s="718">
        <v>1181716</v>
      </c>
      <c r="H125" s="718"/>
      <c r="I125" s="719">
        <v>22202</v>
      </c>
      <c r="J125" s="719">
        <v>1035560</v>
      </c>
      <c r="K125" s="719">
        <v>80937</v>
      </c>
      <c r="L125" s="718">
        <v>0</v>
      </c>
      <c r="M125" s="718"/>
      <c r="N125" s="719">
        <v>41409</v>
      </c>
      <c r="O125" s="719">
        <v>382220</v>
      </c>
      <c r="P125" s="719">
        <v>0</v>
      </c>
      <c r="Q125" s="718">
        <v>106380</v>
      </c>
      <c r="R125" s="719">
        <f t="shared" si="1"/>
        <v>653340</v>
      </c>
      <c r="S125" s="718"/>
      <c r="T125" s="719">
        <v>315855</v>
      </c>
      <c r="U125" s="721">
        <v>-35698</v>
      </c>
      <c r="V125" s="721">
        <v>280157</v>
      </c>
    </row>
    <row r="126" spans="1:22" x14ac:dyDescent="0.25">
      <c r="A126" s="715">
        <v>91147</v>
      </c>
      <c r="B126" s="716" t="s">
        <v>2662</v>
      </c>
      <c r="C126" s="717">
        <v>2.4199999999999999E-5</v>
      </c>
      <c r="D126" s="717">
        <v>2.1399999999999998E-5</v>
      </c>
      <c r="E126" s="718">
        <v>10371</v>
      </c>
      <c r="F126" s="718">
        <v>9604</v>
      </c>
      <c r="G126" s="718">
        <v>51361</v>
      </c>
      <c r="H126" s="718"/>
      <c r="I126" s="719">
        <v>965</v>
      </c>
      <c r="J126" s="719">
        <v>45008</v>
      </c>
      <c r="K126" s="719">
        <v>3518</v>
      </c>
      <c r="L126" s="718">
        <v>10859</v>
      </c>
      <c r="M126" s="718"/>
      <c r="N126" s="719">
        <v>1800</v>
      </c>
      <c r="O126" s="719">
        <v>16612</v>
      </c>
      <c r="P126" s="719">
        <v>0</v>
      </c>
      <c r="Q126" s="718">
        <v>0</v>
      </c>
      <c r="R126" s="719">
        <f t="shared" si="1"/>
        <v>28396</v>
      </c>
      <c r="S126" s="718"/>
      <c r="T126" s="719">
        <v>13728</v>
      </c>
      <c r="U126" s="721">
        <v>3941</v>
      </c>
      <c r="V126" s="721">
        <v>17669</v>
      </c>
    </row>
    <row r="127" spans="1:22" x14ac:dyDescent="0.25">
      <c r="A127" s="715">
        <v>91151</v>
      </c>
      <c r="B127" s="716" t="s">
        <v>2663</v>
      </c>
      <c r="C127" s="717">
        <v>6.1180000000000002E-4</v>
      </c>
      <c r="D127" s="717">
        <v>6.4479999999999995E-4</v>
      </c>
      <c r="E127" s="718">
        <v>222681.43</v>
      </c>
      <c r="F127" s="718">
        <v>289382</v>
      </c>
      <c r="G127" s="718">
        <v>1298445</v>
      </c>
      <c r="H127" s="718"/>
      <c r="I127" s="719">
        <v>24396</v>
      </c>
      <c r="J127" s="719">
        <v>1137851</v>
      </c>
      <c r="K127" s="719">
        <v>88932</v>
      </c>
      <c r="L127" s="718">
        <v>10702</v>
      </c>
      <c r="M127" s="718"/>
      <c r="N127" s="719">
        <v>45499</v>
      </c>
      <c r="O127" s="719">
        <v>419975</v>
      </c>
      <c r="P127" s="719">
        <v>0</v>
      </c>
      <c r="Q127" s="718">
        <v>50740</v>
      </c>
      <c r="R127" s="719">
        <f t="shared" si="1"/>
        <v>717876</v>
      </c>
      <c r="S127" s="718"/>
      <c r="T127" s="719">
        <v>347055</v>
      </c>
      <c r="U127" s="721">
        <v>-11759</v>
      </c>
      <c r="V127" s="721">
        <v>335296</v>
      </c>
    </row>
    <row r="128" spans="1:22" x14ac:dyDescent="0.25">
      <c r="A128" s="715">
        <v>91154</v>
      </c>
      <c r="B128" s="716" t="s">
        <v>2664</v>
      </c>
      <c r="C128" s="717">
        <v>1.9599999999999999E-5</v>
      </c>
      <c r="D128" s="717">
        <v>1.59E-5</v>
      </c>
      <c r="E128" s="718">
        <v>8048.64</v>
      </c>
      <c r="F128" s="718">
        <v>7136</v>
      </c>
      <c r="G128" s="718">
        <v>41598</v>
      </c>
      <c r="H128" s="718"/>
      <c r="I128" s="719">
        <v>781.55</v>
      </c>
      <c r="J128" s="719">
        <v>36453</v>
      </c>
      <c r="K128" s="719">
        <v>2849</v>
      </c>
      <c r="L128" s="718">
        <v>5846</v>
      </c>
      <c r="M128" s="718"/>
      <c r="N128" s="719">
        <v>1458</v>
      </c>
      <c r="O128" s="719">
        <v>13455</v>
      </c>
      <c r="P128" s="719">
        <v>0</v>
      </c>
      <c r="Q128" s="718">
        <v>0</v>
      </c>
      <c r="R128" s="719">
        <f t="shared" si="1"/>
        <v>22998</v>
      </c>
      <c r="S128" s="718"/>
      <c r="T128" s="719">
        <v>11118</v>
      </c>
      <c r="U128" s="721">
        <v>2074</v>
      </c>
      <c r="V128" s="721">
        <v>13192</v>
      </c>
    </row>
    <row r="129" spans="1:22" x14ac:dyDescent="0.25">
      <c r="A129" s="715">
        <v>91161</v>
      </c>
      <c r="B129" s="716" t="s">
        <v>2665</v>
      </c>
      <c r="C129" s="717">
        <v>9.4599999999999996E-5</v>
      </c>
      <c r="D129" s="717">
        <v>1.0670000000000001E-4</v>
      </c>
      <c r="E129" s="718">
        <v>44114</v>
      </c>
      <c r="F129" s="718">
        <v>47886</v>
      </c>
      <c r="G129" s="718">
        <v>200773</v>
      </c>
      <c r="H129" s="718"/>
      <c r="I129" s="719">
        <v>3772</v>
      </c>
      <c r="J129" s="719">
        <v>175941</v>
      </c>
      <c r="K129" s="719">
        <v>13751</v>
      </c>
      <c r="L129" s="718">
        <v>7920</v>
      </c>
      <c r="M129" s="718"/>
      <c r="N129" s="719">
        <v>7035</v>
      </c>
      <c r="O129" s="719">
        <v>64939</v>
      </c>
      <c r="P129" s="719">
        <v>0</v>
      </c>
      <c r="Q129" s="718">
        <v>5006</v>
      </c>
      <c r="R129" s="719">
        <f t="shared" si="1"/>
        <v>111002</v>
      </c>
      <c r="S129" s="718"/>
      <c r="T129" s="719">
        <v>53664</v>
      </c>
      <c r="U129" s="721">
        <v>881</v>
      </c>
      <c r="V129" s="721">
        <v>54545</v>
      </c>
    </row>
    <row r="130" spans="1:22" x14ac:dyDescent="0.25">
      <c r="A130" s="715">
        <v>91171</v>
      </c>
      <c r="B130" s="716" t="s">
        <v>2666</v>
      </c>
      <c r="C130" s="717">
        <v>2.5589999999999999E-4</v>
      </c>
      <c r="D130" s="717">
        <v>2.5240000000000001E-4</v>
      </c>
      <c r="E130" s="718">
        <v>90093.88</v>
      </c>
      <c r="F130" s="718">
        <v>113276</v>
      </c>
      <c r="G130" s="718">
        <v>543106</v>
      </c>
      <c r="H130" s="718"/>
      <c r="I130" s="719">
        <v>10204</v>
      </c>
      <c r="J130" s="719">
        <v>475934</v>
      </c>
      <c r="K130" s="719">
        <v>37198</v>
      </c>
      <c r="L130" s="718">
        <v>0</v>
      </c>
      <c r="M130" s="718"/>
      <c r="N130" s="719">
        <v>19031</v>
      </c>
      <c r="O130" s="719">
        <v>175665</v>
      </c>
      <c r="P130" s="719">
        <v>0</v>
      </c>
      <c r="Q130" s="718">
        <v>32510</v>
      </c>
      <c r="R130" s="719">
        <f t="shared" si="1"/>
        <v>300269</v>
      </c>
      <c r="S130" s="718"/>
      <c r="T130" s="719">
        <v>145164</v>
      </c>
      <c r="U130" s="721">
        <v>-12018</v>
      </c>
      <c r="V130" s="721">
        <v>133146</v>
      </c>
    </row>
    <row r="131" spans="1:22" x14ac:dyDescent="0.25">
      <c r="A131" s="715">
        <v>91201</v>
      </c>
      <c r="B131" s="716" t="s">
        <v>2667</v>
      </c>
      <c r="C131" s="717">
        <v>2.3127999999999998E-3</v>
      </c>
      <c r="D131" s="717">
        <v>2.2309000000000001E-3</v>
      </c>
      <c r="E131" s="718">
        <v>868644</v>
      </c>
      <c r="F131" s="718">
        <v>1001215</v>
      </c>
      <c r="G131" s="718">
        <v>4908536</v>
      </c>
      <c r="H131" s="718"/>
      <c r="I131" s="719">
        <v>92222.9</v>
      </c>
      <c r="J131" s="719">
        <v>4301443</v>
      </c>
      <c r="K131" s="719">
        <v>336191</v>
      </c>
      <c r="L131" s="718">
        <v>65448</v>
      </c>
      <c r="M131" s="718"/>
      <c r="N131" s="719">
        <v>172001</v>
      </c>
      <c r="O131" s="719">
        <v>1587640</v>
      </c>
      <c r="P131" s="719">
        <v>0</v>
      </c>
      <c r="Q131" s="718">
        <v>21142</v>
      </c>
      <c r="R131" s="719">
        <f t="shared" si="1"/>
        <v>2713803</v>
      </c>
      <c r="S131" s="718"/>
      <c r="T131" s="719">
        <v>1311980</v>
      </c>
      <c r="U131" s="721">
        <v>19623</v>
      </c>
      <c r="V131" s="721">
        <v>1331603</v>
      </c>
    </row>
    <row r="132" spans="1:22" x14ac:dyDescent="0.25">
      <c r="A132" s="715">
        <v>91202</v>
      </c>
      <c r="B132" s="716" t="s">
        <v>2668</v>
      </c>
      <c r="C132" s="717">
        <v>1.897E-4</v>
      </c>
      <c r="D132" s="717">
        <v>1.7560000000000001E-4</v>
      </c>
      <c r="E132" s="718">
        <v>85259.9</v>
      </c>
      <c r="F132" s="718">
        <v>78808</v>
      </c>
      <c r="G132" s="718">
        <v>402607</v>
      </c>
      <c r="H132" s="718"/>
      <c r="I132" s="719">
        <v>7564</v>
      </c>
      <c r="J132" s="719">
        <v>352812</v>
      </c>
      <c r="K132" s="719">
        <v>27575</v>
      </c>
      <c r="L132" s="718">
        <v>29505</v>
      </c>
      <c r="M132" s="718"/>
      <c r="N132" s="719">
        <v>14108</v>
      </c>
      <c r="O132" s="719">
        <v>130221</v>
      </c>
      <c r="P132" s="719">
        <v>0</v>
      </c>
      <c r="Q132" s="718">
        <v>0</v>
      </c>
      <c r="R132" s="719">
        <f t="shared" si="1"/>
        <v>222591</v>
      </c>
      <c r="S132" s="718"/>
      <c r="T132" s="719">
        <v>107611</v>
      </c>
      <c r="U132" s="721">
        <v>10216</v>
      </c>
      <c r="V132" s="721">
        <v>117827</v>
      </c>
    </row>
    <row r="133" spans="1:22" x14ac:dyDescent="0.25">
      <c r="A133" s="715">
        <v>91203</v>
      </c>
      <c r="B133" s="716" t="s">
        <v>2669</v>
      </c>
      <c r="C133" s="717">
        <v>2.4479999999999999E-4</v>
      </c>
      <c r="D133" s="717">
        <v>2.4909999999999998E-4</v>
      </c>
      <c r="E133" s="718">
        <v>123805</v>
      </c>
      <c r="F133" s="718">
        <v>111795</v>
      </c>
      <c r="G133" s="718">
        <v>519548</v>
      </c>
      <c r="H133" s="718"/>
      <c r="I133" s="719">
        <v>9761.4</v>
      </c>
      <c r="J133" s="719">
        <v>455289</v>
      </c>
      <c r="K133" s="719">
        <v>35584</v>
      </c>
      <c r="L133" s="718">
        <v>32505</v>
      </c>
      <c r="M133" s="718"/>
      <c r="N133" s="719">
        <v>18206</v>
      </c>
      <c r="O133" s="719">
        <v>168045</v>
      </c>
      <c r="P133" s="719">
        <v>0</v>
      </c>
      <c r="Q133" s="718">
        <v>0</v>
      </c>
      <c r="R133" s="719">
        <f t="shared" si="1"/>
        <v>287244</v>
      </c>
      <c r="S133" s="718"/>
      <c r="T133" s="719">
        <v>138867</v>
      </c>
      <c r="U133" s="721">
        <v>11460</v>
      </c>
      <c r="V133" s="721">
        <v>150327</v>
      </c>
    </row>
    <row r="134" spans="1:22" x14ac:dyDescent="0.25">
      <c r="A134" s="715">
        <v>91206</v>
      </c>
      <c r="B134" s="716" t="s">
        <v>2670</v>
      </c>
      <c r="C134" s="717">
        <v>8.2129999999999996E-4</v>
      </c>
      <c r="D134" s="717">
        <v>8.1959999999999997E-4</v>
      </c>
      <c r="E134" s="718">
        <v>334673.01</v>
      </c>
      <c r="F134" s="718">
        <v>367832</v>
      </c>
      <c r="G134" s="718">
        <v>1743074</v>
      </c>
      <c r="H134" s="718"/>
      <c r="I134" s="719">
        <v>32749</v>
      </c>
      <c r="J134" s="719">
        <v>1527488</v>
      </c>
      <c r="K134" s="719">
        <v>119385</v>
      </c>
      <c r="L134" s="718">
        <v>21519</v>
      </c>
      <c r="M134" s="718"/>
      <c r="N134" s="719">
        <v>61079</v>
      </c>
      <c r="O134" s="719">
        <v>563788</v>
      </c>
      <c r="P134" s="719">
        <v>0</v>
      </c>
      <c r="Q134" s="718">
        <v>1526</v>
      </c>
      <c r="R134" s="719">
        <f t="shared" si="1"/>
        <v>963700</v>
      </c>
      <c r="S134" s="718"/>
      <c r="T134" s="719">
        <v>465898</v>
      </c>
      <c r="U134" s="721">
        <v>10203</v>
      </c>
      <c r="V134" s="721">
        <v>476101</v>
      </c>
    </row>
    <row r="135" spans="1:22" x14ac:dyDescent="0.25">
      <c r="A135" s="715">
        <v>91208</v>
      </c>
      <c r="B135" s="716" t="s">
        <v>2671</v>
      </c>
      <c r="C135" s="717">
        <v>1.3699999999999999E-5</v>
      </c>
      <c r="D135" s="717">
        <v>1.2999999999999999E-5</v>
      </c>
      <c r="E135" s="718">
        <v>5593</v>
      </c>
      <c r="F135" s="718">
        <v>5834</v>
      </c>
      <c r="G135" s="718">
        <v>29076</v>
      </c>
      <c r="H135" s="718"/>
      <c r="I135" s="719">
        <v>546.28750000000002</v>
      </c>
      <c r="J135" s="719">
        <v>25480</v>
      </c>
      <c r="K135" s="719">
        <v>1991</v>
      </c>
      <c r="L135" s="718">
        <v>7123</v>
      </c>
      <c r="M135" s="718"/>
      <c r="N135" s="719">
        <v>1019</v>
      </c>
      <c r="O135" s="719">
        <v>9404</v>
      </c>
      <c r="P135" s="719">
        <v>0</v>
      </c>
      <c r="Q135" s="718">
        <v>0</v>
      </c>
      <c r="R135" s="719">
        <f t="shared" ref="R135:R198" si="2">IF(J135&gt;O135,J135-O135,O135-J135)</f>
        <v>16076</v>
      </c>
      <c r="S135" s="718"/>
      <c r="T135" s="719">
        <v>7772</v>
      </c>
      <c r="U135" s="721">
        <v>3401</v>
      </c>
      <c r="V135" s="721">
        <v>11172</v>
      </c>
    </row>
    <row r="136" spans="1:22" x14ac:dyDescent="0.25">
      <c r="A136" s="715">
        <v>91211</v>
      </c>
      <c r="B136" s="716" t="s">
        <v>2672</v>
      </c>
      <c r="C136" s="717">
        <v>4.6789999999999999E-4</v>
      </c>
      <c r="D136" s="717">
        <v>4.6260000000000002E-4</v>
      </c>
      <c r="E136" s="718">
        <v>192012</v>
      </c>
      <c r="F136" s="718">
        <v>207612</v>
      </c>
      <c r="G136" s="718">
        <v>993041</v>
      </c>
      <c r="H136" s="718"/>
      <c r="I136" s="719">
        <v>18658</v>
      </c>
      <c r="J136" s="719">
        <v>870220</v>
      </c>
      <c r="K136" s="719">
        <v>68014</v>
      </c>
      <c r="L136" s="718">
        <v>5989</v>
      </c>
      <c r="M136" s="718"/>
      <c r="N136" s="719">
        <v>34797</v>
      </c>
      <c r="O136" s="719">
        <v>321194</v>
      </c>
      <c r="P136" s="719">
        <v>0</v>
      </c>
      <c r="Q136" s="718">
        <v>5137</v>
      </c>
      <c r="R136" s="719">
        <f t="shared" si="2"/>
        <v>549026</v>
      </c>
      <c r="S136" s="718"/>
      <c r="T136" s="719">
        <v>265425</v>
      </c>
      <c r="U136" s="721">
        <v>568</v>
      </c>
      <c r="V136" s="721">
        <v>265993</v>
      </c>
    </row>
    <row r="137" spans="1:22" x14ac:dyDescent="0.25">
      <c r="A137" s="715">
        <v>91213</v>
      </c>
      <c r="B137" s="716" t="s">
        <v>2673</v>
      </c>
      <c r="C137" s="717">
        <v>3.57E-5</v>
      </c>
      <c r="D137" s="717">
        <v>3.5500000000000002E-5</v>
      </c>
      <c r="E137" s="718">
        <v>11312</v>
      </c>
      <c r="F137" s="718">
        <v>15932</v>
      </c>
      <c r="G137" s="718">
        <v>75767</v>
      </c>
      <c r="H137" s="718"/>
      <c r="I137" s="719">
        <v>1424</v>
      </c>
      <c r="J137" s="719">
        <v>66396</v>
      </c>
      <c r="K137" s="719">
        <v>5189</v>
      </c>
      <c r="L137" s="718">
        <v>0</v>
      </c>
      <c r="M137" s="718"/>
      <c r="N137" s="719">
        <v>2655</v>
      </c>
      <c r="O137" s="719">
        <v>24507</v>
      </c>
      <c r="P137" s="719">
        <v>0</v>
      </c>
      <c r="Q137" s="718">
        <v>4828</v>
      </c>
      <c r="R137" s="719">
        <f t="shared" si="2"/>
        <v>41889</v>
      </c>
      <c r="S137" s="718"/>
      <c r="T137" s="719">
        <v>20252</v>
      </c>
      <c r="U137" s="721">
        <v>-1558</v>
      </c>
      <c r="V137" s="721">
        <v>18694</v>
      </c>
    </row>
    <row r="138" spans="1:22" x14ac:dyDescent="0.25">
      <c r="A138" s="715">
        <v>91214</v>
      </c>
      <c r="B138" s="716" t="s">
        <v>2674</v>
      </c>
      <c r="C138" s="717">
        <v>2.8200000000000001E-5</v>
      </c>
      <c r="D138" s="717">
        <v>2.6800000000000001E-5</v>
      </c>
      <c r="E138" s="718">
        <v>8297</v>
      </c>
      <c r="F138" s="718">
        <v>12028</v>
      </c>
      <c r="G138" s="718">
        <v>59850</v>
      </c>
      <c r="H138" s="718"/>
      <c r="I138" s="719">
        <v>1124</v>
      </c>
      <c r="J138" s="719">
        <v>52448</v>
      </c>
      <c r="K138" s="719">
        <v>4099</v>
      </c>
      <c r="L138" s="718">
        <v>2071</v>
      </c>
      <c r="M138" s="718"/>
      <c r="N138" s="719">
        <v>2097</v>
      </c>
      <c r="O138" s="719">
        <v>19358</v>
      </c>
      <c r="P138" s="719">
        <v>0</v>
      </c>
      <c r="Q138" s="718">
        <v>1863</v>
      </c>
      <c r="R138" s="719">
        <f t="shared" si="2"/>
        <v>33090</v>
      </c>
      <c r="S138" s="718"/>
      <c r="T138" s="719">
        <v>15997</v>
      </c>
      <c r="U138" s="721">
        <v>289</v>
      </c>
      <c r="V138" s="721">
        <v>16286</v>
      </c>
    </row>
    <row r="139" spans="1:22" x14ac:dyDescent="0.25">
      <c r="A139" s="715">
        <v>91217</v>
      </c>
      <c r="B139" s="716" t="s">
        <v>2675</v>
      </c>
      <c r="C139" s="717">
        <v>2.6699999999999998E-5</v>
      </c>
      <c r="D139" s="717">
        <v>1.8700000000000001E-5</v>
      </c>
      <c r="E139" s="718">
        <v>15053.92</v>
      </c>
      <c r="F139" s="718">
        <v>8392</v>
      </c>
      <c r="G139" s="718">
        <v>56666</v>
      </c>
      <c r="H139" s="718"/>
      <c r="I139" s="719">
        <v>1065</v>
      </c>
      <c r="J139" s="719">
        <v>49658</v>
      </c>
      <c r="K139" s="719">
        <v>3881</v>
      </c>
      <c r="L139" s="718">
        <v>11622</v>
      </c>
      <c r="M139" s="718"/>
      <c r="N139" s="719">
        <v>1986</v>
      </c>
      <c r="O139" s="719">
        <v>18328</v>
      </c>
      <c r="P139" s="719">
        <v>0</v>
      </c>
      <c r="Q139" s="718">
        <v>0</v>
      </c>
      <c r="R139" s="719">
        <f t="shared" si="2"/>
        <v>31330</v>
      </c>
      <c r="S139" s="718"/>
      <c r="T139" s="719">
        <v>15146</v>
      </c>
      <c r="U139" s="721">
        <v>3617</v>
      </c>
      <c r="V139" s="721">
        <v>18763</v>
      </c>
    </row>
    <row r="140" spans="1:22" x14ac:dyDescent="0.25">
      <c r="A140" s="715">
        <v>91221</v>
      </c>
      <c r="B140" s="716" t="s">
        <v>2676</v>
      </c>
      <c r="C140" s="717">
        <v>1.294E-4</v>
      </c>
      <c r="D140" s="717">
        <v>1.404E-4</v>
      </c>
      <c r="E140" s="718">
        <v>50416</v>
      </c>
      <c r="F140" s="718">
        <v>63011</v>
      </c>
      <c r="G140" s="718">
        <v>274630</v>
      </c>
      <c r="H140" s="718"/>
      <c r="I140" s="719">
        <v>5160</v>
      </c>
      <c r="J140" s="719">
        <v>240664</v>
      </c>
      <c r="K140" s="719">
        <v>18810</v>
      </c>
      <c r="L140" s="718">
        <v>7496</v>
      </c>
      <c r="M140" s="718"/>
      <c r="N140" s="719">
        <v>9623</v>
      </c>
      <c r="O140" s="719">
        <v>88828</v>
      </c>
      <c r="P140" s="719">
        <v>0</v>
      </c>
      <c r="Q140" s="718">
        <v>9810</v>
      </c>
      <c r="R140" s="719">
        <f t="shared" si="2"/>
        <v>151836</v>
      </c>
      <c r="S140" s="718"/>
      <c r="T140" s="719">
        <v>73405</v>
      </c>
      <c r="U140" s="721">
        <v>1070</v>
      </c>
      <c r="V140" s="721">
        <v>74475</v>
      </c>
    </row>
    <row r="141" spans="1:22" x14ac:dyDescent="0.25">
      <c r="A141" s="715">
        <v>91231</v>
      </c>
      <c r="B141" s="716" t="s">
        <v>2677</v>
      </c>
      <c r="C141" s="717">
        <v>1.9957E-3</v>
      </c>
      <c r="D141" s="717">
        <v>2.0203999999999999E-3</v>
      </c>
      <c r="E141" s="718">
        <v>763104.33</v>
      </c>
      <c r="F141" s="718">
        <v>906743</v>
      </c>
      <c r="G141" s="718">
        <v>4235544</v>
      </c>
      <c r="H141" s="718"/>
      <c r="I141" s="719">
        <v>79579</v>
      </c>
      <c r="J141" s="719">
        <v>3711687</v>
      </c>
      <c r="K141" s="719">
        <v>290097</v>
      </c>
      <c r="L141" s="718">
        <v>21281.06</v>
      </c>
      <c r="M141" s="718"/>
      <c r="N141" s="719">
        <v>148418</v>
      </c>
      <c r="O141" s="719">
        <v>1369964</v>
      </c>
      <c r="P141" s="719">
        <v>0</v>
      </c>
      <c r="Q141" s="718">
        <v>85796</v>
      </c>
      <c r="R141" s="719">
        <f t="shared" si="2"/>
        <v>2341723</v>
      </c>
      <c r="S141" s="718"/>
      <c r="T141" s="719">
        <v>1132099</v>
      </c>
      <c r="U141" s="721">
        <v>-14080</v>
      </c>
      <c r="V141" s="721">
        <v>1118019</v>
      </c>
    </row>
    <row r="142" spans="1:22" x14ac:dyDescent="0.25">
      <c r="A142" s="715">
        <v>91233</v>
      </c>
      <c r="B142" s="716" t="s">
        <v>2678</v>
      </c>
      <c r="C142" s="717">
        <v>4.5599999999999997E-5</v>
      </c>
      <c r="D142" s="717">
        <v>4.3399999999999998E-5</v>
      </c>
      <c r="E142" s="718">
        <v>17053</v>
      </c>
      <c r="F142" s="718">
        <v>19478</v>
      </c>
      <c r="G142" s="718">
        <v>96778</v>
      </c>
      <c r="H142" s="718"/>
      <c r="I142" s="719">
        <v>1818.3</v>
      </c>
      <c r="J142" s="719">
        <v>84809</v>
      </c>
      <c r="K142" s="719">
        <v>6628</v>
      </c>
      <c r="L142" s="718">
        <v>8243</v>
      </c>
      <c r="M142" s="718"/>
      <c r="N142" s="719">
        <v>3391</v>
      </c>
      <c r="O142" s="719">
        <v>31302</v>
      </c>
      <c r="P142" s="719">
        <v>0</v>
      </c>
      <c r="Q142" s="718">
        <v>159</v>
      </c>
      <c r="R142" s="719">
        <f t="shared" si="2"/>
        <v>53507</v>
      </c>
      <c r="S142" s="718"/>
      <c r="T142" s="719">
        <v>25867</v>
      </c>
      <c r="U142" s="721">
        <v>3163</v>
      </c>
      <c r="V142" s="721">
        <v>29031</v>
      </c>
    </row>
    <row r="143" spans="1:22" x14ac:dyDescent="0.25">
      <c r="A143" s="715">
        <v>91241</v>
      </c>
      <c r="B143" s="716" t="s">
        <v>2679</v>
      </c>
      <c r="C143" s="717">
        <v>3.68E-5</v>
      </c>
      <c r="D143" s="717">
        <v>4.0800000000000002E-5</v>
      </c>
      <c r="E143" s="718">
        <v>13967</v>
      </c>
      <c r="F143" s="718">
        <v>18311</v>
      </c>
      <c r="G143" s="718">
        <v>78102</v>
      </c>
      <c r="H143" s="718"/>
      <c r="I143" s="719">
        <v>1467.4</v>
      </c>
      <c r="J143" s="719">
        <v>68442</v>
      </c>
      <c r="K143" s="719">
        <v>5349</v>
      </c>
      <c r="L143" s="718">
        <v>0</v>
      </c>
      <c r="M143" s="718"/>
      <c r="N143" s="719">
        <v>2737</v>
      </c>
      <c r="O143" s="719">
        <v>25262</v>
      </c>
      <c r="P143" s="719">
        <v>0</v>
      </c>
      <c r="Q143" s="718">
        <v>6784</v>
      </c>
      <c r="R143" s="719">
        <f t="shared" si="2"/>
        <v>43180</v>
      </c>
      <c r="S143" s="718"/>
      <c r="T143" s="719">
        <v>20875</v>
      </c>
      <c r="U143" s="721">
        <v>-2529</v>
      </c>
      <c r="V143" s="721">
        <v>18346</v>
      </c>
    </row>
    <row r="144" spans="1:22" x14ac:dyDescent="0.25">
      <c r="A144" s="715">
        <v>91251</v>
      </c>
      <c r="B144" s="716" t="s">
        <v>2680</v>
      </c>
      <c r="C144" s="717">
        <v>2.65E-5</v>
      </c>
      <c r="D144" s="717">
        <v>2.6699999999999998E-5</v>
      </c>
      <c r="E144" s="718">
        <v>9989</v>
      </c>
      <c r="F144" s="718">
        <v>11983</v>
      </c>
      <c r="G144" s="718">
        <v>56242</v>
      </c>
      <c r="H144" s="718"/>
      <c r="I144" s="719">
        <v>1056.6875</v>
      </c>
      <c r="J144" s="719">
        <v>49286</v>
      </c>
      <c r="K144" s="719">
        <v>3852</v>
      </c>
      <c r="L144" s="718">
        <v>4706</v>
      </c>
      <c r="M144" s="718"/>
      <c r="N144" s="719">
        <v>1971</v>
      </c>
      <c r="O144" s="719">
        <v>18191</v>
      </c>
      <c r="P144" s="719">
        <v>0</v>
      </c>
      <c r="Q144" s="718">
        <v>1236</v>
      </c>
      <c r="R144" s="719">
        <f t="shared" si="2"/>
        <v>31095</v>
      </c>
      <c r="S144" s="718"/>
      <c r="T144" s="719">
        <v>15033</v>
      </c>
      <c r="U144" s="721">
        <v>2006</v>
      </c>
      <c r="V144" s="721">
        <v>17039</v>
      </c>
    </row>
    <row r="145" spans="1:22" x14ac:dyDescent="0.25">
      <c r="A145" s="715">
        <v>91261</v>
      </c>
      <c r="B145" s="716" t="s">
        <v>2681</v>
      </c>
      <c r="C145" s="717">
        <v>9.5000000000000005E-6</v>
      </c>
      <c r="D145" s="717">
        <v>8.8000000000000004E-6</v>
      </c>
      <c r="E145" s="718">
        <v>4130</v>
      </c>
      <c r="F145" s="718">
        <v>3949</v>
      </c>
      <c r="G145" s="718">
        <v>20162</v>
      </c>
      <c r="H145" s="718"/>
      <c r="I145" s="719">
        <v>378.8125</v>
      </c>
      <c r="J145" s="719">
        <v>17668</v>
      </c>
      <c r="K145" s="719">
        <v>1381</v>
      </c>
      <c r="L145" s="718">
        <v>2027</v>
      </c>
      <c r="M145" s="718"/>
      <c r="N145" s="719">
        <v>707</v>
      </c>
      <c r="O145" s="719">
        <v>6521</v>
      </c>
      <c r="P145" s="719">
        <v>0</v>
      </c>
      <c r="Q145" s="718">
        <v>0</v>
      </c>
      <c r="R145" s="719">
        <f t="shared" si="2"/>
        <v>11147</v>
      </c>
      <c r="S145" s="718"/>
      <c r="T145" s="719">
        <v>5389</v>
      </c>
      <c r="U145" s="721">
        <v>729</v>
      </c>
      <c r="V145" s="721">
        <v>6118</v>
      </c>
    </row>
    <row r="146" spans="1:22" x14ac:dyDescent="0.25">
      <c r="A146" s="715">
        <v>91301</v>
      </c>
      <c r="B146" s="716" t="s">
        <v>2682</v>
      </c>
      <c r="C146" s="717">
        <v>7.7765000000000004E-3</v>
      </c>
      <c r="D146" s="717">
        <v>7.2360999999999997E-3</v>
      </c>
      <c r="E146" s="718">
        <v>2863288</v>
      </c>
      <c r="F146" s="718">
        <v>3247518</v>
      </c>
      <c r="G146" s="718">
        <v>16504338</v>
      </c>
      <c r="H146" s="718"/>
      <c r="I146" s="719">
        <v>310088</v>
      </c>
      <c r="J146" s="719">
        <v>14463061</v>
      </c>
      <c r="K146" s="719">
        <v>1130400</v>
      </c>
      <c r="L146" s="718">
        <v>26878</v>
      </c>
      <c r="M146" s="718"/>
      <c r="N146" s="719">
        <v>578331</v>
      </c>
      <c r="O146" s="719">
        <v>5338241</v>
      </c>
      <c r="P146" s="719">
        <v>0</v>
      </c>
      <c r="Q146" s="718">
        <v>184573</v>
      </c>
      <c r="R146" s="719">
        <f t="shared" si="2"/>
        <v>9124820</v>
      </c>
      <c r="S146" s="718"/>
      <c r="T146" s="719">
        <v>4411367</v>
      </c>
      <c r="U146" s="721">
        <v>-64544</v>
      </c>
      <c r="V146" s="721">
        <v>4346824</v>
      </c>
    </row>
    <row r="147" spans="1:22" x14ac:dyDescent="0.25">
      <c r="A147" s="715">
        <v>91302</v>
      </c>
      <c r="B147" s="716" t="s">
        <v>2683</v>
      </c>
      <c r="C147" s="717">
        <v>5.9190000000000002E-4</v>
      </c>
      <c r="D147" s="717">
        <v>5.8169999999999999E-4</v>
      </c>
      <c r="E147" s="718">
        <v>242052.32</v>
      </c>
      <c r="F147" s="718">
        <v>261063</v>
      </c>
      <c r="G147" s="718">
        <v>1256210</v>
      </c>
      <c r="H147" s="718"/>
      <c r="I147" s="719">
        <v>23602</v>
      </c>
      <c r="J147" s="719">
        <v>1100840</v>
      </c>
      <c r="K147" s="719">
        <v>86039</v>
      </c>
      <c r="L147" s="718">
        <v>53000</v>
      </c>
      <c r="M147" s="718"/>
      <c r="N147" s="719">
        <v>44019</v>
      </c>
      <c r="O147" s="719">
        <v>406314</v>
      </c>
      <c r="P147" s="719">
        <v>0</v>
      </c>
      <c r="Q147" s="718">
        <v>0</v>
      </c>
      <c r="R147" s="719">
        <f t="shared" si="2"/>
        <v>694526</v>
      </c>
      <c r="S147" s="718"/>
      <c r="T147" s="719">
        <v>335767</v>
      </c>
      <c r="U147" s="721">
        <v>20102</v>
      </c>
      <c r="V147" s="721">
        <v>355869</v>
      </c>
    </row>
    <row r="148" spans="1:22" x14ac:dyDescent="0.25">
      <c r="A148" s="715">
        <v>91306</v>
      </c>
      <c r="B148" s="716" t="s">
        <v>2684</v>
      </c>
      <c r="C148" s="717">
        <v>1.6676E-3</v>
      </c>
      <c r="D148" s="717">
        <v>1.5539E-3</v>
      </c>
      <c r="E148" s="718">
        <v>693271</v>
      </c>
      <c r="F148" s="718">
        <v>697381</v>
      </c>
      <c r="G148" s="718">
        <v>3539206</v>
      </c>
      <c r="H148" s="718"/>
      <c r="I148" s="719">
        <v>66495.55</v>
      </c>
      <c r="J148" s="719">
        <v>3101473</v>
      </c>
      <c r="K148" s="719">
        <v>242404</v>
      </c>
      <c r="L148" s="718">
        <v>174697</v>
      </c>
      <c r="M148" s="718"/>
      <c r="N148" s="719">
        <v>124018</v>
      </c>
      <c r="O148" s="719">
        <v>1144737</v>
      </c>
      <c r="P148" s="719">
        <v>0</v>
      </c>
      <c r="Q148" s="718">
        <v>0</v>
      </c>
      <c r="R148" s="719">
        <f t="shared" si="2"/>
        <v>1956736</v>
      </c>
      <c r="S148" s="718"/>
      <c r="T148" s="719">
        <v>945978</v>
      </c>
      <c r="U148" s="721">
        <v>60990</v>
      </c>
      <c r="V148" s="721">
        <v>1006968</v>
      </c>
    </row>
    <row r="149" spans="1:22" x14ac:dyDescent="0.25">
      <c r="A149" s="715">
        <v>91308</v>
      </c>
      <c r="B149" s="716" t="s">
        <v>2685</v>
      </c>
      <c r="C149" s="717">
        <v>2.05E-4</v>
      </c>
      <c r="D149" s="717">
        <v>1.8650000000000001E-4</v>
      </c>
      <c r="E149" s="718">
        <v>71992.33</v>
      </c>
      <c r="F149" s="718">
        <v>83700</v>
      </c>
      <c r="G149" s="718">
        <v>435079</v>
      </c>
      <c r="H149" s="718"/>
      <c r="I149" s="719">
        <v>8174.375</v>
      </c>
      <c r="J149" s="719">
        <v>381267.61</v>
      </c>
      <c r="K149" s="719">
        <v>29799</v>
      </c>
      <c r="L149" s="718">
        <v>4790</v>
      </c>
      <c r="M149" s="718"/>
      <c r="N149" s="719">
        <v>15246</v>
      </c>
      <c r="O149" s="719">
        <v>140724</v>
      </c>
      <c r="P149" s="719">
        <v>0</v>
      </c>
      <c r="Q149" s="718">
        <v>3858</v>
      </c>
      <c r="R149" s="719">
        <f t="shared" si="2"/>
        <v>240544</v>
      </c>
      <c r="S149" s="718"/>
      <c r="T149" s="719">
        <v>116290</v>
      </c>
      <c r="U149" s="721">
        <v>980</v>
      </c>
      <c r="V149" s="721">
        <v>117270</v>
      </c>
    </row>
    <row r="150" spans="1:22" x14ac:dyDescent="0.25">
      <c r="A150" s="715">
        <v>91311</v>
      </c>
      <c r="B150" s="716" t="s">
        <v>2686</v>
      </c>
      <c r="C150" s="717">
        <v>7.6649999999999999E-3</v>
      </c>
      <c r="D150" s="717">
        <v>7.9313999999999999E-3</v>
      </c>
      <c r="E150" s="718">
        <v>2915494</v>
      </c>
      <c r="F150" s="718">
        <v>3559565</v>
      </c>
      <c r="G150" s="718">
        <v>16267698</v>
      </c>
      <c r="H150" s="718"/>
      <c r="I150" s="719">
        <v>305642</v>
      </c>
      <c r="J150" s="719">
        <v>14255689</v>
      </c>
      <c r="K150" s="719">
        <v>1114192</v>
      </c>
      <c r="L150" s="718">
        <v>121391</v>
      </c>
      <c r="M150" s="718"/>
      <c r="N150" s="719">
        <v>570038</v>
      </c>
      <c r="O150" s="719">
        <v>5261700.57</v>
      </c>
      <c r="P150" s="719">
        <v>0</v>
      </c>
      <c r="Q150" s="718">
        <v>535505</v>
      </c>
      <c r="R150" s="719">
        <f t="shared" si="2"/>
        <v>8993988</v>
      </c>
      <c r="S150" s="718"/>
      <c r="T150" s="719">
        <v>4348117</v>
      </c>
      <c r="U150" s="721">
        <v>-145156</v>
      </c>
      <c r="V150" s="721">
        <v>4202961</v>
      </c>
    </row>
    <row r="151" spans="1:22" x14ac:dyDescent="0.25">
      <c r="A151" s="715">
        <v>91317</v>
      </c>
      <c r="B151" s="716" t="s">
        <v>2687</v>
      </c>
      <c r="C151" s="717">
        <v>9.0500000000000004E-5</v>
      </c>
      <c r="D151" s="717">
        <v>9.59E-5</v>
      </c>
      <c r="E151" s="718">
        <v>39328.85</v>
      </c>
      <c r="F151" s="718">
        <v>43039</v>
      </c>
      <c r="G151" s="718">
        <v>192071</v>
      </c>
      <c r="H151" s="718"/>
      <c r="I151" s="719">
        <v>3608.6875</v>
      </c>
      <c r="J151" s="719">
        <v>168316</v>
      </c>
      <c r="K151" s="719">
        <v>13155</v>
      </c>
      <c r="L151" s="718">
        <v>3623</v>
      </c>
      <c r="M151" s="718"/>
      <c r="N151" s="719">
        <v>6730</v>
      </c>
      <c r="O151" s="719">
        <v>62124</v>
      </c>
      <c r="P151" s="719">
        <v>0</v>
      </c>
      <c r="Q151" s="718">
        <v>2926</v>
      </c>
      <c r="R151" s="719">
        <f t="shared" si="2"/>
        <v>106192</v>
      </c>
      <c r="S151" s="718"/>
      <c r="T151" s="719">
        <v>51338</v>
      </c>
      <c r="U151" s="721">
        <v>118</v>
      </c>
      <c r="V151" s="721">
        <v>51456</v>
      </c>
    </row>
    <row r="152" spans="1:22" x14ac:dyDescent="0.25">
      <c r="A152" s="715">
        <v>91321</v>
      </c>
      <c r="B152" s="716" t="s">
        <v>2688</v>
      </c>
      <c r="C152" s="717">
        <v>4.1999999999999998E-5</v>
      </c>
      <c r="D152" s="717">
        <v>3.1999999999999999E-5</v>
      </c>
      <c r="E152" s="718">
        <v>17123</v>
      </c>
      <c r="F152" s="718">
        <v>14361</v>
      </c>
      <c r="G152" s="718">
        <v>89138</v>
      </c>
      <c r="H152" s="718"/>
      <c r="I152" s="719">
        <v>1674.75</v>
      </c>
      <c r="J152" s="719">
        <v>78113</v>
      </c>
      <c r="K152" s="719">
        <v>6105</v>
      </c>
      <c r="L152" s="718">
        <v>6260</v>
      </c>
      <c r="M152" s="718"/>
      <c r="N152" s="719">
        <v>3123</v>
      </c>
      <c r="O152" s="719">
        <v>28831</v>
      </c>
      <c r="P152" s="719">
        <v>0</v>
      </c>
      <c r="Q152" s="718">
        <v>5826</v>
      </c>
      <c r="R152" s="719">
        <f t="shared" si="2"/>
        <v>49282</v>
      </c>
      <c r="S152" s="718"/>
      <c r="T152" s="719">
        <v>23825</v>
      </c>
      <c r="U152" s="721">
        <v>-210</v>
      </c>
      <c r="V152" s="721">
        <v>23615</v>
      </c>
    </row>
    <row r="153" spans="1:22" x14ac:dyDescent="0.25">
      <c r="A153" s="715">
        <v>91327</v>
      </c>
      <c r="B153" s="716" t="s">
        <v>2689</v>
      </c>
      <c r="C153" s="717">
        <v>1.03E-5</v>
      </c>
      <c r="D153" s="717">
        <v>1.13E-5</v>
      </c>
      <c r="E153" s="718">
        <v>4112</v>
      </c>
      <c r="F153" s="718">
        <v>5071</v>
      </c>
      <c r="G153" s="718">
        <v>21860</v>
      </c>
      <c r="H153" s="718"/>
      <c r="I153" s="719">
        <v>410.71249999999998</v>
      </c>
      <c r="J153" s="719">
        <v>19156</v>
      </c>
      <c r="K153" s="719">
        <v>1497</v>
      </c>
      <c r="L153" s="718">
        <v>72</v>
      </c>
      <c r="M153" s="718"/>
      <c r="N153" s="719">
        <v>766</v>
      </c>
      <c r="O153" s="719">
        <v>7071</v>
      </c>
      <c r="P153" s="719">
        <v>0</v>
      </c>
      <c r="Q153" s="718">
        <v>1050</v>
      </c>
      <c r="R153" s="719">
        <f t="shared" si="2"/>
        <v>12085</v>
      </c>
      <c r="S153" s="718"/>
      <c r="T153" s="719">
        <v>5843</v>
      </c>
      <c r="U153" s="721">
        <v>-275</v>
      </c>
      <c r="V153" s="721">
        <v>5568</v>
      </c>
    </row>
    <row r="154" spans="1:22" x14ac:dyDescent="0.25">
      <c r="A154" s="715">
        <v>91331</v>
      </c>
      <c r="B154" s="716" t="s">
        <v>2690</v>
      </c>
      <c r="C154" s="717">
        <v>2.8509999999999998E-3</v>
      </c>
      <c r="D154" s="717">
        <v>3.0317E-3</v>
      </c>
      <c r="E154" s="718">
        <v>1040695.76</v>
      </c>
      <c r="F154" s="718">
        <v>1360609</v>
      </c>
      <c r="G154" s="718">
        <v>6050777</v>
      </c>
      <c r="H154" s="718"/>
      <c r="I154" s="719">
        <v>113684</v>
      </c>
      <c r="J154" s="719">
        <v>5302410</v>
      </c>
      <c r="K154" s="719">
        <v>414424</v>
      </c>
      <c r="L154" s="718">
        <v>0</v>
      </c>
      <c r="M154" s="718"/>
      <c r="N154" s="719">
        <v>212026</v>
      </c>
      <c r="O154" s="719">
        <v>1957092</v>
      </c>
      <c r="P154" s="719">
        <v>0</v>
      </c>
      <c r="Q154" s="718">
        <v>459221</v>
      </c>
      <c r="R154" s="719">
        <f t="shared" si="2"/>
        <v>3345318</v>
      </c>
      <c r="S154" s="718"/>
      <c r="T154" s="719">
        <v>1617284</v>
      </c>
      <c r="U154" s="721">
        <v>-164462</v>
      </c>
      <c r="V154" s="721">
        <v>1452822</v>
      </c>
    </row>
    <row r="155" spans="1:22" x14ac:dyDescent="0.25">
      <c r="A155" s="715">
        <v>91341</v>
      </c>
      <c r="B155" s="716" t="s">
        <v>2691</v>
      </c>
      <c r="C155" s="717">
        <v>1.4399999999999999E-5</v>
      </c>
      <c r="D155" s="717">
        <v>2.1299999999999999E-5</v>
      </c>
      <c r="E155" s="718">
        <v>7639.09</v>
      </c>
      <c r="F155" s="718">
        <v>9559</v>
      </c>
      <c r="G155" s="718">
        <v>30562</v>
      </c>
      <c r="H155" s="718"/>
      <c r="I155" s="719">
        <v>574</v>
      </c>
      <c r="J155" s="719">
        <v>26782</v>
      </c>
      <c r="K155" s="719">
        <v>2093</v>
      </c>
      <c r="L155" s="718">
        <v>514</v>
      </c>
      <c r="M155" s="718"/>
      <c r="N155" s="719">
        <v>1071</v>
      </c>
      <c r="O155" s="719">
        <v>9885</v>
      </c>
      <c r="P155" s="719">
        <v>0</v>
      </c>
      <c r="Q155" s="718">
        <v>2374</v>
      </c>
      <c r="R155" s="719">
        <f t="shared" si="2"/>
        <v>16897</v>
      </c>
      <c r="S155" s="718"/>
      <c r="T155" s="719">
        <v>8169</v>
      </c>
      <c r="U155" s="721">
        <v>-382</v>
      </c>
      <c r="V155" s="721">
        <v>7786</v>
      </c>
    </row>
    <row r="156" spans="1:22" x14ac:dyDescent="0.25">
      <c r="A156" s="715">
        <v>91401</v>
      </c>
      <c r="B156" s="716" t="s">
        <v>2692</v>
      </c>
      <c r="C156" s="717">
        <v>3.6841E-3</v>
      </c>
      <c r="D156" s="717">
        <v>3.5414999999999999E-3</v>
      </c>
      <c r="E156" s="718">
        <v>1403464.74</v>
      </c>
      <c r="F156" s="718">
        <v>1589404</v>
      </c>
      <c r="G156" s="718">
        <v>7818894</v>
      </c>
      <c r="H156" s="718"/>
      <c r="I156" s="719">
        <v>146903</v>
      </c>
      <c r="J156" s="719">
        <v>6851844</v>
      </c>
      <c r="K156" s="719">
        <v>535524</v>
      </c>
      <c r="L156" s="718">
        <v>30858</v>
      </c>
      <c r="M156" s="718"/>
      <c r="N156" s="719">
        <v>273983</v>
      </c>
      <c r="O156" s="719">
        <v>2528980</v>
      </c>
      <c r="P156" s="719">
        <v>0</v>
      </c>
      <c r="Q156" s="718">
        <v>11385</v>
      </c>
      <c r="R156" s="719">
        <f t="shared" si="2"/>
        <v>4322864</v>
      </c>
      <c r="S156" s="718"/>
      <c r="T156" s="719">
        <v>2089876</v>
      </c>
      <c r="U156" s="721">
        <v>10463</v>
      </c>
      <c r="V156" s="721">
        <v>2100338</v>
      </c>
    </row>
    <row r="157" spans="1:22" x14ac:dyDescent="0.25">
      <c r="A157" s="715">
        <v>91411</v>
      </c>
      <c r="B157" s="716" t="s">
        <v>2693</v>
      </c>
      <c r="C157" s="717">
        <v>3.5379999999999998E-4</v>
      </c>
      <c r="D157" s="717">
        <v>3.1189999999999999E-4</v>
      </c>
      <c r="E157" s="718">
        <v>141435.49</v>
      </c>
      <c r="F157" s="718">
        <v>139979</v>
      </c>
      <c r="G157" s="718">
        <v>750882</v>
      </c>
      <c r="H157" s="718"/>
      <c r="I157" s="719">
        <v>14108</v>
      </c>
      <c r="J157" s="719">
        <v>658012</v>
      </c>
      <c r="K157" s="719">
        <v>51429</v>
      </c>
      <c r="L157" s="718">
        <v>22528</v>
      </c>
      <c r="M157" s="718"/>
      <c r="N157" s="719">
        <v>26312</v>
      </c>
      <c r="O157" s="719">
        <v>242869</v>
      </c>
      <c r="P157" s="719">
        <v>0</v>
      </c>
      <c r="Q157" s="718">
        <v>2801.92</v>
      </c>
      <c r="R157" s="719">
        <f t="shared" si="2"/>
        <v>415143</v>
      </c>
      <c r="S157" s="718"/>
      <c r="T157" s="719">
        <v>200700</v>
      </c>
      <c r="U157" s="721">
        <v>4720</v>
      </c>
      <c r="V157" s="721">
        <v>205420</v>
      </c>
    </row>
    <row r="158" spans="1:22" x14ac:dyDescent="0.25">
      <c r="A158" s="715">
        <v>91417</v>
      </c>
      <c r="B158" s="716" t="s">
        <v>2694</v>
      </c>
      <c r="C158" s="717">
        <v>9.9000000000000001E-6</v>
      </c>
      <c r="D158" s="717">
        <v>1.04E-5</v>
      </c>
      <c r="E158" s="718">
        <v>4800</v>
      </c>
      <c r="F158" s="718">
        <v>4667</v>
      </c>
      <c r="G158" s="718">
        <v>21011</v>
      </c>
      <c r="H158" s="718"/>
      <c r="I158" s="719">
        <v>394.76249999999999</v>
      </c>
      <c r="J158" s="719">
        <v>18412</v>
      </c>
      <c r="K158" s="719">
        <v>1439</v>
      </c>
      <c r="L158" s="718">
        <v>3686</v>
      </c>
      <c r="M158" s="718"/>
      <c r="N158" s="719">
        <v>736</v>
      </c>
      <c r="O158" s="719">
        <v>6796</v>
      </c>
      <c r="P158" s="719">
        <v>0</v>
      </c>
      <c r="Q158" s="718">
        <v>0</v>
      </c>
      <c r="R158" s="719">
        <f t="shared" si="2"/>
        <v>11616</v>
      </c>
      <c r="S158" s="718"/>
      <c r="T158" s="719">
        <v>5616</v>
      </c>
      <c r="U158" s="721">
        <v>1711</v>
      </c>
      <c r="V158" s="721">
        <v>7327</v>
      </c>
    </row>
    <row r="159" spans="1:22" x14ac:dyDescent="0.25">
      <c r="A159" s="715">
        <v>91421</v>
      </c>
      <c r="B159" s="716" t="s">
        <v>2695</v>
      </c>
      <c r="C159" s="717">
        <v>7.0400000000000004E-5</v>
      </c>
      <c r="D159" s="717">
        <v>7.3399999999999995E-5</v>
      </c>
      <c r="E159" s="718">
        <v>30683</v>
      </c>
      <c r="F159" s="718">
        <v>32941</v>
      </c>
      <c r="G159" s="718">
        <v>149412</v>
      </c>
      <c r="H159" s="718"/>
      <c r="I159" s="719">
        <v>2807</v>
      </c>
      <c r="J159" s="719">
        <v>130933</v>
      </c>
      <c r="K159" s="719">
        <v>10233</v>
      </c>
      <c r="L159" s="718">
        <v>2567</v>
      </c>
      <c r="M159" s="718"/>
      <c r="N159" s="719">
        <v>5236</v>
      </c>
      <c r="O159" s="719">
        <v>48327</v>
      </c>
      <c r="P159" s="719">
        <v>0</v>
      </c>
      <c r="Q159" s="718">
        <v>4833</v>
      </c>
      <c r="R159" s="719">
        <f t="shared" si="2"/>
        <v>82606</v>
      </c>
      <c r="S159" s="718"/>
      <c r="T159" s="719">
        <v>39936</v>
      </c>
      <c r="U159" s="721">
        <v>-400</v>
      </c>
      <c r="V159" s="721">
        <v>39536</v>
      </c>
    </row>
    <row r="160" spans="1:22" x14ac:dyDescent="0.25">
      <c r="A160" s="715">
        <v>91423</v>
      </c>
      <c r="B160" s="716" t="s">
        <v>2696</v>
      </c>
      <c r="C160" s="717">
        <v>3.8699999999999999E-5</v>
      </c>
      <c r="D160" s="717">
        <v>3.9499999999999998E-5</v>
      </c>
      <c r="E160" s="718">
        <v>17177.96</v>
      </c>
      <c r="F160" s="718">
        <v>17727</v>
      </c>
      <c r="G160" s="718">
        <v>82134</v>
      </c>
      <c r="H160" s="718"/>
      <c r="I160" s="719">
        <v>1543</v>
      </c>
      <c r="J160" s="719">
        <v>71976</v>
      </c>
      <c r="K160" s="719">
        <v>5625</v>
      </c>
      <c r="L160" s="718">
        <v>10132</v>
      </c>
      <c r="M160" s="718"/>
      <c r="N160" s="719">
        <v>2878</v>
      </c>
      <c r="O160" s="719">
        <v>26566</v>
      </c>
      <c r="P160" s="719">
        <v>0</v>
      </c>
      <c r="Q160" s="718">
        <v>4072</v>
      </c>
      <c r="R160" s="719">
        <f t="shared" si="2"/>
        <v>45410</v>
      </c>
      <c r="S160" s="718"/>
      <c r="T160" s="719">
        <v>21953</v>
      </c>
      <c r="U160" s="721">
        <v>1493</v>
      </c>
      <c r="V160" s="721">
        <v>23446</v>
      </c>
    </row>
    <row r="161" spans="1:22" x14ac:dyDescent="0.25">
      <c r="A161" s="715">
        <v>91431</v>
      </c>
      <c r="B161" s="716" t="s">
        <v>2697</v>
      </c>
      <c r="C161" s="717">
        <v>1.417E-4</v>
      </c>
      <c r="D161" s="717">
        <v>1.606E-4</v>
      </c>
      <c r="E161" s="718">
        <v>68459</v>
      </c>
      <c r="F161" s="718">
        <v>72076</v>
      </c>
      <c r="G161" s="718">
        <v>300735</v>
      </c>
      <c r="H161" s="718"/>
      <c r="I161" s="719">
        <v>5650</v>
      </c>
      <c r="J161" s="719">
        <v>263540</v>
      </c>
      <c r="K161" s="719">
        <v>20598</v>
      </c>
      <c r="L161" s="718">
        <v>1741</v>
      </c>
      <c r="M161" s="718"/>
      <c r="N161" s="719">
        <v>10538</v>
      </c>
      <c r="O161" s="719">
        <v>97271</v>
      </c>
      <c r="P161" s="719">
        <v>0</v>
      </c>
      <c r="Q161" s="718">
        <v>2500</v>
      </c>
      <c r="R161" s="719">
        <f t="shared" si="2"/>
        <v>166269</v>
      </c>
      <c r="S161" s="718"/>
      <c r="T161" s="719">
        <v>80382</v>
      </c>
      <c r="U161" s="721">
        <v>-116</v>
      </c>
      <c r="V161" s="721">
        <v>80266</v>
      </c>
    </row>
    <row r="162" spans="1:22" x14ac:dyDescent="0.25">
      <c r="A162" s="715">
        <v>91441</v>
      </c>
      <c r="B162" s="716" t="s">
        <v>2698</v>
      </c>
      <c r="C162" s="717">
        <v>7.3800000000000005E-4</v>
      </c>
      <c r="D162" s="717">
        <v>8.0199999999999998E-4</v>
      </c>
      <c r="E162" s="718">
        <v>243177.92</v>
      </c>
      <c r="F162" s="718">
        <v>359933</v>
      </c>
      <c r="G162" s="718">
        <v>1566283</v>
      </c>
      <c r="H162" s="718"/>
      <c r="I162" s="719">
        <v>29428</v>
      </c>
      <c r="J162" s="719">
        <v>1372563</v>
      </c>
      <c r="K162" s="719">
        <v>107276</v>
      </c>
      <c r="L162" s="718">
        <v>0</v>
      </c>
      <c r="M162" s="718"/>
      <c r="N162" s="719">
        <v>54884</v>
      </c>
      <c r="O162" s="719">
        <v>506606</v>
      </c>
      <c r="P162" s="719">
        <v>0</v>
      </c>
      <c r="Q162" s="718">
        <v>154968</v>
      </c>
      <c r="R162" s="719">
        <f t="shared" si="2"/>
        <v>865957</v>
      </c>
      <c r="S162" s="718"/>
      <c r="T162" s="719">
        <v>418645</v>
      </c>
      <c r="U162" s="721">
        <v>-51667</v>
      </c>
      <c r="V162" s="721">
        <v>366977</v>
      </c>
    </row>
    <row r="163" spans="1:22" x14ac:dyDescent="0.25">
      <c r="A163" s="715">
        <v>91451</v>
      </c>
      <c r="B163" s="716" t="s">
        <v>2699</v>
      </c>
      <c r="C163" s="717">
        <v>1.5629000000000001E-3</v>
      </c>
      <c r="D163" s="717">
        <v>1.7028E-3</v>
      </c>
      <c r="E163" s="718">
        <v>596685</v>
      </c>
      <c r="F163" s="718">
        <v>764206</v>
      </c>
      <c r="G163" s="718">
        <v>3316997</v>
      </c>
      <c r="H163" s="718"/>
      <c r="I163" s="719">
        <v>62321</v>
      </c>
      <c r="J163" s="719">
        <v>2906747</v>
      </c>
      <c r="K163" s="719">
        <v>227185</v>
      </c>
      <c r="L163" s="718">
        <v>0</v>
      </c>
      <c r="M163" s="718"/>
      <c r="N163" s="719">
        <v>116231</v>
      </c>
      <c r="O163" s="719">
        <v>1072865</v>
      </c>
      <c r="P163" s="719">
        <v>0</v>
      </c>
      <c r="Q163" s="718">
        <v>204791</v>
      </c>
      <c r="R163" s="719">
        <f t="shared" si="2"/>
        <v>1833882</v>
      </c>
      <c r="S163" s="718"/>
      <c r="T163" s="719">
        <v>886585</v>
      </c>
      <c r="U163" s="721">
        <v>-69029</v>
      </c>
      <c r="V163" s="721">
        <v>817556</v>
      </c>
    </row>
    <row r="164" spans="1:22" x14ac:dyDescent="0.25">
      <c r="A164" s="715">
        <v>91457</v>
      </c>
      <c r="B164" s="716" t="s">
        <v>2700</v>
      </c>
      <c r="C164" s="717">
        <v>2.58E-5</v>
      </c>
      <c r="D164" s="717">
        <v>2.7500000000000001E-5</v>
      </c>
      <c r="E164" s="718">
        <v>28421</v>
      </c>
      <c r="F164" s="718">
        <v>12342</v>
      </c>
      <c r="G164" s="718">
        <v>54756</v>
      </c>
      <c r="H164" s="718"/>
      <c r="I164" s="719">
        <v>1029</v>
      </c>
      <c r="J164" s="719">
        <v>47984</v>
      </c>
      <c r="K164" s="719">
        <v>3750</v>
      </c>
      <c r="L164" s="718">
        <v>24288</v>
      </c>
      <c r="M164" s="718"/>
      <c r="N164" s="719">
        <v>1919</v>
      </c>
      <c r="O164" s="719">
        <v>17711</v>
      </c>
      <c r="P164" s="719">
        <v>0</v>
      </c>
      <c r="Q164" s="718">
        <v>0</v>
      </c>
      <c r="R164" s="719">
        <f t="shared" si="2"/>
        <v>30273</v>
      </c>
      <c r="S164" s="718"/>
      <c r="T164" s="719">
        <v>14636</v>
      </c>
      <c r="U164" s="721">
        <v>7429</v>
      </c>
      <c r="V164" s="721">
        <v>22065</v>
      </c>
    </row>
    <row r="165" spans="1:22" x14ac:dyDescent="0.25">
      <c r="A165" s="715">
        <v>91461</v>
      </c>
      <c r="B165" s="716" t="s">
        <v>2701</v>
      </c>
      <c r="C165" s="717">
        <v>8.6999999999999997E-6</v>
      </c>
      <c r="D165" s="717">
        <v>6.3999999999999997E-6</v>
      </c>
      <c r="E165" s="718">
        <v>2697</v>
      </c>
      <c r="F165" s="718">
        <v>2872</v>
      </c>
      <c r="G165" s="718">
        <v>18464</v>
      </c>
      <c r="H165" s="718"/>
      <c r="I165" s="719">
        <v>347</v>
      </c>
      <c r="J165" s="719">
        <v>16181</v>
      </c>
      <c r="K165" s="719">
        <v>1265</v>
      </c>
      <c r="L165" s="718">
        <v>3156</v>
      </c>
      <c r="M165" s="718"/>
      <c r="N165" s="719">
        <v>647</v>
      </c>
      <c r="O165" s="719">
        <v>5972</v>
      </c>
      <c r="P165" s="719">
        <v>0</v>
      </c>
      <c r="Q165" s="718">
        <v>0</v>
      </c>
      <c r="R165" s="719">
        <f t="shared" si="2"/>
        <v>10209</v>
      </c>
      <c r="S165" s="718"/>
      <c r="T165" s="719">
        <v>4935</v>
      </c>
      <c r="U165" s="721">
        <v>1104</v>
      </c>
      <c r="V165" s="721">
        <v>6039</v>
      </c>
    </row>
    <row r="166" spans="1:22" x14ac:dyDescent="0.25">
      <c r="A166" s="715">
        <v>91501</v>
      </c>
      <c r="B166" s="716" t="s">
        <v>2702</v>
      </c>
      <c r="C166" s="717">
        <v>5.1099999999999995E-4</v>
      </c>
      <c r="D166" s="717">
        <v>4.8660000000000001E-4</v>
      </c>
      <c r="E166" s="718">
        <v>207396</v>
      </c>
      <c r="F166" s="718">
        <v>218383</v>
      </c>
      <c r="G166" s="718">
        <v>1084513</v>
      </c>
      <c r="H166" s="718"/>
      <c r="I166" s="719">
        <v>20376</v>
      </c>
      <c r="J166" s="719">
        <v>950379</v>
      </c>
      <c r="K166" s="719">
        <v>74279</v>
      </c>
      <c r="L166" s="718">
        <v>41752</v>
      </c>
      <c r="M166" s="718"/>
      <c r="N166" s="719">
        <v>38003</v>
      </c>
      <c r="O166" s="719">
        <v>350780</v>
      </c>
      <c r="P166" s="719">
        <v>0</v>
      </c>
      <c r="Q166" s="718">
        <v>0</v>
      </c>
      <c r="R166" s="719">
        <f t="shared" si="2"/>
        <v>599599</v>
      </c>
      <c r="S166" s="718"/>
      <c r="T166" s="719">
        <v>289874</v>
      </c>
      <c r="U166" s="721">
        <v>17322</v>
      </c>
      <c r="V166" s="721">
        <v>307197</v>
      </c>
    </row>
    <row r="167" spans="1:22" x14ac:dyDescent="0.25">
      <c r="A167" s="715">
        <v>91504</v>
      </c>
      <c r="B167" s="716" t="s">
        <v>2703</v>
      </c>
      <c r="C167" s="717">
        <v>1.0200000000000001E-5</v>
      </c>
      <c r="D167" s="717">
        <v>9.7999999999999993E-6</v>
      </c>
      <c r="E167" s="718">
        <v>5951</v>
      </c>
      <c r="F167" s="718">
        <v>4398</v>
      </c>
      <c r="G167" s="718">
        <v>21648</v>
      </c>
      <c r="H167" s="718"/>
      <c r="I167" s="719">
        <v>406.72500000000002</v>
      </c>
      <c r="J167" s="719">
        <v>18970</v>
      </c>
      <c r="K167" s="719">
        <v>1483</v>
      </c>
      <c r="L167" s="718">
        <v>6563</v>
      </c>
      <c r="M167" s="718"/>
      <c r="N167" s="719">
        <v>759</v>
      </c>
      <c r="O167" s="719">
        <v>7002</v>
      </c>
      <c r="P167" s="719">
        <v>0</v>
      </c>
      <c r="Q167" s="718">
        <v>0</v>
      </c>
      <c r="R167" s="719">
        <f t="shared" si="2"/>
        <v>11968</v>
      </c>
      <c r="S167" s="718"/>
      <c r="T167" s="719">
        <v>5786</v>
      </c>
      <c r="U167" s="721">
        <v>2270</v>
      </c>
      <c r="V167" s="721">
        <v>8056</v>
      </c>
    </row>
    <row r="168" spans="1:22" x14ac:dyDescent="0.25">
      <c r="A168" s="715">
        <v>91601</v>
      </c>
      <c r="B168" s="716" t="s">
        <v>2704</v>
      </c>
      <c r="C168" s="717">
        <v>2.9077999999999999E-3</v>
      </c>
      <c r="D168" s="717">
        <v>2.5893000000000001E-3</v>
      </c>
      <c r="E168" s="718">
        <v>1153048.76</v>
      </c>
      <c r="F168" s="718">
        <v>1162062</v>
      </c>
      <c r="G168" s="718">
        <v>6171326</v>
      </c>
      <c r="H168" s="718"/>
      <c r="I168" s="719">
        <v>115949</v>
      </c>
      <c r="J168" s="719">
        <v>5408049</v>
      </c>
      <c r="K168" s="719">
        <v>422681</v>
      </c>
      <c r="L168" s="718">
        <v>254754</v>
      </c>
      <c r="M168" s="718"/>
      <c r="N168" s="719">
        <v>216250</v>
      </c>
      <c r="O168" s="719">
        <v>1996083</v>
      </c>
      <c r="P168" s="719">
        <v>0</v>
      </c>
      <c r="Q168" s="718">
        <v>0</v>
      </c>
      <c r="R168" s="719">
        <f t="shared" si="2"/>
        <v>3411966</v>
      </c>
      <c r="S168" s="718"/>
      <c r="T168" s="719">
        <v>1649505</v>
      </c>
      <c r="U168" s="721">
        <v>86224</v>
      </c>
      <c r="V168" s="721">
        <v>1735729</v>
      </c>
    </row>
    <row r="169" spans="1:22" x14ac:dyDescent="0.25">
      <c r="A169" s="715">
        <v>91604</v>
      </c>
      <c r="B169" s="716" t="s">
        <v>2705</v>
      </c>
      <c r="C169" s="717">
        <v>8.6799999999999996E-5</v>
      </c>
      <c r="D169" s="717">
        <v>8.5000000000000006E-5</v>
      </c>
      <c r="E169" s="718">
        <v>47160</v>
      </c>
      <c r="F169" s="718">
        <v>38147</v>
      </c>
      <c r="G169" s="718">
        <v>184219</v>
      </c>
      <c r="H169" s="718"/>
      <c r="I169" s="719">
        <v>3461</v>
      </c>
      <c r="J169" s="719">
        <v>161434</v>
      </c>
      <c r="K169" s="719">
        <v>12617</v>
      </c>
      <c r="L169" s="718">
        <v>17354</v>
      </c>
      <c r="M169" s="718"/>
      <c r="N169" s="719">
        <v>6455</v>
      </c>
      <c r="O169" s="719">
        <v>59585</v>
      </c>
      <c r="P169" s="719">
        <v>0</v>
      </c>
      <c r="Q169" s="718">
        <v>0</v>
      </c>
      <c r="R169" s="719">
        <f t="shared" si="2"/>
        <v>101849</v>
      </c>
      <c r="S169" s="718"/>
      <c r="T169" s="719">
        <v>49239</v>
      </c>
      <c r="U169" s="721">
        <v>5419</v>
      </c>
      <c r="V169" s="721">
        <v>54658</v>
      </c>
    </row>
    <row r="170" spans="1:22" x14ac:dyDescent="0.25">
      <c r="A170" s="715">
        <v>91608</v>
      </c>
      <c r="B170" s="716" t="s">
        <v>2706</v>
      </c>
      <c r="C170" s="717">
        <v>1.208E-4</v>
      </c>
      <c r="D170" s="717">
        <v>1.178E-4</v>
      </c>
      <c r="E170" s="718">
        <v>33634</v>
      </c>
      <c r="F170" s="718">
        <v>52868</v>
      </c>
      <c r="G170" s="718">
        <v>256378</v>
      </c>
      <c r="H170" s="718"/>
      <c r="I170" s="719">
        <v>4817</v>
      </c>
      <c r="J170" s="719">
        <v>224669</v>
      </c>
      <c r="K170" s="719">
        <v>17560</v>
      </c>
      <c r="L170" s="718">
        <v>1751</v>
      </c>
      <c r="M170" s="718"/>
      <c r="N170" s="719">
        <v>8984</v>
      </c>
      <c r="O170" s="719">
        <v>82924</v>
      </c>
      <c r="P170" s="719">
        <v>0</v>
      </c>
      <c r="Q170" s="718">
        <v>42921</v>
      </c>
      <c r="R170" s="719">
        <f t="shared" si="2"/>
        <v>141745</v>
      </c>
      <c r="S170" s="718"/>
      <c r="T170" s="719">
        <v>68526</v>
      </c>
      <c r="U170" s="721">
        <v>-13278</v>
      </c>
      <c r="V170" s="721">
        <v>55248</v>
      </c>
    </row>
    <row r="171" spans="1:22" x14ac:dyDescent="0.25">
      <c r="A171" s="715">
        <v>91611</v>
      </c>
      <c r="B171" s="716" t="s">
        <v>2707</v>
      </c>
      <c r="C171" s="717">
        <v>1.4345E-3</v>
      </c>
      <c r="D171" s="717">
        <v>1.3361E-3</v>
      </c>
      <c r="E171" s="718">
        <v>495192</v>
      </c>
      <c r="F171" s="718">
        <v>599634</v>
      </c>
      <c r="G171" s="718">
        <v>3044490</v>
      </c>
      <c r="H171" s="718"/>
      <c r="I171" s="719">
        <v>57201</v>
      </c>
      <c r="J171" s="719">
        <v>2667943</v>
      </c>
      <c r="K171" s="719">
        <v>208520</v>
      </c>
      <c r="L171" s="718">
        <v>36769</v>
      </c>
      <c r="M171" s="718"/>
      <c r="N171" s="719">
        <v>106682</v>
      </c>
      <c r="O171" s="719">
        <v>984724</v>
      </c>
      <c r="P171" s="719">
        <v>0</v>
      </c>
      <c r="Q171" s="718">
        <v>21938</v>
      </c>
      <c r="R171" s="719">
        <f t="shared" si="2"/>
        <v>1683219</v>
      </c>
      <c r="S171" s="718"/>
      <c r="T171" s="719">
        <v>813747</v>
      </c>
      <c r="U171" s="721">
        <v>11752</v>
      </c>
      <c r="V171" s="721">
        <v>825500</v>
      </c>
    </row>
    <row r="172" spans="1:22" x14ac:dyDescent="0.25">
      <c r="A172" s="715">
        <v>91621</v>
      </c>
      <c r="B172" s="716" t="s">
        <v>2708</v>
      </c>
      <c r="C172" s="717">
        <v>2.5240000000000001E-4</v>
      </c>
      <c r="D172" s="717">
        <v>2.6200000000000003E-4</v>
      </c>
      <c r="E172" s="718">
        <v>102644</v>
      </c>
      <c r="F172" s="718">
        <v>117584</v>
      </c>
      <c r="G172" s="718">
        <v>535677</v>
      </c>
      <c r="H172" s="718"/>
      <c r="I172" s="719">
        <v>10064</v>
      </c>
      <c r="J172" s="719">
        <v>469424</v>
      </c>
      <c r="K172" s="719">
        <v>36689</v>
      </c>
      <c r="L172" s="718">
        <v>20545</v>
      </c>
      <c r="M172" s="718"/>
      <c r="N172" s="719">
        <v>18771</v>
      </c>
      <c r="O172" s="719">
        <v>173262</v>
      </c>
      <c r="P172" s="719">
        <v>0</v>
      </c>
      <c r="Q172" s="718">
        <v>25591</v>
      </c>
      <c r="R172" s="719">
        <f t="shared" si="2"/>
        <v>296162</v>
      </c>
      <c r="S172" s="718"/>
      <c r="T172" s="719">
        <v>143179</v>
      </c>
      <c r="U172" s="721">
        <v>-4085</v>
      </c>
      <c r="V172" s="721">
        <v>139094</v>
      </c>
    </row>
    <row r="173" spans="1:22" x14ac:dyDescent="0.25">
      <c r="A173" s="715">
        <v>91631</v>
      </c>
      <c r="B173" s="716" t="s">
        <v>2709</v>
      </c>
      <c r="C173" s="717">
        <v>5.3870000000000003E-4</v>
      </c>
      <c r="D173" s="717">
        <v>5.4830000000000005E-4</v>
      </c>
      <c r="E173" s="718">
        <v>189554.94</v>
      </c>
      <c r="F173" s="718">
        <v>246074</v>
      </c>
      <c r="G173" s="718">
        <v>1143302</v>
      </c>
      <c r="H173" s="718"/>
      <c r="I173" s="719">
        <v>21481</v>
      </c>
      <c r="J173" s="719">
        <v>1001897</v>
      </c>
      <c r="K173" s="719">
        <v>78306</v>
      </c>
      <c r="L173" s="718">
        <v>0</v>
      </c>
      <c r="M173" s="718"/>
      <c r="N173" s="719">
        <v>40063</v>
      </c>
      <c r="O173" s="719">
        <v>369795</v>
      </c>
      <c r="P173" s="719">
        <v>0</v>
      </c>
      <c r="Q173" s="718">
        <v>35292</v>
      </c>
      <c r="R173" s="719">
        <f t="shared" si="2"/>
        <v>632102</v>
      </c>
      <c r="S173" s="718"/>
      <c r="T173" s="719">
        <v>305588</v>
      </c>
      <c r="U173" s="721">
        <v>-10001</v>
      </c>
      <c r="V173" s="721">
        <v>295587</v>
      </c>
    </row>
    <row r="174" spans="1:22" x14ac:dyDescent="0.25">
      <c r="A174" s="715">
        <v>91633</v>
      </c>
      <c r="B174" s="716" t="s">
        <v>2710</v>
      </c>
      <c r="C174" s="717">
        <v>2.3799999999999999E-5</v>
      </c>
      <c r="D174" s="717">
        <v>2.3200000000000001E-5</v>
      </c>
      <c r="E174" s="718">
        <v>11149</v>
      </c>
      <c r="F174" s="718">
        <v>10412</v>
      </c>
      <c r="G174" s="718">
        <v>50512</v>
      </c>
      <c r="H174" s="718"/>
      <c r="I174" s="719">
        <v>949.02499999999998</v>
      </c>
      <c r="J174" s="719">
        <v>44264</v>
      </c>
      <c r="K174" s="719">
        <v>3460</v>
      </c>
      <c r="L174" s="718">
        <v>1407</v>
      </c>
      <c r="M174" s="718"/>
      <c r="N174" s="719">
        <v>1770</v>
      </c>
      <c r="O174" s="719">
        <v>16338</v>
      </c>
      <c r="P174" s="719">
        <v>0</v>
      </c>
      <c r="Q174" s="718">
        <v>5064</v>
      </c>
      <c r="R174" s="719">
        <f t="shared" si="2"/>
        <v>27926</v>
      </c>
      <c r="S174" s="718"/>
      <c r="T174" s="719">
        <v>13501</v>
      </c>
      <c r="U174" s="721">
        <v>-1485</v>
      </c>
      <c r="V174" s="721">
        <v>12016</v>
      </c>
    </row>
    <row r="175" spans="1:22" x14ac:dyDescent="0.25">
      <c r="A175" s="715">
        <v>91641</v>
      </c>
      <c r="B175" s="716" t="s">
        <v>2711</v>
      </c>
      <c r="C175" s="717">
        <v>2.742E-4</v>
      </c>
      <c r="D175" s="717">
        <v>3.1080000000000002E-4</v>
      </c>
      <c r="E175" s="718">
        <v>90324.84</v>
      </c>
      <c r="F175" s="718">
        <v>139485</v>
      </c>
      <c r="G175" s="718">
        <v>581944</v>
      </c>
      <c r="H175" s="718"/>
      <c r="I175" s="719">
        <v>10934</v>
      </c>
      <c r="J175" s="719">
        <v>509969</v>
      </c>
      <c r="K175" s="719">
        <v>39858</v>
      </c>
      <c r="L175" s="718">
        <v>0</v>
      </c>
      <c r="M175" s="718"/>
      <c r="N175" s="719">
        <v>20392</v>
      </c>
      <c r="O175" s="719">
        <v>188227</v>
      </c>
      <c r="P175" s="719">
        <v>0</v>
      </c>
      <c r="Q175" s="718">
        <v>73613</v>
      </c>
      <c r="R175" s="719">
        <f t="shared" si="2"/>
        <v>321742</v>
      </c>
      <c r="S175" s="718"/>
      <c r="T175" s="719">
        <v>155545</v>
      </c>
      <c r="U175" s="721">
        <v>-24397</v>
      </c>
      <c r="V175" s="721">
        <v>131148</v>
      </c>
    </row>
    <row r="176" spans="1:22" x14ac:dyDescent="0.25">
      <c r="A176" s="715">
        <v>91651</v>
      </c>
      <c r="B176" s="716" t="s">
        <v>2712</v>
      </c>
      <c r="C176" s="717">
        <v>4.6099999999999998E-4</v>
      </c>
      <c r="D176" s="717">
        <v>4.797E-4</v>
      </c>
      <c r="E176" s="718">
        <v>182169.7</v>
      </c>
      <c r="F176" s="718">
        <v>215286</v>
      </c>
      <c r="G176" s="718">
        <v>978396</v>
      </c>
      <c r="H176" s="718"/>
      <c r="I176" s="719">
        <v>18382.375</v>
      </c>
      <c r="J176" s="719">
        <v>857387</v>
      </c>
      <c r="K176" s="719">
        <v>67011</v>
      </c>
      <c r="L176" s="718">
        <v>0</v>
      </c>
      <c r="M176" s="718"/>
      <c r="N176" s="719">
        <v>34284</v>
      </c>
      <c r="O176" s="719">
        <v>316457</v>
      </c>
      <c r="P176" s="719">
        <v>0</v>
      </c>
      <c r="Q176" s="718">
        <v>30276</v>
      </c>
      <c r="R176" s="719">
        <f t="shared" si="2"/>
        <v>540930</v>
      </c>
      <c r="S176" s="718"/>
      <c r="T176" s="719">
        <v>261511</v>
      </c>
      <c r="U176" s="721">
        <v>-9842</v>
      </c>
      <c r="V176" s="721">
        <v>251669</v>
      </c>
    </row>
    <row r="177" spans="1:22" x14ac:dyDescent="0.25">
      <c r="A177" s="715">
        <v>91661</v>
      </c>
      <c r="B177" s="716" t="s">
        <v>2713</v>
      </c>
      <c r="C177" s="717">
        <v>1.6750000000000001E-4</v>
      </c>
      <c r="D177" s="717">
        <v>1.9149999999999999E-4</v>
      </c>
      <c r="E177" s="718">
        <v>50933.13</v>
      </c>
      <c r="F177" s="718">
        <v>85944</v>
      </c>
      <c r="G177" s="718">
        <v>355491</v>
      </c>
      <c r="H177" s="718"/>
      <c r="I177" s="719">
        <v>6679.0625</v>
      </c>
      <c r="J177" s="719">
        <v>311524</v>
      </c>
      <c r="K177" s="719">
        <v>24348</v>
      </c>
      <c r="L177" s="718">
        <v>0</v>
      </c>
      <c r="M177" s="718"/>
      <c r="N177" s="719">
        <v>12457</v>
      </c>
      <c r="O177" s="719">
        <v>114982</v>
      </c>
      <c r="P177" s="719">
        <v>0</v>
      </c>
      <c r="Q177" s="718">
        <v>40976</v>
      </c>
      <c r="R177" s="719">
        <f t="shared" si="2"/>
        <v>196542</v>
      </c>
      <c r="S177" s="718"/>
      <c r="T177" s="719">
        <v>95018</v>
      </c>
      <c r="U177" s="721">
        <v>-12042</v>
      </c>
      <c r="V177" s="721">
        <v>82975</v>
      </c>
    </row>
    <row r="178" spans="1:22" x14ac:dyDescent="0.25">
      <c r="A178" s="715">
        <v>91671</v>
      </c>
      <c r="B178" s="716" t="s">
        <v>2714</v>
      </c>
      <c r="C178" s="717">
        <v>9.7600000000000001E-5</v>
      </c>
      <c r="D178" s="717">
        <v>9.0000000000000006E-5</v>
      </c>
      <c r="E178" s="718">
        <v>40599.14</v>
      </c>
      <c r="F178" s="718">
        <v>40391.46</v>
      </c>
      <c r="G178" s="718">
        <v>207140</v>
      </c>
      <c r="H178" s="718"/>
      <c r="I178" s="719">
        <v>3891.8</v>
      </c>
      <c r="J178" s="719">
        <v>181521</v>
      </c>
      <c r="K178" s="719">
        <v>14187</v>
      </c>
      <c r="L178" s="718">
        <v>17521</v>
      </c>
      <c r="M178" s="718"/>
      <c r="N178" s="719">
        <v>7258</v>
      </c>
      <c r="O178" s="719">
        <v>66998</v>
      </c>
      <c r="P178" s="719">
        <v>0</v>
      </c>
      <c r="Q178" s="718">
        <v>0</v>
      </c>
      <c r="R178" s="719">
        <f t="shared" si="2"/>
        <v>114523</v>
      </c>
      <c r="S178" s="718"/>
      <c r="T178" s="719">
        <v>55365</v>
      </c>
      <c r="U178" s="721">
        <v>6024</v>
      </c>
      <c r="V178" s="721">
        <v>61390</v>
      </c>
    </row>
    <row r="179" spans="1:22" x14ac:dyDescent="0.25">
      <c r="A179" s="715">
        <v>91681</v>
      </c>
      <c r="B179" s="716" t="s">
        <v>2715</v>
      </c>
      <c r="C179" s="717">
        <v>4.7130000000000002E-4</v>
      </c>
      <c r="D179" s="717">
        <v>5.2590000000000004E-4</v>
      </c>
      <c r="E179" s="718">
        <v>361073.65</v>
      </c>
      <c r="F179" s="718">
        <v>236021</v>
      </c>
      <c r="G179" s="718">
        <v>1000256</v>
      </c>
      <c r="H179" s="718"/>
      <c r="I179" s="719">
        <v>18793</v>
      </c>
      <c r="J179" s="719">
        <v>876544</v>
      </c>
      <c r="K179" s="719">
        <v>68509</v>
      </c>
      <c r="L179" s="718">
        <v>196447</v>
      </c>
      <c r="M179" s="718"/>
      <c r="N179" s="719">
        <v>35050</v>
      </c>
      <c r="O179" s="719">
        <v>323528</v>
      </c>
      <c r="P179" s="719">
        <v>0</v>
      </c>
      <c r="Q179" s="718">
        <v>9078</v>
      </c>
      <c r="R179" s="719">
        <f t="shared" si="2"/>
        <v>553016</v>
      </c>
      <c r="S179" s="718"/>
      <c r="T179" s="719">
        <v>267354</v>
      </c>
      <c r="U179" s="721">
        <v>55234</v>
      </c>
      <c r="V179" s="721">
        <v>322588</v>
      </c>
    </row>
    <row r="180" spans="1:22" x14ac:dyDescent="0.25">
      <c r="A180" s="715">
        <v>91691</v>
      </c>
      <c r="B180" s="716" t="s">
        <v>2716</v>
      </c>
      <c r="C180" s="717">
        <v>2.4199999999999999E-5</v>
      </c>
      <c r="D180" s="717">
        <v>1.8700000000000001E-5</v>
      </c>
      <c r="E180" s="718">
        <v>9114</v>
      </c>
      <c r="F180" s="718">
        <v>8392</v>
      </c>
      <c r="G180" s="718">
        <v>51361</v>
      </c>
      <c r="H180" s="718"/>
      <c r="I180" s="719">
        <v>965</v>
      </c>
      <c r="J180" s="719">
        <v>45008</v>
      </c>
      <c r="K180" s="719">
        <v>3518</v>
      </c>
      <c r="L180" s="718">
        <v>2449</v>
      </c>
      <c r="M180" s="718"/>
      <c r="N180" s="719">
        <v>1800</v>
      </c>
      <c r="O180" s="719">
        <v>16612</v>
      </c>
      <c r="P180" s="719">
        <v>0</v>
      </c>
      <c r="Q180" s="718">
        <v>801</v>
      </c>
      <c r="R180" s="719">
        <f t="shared" si="2"/>
        <v>28396</v>
      </c>
      <c r="S180" s="718"/>
      <c r="T180" s="719">
        <v>13728</v>
      </c>
      <c r="U180" s="721">
        <v>383</v>
      </c>
      <c r="V180" s="721">
        <v>14111</v>
      </c>
    </row>
    <row r="181" spans="1:22" x14ac:dyDescent="0.25">
      <c r="A181" s="715">
        <v>91701</v>
      </c>
      <c r="B181" s="716" t="s">
        <v>2717</v>
      </c>
      <c r="C181" s="717">
        <v>1.0897000000000001E-3</v>
      </c>
      <c r="D181" s="717">
        <v>1.0575999999999999E-3</v>
      </c>
      <c r="E181" s="718">
        <v>448773</v>
      </c>
      <c r="F181" s="718">
        <v>474645</v>
      </c>
      <c r="G181" s="718">
        <v>2312708</v>
      </c>
      <c r="H181" s="718"/>
      <c r="I181" s="719">
        <v>43452</v>
      </c>
      <c r="J181" s="719">
        <v>2026670</v>
      </c>
      <c r="K181" s="719">
        <v>158400</v>
      </c>
      <c r="L181" s="718">
        <v>20132</v>
      </c>
      <c r="M181" s="718"/>
      <c r="N181" s="719">
        <v>81040</v>
      </c>
      <c r="O181" s="719">
        <v>748033</v>
      </c>
      <c r="P181" s="719">
        <v>0</v>
      </c>
      <c r="Q181" s="718">
        <v>13968</v>
      </c>
      <c r="R181" s="719">
        <f t="shared" si="2"/>
        <v>1278637</v>
      </c>
      <c r="S181" s="718"/>
      <c r="T181" s="719">
        <v>618153</v>
      </c>
      <c r="U181" s="721">
        <v>-1590</v>
      </c>
      <c r="V181" s="721">
        <v>616563</v>
      </c>
    </row>
    <row r="182" spans="1:22" x14ac:dyDescent="0.25">
      <c r="A182" s="715">
        <v>91704</v>
      </c>
      <c r="B182" s="716" t="s">
        <v>2718</v>
      </c>
      <c r="C182" s="717">
        <v>1.6699999999999999E-5</v>
      </c>
      <c r="D182" s="717">
        <v>1.66E-5</v>
      </c>
      <c r="E182" s="718">
        <v>6924</v>
      </c>
      <c r="F182" s="718">
        <v>7450</v>
      </c>
      <c r="G182" s="718">
        <v>35443</v>
      </c>
      <c r="H182" s="718"/>
      <c r="I182" s="719">
        <v>665.91250000000002</v>
      </c>
      <c r="J182" s="719">
        <v>31059</v>
      </c>
      <c r="K182" s="719">
        <v>2428</v>
      </c>
      <c r="L182" s="718">
        <v>1658</v>
      </c>
      <c r="M182" s="718"/>
      <c r="N182" s="719">
        <v>1242</v>
      </c>
      <c r="O182" s="719">
        <v>11464</v>
      </c>
      <c r="P182" s="719">
        <v>0</v>
      </c>
      <c r="Q182" s="718">
        <v>0</v>
      </c>
      <c r="R182" s="719">
        <f t="shared" si="2"/>
        <v>19595</v>
      </c>
      <c r="S182" s="718"/>
      <c r="T182" s="719">
        <v>9473</v>
      </c>
      <c r="U182" s="721">
        <v>628</v>
      </c>
      <c r="V182" s="721">
        <v>10101</v>
      </c>
    </row>
    <row r="183" spans="1:22" x14ac:dyDescent="0.25">
      <c r="A183" s="715">
        <v>91706</v>
      </c>
      <c r="B183" s="716" t="s">
        <v>2719</v>
      </c>
      <c r="C183" s="717">
        <v>2.4279999999999999E-4</v>
      </c>
      <c r="D183" s="717">
        <v>2.565E-4</v>
      </c>
      <c r="E183" s="718">
        <v>104554</v>
      </c>
      <c r="F183" s="718">
        <v>115116</v>
      </c>
      <c r="G183" s="718">
        <v>515303</v>
      </c>
      <c r="H183" s="718"/>
      <c r="I183" s="719">
        <v>9681.65</v>
      </c>
      <c r="J183" s="719">
        <v>451570</v>
      </c>
      <c r="K183" s="719">
        <v>35294</v>
      </c>
      <c r="L183" s="718">
        <v>807</v>
      </c>
      <c r="M183" s="718"/>
      <c r="N183" s="719">
        <v>18057</v>
      </c>
      <c r="O183" s="719">
        <v>166672</v>
      </c>
      <c r="P183" s="719">
        <v>0</v>
      </c>
      <c r="Q183" s="718">
        <v>14823</v>
      </c>
      <c r="R183" s="719">
        <f t="shared" si="2"/>
        <v>284898</v>
      </c>
      <c r="S183" s="718"/>
      <c r="T183" s="719">
        <v>137733</v>
      </c>
      <c r="U183" s="721">
        <v>-6265</v>
      </c>
      <c r="V183" s="721">
        <v>131468</v>
      </c>
    </row>
    <row r="184" spans="1:22" x14ac:dyDescent="0.25">
      <c r="A184" s="715">
        <v>91719</v>
      </c>
      <c r="B184" s="716" t="s">
        <v>2720</v>
      </c>
      <c r="C184" s="717">
        <v>4.9299999999999999E-5</v>
      </c>
      <c r="D184" s="717">
        <v>4.4199999999999997E-5</v>
      </c>
      <c r="E184" s="718">
        <v>15848</v>
      </c>
      <c r="F184" s="718">
        <v>19837</v>
      </c>
      <c r="G184" s="718">
        <v>104631</v>
      </c>
      <c r="H184" s="718"/>
      <c r="I184" s="719">
        <v>1966</v>
      </c>
      <c r="J184" s="719">
        <v>91690</v>
      </c>
      <c r="K184" s="719">
        <v>7166</v>
      </c>
      <c r="L184" s="718">
        <v>6810</v>
      </c>
      <c r="M184" s="718"/>
      <c r="N184" s="719">
        <v>3666</v>
      </c>
      <c r="O184" s="719">
        <v>33842</v>
      </c>
      <c r="P184" s="719">
        <v>0</v>
      </c>
      <c r="Q184" s="718">
        <v>3972</v>
      </c>
      <c r="R184" s="719">
        <f t="shared" si="2"/>
        <v>57848</v>
      </c>
      <c r="S184" s="718"/>
      <c r="T184" s="719">
        <v>27966</v>
      </c>
      <c r="U184" s="721">
        <v>602</v>
      </c>
      <c r="V184" s="721">
        <v>28568</v>
      </c>
    </row>
    <row r="185" spans="1:22" x14ac:dyDescent="0.25">
      <c r="A185" s="715">
        <v>91801</v>
      </c>
      <c r="B185" s="716" t="s">
        <v>2721</v>
      </c>
      <c r="C185" s="717">
        <v>8.3853999999999995E-3</v>
      </c>
      <c r="D185" s="717">
        <v>8.1784000000000006E-3</v>
      </c>
      <c r="E185" s="718">
        <v>3229080.93</v>
      </c>
      <c r="F185" s="718">
        <v>3670417</v>
      </c>
      <c r="G185" s="718">
        <v>17796628</v>
      </c>
      <c r="H185" s="718"/>
      <c r="I185" s="719">
        <v>334368</v>
      </c>
      <c r="J185" s="719">
        <v>15595519</v>
      </c>
      <c r="K185" s="719">
        <v>1218910</v>
      </c>
      <c r="L185" s="718">
        <v>0</v>
      </c>
      <c r="M185" s="718"/>
      <c r="N185" s="719">
        <v>623614</v>
      </c>
      <c r="O185" s="719">
        <v>5756225</v>
      </c>
      <c r="P185" s="719">
        <v>0</v>
      </c>
      <c r="Q185" s="718">
        <v>122778</v>
      </c>
      <c r="R185" s="719">
        <f t="shared" si="2"/>
        <v>9839294</v>
      </c>
      <c r="S185" s="718"/>
      <c r="T185" s="719">
        <v>4756777</v>
      </c>
      <c r="U185" s="721">
        <v>-45736</v>
      </c>
      <c r="V185" s="721">
        <v>4711042</v>
      </c>
    </row>
    <row r="186" spans="1:22" x14ac:dyDescent="0.25">
      <c r="A186" s="715">
        <v>91804</v>
      </c>
      <c r="B186" s="716" t="s">
        <v>2722</v>
      </c>
      <c r="C186" s="717">
        <v>1.462E-4</v>
      </c>
      <c r="D186" s="717">
        <v>1.4349999999999999E-4</v>
      </c>
      <c r="E186" s="718">
        <v>90420.56</v>
      </c>
      <c r="F186" s="718">
        <v>64402</v>
      </c>
      <c r="G186" s="718">
        <v>310285</v>
      </c>
      <c r="H186" s="718"/>
      <c r="I186" s="719">
        <v>5830</v>
      </c>
      <c r="J186" s="719">
        <v>271909</v>
      </c>
      <c r="K186" s="719">
        <v>21252</v>
      </c>
      <c r="L186" s="718">
        <v>55024</v>
      </c>
      <c r="M186" s="718"/>
      <c r="N186" s="719">
        <v>10873</v>
      </c>
      <c r="O186" s="719">
        <v>100360</v>
      </c>
      <c r="P186" s="719">
        <v>0</v>
      </c>
      <c r="Q186" s="718">
        <v>0</v>
      </c>
      <c r="R186" s="719">
        <f t="shared" si="2"/>
        <v>171549</v>
      </c>
      <c r="S186" s="718"/>
      <c r="T186" s="719">
        <v>82935</v>
      </c>
      <c r="U186" s="721">
        <v>18762</v>
      </c>
      <c r="V186" s="721">
        <v>101697</v>
      </c>
    </row>
    <row r="187" spans="1:22" x14ac:dyDescent="0.25">
      <c r="A187" s="715">
        <v>91811</v>
      </c>
      <c r="B187" s="716" t="s">
        <v>2723</v>
      </c>
      <c r="C187" s="717">
        <v>4.6454000000000001E-3</v>
      </c>
      <c r="D187" s="717">
        <v>5.0266E-3</v>
      </c>
      <c r="E187" s="718">
        <v>1763088</v>
      </c>
      <c r="F187" s="718">
        <v>2255908</v>
      </c>
      <c r="G187" s="718">
        <v>9859095</v>
      </c>
      <c r="H187" s="718"/>
      <c r="I187" s="719">
        <v>185235</v>
      </c>
      <c r="J187" s="719">
        <v>8639710</v>
      </c>
      <c r="K187" s="719">
        <v>675260</v>
      </c>
      <c r="L187" s="718">
        <v>0</v>
      </c>
      <c r="M187" s="718"/>
      <c r="N187" s="719">
        <v>345474</v>
      </c>
      <c r="O187" s="719">
        <v>3188872</v>
      </c>
      <c r="P187" s="719">
        <v>0</v>
      </c>
      <c r="Q187" s="718">
        <v>514506</v>
      </c>
      <c r="R187" s="719">
        <f t="shared" si="2"/>
        <v>5450838</v>
      </c>
      <c r="S187" s="718"/>
      <c r="T187" s="719">
        <v>2635191</v>
      </c>
      <c r="U187" s="721">
        <v>-157089</v>
      </c>
      <c r="V187" s="721">
        <v>2478102</v>
      </c>
    </row>
    <row r="188" spans="1:22" x14ac:dyDescent="0.25">
      <c r="A188" s="715">
        <v>91812</v>
      </c>
      <c r="B188" s="716" t="s">
        <v>2724</v>
      </c>
      <c r="C188" s="717">
        <v>5.8199999999999998E-5</v>
      </c>
      <c r="D188" s="717">
        <v>4.1499999999999999E-5</v>
      </c>
      <c r="E188" s="718">
        <v>24707</v>
      </c>
      <c r="F188" s="718">
        <v>18625</v>
      </c>
      <c r="G188" s="718">
        <v>123520</v>
      </c>
      <c r="H188" s="718"/>
      <c r="I188" s="719">
        <v>2320.7249999999999</v>
      </c>
      <c r="J188" s="719">
        <v>108243</v>
      </c>
      <c r="K188" s="719">
        <v>8460</v>
      </c>
      <c r="L188" s="718">
        <v>16587</v>
      </c>
      <c r="M188" s="718"/>
      <c r="N188" s="719">
        <v>4328</v>
      </c>
      <c r="O188" s="719">
        <v>39952</v>
      </c>
      <c r="P188" s="719">
        <v>0</v>
      </c>
      <c r="Q188" s="718">
        <v>0</v>
      </c>
      <c r="R188" s="719">
        <f t="shared" si="2"/>
        <v>68291</v>
      </c>
      <c r="S188" s="718"/>
      <c r="T188" s="719">
        <v>33015</v>
      </c>
      <c r="U188" s="721">
        <v>5261</v>
      </c>
      <c r="V188" s="721">
        <v>38276</v>
      </c>
    </row>
    <row r="189" spans="1:22" x14ac:dyDescent="0.25">
      <c r="A189" s="715">
        <v>91813</v>
      </c>
      <c r="B189" s="716" t="s">
        <v>2725</v>
      </c>
      <c r="C189" s="717">
        <v>1.083E-4</v>
      </c>
      <c r="D189" s="717">
        <v>9.6100000000000005E-5</v>
      </c>
      <c r="E189" s="718">
        <v>43088.72</v>
      </c>
      <c r="F189" s="718">
        <v>43129</v>
      </c>
      <c r="G189" s="718">
        <v>229849</v>
      </c>
      <c r="H189" s="718"/>
      <c r="I189" s="719">
        <v>4318</v>
      </c>
      <c r="J189" s="719">
        <v>201421</v>
      </c>
      <c r="K189" s="719">
        <v>15743</v>
      </c>
      <c r="L189" s="718">
        <v>16214</v>
      </c>
      <c r="M189" s="718"/>
      <c r="N189" s="719">
        <v>8054</v>
      </c>
      <c r="O189" s="719">
        <v>74343</v>
      </c>
      <c r="P189" s="719">
        <v>0</v>
      </c>
      <c r="Q189" s="718">
        <v>5268</v>
      </c>
      <c r="R189" s="719">
        <f t="shared" si="2"/>
        <v>127078</v>
      </c>
      <c r="S189" s="718"/>
      <c r="T189" s="719">
        <v>61435</v>
      </c>
      <c r="U189" s="721">
        <v>2581</v>
      </c>
      <c r="V189" s="721">
        <v>64016</v>
      </c>
    </row>
    <row r="190" spans="1:22" x14ac:dyDescent="0.25">
      <c r="A190" s="715">
        <v>91818</v>
      </c>
      <c r="B190" s="716" t="s">
        <v>2726</v>
      </c>
      <c r="C190" s="717">
        <v>3.8559999999999999E-4</v>
      </c>
      <c r="D190" s="717">
        <v>3.8890000000000002E-4</v>
      </c>
      <c r="E190" s="718">
        <v>416376</v>
      </c>
      <c r="F190" s="718">
        <v>174536</v>
      </c>
      <c r="G190" s="718">
        <v>818372</v>
      </c>
      <c r="H190" s="718"/>
      <c r="I190" s="719">
        <v>15375.8</v>
      </c>
      <c r="J190" s="719">
        <v>717155</v>
      </c>
      <c r="K190" s="719">
        <v>56051</v>
      </c>
      <c r="L190" s="718">
        <v>347266</v>
      </c>
      <c r="M190" s="718"/>
      <c r="N190" s="719">
        <v>28677</v>
      </c>
      <c r="O190" s="719">
        <v>264698</v>
      </c>
      <c r="P190" s="719">
        <v>0</v>
      </c>
      <c r="Q190" s="718">
        <v>10099</v>
      </c>
      <c r="R190" s="719">
        <f t="shared" si="2"/>
        <v>452457</v>
      </c>
      <c r="S190" s="718"/>
      <c r="T190" s="719">
        <v>218739</v>
      </c>
      <c r="U190" s="721">
        <v>98677</v>
      </c>
      <c r="V190" s="721">
        <v>317416</v>
      </c>
    </row>
    <row r="191" spans="1:22" x14ac:dyDescent="0.25">
      <c r="A191" s="715">
        <v>91819</v>
      </c>
      <c r="B191" s="716" t="s">
        <v>2727</v>
      </c>
      <c r="C191" s="717">
        <v>2.8200000000000002E-4</v>
      </c>
      <c r="D191" s="717">
        <v>2.9609999999999999E-4</v>
      </c>
      <c r="E191" s="718">
        <v>118267.02</v>
      </c>
      <c r="F191" s="718">
        <v>132888</v>
      </c>
      <c r="G191" s="718">
        <v>598498</v>
      </c>
      <c r="H191" s="718"/>
      <c r="I191" s="719">
        <v>11245</v>
      </c>
      <c r="J191" s="719">
        <v>524475</v>
      </c>
      <c r="K191" s="719">
        <v>40992</v>
      </c>
      <c r="L191" s="718">
        <v>13743</v>
      </c>
      <c r="M191" s="718"/>
      <c r="N191" s="719">
        <v>20972</v>
      </c>
      <c r="O191" s="719">
        <v>193581</v>
      </c>
      <c r="P191" s="719">
        <v>0</v>
      </c>
      <c r="Q191" s="718">
        <v>11963</v>
      </c>
      <c r="R191" s="719">
        <f t="shared" si="2"/>
        <v>330894</v>
      </c>
      <c r="S191" s="718"/>
      <c r="T191" s="719">
        <v>159970</v>
      </c>
      <c r="U191" s="721">
        <v>3219</v>
      </c>
      <c r="V191" s="721">
        <v>163189</v>
      </c>
    </row>
    <row r="192" spans="1:22" x14ac:dyDescent="0.25">
      <c r="A192" s="715">
        <v>91821</v>
      </c>
      <c r="B192" s="716" t="s">
        <v>2728</v>
      </c>
      <c r="C192" s="717">
        <v>1.63E-4</v>
      </c>
      <c r="D192" s="717">
        <v>1.5799999999999999E-4</v>
      </c>
      <c r="E192" s="718">
        <v>61732.91</v>
      </c>
      <c r="F192" s="718">
        <v>70909</v>
      </c>
      <c r="G192" s="718">
        <v>345941</v>
      </c>
      <c r="H192" s="718"/>
      <c r="I192" s="719">
        <v>6499.625</v>
      </c>
      <c r="J192" s="719">
        <v>303154</v>
      </c>
      <c r="K192" s="719">
        <v>23694</v>
      </c>
      <c r="L192" s="718">
        <v>4196</v>
      </c>
      <c r="M192" s="718"/>
      <c r="N192" s="719">
        <v>12122</v>
      </c>
      <c r="O192" s="719">
        <v>111893</v>
      </c>
      <c r="P192" s="719">
        <v>0</v>
      </c>
      <c r="Q192" s="718">
        <v>1501</v>
      </c>
      <c r="R192" s="719">
        <f t="shared" si="2"/>
        <v>191261</v>
      </c>
      <c r="S192" s="718"/>
      <c r="T192" s="719">
        <v>92465</v>
      </c>
      <c r="U192" s="721">
        <v>1532</v>
      </c>
      <c r="V192" s="721">
        <v>93997</v>
      </c>
    </row>
    <row r="193" spans="1:22" x14ac:dyDescent="0.25">
      <c r="A193" s="715">
        <v>91831</v>
      </c>
      <c r="B193" s="716" t="s">
        <v>2729</v>
      </c>
      <c r="C193" s="717">
        <v>3.414E-4</v>
      </c>
      <c r="D193" s="717">
        <v>3.344E-4</v>
      </c>
      <c r="E193" s="718">
        <v>124107.91</v>
      </c>
      <c r="F193" s="718">
        <v>150077</v>
      </c>
      <c r="G193" s="718">
        <v>724565</v>
      </c>
      <c r="H193" s="718"/>
      <c r="I193" s="719">
        <v>13613</v>
      </c>
      <c r="J193" s="719">
        <v>634950</v>
      </c>
      <c r="K193" s="719">
        <v>49626</v>
      </c>
      <c r="L193" s="718">
        <v>12411</v>
      </c>
      <c r="M193" s="718"/>
      <c r="N193" s="719">
        <v>25390</v>
      </c>
      <c r="O193" s="719">
        <v>234357</v>
      </c>
      <c r="P193" s="719">
        <v>0</v>
      </c>
      <c r="Q193" s="718">
        <v>9146</v>
      </c>
      <c r="R193" s="719">
        <f t="shared" si="2"/>
        <v>400593</v>
      </c>
      <c r="S193" s="718"/>
      <c r="T193" s="719">
        <v>193666</v>
      </c>
      <c r="U193" s="721">
        <v>2194</v>
      </c>
      <c r="V193" s="721">
        <v>195860</v>
      </c>
    </row>
    <row r="194" spans="1:22" x14ac:dyDescent="0.25">
      <c r="A194" s="715">
        <v>91841</v>
      </c>
      <c r="B194" s="716" t="s">
        <v>2730</v>
      </c>
      <c r="C194" s="717">
        <v>2.63E-4</v>
      </c>
      <c r="D194" s="717">
        <v>2.7290000000000002E-4</v>
      </c>
      <c r="E194" s="718">
        <v>112188.05</v>
      </c>
      <c r="F194" s="718">
        <v>122476</v>
      </c>
      <c r="G194" s="718">
        <v>558174</v>
      </c>
      <c r="H194" s="718"/>
      <c r="I194" s="719">
        <v>10487.125</v>
      </c>
      <c r="J194" s="719">
        <v>489138</v>
      </c>
      <c r="K194" s="719">
        <v>38230</v>
      </c>
      <c r="L194" s="718">
        <v>0</v>
      </c>
      <c r="M194" s="718"/>
      <c r="N194" s="719">
        <v>19559</v>
      </c>
      <c r="O194" s="719">
        <v>180538</v>
      </c>
      <c r="P194" s="719">
        <v>0</v>
      </c>
      <c r="Q194" s="718">
        <v>24859</v>
      </c>
      <c r="R194" s="719">
        <f t="shared" si="2"/>
        <v>308600</v>
      </c>
      <c r="S194" s="718"/>
      <c r="T194" s="719">
        <v>149192</v>
      </c>
      <c r="U194" s="721">
        <v>-10148</v>
      </c>
      <c r="V194" s="721">
        <v>139044</v>
      </c>
    </row>
    <row r="195" spans="1:22" x14ac:dyDescent="0.25">
      <c r="A195" s="715">
        <v>91851</v>
      </c>
      <c r="B195" s="716" t="s">
        <v>2731</v>
      </c>
      <c r="C195" s="717">
        <v>7.2059999999999995E-4</v>
      </c>
      <c r="D195" s="717">
        <v>7.8410000000000003E-4</v>
      </c>
      <c r="E195" s="718">
        <v>289167</v>
      </c>
      <c r="F195" s="718">
        <v>351899</v>
      </c>
      <c r="G195" s="718">
        <v>1529355</v>
      </c>
      <c r="H195" s="718"/>
      <c r="I195" s="719">
        <v>28734</v>
      </c>
      <c r="J195" s="719">
        <v>1340202</v>
      </c>
      <c r="K195" s="719">
        <v>104747</v>
      </c>
      <c r="L195" s="718">
        <v>7182</v>
      </c>
      <c r="M195" s="718"/>
      <c r="N195" s="719">
        <v>53590</v>
      </c>
      <c r="O195" s="719">
        <v>494662</v>
      </c>
      <c r="P195" s="719">
        <v>0</v>
      </c>
      <c r="Q195" s="718">
        <v>62684</v>
      </c>
      <c r="R195" s="719">
        <f t="shared" si="2"/>
        <v>845540</v>
      </c>
      <c r="S195" s="718"/>
      <c r="T195" s="719">
        <v>408774</v>
      </c>
      <c r="U195" s="721">
        <v>-14788</v>
      </c>
      <c r="V195" s="721">
        <v>393986</v>
      </c>
    </row>
    <row r="196" spans="1:22" x14ac:dyDescent="0.25">
      <c r="A196" s="715">
        <v>91861</v>
      </c>
      <c r="B196" s="716" t="s">
        <v>2732</v>
      </c>
      <c r="C196" s="717">
        <v>1.9899999999999999E-5</v>
      </c>
      <c r="D196" s="717">
        <v>1.8499999999999999E-5</v>
      </c>
      <c r="E196" s="718">
        <v>7958</v>
      </c>
      <c r="F196" s="718">
        <v>8303</v>
      </c>
      <c r="G196" s="718">
        <v>42234</v>
      </c>
      <c r="H196" s="718"/>
      <c r="I196" s="719">
        <v>794</v>
      </c>
      <c r="J196" s="719">
        <v>37011</v>
      </c>
      <c r="K196" s="719">
        <v>2893</v>
      </c>
      <c r="L196" s="718">
        <v>3091</v>
      </c>
      <c r="M196" s="718"/>
      <c r="N196" s="719">
        <v>1480</v>
      </c>
      <c r="O196" s="719">
        <v>13661</v>
      </c>
      <c r="P196" s="719">
        <v>0</v>
      </c>
      <c r="Q196" s="718">
        <v>221</v>
      </c>
      <c r="R196" s="719">
        <f t="shared" si="2"/>
        <v>23350</v>
      </c>
      <c r="S196" s="718"/>
      <c r="T196" s="719">
        <v>11289</v>
      </c>
      <c r="U196" s="721">
        <v>930</v>
      </c>
      <c r="V196" s="721">
        <v>12219</v>
      </c>
    </row>
    <row r="197" spans="1:22" x14ac:dyDescent="0.25">
      <c r="A197" s="715">
        <v>91871</v>
      </c>
      <c r="B197" s="716" t="s">
        <v>2733</v>
      </c>
      <c r="C197" s="717">
        <v>1.2712000000000001E-3</v>
      </c>
      <c r="D197" s="717">
        <v>1.3523000000000001E-3</v>
      </c>
      <c r="E197" s="718">
        <v>508749.63</v>
      </c>
      <c r="F197" s="718">
        <v>606904</v>
      </c>
      <c r="G197" s="718">
        <v>2697912</v>
      </c>
      <c r="H197" s="718"/>
      <c r="I197" s="719">
        <v>50689</v>
      </c>
      <c r="J197" s="719">
        <v>2364231</v>
      </c>
      <c r="K197" s="719">
        <v>184783</v>
      </c>
      <c r="L197" s="718">
        <v>0</v>
      </c>
      <c r="M197" s="718"/>
      <c r="N197" s="719">
        <v>94538</v>
      </c>
      <c r="O197" s="719">
        <v>872625</v>
      </c>
      <c r="P197" s="719">
        <v>0</v>
      </c>
      <c r="Q197" s="718">
        <v>108234</v>
      </c>
      <c r="R197" s="719">
        <f t="shared" si="2"/>
        <v>1491606</v>
      </c>
      <c r="S197" s="718"/>
      <c r="T197" s="719">
        <v>721112</v>
      </c>
      <c r="U197" s="721">
        <v>-34437</v>
      </c>
      <c r="V197" s="721">
        <v>686676</v>
      </c>
    </row>
    <row r="198" spans="1:22" x14ac:dyDescent="0.25">
      <c r="A198" s="715">
        <v>91881</v>
      </c>
      <c r="B198" s="716" t="s">
        <v>2734</v>
      </c>
      <c r="C198" s="717">
        <v>1.01E-5</v>
      </c>
      <c r="D198" s="717">
        <v>2.1399999999999998E-5</v>
      </c>
      <c r="E198" s="718">
        <v>5881.13</v>
      </c>
      <c r="F198" s="718">
        <v>9604</v>
      </c>
      <c r="G198" s="718">
        <v>21436</v>
      </c>
      <c r="H198" s="718"/>
      <c r="I198" s="719">
        <v>402.73750000000001</v>
      </c>
      <c r="J198" s="719">
        <v>18784</v>
      </c>
      <c r="K198" s="719">
        <v>1468</v>
      </c>
      <c r="L198" s="718">
        <v>0</v>
      </c>
      <c r="M198" s="718"/>
      <c r="N198" s="719">
        <v>751</v>
      </c>
      <c r="O198" s="719">
        <v>6933</v>
      </c>
      <c r="P198" s="719">
        <v>0</v>
      </c>
      <c r="Q198" s="718">
        <v>14714</v>
      </c>
      <c r="R198" s="719">
        <f t="shared" si="2"/>
        <v>11851</v>
      </c>
      <c r="S198" s="718"/>
      <c r="T198" s="719">
        <v>5729</v>
      </c>
      <c r="U198" s="721">
        <v>-5904</v>
      </c>
      <c r="V198" s="721">
        <v>-175</v>
      </c>
    </row>
    <row r="199" spans="1:22" x14ac:dyDescent="0.25">
      <c r="A199" s="715">
        <v>91901</v>
      </c>
      <c r="B199" s="716" t="s">
        <v>2735</v>
      </c>
      <c r="C199" s="717">
        <v>3.6564000000000002E-3</v>
      </c>
      <c r="D199" s="717">
        <v>3.4198000000000002E-3</v>
      </c>
      <c r="E199" s="718">
        <v>1388384.1</v>
      </c>
      <c r="F199" s="718">
        <v>1534786</v>
      </c>
      <c r="G199" s="718">
        <v>7760106</v>
      </c>
      <c r="H199" s="718"/>
      <c r="I199" s="719">
        <v>145799</v>
      </c>
      <c r="J199" s="719">
        <v>6800326</v>
      </c>
      <c r="K199" s="719">
        <v>531498</v>
      </c>
      <c r="L199" s="718">
        <v>147570</v>
      </c>
      <c r="M199" s="718"/>
      <c r="N199" s="719">
        <v>271923</v>
      </c>
      <c r="O199" s="719">
        <v>2509965</v>
      </c>
      <c r="P199" s="719">
        <v>0</v>
      </c>
      <c r="Q199" s="718">
        <v>0</v>
      </c>
      <c r="R199" s="719">
        <f t="shared" ref="R199:R262" si="3">IF(J199&gt;O199,J199-O199,O199-J199)</f>
        <v>4290361</v>
      </c>
      <c r="S199" s="718"/>
      <c r="T199" s="719">
        <v>2074162</v>
      </c>
      <c r="U199" s="721">
        <v>57850</v>
      </c>
      <c r="V199" s="721">
        <v>2132013</v>
      </c>
    </row>
    <row r="200" spans="1:22" x14ac:dyDescent="0.25">
      <c r="A200" s="715">
        <v>91903</v>
      </c>
      <c r="B200" s="716" t="s">
        <v>2736</v>
      </c>
      <c r="C200" s="717">
        <v>8.3999999999999992E-6</v>
      </c>
      <c r="D200" s="717">
        <v>9.5000000000000005E-6</v>
      </c>
      <c r="E200" s="718">
        <v>4422</v>
      </c>
      <c r="F200" s="718">
        <v>4264</v>
      </c>
      <c r="G200" s="718">
        <v>17828</v>
      </c>
      <c r="H200" s="718"/>
      <c r="I200" s="719">
        <v>334.95</v>
      </c>
      <c r="J200" s="719">
        <v>15623</v>
      </c>
      <c r="K200" s="719">
        <v>1221</v>
      </c>
      <c r="L200" s="718">
        <v>656</v>
      </c>
      <c r="M200" s="718"/>
      <c r="N200" s="719">
        <v>625</v>
      </c>
      <c r="O200" s="719">
        <v>5766</v>
      </c>
      <c r="P200" s="719">
        <v>0</v>
      </c>
      <c r="Q200" s="718">
        <v>6052</v>
      </c>
      <c r="R200" s="719">
        <f t="shared" si="3"/>
        <v>9857</v>
      </c>
      <c r="S200" s="718"/>
      <c r="T200" s="719">
        <v>4765</v>
      </c>
      <c r="U200" s="721">
        <v>-2825</v>
      </c>
      <c r="V200" s="721">
        <v>1940</v>
      </c>
    </row>
    <row r="201" spans="1:22" x14ac:dyDescent="0.25">
      <c r="A201" s="715">
        <v>91904</v>
      </c>
      <c r="B201" s="716" t="s">
        <v>2737</v>
      </c>
      <c r="C201" s="717">
        <v>2.3300000000000001E-5</v>
      </c>
      <c r="D201" s="717">
        <v>1.1600000000000001E-5</v>
      </c>
      <c r="E201" s="718">
        <v>9195</v>
      </c>
      <c r="F201" s="718">
        <v>5206</v>
      </c>
      <c r="G201" s="718">
        <v>49450</v>
      </c>
      <c r="H201" s="718"/>
      <c r="I201" s="719">
        <v>929.08749999999998</v>
      </c>
      <c r="J201" s="719">
        <v>43334</v>
      </c>
      <c r="K201" s="719">
        <v>3387</v>
      </c>
      <c r="L201" s="718">
        <v>9161</v>
      </c>
      <c r="M201" s="718"/>
      <c r="N201" s="719">
        <v>1733</v>
      </c>
      <c r="O201" s="719">
        <v>15994</v>
      </c>
      <c r="P201" s="719">
        <v>0</v>
      </c>
      <c r="Q201" s="718">
        <v>0</v>
      </c>
      <c r="R201" s="719">
        <f t="shared" si="3"/>
        <v>27340</v>
      </c>
      <c r="S201" s="718"/>
      <c r="T201" s="719">
        <v>13217</v>
      </c>
      <c r="U201" s="721">
        <v>3062</v>
      </c>
      <c r="V201" s="721">
        <v>16279</v>
      </c>
    </row>
    <row r="202" spans="1:22" x14ac:dyDescent="0.25">
      <c r="A202" s="715">
        <v>91908</v>
      </c>
      <c r="B202" s="716" t="s">
        <v>2738</v>
      </c>
      <c r="C202" s="717">
        <v>1.3699999999999999E-5</v>
      </c>
      <c r="D202" s="717">
        <v>1.73E-5</v>
      </c>
      <c r="E202" s="718">
        <v>3751.2</v>
      </c>
      <c r="F202" s="718">
        <v>7764</v>
      </c>
      <c r="G202" s="718">
        <v>29076</v>
      </c>
      <c r="H202" s="718"/>
      <c r="I202" s="719">
        <v>546.28750000000002</v>
      </c>
      <c r="J202" s="719">
        <v>25480</v>
      </c>
      <c r="K202" s="719">
        <v>1991</v>
      </c>
      <c r="L202" s="718">
        <v>1638</v>
      </c>
      <c r="M202" s="718"/>
      <c r="N202" s="719">
        <v>1019</v>
      </c>
      <c r="O202" s="719">
        <v>9404</v>
      </c>
      <c r="P202" s="719">
        <v>0</v>
      </c>
      <c r="Q202" s="718">
        <v>3446</v>
      </c>
      <c r="R202" s="719">
        <f t="shared" si="3"/>
        <v>16076</v>
      </c>
      <c r="S202" s="718"/>
      <c r="T202" s="719">
        <v>7772</v>
      </c>
      <c r="U202" s="721">
        <v>-83</v>
      </c>
      <c r="V202" s="721">
        <v>7689</v>
      </c>
    </row>
    <row r="203" spans="1:22" x14ac:dyDescent="0.25">
      <c r="A203" s="715">
        <v>91911</v>
      </c>
      <c r="B203" s="716" t="s">
        <v>2739</v>
      </c>
      <c r="C203" s="717">
        <v>4.639E-4</v>
      </c>
      <c r="D203" s="717">
        <v>4.4079999999999998E-4</v>
      </c>
      <c r="E203" s="718">
        <v>186806.7</v>
      </c>
      <c r="F203" s="718">
        <v>197828</v>
      </c>
      <c r="G203" s="718">
        <v>984551</v>
      </c>
      <c r="H203" s="718"/>
      <c r="I203" s="719">
        <v>18498</v>
      </c>
      <c r="J203" s="719">
        <v>862781</v>
      </c>
      <c r="K203" s="719">
        <v>67433</v>
      </c>
      <c r="L203" s="718">
        <v>9361</v>
      </c>
      <c r="M203" s="718"/>
      <c r="N203" s="719">
        <v>34500</v>
      </c>
      <c r="O203" s="719">
        <v>318448</v>
      </c>
      <c r="P203" s="719">
        <v>0</v>
      </c>
      <c r="Q203" s="718">
        <v>8482</v>
      </c>
      <c r="R203" s="719">
        <f t="shared" si="3"/>
        <v>544333</v>
      </c>
      <c r="S203" s="718"/>
      <c r="T203" s="719">
        <v>263156</v>
      </c>
      <c r="U203" s="721">
        <v>-1046</v>
      </c>
      <c r="V203" s="721">
        <v>262110</v>
      </c>
    </row>
    <row r="204" spans="1:22" x14ac:dyDescent="0.25">
      <c r="A204" s="715">
        <v>91917</v>
      </c>
      <c r="B204" s="716" t="s">
        <v>2740</v>
      </c>
      <c r="C204" s="717">
        <v>1.36E-5</v>
      </c>
      <c r="D204" s="717">
        <v>1.42E-5</v>
      </c>
      <c r="E204" s="718">
        <v>6743.42</v>
      </c>
      <c r="F204" s="718">
        <v>6373</v>
      </c>
      <c r="G204" s="718">
        <v>28864</v>
      </c>
      <c r="H204" s="718"/>
      <c r="I204" s="719">
        <v>542</v>
      </c>
      <c r="J204" s="719">
        <v>25294</v>
      </c>
      <c r="K204" s="719">
        <v>1977</v>
      </c>
      <c r="L204" s="718">
        <v>731</v>
      </c>
      <c r="M204" s="718"/>
      <c r="N204" s="719">
        <v>1011</v>
      </c>
      <c r="O204" s="719">
        <v>9336</v>
      </c>
      <c r="P204" s="719">
        <v>0</v>
      </c>
      <c r="Q204" s="718">
        <v>0</v>
      </c>
      <c r="R204" s="719">
        <f t="shared" si="3"/>
        <v>15958</v>
      </c>
      <c r="S204" s="718"/>
      <c r="T204" s="719">
        <v>7715</v>
      </c>
      <c r="U204" s="721">
        <v>203</v>
      </c>
      <c r="V204" s="721">
        <v>7918</v>
      </c>
    </row>
    <row r="205" spans="1:22" x14ac:dyDescent="0.25">
      <c r="A205" s="715">
        <v>91921</v>
      </c>
      <c r="B205" s="716" t="s">
        <v>2741</v>
      </c>
      <c r="C205" s="717">
        <v>3.6600000000000001E-4</v>
      </c>
      <c r="D205" s="717">
        <v>3.4840000000000001E-4</v>
      </c>
      <c r="E205" s="718">
        <v>136994.49</v>
      </c>
      <c r="F205" s="718">
        <v>156360</v>
      </c>
      <c r="G205" s="718">
        <v>776774.61</v>
      </c>
      <c r="H205" s="718"/>
      <c r="I205" s="719">
        <v>14594.25</v>
      </c>
      <c r="J205" s="719">
        <v>680702</v>
      </c>
      <c r="K205" s="719">
        <v>53202</v>
      </c>
      <c r="L205" s="718">
        <v>0</v>
      </c>
      <c r="M205" s="718"/>
      <c r="N205" s="719">
        <v>27219</v>
      </c>
      <c r="O205" s="719">
        <v>251244</v>
      </c>
      <c r="P205" s="719">
        <v>0</v>
      </c>
      <c r="Q205" s="718">
        <v>12578</v>
      </c>
      <c r="R205" s="719">
        <f t="shared" si="3"/>
        <v>429458</v>
      </c>
      <c r="S205" s="718"/>
      <c r="T205" s="719">
        <v>207620</v>
      </c>
      <c r="U205" s="721">
        <v>-4638</v>
      </c>
      <c r="V205" s="721">
        <v>202982</v>
      </c>
    </row>
    <row r="206" spans="1:22" x14ac:dyDescent="0.25">
      <c r="A206" s="715">
        <v>92001</v>
      </c>
      <c r="B206" s="716" t="s">
        <v>2742</v>
      </c>
      <c r="C206" s="717">
        <v>1.9604000000000002E-3</v>
      </c>
      <c r="D206" s="717">
        <v>1.7531000000000001E-3</v>
      </c>
      <c r="E206" s="718">
        <v>743048.49</v>
      </c>
      <c r="F206" s="718">
        <v>786781</v>
      </c>
      <c r="G206" s="718">
        <v>4160626</v>
      </c>
      <c r="H206" s="718"/>
      <c r="I206" s="719">
        <v>78171</v>
      </c>
      <c r="J206" s="719">
        <v>3646034</v>
      </c>
      <c r="K206" s="719">
        <v>284966</v>
      </c>
      <c r="L206" s="718">
        <v>65513</v>
      </c>
      <c r="M206" s="718"/>
      <c r="N206" s="719">
        <v>145793</v>
      </c>
      <c r="O206" s="719">
        <v>1345732</v>
      </c>
      <c r="P206" s="719">
        <v>0</v>
      </c>
      <c r="Q206" s="718">
        <v>52440.480000000003</v>
      </c>
      <c r="R206" s="719">
        <f t="shared" si="3"/>
        <v>2300302</v>
      </c>
      <c r="S206" s="718"/>
      <c r="T206" s="719">
        <v>1112074</v>
      </c>
      <c r="U206" s="721">
        <v>-9057</v>
      </c>
      <c r="V206" s="721">
        <v>1103017</v>
      </c>
    </row>
    <row r="207" spans="1:22" x14ac:dyDescent="0.25">
      <c r="A207" s="715">
        <v>92005</v>
      </c>
      <c r="B207" s="716" t="s">
        <v>2743</v>
      </c>
      <c r="C207" s="717">
        <v>4.6499999999999999E-5</v>
      </c>
      <c r="D207" s="717">
        <v>4.5800000000000002E-5</v>
      </c>
      <c r="E207" s="718">
        <v>20891.13</v>
      </c>
      <c r="F207" s="718">
        <v>20555</v>
      </c>
      <c r="G207" s="718">
        <v>98689</v>
      </c>
      <c r="H207" s="718"/>
      <c r="I207" s="719">
        <v>1854.1875</v>
      </c>
      <c r="J207" s="719">
        <v>86483</v>
      </c>
      <c r="K207" s="719">
        <v>6759</v>
      </c>
      <c r="L207" s="718">
        <v>2627</v>
      </c>
      <c r="M207" s="718"/>
      <c r="N207" s="719">
        <v>3458</v>
      </c>
      <c r="O207" s="719">
        <v>31920</v>
      </c>
      <c r="P207" s="719">
        <v>0</v>
      </c>
      <c r="Q207" s="718">
        <v>597</v>
      </c>
      <c r="R207" s="719">
        <f t="shared" si="3"/>
        <v>54563</v>
      </c>
      <c r="S207" s="718"/>
      <c r="T207" s="719">
        <v>26378</v>
      </c>
      <c r="U207" s="721">
        <v>674</v>
      </c>
      <c r="V207" s="721">
        <v>27053</v>
      </c>
    </row>
    <row r="208" spans="1:22" x14ac:dyDescent="0.25">
      <c r="A208" s="715">
        <v>92011</v>
      </c>
      <c r="B208" s="716" t="s">
        <v>2744</v>
      </c>
      <c r="C208" s="717">
        <v>1.8660000000000001E-4</v>
      </c>
      <c r="D208" s="717">
        <v>1.8230000000000001E-4</v>
      </c>
      <c r="E208" s="718">
        <v>77716</v>
      </c>
      <c r="F208" s="718">
        <v>81815</v>
      </c>
      <c r="G208" s="718">
        <v>396028</v>
      </c>
      <c r="H208" s="718"/>
      <c r="I208" s="719">
        <v>7441</v>
      </c>
      <c r="J208" s="719">
        <v>347047</v>
      </c>
      <c r="K208" s="719">
        <v>27124</v>
      </c>
      <c r="L208" s="718">
        <v>17408</v>
      </c>
      <c r="M208" s="718"/>
      <c r="N208" s="719">
        <v>13877</v>
      </c>
      <c r="O208" s="719">
        <v>128093</v>
      </c>
      <c r="P208" s="719">
        <v>0</v>
      </c>
      <c r="Q208" s="718">
        <v>0</v>
      </c>
      <c r="R208" s="719">
        <f t="shared" si="3"/>
        <v>218954</v>
      </c>
      <c r="S208" s="718"/>
      <c r="T208" s="719">
        <v>105852</v>
      </c>
      <c r="U208" s="721">
        <v>7783</v>
      </c>
      <c r="V208" s="721">
        <v>113635</v>
      </c>
    </row>
    <row r="209" spans="1:22" x14ac:dyDescent="0.25">
      <c r="A209" s="715">
        <v>92017</v>
      </c>
      <c r="B209" s="716" t="s">
        <v>2745</v>
      </c>
      <c r="C209" s="717">
        <v>3.5099999999999999E-5</v>
      </c>
      <c r="D209" s="717">
        <v>3.7100000000000001E-5</v>
      </c>
      <c r="E209" s="718">
        <v>14855.15</v>
      </c>
      <c r="F209" s="718">
        <v>16650</v>
      </c>
      <c r="G209" s="718">
        <v>74494</v>
      </c>
      <c r="H209" s="718"/>
      <c r="I209" s="719">
        <v>1400</v>
      </c>
      <c r="J209" s="719">
        <v>65280</v>
      </c>
      <c r="K209" s="719">
        <v>5102</v>
      </c>
      <c r="L209" s="718">
        <v>388</v>
      </c>
      <c r="M209" s="718"/>
      <c r="N209" s="719">
        <v>2610</v>
      </c>
      <c r="O209" s="719">
        <v>24095</v>
      </c>
      <c r="P209" s="719">
        <v>0</v>
      </c>
      <c r="Q209" s="718">
        <v>2160</v>
      </c>
      <c r="R209" s="719">
        <f t="shared" si="3"/>
        <v>41185</v>
      </c>
      <c r="S209" s="718"/>
      <c r="T209" s="719">
        <v>19911</v>
      </c>
      <c r="U209" s="721">
        <v>-766</v>
      </c>
      <c r="V209" s="721">
        <v>19146</v>
      </c>
    </row>
    <row r="210" spans="1:22" x14ac:dyDescent="0.25">
      <c r="A210" s="715">
        <v>92021</v>
      </c>
      <c r="B210" s="716" t="s">
        <v>2746</v>
      </c>
      <c r="C210" s="717">
        <v>1.4249999999999999E-4</v>
      </c>
      <c r="D210" s="717">
        <v>9.8999999999999994E-5</v>
      </c>
      <c r="E210" s="718">
        <v>63077</v>
      </c>
      <c r="F210" s="718">
        <v>44431</v>
      </c>
      <c r="G210" s="718">
        <v>302433</v>
      </c>
      <c r="H210" s="718"/>
      <c r="I210" s="719">
        <v>5682.1875</v>
      </c>
      <c r="J210" s="719">
        <v>265027</v>
      </c>
      <c r="K210" s="719">
        <v>20714</v>
      </c>
      <c r="L210" s="718">
        <v>27119</v>
      </c>
      <c r="M210" s="718"/>
      <c r="N210" s="719">
        <v>10598</v>
      </c>
      <c r="O210" s="719">
        <v>97820</v>
      </c>
      <c r="P210" s="719">
        <v>0</v>
      </c>
      <c r="Q210" s="718">
        <v>18999</v>
      </c>
      <c r="R210" s="719">
        <f t="shared" si="3"/>
        <v>167207</v>
      </c>
      <c r="S210" s="718"/>
      <c r="T210" s="719">
        <v>80836</v>
      </c>
      <c r="U210" s="721">
        <v>-831</v>
      </c>
      <c r="V210" s="721">
        <v>80004</v>
      </c>
    </row>
    <row r="211" spans="1:22" x14ac:dyDescent="0.25">
      <c r="A211" s="715">
        <v>92101</v>
      </c>
      <c r="B211" s="716" t="s">
        <v>2747</v>
      </c>
      <c r="C211" s="717">
        <v>8.6870000000000003E-4</v>
      </c>
      <c r="D211" s="717">
        <v>9.1750000000000002E-4</v>
      </c>
      <c r="E211" s="718">
        <v>332881</v>
      </c>
      <c r="F211" s="718">
        <v>411768</v>
      </c>
      <c r="G211" s="718">
        <v>1843672</v>
      </c>
      <c r="H211" s="718"/>
      <c r="I211" s="719">
        <v>34639</v>
      </c>
      <c r="J211" s="719">
        <v>1615645</v>
      </c>
      <c r="K211" s="719">
        <v>126275</v>
      </c>
      <c r="L211" s="718">
        <v>18519</v>
      </c>
      <c r="M211" s="718"/>
      <c r="N211" s="719">
        <v>64604</v>
      </c>
      <c r="O211" s="719">
        <v>596326</v>
      </c>
      <c r="P211" s="719">
        <v>0</v>
      </c>
      <c r="Q211" s="718">
        <v>45788</v>
      </c>
      <c r="R211" s="719">
        <f t="shared" si="3"/>
        <v>1019319</v>
      </c>
      <c r="S211" s="718"/>
      <c r="T211" s="719">
        <v>492787</v>
      </c>
      <c r="U211" s="721">
        <v>-2848</v>
      </c>
      <c r="V211" s="721">
        <v>489939</v>
      </c>
    </row>
    <row r="212" spans="1:22" x14ac:dyDescent="0.25">
      <c r="A212" s="715">
        <v>92104</v>
      </c>
      <c r="B212" s="716" t="s">
        <v>2748</v>
      </c>
      <c r="C212" s="717">
        <v>8.8000000000000004E-6</v>
      </c>
      <c r="D212" s="717">
        <v>8.1000000000000004E-6</v>
      </c>
      <c r="E212" s="718">
        <v>4596</v>
      </c>
      <c r="F212" s="718">
        <v>3635</v>
      </c>
      <c r="G212" s="718">
        <v>18677</v>
      </c>
      <c r="H212" s="718"/>
      <c r="I212" s="719">
        <v>351</v>
      </c>
      <c r="J212" s="719">
        <v>16367</v>
      </c>
      <c r="K212" s="719">
        <v>1279</v>
      </c>
      <c r="L212" s="718">
        <v>4163</v>
      </c>
      <c r="M212" s="718"/>
      <c r="N212" s="719">
        <v>654</v>
      </c>
      <c r="O212" s="719">
        <v>6041</v>
      </c>
      <c r="P212" s="719">
        <v>0</v>
      </c>
      <c r="Q212" s="718">
        <v>0</v>
      </c>
      <c r="R212" s="719">
        <f t="shared" si="3"/>
        <v>10326</v>
      </c>
      <c r="S212" s="718"/>
      <c r="T212" s="719">
        <v>4992</v>
      </c>
      <c r="U212" s="721">
        <v>1637</v>
      </c>
      <c r="V212" s="721">
        <v>6629</v>
      </c>
    </row>
    <row r="213" spans="1:22" x14ac:dyDescent="0.25">
      <c r="A213" s="715">
        <v>92109</v>
      </c>
      <c r="B213" s="716" t="s">
        <v>2749</v>
      </c>
      <c r="C213" s="717">
        <v>1.7909999999999999E-4</v>
      </c>
      <c r="D213" s="717">
        <v>1.7310000000000001E-4</v>
      </c>
      <c r="E213" s="718">
        <v>70342</v>
      </c>
      <c r="F213" s="718">
        <v>77686</v>
      </c>
      <c r="G213" s="718">
        <v>380110</v>
      </c>
      <c r="H213" s="718"/>
      <c r="I213" s="719">
        <v>7142</v>
      </c>
      <c r="J213" s="719">
        <v>333098</v>
      </c>
      <c r="K213" s="719">
        <v>26034</v>
      </c>
      <c r="L213" s="718">
        <v>3189</v>
      </c>
      <c r="M213" s="718"/>
      <c r="N213" s="719">
        <v>13319</v>
      </c>
      <c r="O213" s="719">
        <v>122945</v>
      </c>
      <c r="P213" s="719">
        <v>0</v>
      </c>
      <c r="Q213" s="718">
        <v>19542</v>
      </c>
      <c r="R213" s="719">
        <f t="shared" si="3"/>
        <v>210153</v>
      </c>
      <c r="S213" s="718"/>
      <c r="T213" s="719">
        <v>101598</v>
      </c>
      <c r="U213" s="721">
        <v>-5478</v>
      </c>
      <c r="V213" s="721">
        <v>96120</v>
      </c>
    </row>
    <row r="214" spans="1:22" x14ac:dyDescent="0.25">
      <c r="A214" s="715">
        <v>92111</v>
      </c>
      <c r="B214" s="716" t="s">
        <v>2750</v>
      </c>
      <c r="C214" s="717">
        <v>5.0009999999999996E-4</v>
      </c>
      <c r="D214" s="717">
        <v>5.3319999999999995E-4</v>
      </c>
      <c r="E214" s="718">
        <v>205690.42</v>
      </c>
      <c r="F214" s="718">
        <v>239297</v>
      </c>
      <c r="G214" s="718">
        <v>1061380</v>
      </c>
      <c r="H214" s="718"/>
      <c r="I214" s="719">
        <v>19941</v>
      </c>
      <c r="J214" s="719">
        <v>930107</v>
      </c>
      <c r="K214" s="719">
        <v>72695</v>
      </c>
      <c r="L214" s="718">
        <v>14524</v>
      </c>
      <c r="M214" s="718"/>
      <c r="N214" s="719">
        <v>37192</v>
      </c>
      <c r="O214" s="719">
        <v>343298</v>
      </c>
      <c r="P214" s="719">
        <v>0</v>
      </c>
      <c r="Q214" s="718">
        <v>17909</v>
      </c>
      <c r="R214" s="719">
        <f t="shared" si="3"/>
        <v>586809</v>
      </c>
      <c r="S214" s="718"/>
      <c r="T214" s="719">
        <v>283691</v>
      </c>
      <c r="U214" s="721">
        <v>1816</v>
      </c>
      <c r="V214" s="721">
        <v>285507</v>
      </c>
    </row>
    <row r="215" spans="1:22" x14ac:dyDescent="0.25">
      <c r="A215" s="715">
        <v>92113</v>
      </c>
      <c r="B215" s="716" t="s">
        <v>2751</v>
      </c>
      <c r="C215" s="717">
        <v>2.2099999999999998E-5</v>
      </c>
      <c r="D215" s="717">
        <v>2.2900000000000001E-5</v>
      </c>
      <c r="E215" s="718">
        <v>27800</v>
      </c>
      <c r="F215" s="718">
        <v>10277</v>
      </c>
      <c r="G215" s="718">
        <v>46904</v>
      </c>
      <c r="H215" s="718"/>
      <c r="I215" s="719">
        <v>881.23749999999995</v>
      </c>
      <c r="J215" s="719">
        <v>41103</v>
      </c>
      <c r="K215" s="719">
        <v>3212</v>
      </c>
      <c r="L215" s="718">
        <v>25322</v>
      </c>
      <c r="M215" s="718"/>
      <c r="N215" s="719">
        <v>1644</v>
      </c>
      <c r="O215" s="719">
        <v>15171</v>
      </c>
      <c r="P215" s="719">
        <v>0</v>
      </c>
      <c r="Q215" s="718">
        <v>0</v>
      </c>
      <c r="R215" s="719">
        <f t="shared" si="3"/>
        <v>25932</v>
      </c>
      <c r="S215" s="718"/>
      <c r="T215" s="719">
        <v>12537</v>
      </c>
      <c r="U215" s="721">
        <v>7718</v>
      </c>
      <c r="V215" s="721">
        <v>20255</v>
      </c>
    </row>
    <row r="216" spans="1:22" x14ac:dyDescent="0.25">
      <c r="A216" s="715">
        <v>92201</v>
      </c>
      <c r="B216" s="716" t="s">
        <v>2752</v>
      </c>
      <c r="C216" s="717">
        <v>1.0267E-3</v>
      </c>
      <c r="D216" s="717">
        <v>9.8930000000000003E-4</v>
      </c>
      <c r="E216" s="718">
        <v>411545</v>
      </c>
      <c r="F216" s="718">
        <v>443992</v>
      </c>
      <c r="G216" s="718">
        <v>2179001</v>
      </c>
      <c r="H216" s="718"/>
      <c r="I216" s="719">
        <v>40940</v>
      </c>
      <c r="J216" s="719">
        <v>1909500</v>
      </c>
      <c r="K216" s="719">
        <v>149242</v>
      </c>
      <c r="L216" s="718">
        <v>60698</v>
      </c>
      <c r="M216" s="718"/>
      <c r="N216" s="719">
        <v>76355</v>
      </c>
      <c r="O216" s="719">
        <v>704786</v>
      </c>
      <c r="P216" s="719">
        <v>0</v>
      </c>
      <c r="Q216" s="718">
        <v>0</v>
      </c>
      <c r="R216" s="719">
        <f t="shared" si="3"/>
        <v>1204714</v>
      </c>
      <c r="S216" s="718"/>
      <c r="T216" s="719">
        <v>582415</v>
      </c>
      <c r="U216" s="721">
        <v>23895</v>
      </c>
      <c r="V216" s="721">
        <v>606310</v>
      </c>
    </row>
    <row r="217" spans="1:22" x14ac:dyDescent="0.25">
      <c r="A217" s="715">
        <v>92301</v>
      </c>
      <c r="B217" s="716" t="s">
        <v>2753</v>
      </c>
      <c r="C217" s="717">
        <v>5.2411000000000003E-3</v>
      </c>
      <c r="D217" s="717">
        <v>5.0804999999999999E-3</v>
      </c>
      <c r="E217" s="718">
        <v>2094643.33</v>
      </c>
      <c r="F217" s="718">
        <v>2280098</v>
      </c>
      <c r="G217" s="718">
        <v>11123370</v>
      </c>
      <c r="H217" s="718"/>
      <c r="I217" s="719">
        <v>208989</v>
      </c>
      <c r="J217" s="719">
        <v>9747618</v>
      </c>
      <c r="K217" s="719">
        <v>761852</v>
      </c>
      <c r="L217" s="718">
        <v>77417</v>
      </c>
      <c r="M217" s="718"/>
      <c r="N217" s="719">
        <v>389775</v>
      </c>
      <c r="O217" s="719">
        <v>3597795</v>
      </c>
      <c r="P217" s="719">
        <v>0</v>
      </c>
      <c r="Q217" s="718">
        <v>16658.29</v>
      </c>
      <c r="R217" s="719">
        <f t="shared" si="3"/>
        <v>6149823</v>
      </c>
      <c r="S217" s="718"/>
      <c r="T217" s="719">
        <v>2973114</v>
      </c>
      <c r="U217" s="721">
        <v>15378</v>
      </c>
      <c r="V217" s="721">
        <v>2988491</v>
      </c>
    </row>
    <row r="218" spans="1:22" x14ac:dyDescent="0.25">
      <c r="A218" s="715">
        <v>92302</v>
      </c>
      <c r="B218" s="716" t="s">
        <v>2754</v>
      </c>
      <c r="C218" s="717">
        <v>3.168E-4</v>
      </c>
      <c r="D218" s="717">
        <v>2.9910000000000001E-4</v>
      </c>
      <c r="E218" s="718">
        <v>116637</v>
      </c>
      <c r="F218" s="718">
        <v>134234</v>
      </c>
      <c r="G218" s="718">
        <v>672356</v>
      </c>
      <c r="H218" s="718"/>
      <c r="I218" s="719">
        <v>12632.4</v>
      </c>
      <c r="J218" s="719">
        <v>589198</v>
      </c>
      <c r="K218" s="719">
        <v>46050</v>
      </c>
      <c r="L218" s="718">
        <v>0</v>
      </c>
      <c r="M218" s="718"/>
      <c r="N218" s="719">
        <v>23560</v>
      </c>
      <c r="O218" s="719">
        <v>217470</v>
      </c>
      <c r="P218" s="719">
        <v>0</v>
      </c>
      <c r="Q218" s="718">
        <v>9658</v>
      </c>
      <c r="R218" s="719">
        <f t="shared" si="3"/>
        <v>371728</v>
      </c>
      <c r="S218" s="718"/>
      <c r="T218" s="719">
        <v>179711</v>
      </c>
      <c r="U218" s="721">
        <v>-3995</v>
      </c>
      <c r="V218" s="721">
        <v>175716</v>
      </c>
    </row>
    <row r="219" spans="1:22" x14ac:dyDescent="0.25">
      <c r="A219" s="715">
        <v>92311</v>
      </c>
      <c r="B219" s="716" t="s">
        <v>2755</v>
      </c>
      <c r="C219" s="717">
        <v>2.1857000000000001E-3</v>
      </c>
      <c r="D219" s="717">
        <v>2.1316E-3</v>
      </c>
      <c r="E219" s="718">
        <v>841005.71</v>
      </c>
      <c r="F219" s="718">
        <v>956649</v>
      </c>
      <c r="G219" s="718">
        <v>4638788</v>
      </c>
      <c r="H219" s="718"/>
      <c r="I219" s="719">
        <v>87155</v>
      </c>
      <c r="J219" s="719">
        <v>4065057</v>
      </c>
      <c r="K219" s="719">
        <v>317716</v>
      </c>
      <c r="L219" s="718">
        <v>0</v>
      </c>
      <c r="M219" s="718"/>
      <c r="N219" s="719">
        <v>162548</v>
      </c>
      <c r="O219" s="719">
        <v>1500391</v>
      </c>
      <c r="P219" s="719">
        <v>0</v>
      </c>
      <c r="Q219" s="718">
        <v>92864</v>
      </c>
      <c r="R219" s="719">
        <f t="shared" si="3"/>
        <v>2564666</v>
      </c>
      <c r="S219" s="718"/>
      <c r="T219" s="719">
        <v>1239880</v>
      </c>
      <c r="U219" s="721">
        <v>-38618</v>
      </c>
      <c r="V219" s="721">
        <v>1201261</v>
      </c>
    </row>
    <row r="220" spans="1:22" x14ac:dyDescent="0.25">
      <c r="A220" s="715">
        <v>92317</v>
      </c>
      <c r="B220" s="716" t="s">
        <v>2756</v>
      </c>
      <c r="C220" s="717">
        <v>2.9600000000000001E-5</v>
      </c>
      <c r="D220" s="717">
        <v>3.3300000000000003E-5</v>
      </c>
      <c r="E220" s="718">
        <v>20482</v>
      </c>
      <c r="F220" s="718">
        <v>14945</v>
      </c>
      <c r="G220" s="718">
        <v>62821</v>
      </c>
      <c r="H220" s="718"/>
      <c r="I220" s="719">
        <v>1180.3</v>
      </c>
      <c r="J220" s="719">
        <v>55051</v>
      </c>
      <c r="K220" s="719">
        <v>4303</v>
      </c>
      <c r="L220" s="718">
        <v>12749</v>
      </c>
      <c r="M220" s="718"/>
      <c r="N220" s="719">
        <v>2201</v>
      </c>
      <c r="O220" s="719">
        <v>20319</v>
      </c>
      <c r="P220" s="719">
        <v>0</v>
      </c>
      <c r="Q220" s="718">
        <v>0</v>
      </c>
      <c r="R220" s="719">
        <f t="shared" si="3"/>
        <v>34732</v>
      </c>
      <c r="S220" s="718"/>
      <c r="T220" s="719">
        <v>16791</v>
      </c>
      <c r="U220" s="721">
        <v>4401</v>
      </c>
      <c r="V220" s="721">
        <v>21192</v>
      </c>
    </row>
    <row r="221" spans="1:22" x14ac:dyDescent="0.25">
      <c r="A221" s="715">
        <v>92321</v>
      </c>
      <c r="B221" s="716" t="s">
        <v>2757</v>
      </c>
      <c r="C221" s="717">
        <v>1.2218999999999999E-3</v>
      </c>
      <c r="D221" s="717">
        <v>1.1936E-3</v>
      </c>
      <c r="E221" s="718">
        <v>481504.52</v>
      </c>
      <c r="F221" s="718">
        <v>535681</v>
      </c>
      <c r="G221" s="718">
        <v>2593281</v>
      </c>
      <c r="H221" s="718"/>
      <c r="I221" s="719">
        <v>48723</v>
      </c>
      <c r="J221" s="719">
        <v>2272541</v>
      </c>
      <c r="K221" s="719">
        <v>177617</v>
      </c>
      <c r="L221" s="718">
        <v>61228</v>
      </c>
      <c r="M221" s="718"/>
      <c r="N221" s="719">
        <v>90871</v>
      </c>
      <c r="O221" s="719">
        <v>838783</v>
      </c>
      <c r="P221" s="719">
        <v>0</v>
      </c>
      <c r="Q221" s="718">
        <v>1343</v>
      </c>
      <c r="R221" s="719">
        <f t="shared" si="3"/>
        <v>1433758</v>
      </c>
      <c r="S221" s="718"/>
      <c r="T221" s="719">
        <v>693146</v>
      </c>
      <c r="U221" s="721">
        <v>25416</v>
      </c>
      <c r="V221" s="721">
        <v>718562</v>
      </c>
    </row>
    <row r="222" spans="1:22" x14ac:dyDescent="0.25">
      <c r="A222" s="715">
        <v>92327</v>
      </c>
      <c r="B222" s="716" t="s">
        <v>2758</v>
      </c>
      <c r="C222" s="717">
        <v>7.6000000000000001E-6</v>
      </c>
      <c r="D222" s="717">
        <v>7.7999999999999999E-6</v>
      </c>
      <c r="E222" s="718">
        <v>5004.42</v>
      </c>
      <c r="F222" s="718">
        <v>3501</v>
      </c>
      <c r="G222" s="718">
        <v>16130</v>
      </c>
      <c r="H222" s="718"/>
      <c r="I222" s="719">
        <v>303.05</v>
      </c>
      <c r="J222" s="719">
        <v>14135</v>
      </c>
      <c r="K222" s="719">
        <v>1105</v>
      </c>
      <c r="L222" s="718">
        <v>2630</v>
      </c>
      <c r="M222" s="718"/>
      <c r="N222" s="719">
        <v>565</v>
      </c>
      <c r="O222" s="719">
        <v>5217</v>
      </c>
      <c r="P222" s="719">
        <v>0</v>
      </c>
      <c r="Q222" s="718">
        <v>0</v>
      </c>
      <c r="R222" s="719">
        <f t="shared" si="3"/>
        <v>8918</v>
      </c>
      <c r="S222" s="718"/>
      <c r="T222" s="719">
        <v>4311</v>
      </c>
      <c r="U222" s="721">
        <v>853</v>
      </c>
      <c r="V222" s="721">
        <v>5165</v>
      </c>
    </row>
    <row r="223" spans="1:22" x14ac:dyDescent="0.25">
      <c r="A223" s="715">
        <v>92331</v>
      </c>
      <c r="B223" s="716" t="s">
        <v>2759</v>
      </c>
      <c r="C223" s="717">
        <v>1.393E-4</v>
      </c>
      <c r="D223" s="717">
        <v>1.4789999999999999E-4</v>
      </c>
      <c r="E223" s="718">
        <v>54278.720000000001</v>
      </c>
      <c r="F223" s="718">
        <v>66377</v>
      </c>
      <c r="G223" s="718">
        <v>295641</v>
      </c>
      <c r="H223" s="718"/>
      <c r="I223" s="719">
        <v>5555</v>
      </c>
      <c r="J223" s="719">
        <v>259076</v>
      </c>
      <c r="K223" s="719">
        <v>20249</v>
      </c>
      <c r="L223" s="718">
        <v>3725</v>
      </c>
      <c r="M223" s="718"/>
      <c r="N223" s="719">
        <v>10360</v>
      </c>
      <c r="O223" s="719">
        <v>95624</v>
      </c>
      <c r="P223" s="719">
        <v>0</v>
      </c>
      <c r="Q223" s="718">
        <v>7047</v>
      </c>
      <c r="R223" s="719">
        <f t="shared" si="3"/>
        <v>163452</v>
      </c>
      <c r="S223" s="718"/>
      <c r="T223" s="719">
        <v>79021</v>
      </c>
      <c r="U223" s="721">
        <v>-171</v>
      </c>
      <c r="V223" s="721">
        <v>78850</v>
      </c>
    </row>
    <row r="224" spans="1:22" x14ac:dyDescent="0.25">
      <c r="A224" s="715">
        <v>92341</v>
      </c>
      <c r="B224" s="716" t="s">
        <v>2760</v>
      </c>
      <c r="C224" s="717">
        <v>7.9000000000000006E-6</v>
      </c>
      <c r="D224" s="717">
        <v>6.3999999999999997E-6</v>
      </c>
      <c r="E224" s="718">
        <v>2572</v>
      </c>
      <c r="F224" s="718">
        <v>2872</v>
      </c>
      <c r="G224" s="718">
        <v>16766</v>
      </c>
      <c r="H224" s="718"/>
      <c r="I224" s="719">
        <v>315</v>
      </c>
      <c r="J224" s="719">
        <v>14693</v>
      </c>
      <c r="K224" s="719">
        <v>1148</v>
      </c>
      <c r="L224" s="718">
        <v>478</v>
      </c>
      <c r="M224" s="718"/>
      <c r="N224" s="719">
        <v>588</v>
      </c>
      <c r="O224" s="719">
        <v>5423</v>
      </c>
      <c r="P224" s="719">
        <v>0</v>
      </c>
      <c r="Q224" s="718">
        <v>3063</v>
      </c>
      <c r="R224" s="719">
        <f t="shared" si="3"/>
        <v>9270</v>
      </c>
      <c r="S224" s="718"/>
      <c r="T224" s="719">
        <v>4481</v>
      </c>
      <c r="U224" s="721">
        <v>-913</v>
      </c>
      <c r="V224" s="721">
        <v>3568</v>
      </c>
    </row>
    <row r="225" spans="1:22" x14ac:dyDescent="0.25">
      <c r="A225" s="715">
        <v>92351</v>
      </c>
      <c r="B225" s="716" t="s">
        <v>2761</v>
      </c>
      <c r="C225" s="717">
        <v>1.95E-5</v>
      </c>
      <c r="D225" s="717">
        <v>2.8399999999999999E-5</v>
      </c>
      <c r="E225" s="718">
        <v>8512</v>
      </c>
      <c r="F225" s="718">
        <v>12746</v>
      </c>
      <c r="G225" s="718">
        <v>41386</v>
      </c>
      <c r="H225" s="718"/>
      <c r="I225" s="719">
        <v>777.5625</v>
      </c>
      <c r="J225" s="719">
        <v>36267</v>
      </c>
      <c r="K225" s="719">
        <v>2835</v>
      </c>
      <c r="L225" s="718">
        <v>1156.19</v>
      </c>
      <c r="M225" s="718"/>
      <c r="N225" s="719">
        <v>1450</v>
      </c>
      <c r="O225" s="719">
        <v>13386</v>
      </c>
      <c r="P225" s="719">
        <v>0</v>
      </c>
      <c r="Q225" s="718">
        <v>5799</v>
      </c>
      <c r="R225" s="719">
        <f t="shared" si="3"/>
        <v>22881</v>
      </c>
      <c r="S225" s="718"/>
      <c r="T225" s="719">
        <v>11062</v>
      </c>
      <c r="U225" s="721">
        <v>-1052</v>
      </c>
      <c r="V225" s="721">
        <v>10010</v>
      </c>
    </row>
    <row r="226" spans="1:22" x14ac:dyDescent="0.25">
      <c r="A226" s="715">
        <v>92401</v>
      </c>
      <c r="B226" s="716" t="s">
        <v>2762</v>
      </c>
      <c r="C226" s="717">
        <v>2.7449000000000002E-3</v>
      </c>
      <c r="D226" s="717">
        <v>2.7921999999999999E-3</v>
      </c>
      <c r="E226" s="718">
        <v>1162719</v>
      </c>
      <c r="F226" s="718">
        <v>1253123</v>
      </c>
      <c r="G226" s="718">
        <v>5825597</v>
      </c>
      <c r="H226" s="718"/>
      <c r="I226" s="719">
        <v>109453</v>
      </c>
      <c r="J226" s="719">
        <v>5105080</v>
      </c>
      <c r="K226" s="719">
        <v>399001</v>
      </c>
      <c r="L226" s="718">
        <v>33227</v>
      </c>
      <c r="M226" s="718"/>
      <c r="N226" s="719">
        <v>204135</v>
      </c>
      <c r="O226" s="719">
        <v>1884259</v>
      </c>
      <c r="P226" s="719">
        <v>0</v>
      </c>
      <c r="Q226" s="718">
        <v>5343</v>
      </c>
      <c r="R226" s="719">
        <f t="shared" si="3"/>
        <v>3220821</v>
      </c>
      <c r="S226" s="718"/>
      <c r="T226" s="719">
        <v>1557097</v>
      </c>
      <c r="U226" s="721">
        <v>14486</v>
      </c>
      <c r="V226" s="721">
        <v>1571583</v>
      </c>
    </row>
    <row r="227" spans="1:22" x14ac:dyDescent="0.25">
      <c r="A227" s="715">
        <v>92403</v>
      </c>
      <c r="B227" s="716" t="s">
        <v>2763</v>
      </c>
      <c r="C227" s="717">
        <v>9.7999999999999993E-6</v>
      </c>
      <c r="D227" s="717">
        <v>1.59E-5</v>
      </c>
      <c r="E227" s="718">
        <v>5969</v>
      </c>
      <c r="F227" s="718">
        <v>7136</v>
      </c>
      <c r="G227" s="718">
        <v>20799</v>
      </c>
      <c r="H227" s="718"/>
      <c r="I227" s="719">
        <v>390.77499999999998</v>
      </c>
      <c r="J227" s="719">
        <v>18226</v>
      </c>
      <c r="K227" s="719">
        <v>1425</v>
      </c>
      <c r="L227" s="718">
        <v>564</v>
      </c>
      <c r="M227" s="718"/>
      <c r="N227" s="719">
        <v>729</v>
      </c>
      <c r="O227" s="719">
        <v>6727</v>
      </c>
      <c r="P227" s="719">
        <v>0</v>
      </c>
      <c r="Q227" s="718">
        <v>1764</v>
      </c>
      <c r="R227" s="719">
        <f t="shared" si="3"/>
        <v>11499</v>
      </c>
      <c r="S227" s="718"/>
      <c r="T227" s="719">
        <v>5559</v>
      </c>
      <c r="U227" s="721">
        <v>-243</v>
      </c>
      <c r="V227" s="721">
        <v>5317</v>
      </c>
    </row>
    <row r="228" spans="1:22" x14ac:dyDescent="0.25">
      <c r="A228" s="715">
        <v>92411</v>
      </c>
      <c r="B228" s="716" t="s">
        <v>2764</v>
      </c>
      <c r="C228" s="717">
        <v>4.8030000000000002E-4</v>
      </c>
      <c r="D228" s="717">
        <v>5.2820000000000005E-4</v>
      </c>
      <c r="E228" s="718">
        <v>173749.71</v>
      </c>
      <c r="F228" s="718">
        <v>237053</v>
      </c>
      <c r="G228" s="718">
        <v>1019358</v>
      </c>
      <c r="H228" s="718"/>
      <c r="I228" s="719">
        <v>19152</v>
      </c>
      <c r="J228" s="719">
        <v>893282</v>
      </c>
      <c r="K228" s="719">
        <v>69817</v>
      </c>
      <c r="L228" s="718">
        <v>572</v>
      </c>
      <c r="M228" s="718"/>
      <c r="N228" s="719">
        <v>35719</v>
      </c>
      <c r="O228" s="719">
        <v>329706</v>
      </c>
      <c r="P228" s="719">
        <v>0</v>
      </c>
      <c r="Q228" s="718">
        <v>54750</v>
      </c>
      <c r="R228" s="719">
        <f t="shared" si="3"/>
        <v>563576</v>
      </c>
      <c r="S228" s="718"/>
      <c r="T228" s="719">
        <v>272459</v>
      </c>
      <c r="U228" s="721">
        <v>-16396</v>
      </c>
      <c r="V228" s="721">
        <v>256063</v>
      </c>
    </row>
    <row r="229" spans="1:22" x14ac:dyDescent="0.25">
      <c r="A229" s="715">
        <v>92414</v>
      </c>
      <c r="B229" s="716" t="s">
        <v>1364</v>
      </c>
      <c r="C229" s="717">
        <v>0</v>
      </c>
      <c r="D229" s="717">
        <v>9.7999999999999993E-6</v>
      </c>
      <c r="E229" s="718">
        <v>0</v>
      </c>
      <c r="F229" s="718">
        <v>4398</v>
      </c>
      <c r="G229" s="718">
        <v>0</v>
      </c>
      <c r="H229" s="718"/>
      <c r="I229" s="719">
        <v>0</v>
      </c>
      <c r="J229" s="719">
        <v>0</v>
      </c>
      <c r="K229" s="719">
        <v>0</v>
      </c>
      <c r="L229" s="718">
        <v>0</v>
      </c>
      <c r="M229" s="718"/>
      <c r="N229" s="719">
        <v>0</v>
      </c>
      <c r="O229" s="719">
        <v>0</v>
      </c>
      <c r="P229" s="719">
        <v>0</v>
      </c>
      <c r="Q229" s="718">
        <v>8157</v>
      </c>
      <c r="R229" s="719">
        <f t="shared" si="3"/>
        <v>0</v>
      </c>
      <c r="S229" s="718"/>
      <c r="T229" s="719">
        <v>0</v>
      </c>
      <c r="U229" s="721">
        <v>-2445</v>
      </c>
      <c r="V229" s="721">
        <v>-2445</v>
      </c>
    </row>
    <row r="230" spans="1:22" x14ac:dyDescent="0.25">
      <c r="A230" s="715">
        <v>92417</v>
      </c>
      <c r="B230" s="716" t="s">
        <v>2765</v>
      </c>
      <c r="C230" s="717">
        <v>1.77E-5</v>
      </c>
      <c r="D230" s="717">
        <v>1.6699999999999999E-5</v>
      </c>
      <c r="E230" s="718">
        <v>5354.85</v>
      </c>
      <c r="F230" s="718">
        <v>7495</v>
      </c>
      <c r="G230" s="718">
        <v>37565</v>
      </c>
      <c r="H230" s="718"/>
      <c r="I230" s="719">
        <v>705.78750000000002</v>
      </c>
      <c r="J230" s="719">
        <v>32919</v>
      </c>
      <c r="K230" s="719">
        <v>2573</v>
      </c>
      <c r="L230" s="718">
        <v>0</v>
      </c>
      <c r="M230" s="718"/>
      <c r="N230" s="719">
        <v>1316</v>
      </c>
      <c r="O230" s="719">
        <v>12150</v>
      </c>
      <c r="P230" s="719">
        <v>0</v>
      </c>
      <c r="Q230" s="718">
        <v>1694</v>
      </c>
      <c r="R230" s="719">
        <f t="shared" si="3"/>
        <v>20769</v>
      </c>
      <c r="S230" s="718"/>
      <c r="T230" s="719">
        <v>10041</v>
      </c>
      <c r="U230" s="721">
        <v>-509</v>
      </c>
      <c r="V230" s="721">
        <v>9531</v>
      </c>
    </row>
    <row r="231" spans="1:22" x14ac:dyDescent="0.25">
      <c r="A231" s="715">
        <v>92421</v>
      </c>
      <c r="B231" s="716" t="s">
        <v>2766</v>
      </c>
      <c r="C231" s="717">
        <v>9.0000000000000002E-6</v>
      </c>
      <c r="D231" s="717">
        <v>1.98E-5</v>
      </c>
      <c r="E231" s="718">
        <v>9114.76</v>
      </c>
      <c r="F231" s="718">
        <v>8886</v>
      </c>
      <c r="G231" s="718">
        <v>19101</v>
      </c>
      <c r="H231" s="718"/>
      <c r="I231" s="719">
        <v>358.875</v>
      </c>
      <c r="J231" s="719">
        <v>16739</v>
      </c>
      <c r="K231" s="719">
        <v>1308</v>
      </c>
      <c r="L231" s="718">
        <v>1510</v>
      </c>
      <c r="M231" s="718"/>
      <c r="N231" s="719">
        <v>669</v>
      </c>
      <c r="O231" s="719">
        <v>6178</v>
      </c>
      <c r="P231" s="719">
        <v>0</v>
      </c>
      <c r="Q231" s="718">
        <v>1551</v>
      </c>
      <c r="R231" s="719">
        <f t="shared" si="3"/>
        <v>10561</v>
      </c>
      <c r="S231" s="718"/>
      <c r="T231" s="719">
        <v>5105</v>
      </c>
      <c r="U231" s="721">
        <v>261</v>
      </c>
      <c r="V231" s="721">
        <v>5366</v>
      </c>
    </row>
    <row r="232" spans="1:22" x14ac:dyDescent="0.25">
      <c r="A232" s="715">
        <v>92427</v>
      </c>
      <c r="B232" s="716" t="s">
        <v>2767</v>
      </c>
      <c r="C232" s="717">
        <v>6.9999999999999997E-7</v>
      </c>
      <c r="D232" s="717">
        <v>8.9999999999999996E-7</v>
      </c>
      <c r="E232" s="718">
        <v>1425.53</v>
      </c>
      <c r="F232" s="718">
        <v>404</v>
      </c>
      <c r="G232" s="718">
        <v>1486</v>
      </c>
      <c r="H232" s="718"/>
      <c r="I232" s="719">
        <v>28</v>
      </c>
      <c r="J232" s="719">
        <v>1302</v>
      </c>
      <c r="K232" s="719">
        <v>102</v>
      </c>
      <c r="L232" s="718">
        <v>1812</v>
      </c>
      <c r="M232" s="718"/>
      <c r="N232" s="719">
        <v>52</v>
      </c>
      <c r="O232" s="719">
        <v>481</v>
      </c>
      <c r="P232" s="719">
        <v>0</v>
      </c>
      <c r="Q232" s="718">
        <v>0</v>
      </c>
      <c r="R232" s="719">
        <f t="shared" si="3"/>
        <v>821</v>
      </c>
      <c r="S232" s="718"/>
      <c r="T232" s="719">
        <v>397</v>
      </c>
      <c r="U232" s="721">
        <v>636</v>
      </c>
      <c r="V232" s="721">
        <v>1033</v>
      </c>
    </row>
    <row r="233" spans="1:22" x14ac:dyDescent="0.25">
      <c r="A233" s="715">
        <v>92431</v>
      </c>
      <c r="B233" s="716" t="s">
        <v>2768</v>
      </c>
      <c r="C233" s="717">
        <v>1.8499999999999999E-5</v>
      </c>
      <c r="D233" s="717">
        <v>4.0800000000000002E-5</v>
      </c>
      <c r="E233" s="718">
        <v>17502.95</v>
      </c>
      <c r="F233" s="718">
        <v>18311</v>
      </c>
      <c r="G233" s="718">
        <v>39263</v>
      </c>
      <c r="H233" s="718"/>
      <c r="I233" s="719">
        <v>737.6875</v>
      </c>
      <c r="J233" s="719">
        <v>34407</v>
      </c>
      <c r="K233" s="719">
        <v>2689</v>
      </c>
      <c r="L233" s="718">
        <v>6093</v>
      </c>
      <c r="M233" s="718"/>
      <c r="N233" s="719">
        <v>1376</v>
      </c>
      <c r="O233" s="719">
        <v>12699</v>
      </c>
      <c r="P233" s="719">
        <v>0</v>
      </c>
      <c r="Q233" s="718">
        <v>5505</v>
      </c>
      <c r="R233" s="719">
        <f t="shared" si="3"/>
        <v>21708</v>
      </c>
      <c r="S233" s="718"/>
      <c r="T233" s="719">
        <v>10494</v>
      </c>
      <c r="U233" s="721">
        <v>422</v>
      </c>
      <c r="V233" s="721">
        <v>10917</v>
      </c>
    </row>
    <row r="234" spans="1:22" x14ac:dyDescent="0.25">
      <c r="A234" s="715">
        <v>92441</v>
      </c>
      <c r="B234" s="716" t="s">
        <v>2769</v>
      </c>
      <c r="C234" s="717">
        <v>9.2299999999999994E-5</v>
      </c>
      <c r="D234" s="717">
        <v>1.0170000000000001E-4</v>
      </c>
      <c r="E234" s="718">
        <v>38127.360000000001</v>
      </c>
      <c r="F234" s="718">
        <v>45642</v>
      </c>
      <c r="G234" s="718">
        <v>195892</v>
      </c>
      <c r="H234" s="718"/>
      <c r="I234" s="719">
        <v>3680</v>
      </c>
      <c r="J234" s="719">
        <v>171663</v>
      </c>
      <c r="K234" s="719">
        <v>13417</v>
      </c>
      <c r="L234" s="718">
        <v>0</v>
      </c>
      <c r="M234" s="718"/>
      <c r="N234" s="719">
        <v>6864</v>
      </c>
      <c r="O234" s="719">
        <v>63360</v>
      </c>
      <c r="P234" s="719">
        <v>0</v>
      </c>
      <c r="Q234" s="718">
        <v>12688</v>
      </c>
      <c r="R234" s="719">
        <f t="shared" si="3"/>
        <v>108303</v>
      </c>
      <c r="S234" s="718"/>
      <c r="T234" s="719">
        <v>52359</v>
      </c>
      <c r="U234" s="721">
        <v>-5069</v>
      </c>
      <c r="V234" s="721">
        <v>47290</v>
      </c>
    </row>
    <row r="235" spans="1:22" x14ac:dyDescent="0.25">
      <c r="A235" s="715">
        <v>92444</v>
      </c>
      <c r="B235" s="716" t="s">
        <v>2770</v>
      </c>
      <c r="C235" s="717">
        <v>1.9999999999999999E-6</v>
      </c>
      <c r="D235" s="717">
        <v>1.7999999999999999E-6</v>
      </c>
      <c r="E235" s="718">
        <v>1966</v>
      </c>
      <c r="F235" s="718">
        <v>808</v>
      </c>
      <c r="G235" s="718">
        <v>4244.67</v>
      </c>
      <c r="H235" s="718"/>
      <c r="I235" s="719">
        <v>79.75</v>
      </c>
      <c r="J235" s="719">
        <v>3720</v>
      </c>
      <c r="K235" s="719">
        <v>291</v>
      </c>
      <c r="L235" s="718">
        <v>2653</v>
      </c>
      <c r="M235" s="718"/>
      <c r="N235" s="719">
        <v>149</v>
      </c>
      <c r="O235" s="719">
        <v>1373</v>
      </c>
      <c r="P235" s="719">
        <v>0</v>
      </c>
      <c r="Q235" s="718">
        <v>0</v>
      </c>
      <c r="R235" s="719">
        <f t="shared" si="3"/>
        <v>2347</v>
      </c>
      <c r="S235" s="718"/>
      <c r="T235" s="719">
        <v>1135</v>
      </c>
      <c r="U235" s="721">
        <v>971</v>
      </c>
      <c r="V235" s="721">
        <v>2106</v>
      </c>
    </row>
    <row r="236" spans="1:22" x14ac:dyDescent="0.25">
      <c r="A236" s="715">
        <v>92451</v>
      </c>
      <c r="B236" s="716" t="s">
        <v>2771</v>
      </c>
      <c r="C236" s="717">
        <v>1.4559999999999999E-4</v>
      </c>
      <c r="D236" s="717">
        <v>1.132E-4</v>
      </c>
      <c r="E236" s="718">
        <v>67281</v>
      </c>
      <c r="F236" s="718">
        <v>50803</v>
      </c>
      <c r="G236" s="718">
        <v>309012</v>
      </c>
      <c r="H236" s="718"/>
      <c r="I236" s="719">
        <v>5806</v>
      </c>
      <c r="J236" s="719">
        <v>270793</v>
      </c>
      <c r="K236" s="719">
        <v>21165</v>
      </c>
      <c r="L236" s="718">
        <v>36170</v>
      </c>
      <c r="M236" s="718"/>
      <c r="N236" s="719">
        <v>10828</v>
      </c>
      <c r="O236" s="719">
        <v>99948</v>
      </c>
      <c r="P236" s="719">
        <v>0</v>
      </c>
      <c r="Q236" s="718">
        <v>0</v>
      </c>
      <c r="R236" s="719">
        <f t="shared" si="3"/>
        <v>170845</v>
      </c>
      <c r="S236" s="718"/>
      <c r="T236" s="719">
        <v>82594</v>
      </c>
      <c r="U236" s="721">
        <v>11273</v>
      </c>
      <c r="V236" s="721">
        <v>93868</v>
      </c>
    </row>
    <row r="237" spans="1:22" x14ac:dyDescent="0.25">
      <c r="A237" s="715">
        <v>92461</v>
      </c>
      <c r="B237" s="716" t="s">
        <v>2772</v>
      </c>
      <c r="C237" s="717">
        <v>7.2999999999999999E-5</v>
      </c>
      <c r="D237" s="717">
        <v>6.3499999999999999E-5</v>
      </c>
      <c r="E237" s="718">
        <v>36576</v>
      </c>
      <c r="F237" s="718">
        <v>28498</v>
      </c>
      <c r="G237" s="718">
        <v>154930</v>
      </c>
      <c r="H237" s="718"/>
      <c r="I237" s="719">
        <v>2910.875</v>
      </c>
      <c r="J237" s="719">
        <v>135768</v>
      </c>
      <c r="K237" s="719">
        <v>10611</v>
      </c>
      <c r="L237" s="718">
        <v>10353</v>
      </c>
      <c r="M237" s="718"/>
      <c r="N237" s="719">
        <v>5429</v>
      </c>
      <c r="O237" s="719">
        <v>50111</v>
      </c>
      <c r="P237" s="719">
        <v>0</v>
      </c>
      <c r="Q237" s="718">
        <v>7817</v>
      </c>
      <c r="R237" s="719">
        <f t="shared" si="3"/>
        <v>85657</v>
      </c>
      <c r="S237" s="718"/>
      <c r="T237" s="719">
        <v>41411</v>
      </c>
      <c r="U237" s="721">
        <v>-170</v>
      </c>
      <c r="V237" s="721">
        <v>41240</v>
      </c>
    </row>
    <row r="238" spans="1:22" x14ac:dyDescent="0.25">
      <c r="A238" s="715">
        <v>92501</v>
      </c>
      <c r="B238" s="716" t="s">
        <v>2773</v>
      </c>
      <c r="C238" s="717">
        <v>3.8141E-3</v>
      </c>
      <c r="D238" s="717">
        <v>3.8955999999999999E-3</v>
      </c>
      <c r="E238" s="718">
        <v>1660692.83</v>
      </c>
      <c r="F238" s="718">
        <v>1748322</v>
      </c>
      <c r="G238" s="718">
        <v>8094798</v>
      </c>
      <c r="H238" s="718"/>
      <c r="I238" s="719">
        <v>152087</v>
      </c>
      <c r="J238" s="719">
        <v>7093623</v>
      </c>
      <c r="K238" s="719">
        <v>554421</v>
      </c>
      <c r="L238" s="718">
        <v>65347</v>
      </c>
      <c r="M238" s="718"/>
      <c r="N238" s="719">
        <v>283651</v>
      </c>
      <c r="O238" s="719">
        <v>2618219</v>
      </c>
      <c r="P238" s="719">
        <v>0</v>
      </c>
      <c r="Q238" s="718">
        <v>13995</v>
      </c>
      <c r="R238" s="719">
        <f t="shared" si="3"/>
        <v>4475404</v>
      </c>
      <c r="S238" s="718"/>
      <c r="T238" s="719">
        <v>2163621</v>
      </c>
      <c r="U238" s="721">
        <v>20802</v>
      </c>
      <c r="V238" s="721">
        <v>2184422</v>
      </c>
    </row>
    <row r="239" spans="1:22" x14ac:dyDescent="0.25">
      <c r="A239" s="715">
        <v>92502</v>
      </c>
      <c r="B239" s="716" t="s">
        <v>2774</v>
      </c>
      <c r="C239" s="717">
        <v>2.8799999999999999E-5</v>
      </c>
      <c r="D239" s="717">
        <v>2.1399999999999998E-5</v>
      </c>
      <c r="E239" s="718">
        <v>12881</v>
      </c>
      <c r="F239" s="718">
        <v>9604</v>
      </c>
      <c r="G239" s="718">
        <v>61123</v>
      </c>
      <c r="H239" s="718"/>
      <c r="I239" s="719">
        <v>1148</v>
      </c>
      <c r="J239" s="719">
        <v>53563</v>
      </c>
      <c r="K239" s="719">
        <v>4186</v>
      </c>
      <c r="L239" s="718">
        <v>4833</v>
      </c>
      <c r="M239" s="718"/>
      <c r="N239" s="719">
        <v>2142</v>
      </c>
      <c r="O239" s="719">
        <v>19770</v>
      </c>
      <c r="P239" s="719">
        <v>0</v>
      </c>
      <c r="Q239" s="718">
        <v>3509</v>
      </c>
      <c r="R239" s="719">
        <f t="shared" si="3"/>
        <v>33793</v>
      </c>
      <c r="S239" s="718"/>
      <c r="T239" s="719">
        <v>16337</v>
      </c>
      <c r="U239" s="721">
        <v>-103</v>
      </c>
      <c r="V239" s="721">
        <v>16234</v>
      </c>
    </row>
    <row r="240" spans="1:22" x14ac:dyDescent="0.25">
      <c r="A240" s="715">
        <v>92504</v>
      </c>
      <c r="B240" s="716" t="s">
        <v>2775</v>
      </c>
      <c r="C240" s="717">
        <v>7.2799999999999994E-5</v>
      </c>
      <c r="D240" s="717">
        <v>7.3499999999999998E-5</v>
      </c>
      <c r="E240" s="718">
        <v>38689</v>
      </c>
      <c r="F240" s="718">
        <v>32986</v>
      </c>
      <c r="G240" s="718">
        <v>154506</v>
      </c>
      <c r="H240" s="718"/>
      <c r="I240" s="719">
        <v>2903</v>
      </c>
      <c r="J240" s="719">
        <v>135396</v>
      </c>
      <c r="K240" s="719">
        <v>10582</v>
      </c>
      <c r="L240" s="718">
        <v>18501</v>
      </c>
      <c r="M240" s="718"/>
      <c r="N240" s="719">
        <v>5414</v>
      </c>
      <c r="O240" s="719">
        <v>49974</v>
      </c>
      <c r="P240" s="719">
        <v>0</v>
      </c>
      <c r="Q240" s="718">
        <v>54</v>
      </c>
      <c r="R240" s="719">
        <f t="shared" si="3"/>
        <v>85422</v>
      </c>
      <c r="S240" s="718"/>
      <c r="T240" s="719">
        <v>41297</v>
      </c>
      <c r="U240" s="721">
        <v>5906</v>
      </c>
      <c r="V240" s="721">
        <v>47203</v>
      </c>
    </row>
    <row r="241" spans="1:22" x14ac:dyDescent="0.25">
      <c r="A241" s="715">
        <v>92505</v>
      </c>
      <c r="B241" s="716" t="s">
        <v>2776</v>
      </c>
      <c r="C241" s="717">
        <v>1.8709999999999999E-4</v>
      </c>
      <c r="D241" s="717">
        <v>1.9699999999999999E-4</v>
      </c>
      <c r="E241" s="718">
        <v>106739.73</v>
      </c>
      <c r="F241" s="718">
        <v>88412</v>
      </c>
      <c r="G241" s="718">
        <v>397089</v>
      </c>
      <c r="H241" s="718"/>
      <c r="I241" s="719">
        <v>7461</v>
      </c>
      <c r="J241" s="719">
        <v>347976</v>
      </c>
      <c r="K241" s="719">
        <v>27197</v>
      </c>
      <c r="L241" s="718">
        <v>47178</v>
      </c>
      <c r="M241" s="718"/>
      <c r="N241" s="719">
        <v>13914</v>
      </c>
      <c r="O241" s="719">
        <v>128436</v>
      </c>
      <c r="P241" s="719">
        <v>0</v>
      </c>
      <c r="Q241" s="718">
        <v>0</v>
      </c>
      <c r="R241" s="719">
        <f t="shared" si="3"/>
        <v>219540</v>
      </c>
      <c r="S241" s="718"/>
      <c r="T241" s="719">
        <v>106136</v>
      </c>
      <c r="U241" s="721">
        <v>16270</v>
      </c>
      <c r="V241" s="721">
        <v>122406</v>
      </c>
    </row>
    <row r="242" spans="1:22" x14ac:dyDescent="0.25">
      <c r="A242" s="715">
        <v>92506</v>
      </c>
      <c r="B242" s="716" t="s">
        <v>2777</v>
      </c>
      <c r="C242" s="717">
        <v>4.3699999999999998E-5</v>
      </c>
      <c r="D242" s="717">
        <v>3.8999999999999999E-5</v>
      </c>
      <c r="E242" s="718">
        <v>23626</v>
      </c>
      <c r="F242" s="718">
        <v>17503</v>
      </c>
      <c r="G242" s="718">
        <v>92746</v>
      </c>
      <c r="H242" s="718"/>
      <c r="I242" s="719">
        <v>1743</v>
      </c>
      <c r="J242" s="719">
        <v>81275</v>
      </c>
      <c r="K242" s="719">
        <v>6352</v>
      </c>
      <c r="L242" s="718">
        <v>17344</v>
      </c>
      <c r="M242" s="718"/>
      <c r="N242" s="719">
        <v>3250</v>
      </c>
      <c r="O242" s="719">
        <v>29998</v>
      </c>
      <c r="P242" s="719">
        <v>0</v>
      </c>
      <c r="Q242" s="718">
        <v>0</v>
      </c>
      <c r="R242" s="719">
        <f t="shared" si="3"/>
        <v>51277</v>
      </c>
      <c r="S242" s="718"/>
      <c r="T242" s="719">
        <v>24790</v>
      </c>
      <c r="U242" s="721">
        <v>5809</v>
      </c>
      <c r="V242" s="721">
        <v>30599</v>
      </c>
    </row>
    <row r="243" spans="1:22" x14ac:dyDescent="0.25">
      <c r="A243" s="715">
        <v>92507</v>
      </c>
      <c r="B243" s="716" t="s">
        <v>2778</v>
      </c>
      <c r="C243" s="717">
        <v>7.6799999999999997E-5</v>
      </c>
      <c r="D243" s="717">
        <v>1.032E-4</v>
      </c>
      <c r="E243" s="718">
        <v>33480.47</v>
      </c>
      <c r="F243" s="718">
        <v>46316</v>
      </c>
      <c r="G243" s="718">
        <v>162995</v>
      </c>
      <c r="H243" s="718"/>
      <c r="I243" s="719">
        <v>3062</v>
      </c>
      <c r="J243" s="719">
        <v>142836</v>
      </c>
      <c r="K243" s="719">
        <v>11164</v>
      </c>
      <c r="L243" s="718">
        <v>348</v>
      </c>
      <c r="M243" s="718"/>
      <c r="N243" s="719">
        <v>5712</v>
      </c>
      <c r="O243" s="719">
        <v>52720</v>
      </c>
      <c r="P243" s="719">
        <v>0</v>
      </c>
      <c r="Q243" s="718">
        <v>22450</v>
      </c>
      <c r="R243" s="719">
        <f t="shared" si="3"/>
        <v>90116</v>
      </c>
      <c r="S243" s="718"/>
      <c r="T243" s="719">
        <v>43566</v>
      </c>
      <c r="U243" s="721">
        <v>-8043</v>
      </c>
      <c r="V243" s="721">
        <v>35523</v>
      </c>
    </row>
    <row r="244" spans="1:22" x14ac:dyDescent="0.25">
      <c r="A244" s="715">
        <v>92508</v>
      </c>
      <c r="B244" s="716" t="s">
        <v>2779</v>
      </c>
      <c r="C244" s="717">
        <v>3.1930000000000001E-4</v>
      </c>
      <c r="D244" s="717">
        <v>3.2959999999999999E-4</v>
      </c>
      <c r="E244" s="718">
        <v>135945</v>
      </c>
      <c r="F244" s="718">
        <v>147923</v>
      </c>
      <c r="G244" s="718">
        <v>677662</v>
      </c>
      <c r="H244" s="718"/>
      <c r="I244" s="719">
        <v>12732</v>
      </c>
      <c r="J244" s="719">
        <v>593848</v>
      </c>
      <c r="K244" s="719">
        <v>46414</v>
      </c>
      <c r="L244" s="718">
        <v>7876</v>
      </c>
      <c r="M244" s="718"/>
      <c r="N244" s="719">
        <v>23746</v>
      </c>
      <c r="O244" s="719">
        <v>219186</v>
      </c>
      <c r="P244" s="719">
        <v>0</v>
      </c>
      <c r="Q244" s="718">
        <v>1898</v>
      </c>
      <c r="R244" s="719">
        <f t="shared" si="3"/>
        <v>374662</v>
      </c>
      <c r="S244" s="718"/>
      <c r="T244" s="719">
        <v>181129</v>
      </c>
      <c r="U244" s="721">
        <v>3029</v>
      </c>
      <c r="V244" s="721">
        <v>184158</v>
      </c>
    </row>
    <row r="245" spans="1:22" x14ac:dyDescent="0.25">
      <c r="A245" s="715">
        <v>92509</v>
      </c>
      <c r="B245" s="716" t="s">
        <v>2780</v>
      </c>
      <c r="C245" s="717">
        <v>0</v>
      </c>
      <c r="D245" s="717">
        <v>2.1614E-3</v>
      </c>
      <c r="E245" s="718">
        <v>0</v>
      </c>
      <c r="F245" s="718">
        <v>970023</v>
      </c>
      <c r="G245" s="718">
        <v>0</v>
      </c>
      <c r="H245" s="718"/>
      <c r="I245" s="719">
        <v>0</v>
      </c>
      <c r="J245" s="719">
        <v>0</v>
      </c>
      <c r="K245" s="719">
        <v>0</v>
      </c>
      <c r="L245" s="718">
        <v>166634</v>
      </c>
      <c r="M245" s="718"/>
      <c r="N245" s="719">
        <v>0</v>
      </c>
      <c r="O245" s="719">
        <v>0</v>
      </c>
      <c r="P245" s="719">
        <v>0</v>
      </c>
      <c r="Q245" s="718">
        <v>1170867</v>
      </c>
      <c r="R245" s="719">
        <f t="shared" si="3"/>
        <v>0</v>
      </c>
      <c r="S245" s="718"/>
      <c r="T245" s="719">
        <v>0</v>
      </c>
      <c r="U245" s="721">
        <v>-223763</v>
      </c>
      <c r="V245" s="721">
        <v>-223763</v>
      </c>
    </row>
    <row r="246" spans="1:22" x14ac:dyDescent="0.25">
      <c r="A246" s="715">
        <v>92511</v>
      </c>
      <c r="B246" s="716" t="s">
        <v>2781</v>
      </c>
      <c r="C246" s="717">
        <v>3.4164E-3</v>
      </c>
      <c r="D246" s="717">
        <v>3.6713000000000002E-3</v>
      </c>
      <c r="E246" s="718">
        <v>1353009</v>
      </c>
      <c r="F246" s="718">
        <v>1647657</v>
      </c>
      <c r="G246" s="718">
        <v>7250745</v>
      </c>
      <c r="H246" s="718"/>
      <c r="I246" s="719">
        <v>136229</v>
      </c>
      <c r="J246" s="719">
        <v>6353964</v>
      </c>
      <c r="K246" s="719">
        <v>496611</v>
      </c>
      <c r="L246" s="718">
        <v>24415.31</v>
      </c>
      <c r="M246" s="718"/>
      <c r="N246" s="719">
        <v>254074</v>
      </c>
      <c r="O246" s="719">
        <v>2345215</v>
      </c>
      <c r="P246" s="719">
        <v>0</v>
      </c>
      <c r="Q246" s="718">
        <v>243809</v>
      </c>
      <c r="R246" s="719">
        <f t="shared" si="3"/>
        <v>4008749</v>
      </c>
      <c r="S246" s="718"/>
      <c r="T246" s="719">
        <v>1938018</v>
      </c>
      <c r="U246" s="721">
        <v>-57052</v>
      </c>
      <c r="V246" s="721">
        <v>1880965</v>
      </c>
    </row>
    <row r="247" spans="1:22" x14ac:dyDescent="0.25">
      <c r="A247" s="715">
        <v>92513</v>
      </c>
      <c r="B247" s="716" t="s">
        <v>2782</v>
      </c>
      <c r="C247" s="717">
        <v>3.9753000000000002E-3</v>
      </c>
      <c r="D247" s="717">
        <v>0</v>
      </c>
      <c r="E247" s="718">
        <v>1441013</v>
      </c>
      <c r="F247" s="718">
        <v>0</v>
      </c>
      <c r="G247" s="718">
        <v>8436918</v>
      </c>
      <c r="H247" s="718"/>
      <c r="I247" s="719">
        <v>158515</v>
      </c>
      <c r="J247" s="719">
        <v>7393430</v>
      </c>
      <c r="K247" s="719">
        <v>577854</v>
      </c>
      <c r="L247" s="718">
        <v>1999562</v>
      </c>
      <c r="M247" s="718"/>
      <c r="N247" s="719">
        <v>295639</v>
      </c>
      <c r="O247" s="719">
        <v>2728876</v>
      </c>
      <c r="P247" s="719">
        <v>0</v>
      </c>
      <c r="Q247" s="718">
        <v>0</v>
      </c>
      <c r="R247" s="719">
        <f t="shared" si="3"/>
        <v>4664554</v>
      </c>
      <c r="S247" s="718"/>
      <c r="T247" s="719">
        <v>2255064</v>
      </c>
      <c r="U247" s="721">
        <v>518021</v>
      </c>
      <c r="V247" s="721">
        <v>2773086</v>
      </c>
    </row>
    <row r="248" spans="1:22" x14ac:dyDescent="0.25">
      <c r="A248" s="715">
        <v>92521</v>
      </c>
      <c r="B248" s="716" t="s">
        <v>2783</v>
      </c>
      <c r="C248" s="717">
        <v>8.9800000000000001E-5</v>
      </c>
      <c r="D248" s="717">
        <v>9.59E-5</v>
      </c>
      <c r="E248" s="718">
        <v>32294.23</v>
      </c>
      <c r="F248" s="718">
        <v>43039</v>
      </c>
      <c r="G248" s="718">
        <v>190586</v>
      </c>
      <c r="H248" s="718"/>
      <c r="I248" s="719">
        <v>3581</v>
      </c>
      <c r="J248" s="719">
        <v>167014</v>
      </c>
      <c r="K248" s="719">
        <v>13053</v>
      </c>
      <c r="L248" s="718">
        <v>4908</v>
      </c>
      <c r="M248" s="718"/>
      <c r="N248" s="719">
        <v>6678</v>
      </c>
      <c r="O248" s="719">
        <v>61644</v>
      </c>
      <c r="P248" s="719">
        <v>0</v>
      </c>
      <c r="Q248" s="718">
        <v>9965</v>
      </c>
      <c r="R248" s="719">
        <f t="shared" si="3"/>
        <v>105370</v>
      </c>
      <c r="S248" s="718"/>
      <c r="T248" s="719">
        <v>50941</v>
      </c>
      <c r="U248" s="721">
        <v>-1566</v>
      </c>
      <c r="V248" s="721">
        <v>49374</v>
      </c>
    </row>
    <row r="249" spans="1:22" x14ac:dyDescent="0.25">
      <c r="A249" s="715">
        <v>92531</v>
      </c>
      <c r="B249" s="716" t="s">
        <v>2784</v>
      </c>
      <c r="C249" s="717">
        <v>8.3779999999999998E-4</v>
      </c>
      <c r="D249" s="717">
        <v>9.3610000000000004E-4</v>
      </c>
      <c r="E249" s="718">
        <v>310253</v>
      </c>
      <c r="F249" s="718">
        <v>420116</v>
      </c>
      <c r="G249" s="718">
        <v>1778092</v>
      </c>
      <c r="H249" s="718"/>
      <c r="I249" s="719">
        <v>33407</v>
      </c>
      <c r="J249" s="719">
        <v>1558176</v>
      </c>
      <c r="K249" s="719">
        <v>121783</v>
      </c>
      <c r="L249" s="718">
        <v>0</v>
      </c>
      <c r="M249" s="718"/>
      <c r="N249" s="719">
        <v>62306</v>
      </c>
      <c r="O249" s="719">
        <v>575115</v>
      </c>
      <c r="P249" s="719">
        <v>0</v>
      </c>
      <c r="Q249" s="718">
        <v>169554</v>
      </c>
      <c r="R249" s="719">
        <f t="shared" si="3"/>
        <v>983061</v>
      </c>
      <c r="S249" s="718"/>
      <c r="T249" s="719">
        <v>475258</v>
      </c>
      <c r="U249" s="721">
        <v>-58220</v>
      </c>
      <c r="V249" s="721">
        <v>417038</v>
      </c>
    </row>
    <row r="250" spans="1:22" x14ac:dyDescent="0.25">
      <c r="A250" s="715">
        <v>92541</v>
      </c>
      <c r="B250" s="716" t="s">
        <v>2785</v>
      </c>
      <c r="C250" s="717">
        <v>1.4300000000000001E-4</v>
      </c>
      <c r="D250" s="717">
        <v>1.2679999999999999E-4</v>
      </c>
      <c r="E250" s="718">
        <v>54919</v>
      </c>
      <c r="F250" s="718">
        <v>56907</v>
      </c>
      <c r="G250" s="718">
        <v>303494</v>
      </c>
      <c r="H250" s="718"/>
      <c r="I250" s="719">
        <v>5702.125</v>
      </c>
      <c r="J250" s="719">
        <v>265957</v>
      </c>
      <c r="K250" s="719">
        <v>20787</v>
      </c>
      <c r="L250" s="718">
        <v>11874</v>
      </c>
      <c r="M250" s="718"/>
      <c r="N250" s="719">
        <v>10635</v>
      </c>
      <c r="O250" s="719">
        <v>98163</v>
      </c>
      <c r="P250" s="719">
        <v>0</v>
      </c>
      <c r="Q250" s="718">
        <v>3822</v>
      </c>
      <c r="R250" s="719">
        <f t="shared" si="3"/>
        <v>167794</v>
      </c>
      <c r="S250" s="718"/>
      <c r="T250" s="719">
        <v>81119</v>
      </c>
      <c r="U250" s="721">
        <v>3227</v>
      </c>
      <c r="V250" s="721">
        <v>84346</v>
      </c>
    </row>
    <row r="251" spans="1:22" x14ac:dyDescent="0.25">
      <c r="A251" s="715">
        <v>92551</v>
      </c>
      <c r="B251" s="716" t="s">
        <v>2786</v>
      </c>
      <c r="C251" s="717">
        <v>4.18E-5</v>
      </c>
      <c r="D251" s="717">
        <v>5.4799999999999997E-5</v>
      </c>
      <c r="E251" s="718">
        <v>16805.93</v>
      </c>
      <c r="F251" s="718">
        <v>24594</v>
      </c>
      <c r="G251" s="718">
        <v>88714</v>
      </c>
      <c r="H251" s="718"/>
      <c r="I251" s="719">
        <v>1666.7750000000001</v>
      </c>
      <c r="J251" s="719">
        <v>77741</v>
      </c>
      <c r="K251" s="719">
        <v>6076</v>
      </c>
      <c r="L251" s="718">
        <v>6834</v>
      </c>
      <c r="M251" s="718"/>
      <c r="N251" s="719">
        <v>3109</v>
      </c>
      <c r="O251" s="719">
        <v>28694</v>
      </c>
      <c r="P251" s="719">
        <v>0</v>
      </c>
      <c r="Q251" s="718">
        <v>11864</v>
      </c>
      <c r="R251" s="719">
        <f t="shared" si="3"/>
        <v>49047</v>
      </c>
      <c r="S251" s="718"/>
      <c r="T251" s="719">
        <v>23712</v>
      </c>
      <c r="U251" s="721">
        <v>-71</v>
      </c>
      <c r="V251" s="721">
        <v>23641</v>
      </c>
    </row>
    <row r="252" spans="1:22" x14ac:dyDescent="0.25">
      <c r="A252" s="715">
        <v>92561</v>
      </c>
      <c r="B252" s="716" t="s">
        <v>2787</v>
      </c>
      <c r="C252" s="717">
        <v>2.2900000000000001E-5</v>
      </c>
      <c r="D252" s="717">
        <v>2.1800000000000001E-5</v>
      </c>
      <c r="E252" s="718">
        <v>12865.05</v>
      </c>
      <c r="F252" s="718">
        <v>9784</v>
      </c>
      <c r="G252" s="718">
        <v>48601</v>
      </c>
      <c r="H252" s="718"/>
      <c r="I252" s="719">
        <v>913.13750000000005</v>
      </c>
      <c r="J252" s="719">
        <v>42590</v>
      </c>
      <c r="K252" s="719">
        <v>3329</v>
      </c>
      <c r="L252" s="718">
        <v>7071</v>
      </c>
      <c r="M252" s="718"/>
      <c r="N252" s="719">
        <v>1703</v>
      </c>
      <c r="O252" s="719">
        <v>15720</v>
      </c>
      <c r="P252" s="719">
        <v>0</v>
      </c>
      <c r="Q252" s="718">
        <v>0</v>
      </c>
      <c r="R252" s="719">
        <f t="shared" si="3"/>
        <v>26870</v>
      </c>
      <c r="S252" s="718"/>
      <c r="T252" s="719">
        <v>12990</v>
      </c>
      <c r="U252" s="721">
        <v>2451</v>
      </c>
      <c r="V252" s="721">
        <v>15442</v>
      </c>
    </row>
    <row r="253" spans="1:22" x14ac:dyDescent="0.25">
      <c r="A253" s="715">
        <v>92571</v>
      </c>
      <c r="B253" s="716" t="s">
        <v>2788</v>
      </c>
      <c r="C253" s="717">
        <v>3.1E-6</v>
      </c>
      <c r="D253" s="717">
        <v>3.8E-6</v>
      </c>
      <c r="E253" s="718">
        <v>6093</v>
      </c>
      <c r="F253" s="718">
        <v>1705</v>
      </c>
      <c r="G253" s="718">
        <v>6579</v>
      </c>
      <c r="H253" s="718"/>
      <c r="I253" s="719">
        <v>123.6125</v>
      </c>
      <c r="J253" s="719">
        <v>5766</v>
      </c>
      <c r="K253" s="719">
        <v>451</v>
      </c>
      <c r="L253" s="718">
        <v>4439</v>
      </c>
      <c r="M253" s="718"/>
      <c r="N253" s="719">
        <v>231</v>
      </c>
      <c r="O253" s="719">
        <v>2128</v>
      </c>
      <c r="P253" s="719">
        <v>0</v>
      </c>
      <c r="Q253" s="718">
        <v>200.99</v>
      </c>
      <c r="R253" s="719">
        <f t="shared" si="3"/>
        <v>3638</v>
      </c>
      <c r="S253" s="718"/>
      <c r="T253" s="719">
        <v>1759</v>
      </c>
      <c r="U253" s="721">
        <v>1144</v>
      </c>
      <c r="V253" s="721">
        <v>2902</v>
      </c>
    </row>
    <row r="254" spans="1:22" x14ac:dyDescent="0.25">
      <c r="A254" s="715">
        <v>92601</v>
      </c>
      <c r="B254" s="716" t="s">
        <v>2789</v>
      </c>
      <c r="C254" s="717">
        <v>1.54185E-2</v>
      </c>
      <c r="D254" s="717">
        <v>1.5052899999999999E-2</v>
      </c>
      <c r="E254" s="718">
        <v>6115436</v>
      </c>
      <c r="F254" s="718">
        <v>6755651</v>
      </c>
      <c r="G254" s="718">
        <v>32723222</v>
      </c>
      <c r="H254" s="718"/>
      <c r="I254" s="719">
        <v>614813</v>
      </c>
      <c r="J254" s="719">
        <v>28675974</v>
      </c>
      <c r="K254" s="719">
        <v>2241249</v>
      </c>
      <c r="L254" s="718">
        <v>258399</v>
      </c>
      <c r="M254" s="718"/>
      <c r="N254" s="719">
        <v>1146658</v>
      </c>
      <c r="O254" s="719">
        <v>10584153</v>
      </c>
      <c r="P254" s="719">
        <v>0</v>
      </c>
      <c r="Q254" s="718">
        <v>0</v>
      </c>
      <c r="R254" s="719">
        <f t="shared" si="3"/>
        <v>18091821</v>
      </c>
      <c r="S254" s="718"/>
      <c r="T254" s="719">
        <v>8746437</v>
      </c>
      <c r="U254" s="721">
        <v>123589</v>
      </c>
      <c r="V254" s="721">
        <v>8870026</v>
      </c>
    </row>
    <row r="255" spans="1:22" x14ac:dyDescent="0.25">
      <c r="A255" s="715">
        <v>92602</v>
      </c>
      <c r="B255" s="716" t="s">
        <v>2790</v>
      </c>
      <c r="C255" s="717">
        <v>8.1999999999999994E-6</v>
      </c>
      <c r="D255" s="717">
        <v>8.3999999999999992E-6</v>
      </c>
      <c r="E255" s="718">
        <v>3297.75</v>
      </c>
      <c r="F255" s="718">
        <v>3770</v>
      </c>
      <c r="G255" s="718">
        <v>17403</v>
      </c>
      <c r="H255" s="718"/>
      <c r="I255" s="719">
        <v>327</v>
      </c>
      <c r="J255" s="719">
        <v>15251</v>
      </c>
      <c r="K255" s="719">
        <v>1192</v>
      </c>
      <c r="L255" s="718">
        <v>708.44</v>
      </c>
      <c r="M255" s="718"/>
      <c r="N255" s="719">
        <v>610</v>
      </c>
      <c r="O255" s="719">
        <v>5629</v>
      </c>
      <c r="P255" s="719">
        <v>0</v>
      </c>
      <c r="Q255" s="718">
        <v>1260</v>
      </c>
      <c r="R255" s="719">
        <f t="shared" si="3"/>
        <v>9622</v>
      </c>
      <c r="S255" s="718"/>
      <c r="T255" s="719">
        <v>4652</v>
      </c>
      <c r="U255" s="721">
        <v>-75</v>
      </c>
      <c r="V255" s="721">
        <v>4577</v>
      </c>
    </row>
    <row r="256" spans="1:22" x14ac:dyDescent="0.25">
      <c r="A256" s="715">
        <v>92604</v>
      </c>
      <c r="B256" s="716" t="s">
        <v>2791</v>
      </c>
      <c r="C256" s="717">
        <v>3.4380000000000001E-4</v>
      </c>
      <c r="D256" s="717">
        <v>3.2019999999999998E-4</v>
      </c>
      <c r="E256" s="718">
        <v>164086</v>
      </c>
      <c r="F256" s="718">
        <v>143704</v>
      </c>
      <c r="G256" s="718">
        <v>729659</v>
      </c>
      <c r="H256" s="718"/>
      <c r="I256" s="719">
        <v>13709</v>
      </c>
      <c r="J256" s="719">
        <v>639414</v>
      </c>
      <c r="K256" s="719">
        <v>49975</v>
      </c>
      <c r="L256" s="718">
        <v>56939</v>
      </c>
      <c r="M256" s="718"/>
      <c r="N256" s="719">
        <v>25568</v>
      </c>
      <c r="O256" s="719">
        <v>236004</v>
      </c>
      <c r="P256" s="719">
        <v>0</v>
      </c>
      <c r="Q256" s="718">
        <v>0</v>
      </c>
      <c r="R256" s="719">
        <f t="shared" si="3"/>
        <v>403410</v>
      </c>
      <c r="S256" s="718"/>
      <c r="T256" s="719">
        <v>195027</v>
      </c>
      <c r="U256" s="721">
        <v>20016</v>
      </c>
      <c r="V256" s="721">
        <v>215043</v>
      </c>
    </row>
    <row r="257" spans="1:22" x14ac:dyDescent="0.25">
      <c r="A257" s="715">
        <v>92607</v>
      </c>
      <c r="B257" s="716" t="s">
        <v>2792</v>
      </c>
      <c r="C257" s="717">
        <v>7.0400000000000004E-5</v>
      </c>
      <c r="D257" s="717">
        <v>7.4099999999999999E-5</v>
      </c>
      <c r="E257" s="718">
        <v>34300</v>
      </c>
      <c r="F257" s="718">
        <v>33256</v>
      </c>
      <c r="G257" s="718">
        <v>149412</v>
      </c>
      <c r="H257" s="718"/>
      <c r="I257" s="719">
        <v>2807</v>
      </c>
      <c r="J257" s="719">
        <v>130933</v>
      </c>
      <c r="K257" s="719">
        <v>10233</v>
      </c>
      <c r="L257" s="718">
        <v>9606</v>
      </c>
      <c r="M257" s="718"/>
      <c r="N257" s="719">
        <v>5236</v>
      </c>
      <c r="O257" s="719">
        <v>48327</v>
      </c>
      <c r="P257" s="719">
        <v>0</v>
      </c>
      <c r="Q257" s="718">
        <v>0</v>
      </c>
      <c r="R257" s="719">
        <f t="shared" si="3"/>
        <v>82606</v>
      </c>
      <c r="S257" s="718"/>
      <c r="T257" s="719">
        <v>39936</v>
      </c>
      <c r="U257" s="721">
        <v>3862</v>
      </c>
      <c r="V257" s="721">
        <v>43798</v>
      </c>
    </row>
    <row r="258" spans="1:22" x14ac:dyDescent="0.25">
      <c r="A258" s="715">
        <v>92608</v>
      </c>
      <c r="B258" s="716" t="s">
        <v>2793</v>
      </c>
      <c r="C258" s="717">
        <v>0</v>
      </c>
      <c r="D258" s="717">
        <v>0</v>
      </c>
      <c r="E258" s="718">
        <v>0</v>
      </c>
      <c r="F258" s="718">
        <v>0</v>
      </c>
      <c r="G258" s="718">
        <v>0</v>
      </c>
      <c r="H258" s="718"/>
      <c r="I258" s="719">
        <v>0</v>
      </c>
      <c r="J258" s="719">
        <v>0</v>
      </c>
      <c r="K258" s="719">
        <v>0</v>
      </c>
      <c r="L258" s="718">
        <v>0</v>
      </c>
      <c r="M258" s="718"/>
      <c r="N258" s="719">
        <v>0</v>
      </c>
      <c r="O258" s="719">
        <v>0</v>
      </c>
      <c r="P258" s="719">
        <v>0</v>
      </c>
      <c r="Q258" s="718">
        <v>139807</v>
      </c>
      <c r="R258" s="719">
        <f t="shared" si="3"/>
        <v>0</v>
      </c>
      <c r="S258" s="718"/>
      <c r="T258" s="719">
        <v>0</v>
      </c>
      <c r="U258" s="721">
        <v>-69872</v>
      </c>
      <c r="V258" s="721">
        <v>-69872</v>
      </c>
    </row>
    <row r="259" spans="1:22" x14ac:dyDescent="0.25">
      <c r="A259" s="715">
        <v>92611</v>
      </c>
      <c r="B259" s="716" t="s">
        <v>2794</v>
      </c>
      <c r="C259" s="717">
        <v>1.3650799999999999E-2</v>
      </c>
      <c r="D259" s="717">
        <v>1.3731999999999999E-2</v>
      </c>
      <c r="E259" s="718">
        <v>5062641</v>
      </c>
      <c r="F259" s="718">
        <v>6162839</v>
      </c>
      <c r="G259" s="718">
        <v>28971571</v>
      </c>
      <c r="H259" s="718"/>
      <c r="I259" s="719">
        <v>544325.65</v>
      </c>
      <c r="J259" s="719">
        <v>25388331</v>
      </c>
      <c r="K259" s="719">
        <v>1984294</v>
      </c>
      <c r="L259" s="718">
        <v>20320</v>
      </c>
      <c r="M259" s="718"/>
      <c r="N259" s="719">
        <v>1015196</v>
      </c>
      <c r="O259" s="719">
        <v>9370701</v>
      </c>
      <c r="P259" s="719">
        <v>0</v>
      </c>
      <c r="Q259" s="718">
        <v>707501</v>
      </c>
      <c r="R259" s="719">
        <f t="shared" si="3"/>
        <v>16017630</v>
      </c>
      <c r="S259" s="718"/>
      <c r="T259" s="719">
        <v>7743676</v>
      </c>
      <c r="U259" s="721">
        <v>-194650</v>
      </c>
      <c r="V259" s="721">
        <v>7549026</v>
      </c>
    </row>
    <row r="260" spans="1:22" x14ac:dyDescent="0.25">
      <c r="A260" s="715">
        <v>92613</v>
      </c>
      <c r="B260" s="716" t="s">
        <v>2795</v>
      </c>
      <c r="C260" s="717">
        <v>2.81E-4</v>
      </c>
      <c r="D260" s="717">
        <v>2.9250000000000001E-4</v>
      </c>
      <c r="E260" s="718">
        <v>141183</v>
      </c>
      <c r="F260" s="718">
        <v>131272</v>
      </c>
      <c r="G260" s="718">
        <v>596376</v>
      </c>
      <c r="H260" s="718"/>
      <c r="I260" s="719">
        <v>11204.875</v>
      </c>
      <c r="J260" s="719">
        <v>522616</v>
      </c>
      <c r="K260" s="719">
        <v>40846</v>
      </c>
      <c r="L260" s="718">
        <v>119119</v>
      </c>
      <c r="M260" s="718"/>
      <c r="N260" s="719">
        <v>20898</v>
      </c>
      <c r="O260" s="719">
        <v>192895</v>
      </c>
      <c r="P260" s="719">
        <v>0</v>
      </c>
      <c r="Q260" s="718">
        <v>1892</v>
      </c>
      <c r="R260" s="719">
        <f t="shared" si="3"/>
        <v>329721</v>
      </c>
      <c r="S260" s="718"/>
      <c r="T260" s="719">
        <v>159403</v>
      </c>
      <c r="U260" s="721">
        <v>39940</v>
      </c>
      <c r="V260" s="721">
        <v>199343</v>
      </c>
    </row>
    <row r="261" spans="1:22" x14ac:dyDescent="0.25">
      <c r="A261" s="715">
        <v>92614</v>
      </c>
      <c r="B261" s="716" t="s">
        <v>2796</v>
      </c>
      <c r="C261" s="717">
        <v>5.6468000000000004E-3</v>
      </c>
      <c r="D261" s="717">
        <v>5.6173999999999998E-3</v>
      </c>
      <c r="E261" s="718">
        <v>4370417</v>
      </c>
      <c r="F261" s="718">
        <v>2521055</v>
      </c>
      <c r="G261" s="718">
        <v>11984401</v>
      </c>
      <c r="H261" s="718"/>
      <c r="I261" s="719">
        <v>225166</v>
      </c>
      <c r="J261" s="719">
        <v>10502156</v>
      </c>
      <c r="K261" s="719">
        <v>820824</v>
      </c>
      <c r="L261" s="718">
        <v>3097959</v>
      </c>
      <c r="M261" s="718"/>
      <c r="N261" s="719">
        <v>419947</v>
      </c>
      <c r="O261" s="719">
        <v>3876291</v>
      </c>
      <c r="P261" s="719">
        <v>0</v>
      </c>
      <c r="Q261" s="718">
        <v>0</v>
      </c>
      <c r="R261" s="719">
        <f t="shared" si="3"/>
        <v>6625865</v>
      </c>
      <c r="S261" s="718"/>
      <c r="T261" s="719">
        <v>3203255</v>
      </c>
      <c r="U261" s="721">
        <v>970834</v>
      </c>
      <c r="V261" s="721">
        <v>4174089</v>
      </c>
    </row>
    <row r="262" spans="1:22" x14ac:dyDescent="0.25">
      <c r="A262" s="715">
        <v>92621</v>
      </c>
      <c r="B262" s="716" t="s">
        <v>2797</v>
      </c>
      <c r="C262" s="717">
        <v>3.2799999999999998E-5</v>
      </c>
      <c r="D262" s="717">
        <v>3.3099999999999998E-5</v>
      </c>
      <c r="E262" s="718">
        <v>12384</v>
      </c>
      <c r="F262" s="718">
        <v>14855</v>
      </c>
      <c r="G262" s="718">
        <v>69613</v>
      </c>
      <c r="H262" s="718"/>
      <c r="I262" s="719">
        <v>1308</v>
      </c>
      <c r="J262" s="719">
        <v>61003</v>
      </c>
      <c r="K262" s="719">
        <v>4768</v>
      </c>
      <c r="L262" s="718">
        <v>1351</v>
      </c>
      <c r="M262" s="718"/>
      <c r="N262" s="719">
        <v>2439</v>
      </c>
      <c r="O262" s="719">
        <v>22516</v>
      </c>
      <c r="P262" s="719">
        <v>0</v>
      </c>
      <c r="Q262" s="718">
        <v>3050</v>
      </c>
      <c r="R262" s="719">
        <f t="shared" si="3"/>
        <v>38487</v>
      </c>
      <c r="S262" s="718"/>
      <c r="T262" s="719">
        <v>18606</v>
      </c>
      <c r="U262" s="721">
        <v>-800</v>
      </c>
      <c r="V262" s="721">
        <v>17806</v>
      </c>
    </row>
    <row r="263" spans="1:22" x14ac:dyDescent="0.25">
      <c r="A263" s="715">
        <v>92631</v>
      </c>
      <c r="B263" s="716" t="s">
        <v>2798</v>
      </c>
      <c r="C263" s="717">
        <v>1.0068E-3</v>
      </c>
      <c r="D263" s="717">
        <v>1.0248E-3</v>
      </c>
      <c r="E263" s="718">
        <v>343817.77</v>
      </c>
      <c r="F263" s="718">
        <v>459924</v>
      </c>
      <c r="G263" s="718">
        <v>2136767</v>
      </c>
      <c r="H263" s="718"/>
      <c r="I263" s="719">
        <v>40146.15</v>
      </c>
      <c r="J263" s="719">
        <v>1872489</v>
      </c>
      <c r="K263" s="719">
        <v>146349</v>
      </c>
      <c r="L263" s="718">
        <v>0</v>
      </c>
      <c r="M263" s="718"/>
      <c r="N263" s="719">
        <v>74875</v>
      </c>
      <c r="O263" s="719">
        <v>691126</v>
      </c>
      <c r="P263" s="719">
        <v>0</v>
      </c>
      <c r="Q263" s="718">
        <v>101284</v>
      </c>
      <c r="R263" s="719">
        <f t="shared" ref="R263:R326" si="4">IF(J263&gt;O263,J263-O263,O263-J263)</f>
        <v>1181363</v>
      </c>
      <c r="S263" s="718"/>
      <c r="T263" s="719">
        <v>571126</v>
      </c>
      <c r="U263" s="721">
        <v>-30677</v>
      </c>
      <c r="V263" s="721">
        <v>540449</v>
      </c>
    </row>
    <row r="264" spans="1:22" x14ac:dyDescent="0.25">
      <c r="A264" s="715">
        <v>92641</v>
      </c>
      <c r="B264" s="716" t="s">
        <v>2799</v>
      </c>
      <c r="C264" s="717">
        <v>1.03E-5</v>
      </c>
      <c r="D264" s="717">
        <v>1.0699999999999999E-5</v>
      </c>
      <c r="E264" s="718">
        <v>4921.7</v>
      </c>
      <c r="F264" s="718">
        <v>4802</v>
      </c>
      <c r="G264" s="718">
        <v>21860</v>
      </c>
      <c r="H264" s="718"/>
      <c r="I264" s="719">
        <v>410.71249999999998</v>
      </c>
      <c r="J264" s="719">
        <v>19156</v>
      </c>
      <c r="K264" s="719">
        <v>1497</v>
      </c>
      <c r="L264" s="718">
        <v>2730</v>
      </c>
      <c r="M264" s="718"/>
      <c r="N264" s="719">
        <v>766</v>
      </c>
      <c r="O264" s="719">
        <v>7071</v>
      </c>
      <c r="P264" s="719">
        <v>0</v>
      </c>
      <c r="Q264" s="718">
        <v>1900</v>
      </c>
      <c r="R264" s="719">
        <f t="shared" si="4"/>
        <v>12085</v>
      </c>
      <c r="S264" s="718"/>
      <c r="T264" s="719">
        <v>5843</v>
      </c>
      <c r="U264" s="721">
        <v>-18</v>
      </c>
      <c r="V264" s="721">
        <v>5825</v>
      </c>
    </row>
    <row r="265" spans="1:22" x14ac:dyDescent="0.25">
      <c r="A265" s="715">
        <v>92651</v>
      </c>
      <c r="B265" s="716" t="s">
        <v>2800</v>
      </c>
      <c r="C265" s="717">
        <v>2.6000000000000001E-6</v>
      </c>
      <c r="D265" s="717">
        <v>2.3999999999999999E-6</v>
      </c>
      <c r="E265" s="718">
        <v>2706.64</v>
      </c>
      <c r="F265" s="718">
        <v>1077</v>
      </c>
      <c r="G265" s="718">
        <v>5518</v>
      </c>
      <c r="H265" s="718"/>
      <c r="I265" s="719">
        <v>103.675</v>
      </c>
      <c r="J265" s="719">
        <v>4836</v>
      </c>
      <c r="K265" s="719">
        <v>378</v>
      </c>
      <c r="L265" s="718">
        <v>2819</v>
      </c>
      <c r="M265" s="718"/>
      <c r="N265" s="719">
        <v>193</v>
      </c>
      <c r="O265" s="719">
        <v>1785</v>
      </c>
      <c r="P265" s="719">
        <v>0</v>
      </c>
      <c r="Q265" s="718">
        <v>0</v>
      </c>
      <c r="R265" s="719">
        <f t="shared" si="4"/>
        <v>3051</v>
      </c>
      <c r="S265" s="718"/>
      <c r="T265" s="719">
        <v>1475</v>
      </c>
      <c r="U265" s="721">
        <v>953</v>
      </c>
      <c r="V265" s="721">
        <v>2428</v>
      </c>
    </row>
    <row r="266" spans="1:22" x14ac:dyDescent="0.25">
      <c r="A266" s="715">
        <v>92661</v>
      </c>
      <c r="B266" s="716" t="s">
        <v>2801</v>
      </c>
      <c r="C266" s="717">
        <v>6.6299999999999996E-4</v>
      </c>
      <c r="D266" s="717">
        <v>6.7860000000000001E-4</v>
      </c>
      <c r="E266" s="718">
        <v>505438</v>
      </c>
      <c r="F266" s="718">
        <v>304552</v>
      </c>
      <c r="G266" s="718">
        <v>1407108</v>
      </c>
      <c r="H266" s="718"/>
      <c r="I266" s="719">
        <v>26437.125</v>
      </c>
      <c r="J266" s="719">
        <v>1233075</v>
      </c>
      <c r="K266" s="719">
        <v>96374</v>
      </c>
      <c r="L266" s="718">
        <v>293360</v>
      </c>
      <c r="M266" s="718"/>
      <c r="N266" s="719">
        <v>49307</v>
      </c>
      <c r="O266" s="719">
        <v>455122</v>
      </c>
      <c r="P266" s="719">
        <v>0</v>
      </c>
      <c r="Q266" s="718">
        <v>33924</v>
      </c>
      <c r="R266" s="719">
        <f t="shared" si="4"/>
        <v>777953</v>
      </c>
      <c r="S266" s="718"/>
      <c r="T266" s="719">
        <v>376099</v>
      </c>
      <c r="U266" s="721">
        <v>70124</v>
      </c>
      <c r="V266" s="721">
        <v>446224</v>
      </c>
    </row>
    <row r="267" spans="1:22" x14ac:dyDescent="0.25">
      <c r="A267" s="715">
        <v>92671</v>
      </c>
      <c r="B267" s="716" t="s">
        <v>2802</v>
      </c>
      <c r="C267" s="717">
        <v>2.9000000000000002E-6</v>
      </c>
      <c r="D267" s="717">
        <v>3.4999999999999999E-6</v>
      </c>
      <c r="E267" s="718">
        <v>4773.75</v>
      </c>
      <c r="F267" s="718">
        <v>1571</v>
      </c>
      <c r="G267" s="718">
        <v>6155</v>
      </c>
      <c r="H267" s="718"/>
      <c r="I267" s="719">
        <v>115.6375</v>
      </c>
      <c r="J267" s="719">
        <v>5394</v>
      </c>
      <c r="K267" s="719">
        <v>422</v>
      </c>
      <c r="L267" s="718">
        <v>4608</v>
      </c>
      <c r="M267" s="718"/>
      <c r="N267" s="719">
        <v>216</v>
      </c>
      <c r="O267" s="719">
        <v>1991</v>
      </c>
      <c r="P267" s="719">
        <v>0</v>
      </c>
      <c r="Q267" s="718">
        <v>0</v>
      </c>
      <c r="R267" s="719">
        <f t="shared" si="4"/>
        <v>3403</v>
      </c>
      <c r="S267" s="718"/>
      <c r="T267" s="719">
        <v>1645</v>
      </c>
      <c r="U267" s="721">
        <v>1438</v>
      </c>
      <c r="V267" s="721">
        <v>3083</v>
      </c>
    </row>
    <row r="268" spans="1:22" x14ac:dyDescent="0.25">
      <c r="A268" s="715">
        <v>92681</v>
      </c>
      <c r="B268" s="716" t="s">
        <v>2803</v>
      </c>
      <c r="C268" s="717">
        <v>1.01E-5</v>
      </c>
      <c r="D268" s="717">
        <v>5.4E-6</v>
      </c>
      <c r="E268" s="718">
        <v>9614</v>
      </c>
      <c r="F268" s="718">
        <v>2423</v>
      </c>
      <c r="G268" s="718">
        <v>21436</v>
      </c>
      <c r="H268" s="718"/>
      <c r="I268" s="719">
        <v>402.73750000000001</v>
      </c>
      <c r="J268" s="719">
        <v>18784</v>
      </c>
      <c r="K268" s="719">
        <v>1468</v>
      </c>
      <c r="L268" s="718">
        <v>11040</v>
      </c>
      <c r="M268" s="718"/>
      <c r="N268" s="719">
        <v>751</v>
      </c>
      <c r="O268" s="719">
        <v>6933</v>
      </c>
      <c r="P268" s="719">
        <v>0</v>
      </c>
      <c r="Q268" s="718">
        <v>0</v>
      </c>
      <c r="R268" s="719">
        <f t="shared" si="4"/>
        <v>11851</v>
      </c>
      <c r="S268" s="718"/>
      <c r="T268" s="719">
        <v>5729</v>
      </c>
      <c r="U268" s="721">
        <v>3452</v>
      </c>
      <c r="V268" s="721">
        <v>9181</v>
      </c>
    </row>
    <row r="269" spans="1:22" x14ac:dyDescent="0.25">
      <c r="A269" s="715">
        <v>92701</v>
      </c>
      <c r="B269" s="716" t="s">
        <v>2804</v>
      </c>
      <c r="C269" s="717">
        <v>2.9588000000000001E-3</v>
      </c>
      <c r="D269" s="717">
        <v>2.8249999999999998E-3</v>
      </c>
      <c r="E269" s="718">
        <v>1147170.26</v>
      </c>
      <c r="F269" s="718">
        <v>1267843</v>
      </c>
      <c r="G269" s="718">
        <v>6279565</v>
      </c>
      <c r="H269" s="718"/>
      <c r="I269" s="719">
        <v>117982</v>
      </c>
      <c r="J269" s="719">
        <v>5502901</v>
      </c>
      <c r="K269" s="719">
        <v>430094</v>
      </c>
      <c r="L269" s="718">
        <v>17190</v>
      </c>
      <c r="M269" s="718"/>
      <c r="N269" s="719">
        <v>220043</v>
      </c>
      <c r="O269" s="719">
        <v>2031092</v>
      </c>
      <c r="P269" s="719">
        <v>0</v>
      </c>
      <c r="Q269" s="718">
        <v>81579</v>
      </c>
      <c r="R269" s="719">
        <f t="shared" si="4"/>
        <v>3471809</v>
      </c>
      <c r="S269" s="718"/>
      <c r="T269" s="719">
        <v>1678436</v>
      </c>
      <c r="U269" s="721">
        <v>-34202</v>
      </c>
      <c r="V269" s="721">
        <v>1644234</v>
      </c>
    </row>
    <row r="270" spans="1:22" x14ac:dyDescent="0.25">
      <c r="A270" s="715">
        <v>92704</v>
      </c>
      <c r="B270" s="716" t="s">
        <v>2805</v>
      </c>
      <c r="C270" s="717">
        <v>4.7700000000000001E-5</v>
      </c>
      <c r="D270" s="717">
        <v>4.8000000000000001E-5</v>
      </c>
      <c r="E270" s="718">
        <v>17416.48</v>
      </c>
      <c r="F270" s="718">
        <v>21542</v>
      </c>
      <c r="G270" s="718">
        <v>101235</v>
      </c>
      <c r="H270" s="718"/>
      <c r="I270" s="719">
        <v>1902</v>
      </c>
      <c r="J270" s="719">
        <v>88714</v>
      </c>
      <c r="K270" s="719">
        <v>6934</v>
      </c>
      <c r="L270" s="718">
        <v>2418</v>
      </c>
      <c r="M270" s="718"/>
      <c r="N270" s="719">
        <v>3547</v>
      </c>
      <c r="O270" s="719">
        <v>32744</v>
      </c>
      <c r="P270" s="719">
        <v>0</v>
      </c>
      <c r="Q270" s="718">
        <v>1922</v>
      </c>
      <c r="R270" s="719">
        <f t="shared" si="4"/>
        <v>55970</v>
      </c>
      <c r="S270" s="718"/>
      <c r="T270" s="719">
        <v>27059</v>
      </c>
      <c r="U270" s="721">
        <v>357</v>
      </c>
      <c r="V270" s="721">
        <v>27415</v>
      </c>
    </row>
    <row r="271" spans="1:22" x14ac:dyDescent="0.25">
      <c r="A271" s="715">
        <v>92801</v>
      </c>
      <c r="B271" s="716" t="s">
        <v>2806</v>
      </c>
      <c r="C271" s="717">
        <v>5.1701000000000004E-3</v>
      </c>
      <c r="D271" s="717">
        <v>5.1633E-3</v>
      </c>
      <c r="E271" s="718">
        <v>2172949.21</v>
      </c>
      <c r="F271" s="718">
        <v>2317258</v>
      </c>
      <c r="G271" s="718">
        <v>10972684</v>
      </c>
      <c r="H271" s="718"/>
      <c r="I271" s="719">
        <v>206158</v>
      </c>
      <c r="J271" s="719">
        <v>9615569</v>
      </c>
      <c r="K271" s="719">
        <v>751531</v>
      </c>
      <c r="L271" s="718">
        <v>219271</v>
      </c>
      <c r="M271" s="718"/>
      <c r="N271" s="719">
        <v>384495</v>
      </c>
      <c r="O271" s="719">
        <v>3549057</v>
      </c>
      <c r="P271" s="719">
        <v>0</v>
      </c>
      <c r="Q271" s="718">
        <v>0</v>
      </c>
      <c r="R271" s="719">
        <f t="shared" si="4"/>
        <v>6066512</v>
      </c>
      <c r="S271" s="718"/>
      <c r="T271" s="719">
        <v>2932837</v>
      </c>
      <c r="U271" s="721">
        <v>78433</v>
      </c>
      <c r="V271" s="721">
        <v>3011270</v>
      </c>
    </row>
    <row r="272" spans="1:22" x14ac:dyDescent="0.25">
      <c r="A272" s="715">
        <v>92802</v>
      </c>
      <c r="B272" s="716" t="s">
        <v>2807</v>
      </c>
      <c r="C272" s="717">
        <v>1.3410000000000001E-4</v>
      </c>
      <c r="D272" s="717">
        <v>1.4359999999999999E-4</v>
      </c>
      <c r="E272" s="718">
        <v>49243.25</v>
      </c>
      <c r="F272" s="718">
        <v>64447</v>
      </c>
      <c r="G272" s="718">
        <v>284605</v>
      </c>
      <c r="H272" s="718"/>
      <c r="I272" s="719">
        <v>5347</v>
      </c>
      <c r="J272" s="719">
        <v>249405</v>
      </c>
      <c r="K272" s="719">
        <v>19493</v>
      </c>
      <c r="L272" s="718">
        <v>0</v>
      </c>
      <c r="M272" s="718"/>
      <c r="N272" s="719">
        <v>9973</v>
      </c>
      <c r="O272" s="719">
        <v>92054</v>
      </c>
      <c r="P272" s="719">
        <v>0</v>
      </c>
      <c r="Q272" s="718">
        <v>17052</v>
      </c>
      <c r="R272" s="719">
        <f t="shared" si="4"/>
        <v>157351</v>
      </c>
      <c r="S272" s="718"/>
      <c r="T272" s="719">
        <v>76071</v>
      </c>
      <c r="U272" s="721">
        <v>-5458</v>
      </c>
      <c r="V272" s="721">
        <v>70613</v>
      </c>
    </row>
    <row r="273" spans="1:22" x14ac:dyDescent="0.25">
      <c r="A273" s="715">
        <v>92804</v>
      </c>
      <c r="B273" s="716" t="s">
        <v>2808</v>
      </c>
      <c r="C273" s="717">
        <v>1.47E-4</v>
      </c>
      <c r="D273" s="717">
        <v>1.217E-4</v>
      </c>
      <c r="E273" s="718">
        <v>50468.480000000003</v>
      </c>
      <c r="F273" s="718">
        <v>54618</v>
      </c>
      <c r="G273" s="718">
        <v>311983</v>
      </c>
      <c r="H273" s="718"/>
      <c r="I273" s="719">
        <v>5861.625</v>
      </c>
      <c r="J273" s="719">
        <v>273397</v>
      </c>
      <c r="K273" s="719">
        <v>21368</v>
      </c>
      <c r="L273" s="718">
        <v>12672</v>
      </c>
      <c r="M273" s="718"/>
      <c r="N273" s="719">
        <v>10932</v>
      </c>
      <c r="O273" s="719">
        <v>100909</v>
      </c>
      <c r="P273" s="719">
        <v>0</v>
      </c>
      <c r="Q273" s="718">
        <v>2663</v>
      </c>
      <c r="R273" s="719">
        <f t="shared" si="4"/>
        <v>172488</v>
      </c>
      <c r="S273" s="718"/>
      <c r="T273" s="719">
        <v>83389</v>
      </c>
      <c r="U273" s="721">
        <v>2604</v>
      </c>
      <c r="V273" s="721">
        <v>85992</v>
      </c>
    </row>
    <row r="274" spans="1:22" x14ac:dyDescent="0.25">
      <c r="A274" s="715">
        <v>92811</v>
      </c>
      <c r="B274" s="716" t="s">
        <v>2809</v>
      </c>
      <c r="C274" s="717">
        <v>9.8569999999999994E-4</v>
      </c>
      <c r="D274" s="717">
        <v>1.1405E-3</v>
      </c>
      <c r="E274" s="718">
        <v>390969</v>
      </c>
      <c r="F274" s="718">
        <v>511850</v>
      </c>
      <c r="G274" s="718">
        <v>2091986</v>
      </c>
      <c r="H274" s="718"/>
      <c r="I274" s="719">
        <v>39305</v>
      </c>
      <c r="J274" s="719">
        <v>1833246</v>
      </c>
      <c r="K274" s="719">
        <v>143282</v>
      </c>
      <c r="L274" s="718">
        <v>0</v>
      </c>
      <c r="M274" s="718"/>
      <c r="N274" s="719">
        <v>73306</v>
      </c>
      <c r="O274" s="719">
        <v>676642</v>
      </c>
      <c r="P274" s="719">
        <v>0</v>
      </c>
      <c r="Q274" s="718">
        <v>118839</v>
      </c>
      <c r="R274" s="719">
        <f t="shared" si="4"/>
        <v>1156604</v>
      </c>
      <c r="S274" s="718"/>
      <c r="T274" s="719">
        <v>559157</v>
      </c>
      <c r="U274" s="721">
        <v>-36047</v>
      </c>
      <c r="V274" s="721">
        <v>523110</v>
      </c>
    </row>
    <row r="275" spans="1:22" x14ac:dyDescent="0.25">
      <c r="A275" s="715">
        <v>92821</v>
      </c>
      <c r="B275" s="716" t="s">
        <v>2810</v>
      </c>
      <c r="C275" s="717">
        <v>1.0139999999999999E-3</v>
      </c>
      <c r="D275" s="717">
        <v>9.8010000000000002E-4</v>
      </c>
      <c r="E275" s="718">
        <v>411903</v>
      </c>
      <c r="F275" s="718">
        <v>439863</v>
      </c>
      <c r="G275" s="718">
        <v>2152047.69</v>
      </c>
      <c r="H275" s="718"/>
      <c r="I275" s="719">
        <v>40433.25</v>
      </c>
      <c r="J275" s="719">
        <v>1885880</v>
      </c>
      <c r="K275" s="719">
        <v>147396</v>
      </c>
      <c r="L275" s="718">
        <v>27408</v>
      </c>
      <c r="M275" s="718"/>
      <c r="N275" s="719">
        <v>75410</v>
      </c>
      <c r="O275" s="719">
        <v>696068</v>
      </c>
      <c r="P275" s="719">
        <v>0</v>
      </c>
      <c r="Q275" s="718">
        <v>0</v>
      </c>
      <c r="R275" s="719">
        <f t="shared" si="4"/>
        <v>1189812</v>
      </c>
      <c r="S275" s="718"/>
      <c r="T275" s="719">
        <v>575211</v>
      </c>
      <c r="U275" s="721">
        <v>8904</v>
      </c>
      <c r="V275" s="721">
        <v>584115</v>
      </c>
    </row>
    <row r="276" spans="1:22" x14ac:dyDescent="0.25">
      <c r="A276" s="715">
        <v>92831</v>
      </c>
      <c r="B276" s="716" t="s">
        <v>2811</v>
      </c>
      <c r="C276" s="717">
        <v>2.476E-4</v>
      </c>
      <c r="D276" s="717">
        <v>2.4049999999999999E-4</v>
      </c>
      <c r="E276" s="718">
        <v>117070.46</v>
      </c>
      <c r="F276" s="718">
        <v>107935</v>
      </c>
      <c r="G276" s="718">
        <v>525490</v>
      </c>
      <c r="H276" s="718"/>
      <c r="I276" s="719">
        <v>9873</v>
      </c>
      <c r="J276" s="719">
        <v>460497</v>
      </c>
      <c r="K276" s="719">
        <v>35991</v>
      </c>
      <c r="L276" s="718">
        <v>29199</v>
      </c>
      <c r="M276" s="718"/>
      <c r="N276" s="719">
        <v>18414</v>
      </c>
      <c r="O276" s="719">
        <v>169967</v>
      </c>
      <c r="P276" s="719">
        <v>0</v>
      </c>
      <c r="Q276" s="718">
        <v>0</v>
      </c>
      <c r="R276" s="719">
        <f t="shared" si="4"/>
        <v>290530</v>
      </c>
      <c r="S276" s="718"/>
      <c r="T276" s="719">
        <v>140456</v>
      </c>
      <c r="U276" s="721">
        <v>10043</v>
      </c>
      <c r="V276" s="721">
        <v>150499</v>
      </c>
    </row>
    <row r="277" spans="1:22" x14ac:dyDescent="0.25">
      <c r="A277" s="715">
        <v>92841</v>
      </c>
      <c r="B277" s="716" t="s">
        <v>2812</v>
      </c>
      <c r="C277" s="717">
        <v>2.8160000000000001E-4</v>
      </c>
      <c r="D277" s="717">
        <v>2.7070000000000002E-4</v>
      </c>
      <c r="E277" s="718">
        <v>105224</v>
      </c>
      <c r="F277" s="718">
        <v>121489</v>
      </c>
      <c r="G277" s="718">
        <v>597650</v>
      </c>
      <c r="H277" s="718"/>
      <c r="I277" s="719">
        <v>11229</v>
      </c>
      <c r="J277" s="719">
        <v>523732</v>
      </c>
      <c r="K277" s="719">
        <v>40934</v>
      </c>
      <c r="L277" s="718">
        <v>11701.2</v>
      </c>
      <c r="M277" s="718"/>
      <c r="N277" s="719">
        <v>20942</v>
      </c>
      <c r="O277" s="719">
        <v>193307</v>
      </c>
      <c r="P277" s="719">
        <v>0</v>
      </c>
      <c r="Q277" s="718">
        <v>3120</v>
      </c>
      <c r="R277" s="719">
        <f t="shared" si="4"/>
        <v>330425</v>
      </c>
      <c r="S277" s="718"/>
      <c r="T277" s="719">
        <v>159743</v>
      </c>
      <c r="U277" s="721">
        <v>5013</v>
      </c>
      <c r="V277" s="721">
        <v>164756</v>
      </c>
    </row>
    <row r="278" spans="1:22" x14ac:dyDescent="0.25">
      <c r="A278" s="715">
        <v>92851</v>
      </c>
      <c r="B278" s="716" t="s">
        <v>2813</v>
      </c>
      <c r="C278" s="717">
        <v>4.3909999999999999E-4</v>
      </c>
      <c r="D278" s="717">
        <v>4.6690000000000002E-4</v>
      </c>
      <c r="E278" s="718">
        <v>157592</v>
      </c>
      <c r="F278" s="718">
        <v>209542</v>
      </c>
      <c r="G278" s="718">
        <v>931917</v>
      </c>
      <c r="H278" s="718"/>
      <c r="I278" s="719">
        <v>17509</v>
      </c>
      <c r="J278" s="719">
        <v>816657</v>
      </c>
      <c r="K278" s="719">
        <v>63828</v>
      </c>
      <c r="L278" s="718">
        <v>0</v>
      </c>
      <c r="M278" s="718"/>
      <c r="N278" s="719">
        <v>32655</v>
      </c>
      <c r="O278" s="719">
        <v>301424</v>
      </c>
      <c r="P278" s="719">
        <v>0</v>
      </c>
      <c r="Q278" s="718">
        <v>92000</v>
      </c>
      <c r="R278" s="719">
        <f t="shared" si="4"/>
        <v>515233</v>
      </c>
      <c r="S278" s="718"/>
      <c r="T278" s="719">
        <v>249088</v>
      </c>
      <c r="U278" s="721">
        <v>-34292</v>
      </c>
      <c r="V278" s="721">
        <v>214796</v>
      </c>
    </row>
    <row r="279" spans="1:22" x14ac:dyDescent="0.25">
      <c r="A279" s="715">
        <v>92861</v>
      </c>
      <c r="B279" s="716" t="s">
        <v>2814</v>
      </c>
      <c r="C279" s="717">
        <v>3.3629999999999999E-4</v>
      </c>
      <c r="D279" s="717">
        <v>3.7750000000000001E-4</v>
      </c>
      <c r="E279" s="718">
        <v>101705</v>
      </c>
      <c r="F279" s="718">
        <v>169420</v>
      </c>
      <c r="G279" s="718">
        <v>713741</v>
      </c>
      <c r="H279" s="718"/>
      <c r="I279" s="719">
        <v>13410</v>
      </c>
      <c r="J279" s="719">
        <v>625465</v>
      </c>
      <c r="K279" s="719">
        <v>48885</v>
      </c>
      <c r="L279" s="718">
        <v>0</v>
      </c>
      <c r="M279" s="718"/>
      <c r="N279" s="719">
        <v>25010</v>
      </c>
      <c r="O279" s="719">
        <v>230856</v>
      </c>
      <c r="P279" s="719">
        <v>0</v>
      </c>
      <c r="Q279" s="718">
        <v>96581</v>
      </c>
      <c r="R279" s="719">
        <f t="shared" si="4"/>
        <v>394609</v>
      </c>
      <c r="S279" s="718"/>
      <c r="T279" s="719">
        <v>190773</v>
      </c>
      <c r="U279" s="721">
        <v>-32224</v>
      </c>
      <c r="V279" s="721">
        <v>158549</v>
      </c>
    </row>
    <row r="280" spans="1:22" x14ac:dyDescent="0.25">
      <c r="A280" s="715">
        <v>92901</v>
      </c>
      <c r="B280" s="716" t="s">
        <v>2815</v>
      </c>
      <c r="C280" s="717">
        <v>5.7581000000000004E-3</v>
      </c>
      <c r="D280" s="717">
        <v>5.7428999999999996E-3</v>
      </c>
      <c r="E280" s="718">
        <v>2270581</v>
      </c>
      <c r="F280" s="718">
        <v>2577379</v>
      </c>
      <c r="G280" s="718">
        <v>12220617</v>
      </c>
      <c r="H280" s="718"/>
      <c r="I280" s="719">
        <v>229604</v>
      </c>
      <c r="J280" s="719">
        <v>10709156</v>
      </c>
      <c r="K280" s="719">
        <v>837003</v>
      </c>
      <c r="L280" s="718">
        <v>108561</v>
      </c>
      <c r="M280" s="718"/>
      <c r="N280" s="719">
        <v>428224</v>
      </c>
      <c r="O280" s="719">
        <v>3952694</v>
      </c>
      <c r="P280" s="719">
        <v>0</v>
      </c>
      <c r="Q280" s="718">
        <v>69123</v>
      </c>
      <c r="R280" s="719">
        <f t="shared" si="4"/>
        <v>6756462</v>
      </c>
      <c r="S280" s="718"/>
      <c r="T280" s="719">
        <v>3266392</v>
      </c>
      <c r="U280" s="721">
        <v>24956</v>
      </c>
      <c r="V280" s="721">
        <v>3291348</v>
      </c>
    </row>
    <row r="281" spans="1:22" x14ac:dyDescent="0.25">
      <c r="A281" s="715">
        <v>92911</v>
      </c>
      <c r="B281" s="716" t="s">
        <v>2816</v>
      </c>
      <c r="C281" s="717">
        <v>1.9442999999999999E-3</v>
      </c>
      <c r="D281" s="717">
        <v>2.0665000000000002E-3</v>
      </c>
      <c r="E281" s="718">
        <v>811710.22</v>
      </c>
      <c r="F281" s="718">
        <v>927433</v>
      </c>
      <c r="G281" s="718">
        <v>4126456</v>
      </c>
      <c r="H281" s="718"/>
      <c r="I281" s="719">
        <v>77529</v>
      </c>
      <c r="J281" s="719">
        <v>3616091</v>
      </c>
      <c r="K281" s="719">
        <v>282625</v>
      </c>
      <c r="L281" s="718">
        <v>0</v>
      </c>
      <c r="M281" s="718"/>
      <c r="N281" s="719">
        <v>144596</v>
      </c>
      <c r="O281" s="719">
        <v>1334680</v>
      </c>
      <c r="P281" s="719">
        <v>0</v>
      </c>
      <c r="Q281" s="718">
        <v>175676</v>
      </c>
      <c r="R281" s="719">
        <f t="shared" si="4"/>
        <v>2281411</v>
      </c>
      <c r="S281" s="718"/>
      <c r="T281" s="719">
        <v>1102941</v>
      </c>
      <c r="U281" s="721">
        <v>-62151</v>
      </c>
      <c r="V281" s="721">
        <v>1040790</v>
      </c>
    </row>
    <row r="282" spans="1:22" x14ac:dyDescent="0.25">
      <c r="A282" s="715">
        <v>92913</v>
      </c>
      <c r="B282" s="716" t="s">
        <v>2817</v>
      </c>
      <c r="C282" s="717">
        <v>2.37E-5</v>
      </c>
      <c r="D282" s="717">
        <v>2.97E-5</v>
      </c>
      <c r="E282" s="718">
        <v>56296.04</v>
      </c>
      <c r="F282" s="718">
        <v>13329</v>
      </c>
      <c r="G282" s="718">
        <v>50299</v>
      </c>
      <c r="H282" s="718"/>
      <c r="I282" s="719">
        <v>945.03750000000002</v>
      </c>
      <c r="J282" s="719">
        <v>44078</v>
      </c>
      <c r="K282" s="719">
        <v>3445</v>
      </c>
      <c r="L282" s="718">
        <v>60788</v>
      </c>
      <c r="M282" s="718"/>
      <c r="N282" s="719">
        <v>1763</v>
      </c>
      <c r="O282" s="719">
        <v>16269</v>
      </c>
      <c r="P282" s="719">
        <v>0</v>
      </c>
      <c r="Q282" s="718">
        <v>4115</v>
      </c>
      <c r="R282" s="719">
        <f t="shared" si="4"/>
        <v>27809</v>
      </c>
      <c r="S282" s="718"/>
      <c r="T282" s="719">
        <v>13444</v>
      </c>
      <c r="U282" s="721">
        <v>16266</v>
      </c>
      <c r="V282" s="721">
        <v>29711</v>
      </c>
    </row>
    <row r="283" spans="1:22" x14ac:dyDescent="0.25">
      <c r="A283" s="715">
        <v>92917</v>
      </c>
      <c r="B283" s="716" t="s">
        <v>2818</v>
      </c>
      <c r="C283" s="717">
        <v>2.0000000000000002E-5</v>
      </c>
      <c r="D283" s="717">
        <v>1.9599999999999999E-5</v>
      </c>
      <c r="E283" s="718">
        <v>15742</v>
      </c>
      <c r="F283" s="718">
        <v>8796</v>
      </c>
      <c r="G283" s="718">
        <v>42447</v>
      </c>
      <c r="H283" s="718"/>
      <c r="I283" s="719">
        <v>798</v>
      </c>
      <c r="J283" s="719">
        <v>37197</v>
      </c>
      <c r="K283" s="719">
        <v>2907</v>
      </c>
      <c r="L283" s="718">
        <v>14645</v>
      </c>
      <c r="M283" s="718"/>
      <c r="N283" s="719">
        <v>1487.38</v>
      </c>
      <c r="O283" s="719">
        <v>13729</v>
      </c>
      <c r="P283" s="719">
        <v>0</v>
      </c>
      <c r="Q283" s="718">
        <v>0</v>
      </c>
      <c r="R283" s="719">
        <f t="shared" si="4"/>
        <v>23468</v>
      </c>
      <c r="S283" s="718"/>
      <c r="T283" s="719">
        <v>11345</v>
      </c>
      <c r="U283" s="721">
        <v>5366</v>
      </c>
      <c r="V283" s="721">
        <v>16711</v>
      </c>
    </row>
    <row r="284" spans="1:22" x14ac:dyDescent="0.25">
      <c r="A284" s="715">
        <v>92921</v>
      </c>
      <c r="B284" s="716" t="s">
        <v>2819</v>
      </c>
      <c r="C284" s="717">
        <v>6.2899999999999997E-5</v>
      </c>
      <c r="D284" s="717">
        <v>8.1500000000000002E-5</v>
      </c>
      <c r="E284" s="718">
        <v>34231</v>
      </c>
      <c r="F284" s="718">
        <v>36577</v>
      </c>
      <c r="G284" s="718">
        <v>133495</v>
      </c>
      <c r="H284" s="718"/>
      <c r="I284" s="719">
        <v>2508</v>
      </c>
      <c r="J284" s="719">
        <v>116984</v>
      </c>
      <c r="K284" s="719">
        <v>9143</v>
      </c>
      <c r="L284" s="718">
        <v>0</v>
      </c>
      <c r="M284" s="718"/>
      <c r="N284" s="719">
        <v>4678</v>
      </c>
      <c r="O284" s="719">
        <v>43178</v>
      </c>
      <c r="P284" s="719">
        <v>0</v>
      </c>
      <c r="Q284" s="718">
        <v>14056</v>
      </c>
      <c r="R284" s="719">
        <f t="shared" si="4"/>
        <v>73806</v>
      </c>
      <c r="S284" s="718"/>
      <c r="T284" s="719">
        <v>35681</v>
      </c>
      <c r="U284" s="721">
        <v>-6225</v>
      </c>
      <c r="V284" s="721">
        <v>29456</v>
      </c>
    </row>
    <row r="285" spans="1:22" x14ac:dyDescent="0.25">
      <c r="A285" s="715">
        <v>92931</v>
      </c>
      <c r="B285" s="716" t="s">
        <v>2820</v>
      </c>
      <c r="C285" s="717">
        <v>2.5048000000000002E-3</v>
      </c>
      <c r="D285" s="717">
        <v>2.5463E-3</v>
      </c>
      <c r="E285" s="718">
        <v>948741</v>
      </c>
      <c r="F285" s="718">
        <v>1142764</v>
      </c>
      <c r="G285" s="718">
        <v>5316025</v>
      </c>
      <c r="H285" s="718"/>
      <c r="I285" s="719">
        <v>99879</v>
      </c>
      <c r="J285" s="719">
        <v>4658532</v>
      </c>
      <c r="K285" s="719">
        <v>364100</v>
      </c>
      <c r="L285" s="718">
        <v>15520</v>
      </c>
      <c r="M285" s="718"/>
      <c r="N285" s="719">
        <v>186279</v>
      </c>
      <c r="O285" s="719">
        <v>1719440</v>
      </c>
      <c r="P285" s="719">
        <v>0</v>
      </c>
      <c r="Q285" s="718">
        <v>116480</v>
      </c>
      <c r="R285" s="719">
        <f t="shared" si="4"/>
        <v>2939092</v>
      </c>
      <c r="S285" s="718"/>
      <c r="T285" s="719">
        <v>1420895</v>
      </c>
      <c r="U285" s="721">
        <v>-25186</v>
      </c>
      <c r="V285" s="721">
        <v>1395710</v>
      </c>
    </row>
    <row r="286" spans="1:22" x14ac:dyDescent="0.25">
      <c r="A286" s="715">
        <v>92941</v>
      </c>
      <c r="B286" s="716" t="s">
        <v>1420</v>
      </c>
      <c r="C286" s="717">
        <v>1.84E-5</v>
      </c>
      <c r="D286" s="717">
        <v>1.5999999999999999E-5</v>
      </c>
      <c r="E286" s="718">
        <v>7190</v>
      </c>
      <c r="F286" s="718">
        <v>7181</v>
      </c>
      <c r="G286" s="718">
        <v>39051</v>
      </c>
      <c r="H286" s="718"/>
      <c r="I286" s="719">
        <v>733.7</v>
      </c>
      <c r="J286" s="719">
        <v>34221</v>
      </c>
      <c r="K286" s="719">
        <v>2675</v>
      </c>
      <c r="L286" s="718">
        <v>10216</v>
      </c>
      <c r="M286" s="718"/>
      <c r="N286" s="719">
        <v>1368</v>
      </c>
      <c r="O286" s="719">
        <v>12631</v>
      </c>
      <c r="P286" s="719">
        <v>0</v>
      </c>
      <c r="Q286" s="718">
        <v>0</v>
      </c>
      <c r="R286" s="719">
        <f t="shared" si="4"/>
        <v>21590</v>
      </c>
      <c r="S286" s="718"/>
      <c r="T286" s="719">
        <v>10438</v>
      </c>
      <c r="U286" s="721">
        <v>3605</v>
      </c>
      <c r="V286" s="721">
        <v>14042</v>
      </c>
    </row>
    <row r="287" spans="1:22" x14ac:dyDescent="0.25">
      <c r="A287" s="715">
        <v>93001</v>
      </c>
      <c r="B287" s="716" t="s">
        <v>2821</v>
      </c>
      <c r="C287" s="717">
        <v>2.2739000000000001E-3</v>
      </c>
      <c r="D287" s="717">
        <v>2.2177999999999998E-3</v>
      </c>
      <c r="E287" s="718">
        <v>863907.18</v>
      </c>
      <c r="F287" s="718">
        <v>995335</v>
      </c>
      <c r="G287" s="718">
        <v>4825978</v>
      </c>
      <c r="H287" s="718"/>
      <c r="I287" s="719">
        <v>90672</v>
      </c>
      <c r="J287" s="719">
        <v>4229095</v>
      </c>
      <c r="K287" s="719">
        <v>330536</v>
      </c>
      <c r="L287" s="718">
        <v>13531</v>
      </c>
      <c r="M287" s="718"/>
      <c r="N287" s="719">
        <v>169108</v>
      </c>
      <c r="O287" s="719">
        <v>1560937</v>
      </c>
      <c r="P287" s="719">
        <v>0</v>
      </c>
      <c r="Q287" s="718">
        <v>103635</v>
      </c>
      <c r="R287" s="719">
        <f t="shared" si="4"/>
        <v>2668158</v>
      </c>
      <c r="S287" s="718"/>
      <c r="T287" s="719">
        <v>1289913</v>
      </c>
      <c r="U287" s="721">
        <v>-40908</v>
      </c>
      <c r="V287" s="721">
        <v>1249005</v>
      </c>
    </row>
    <row r="288" spans="1:22" x14ac:dyDescent="0.25">
      <c r="A288" s="715">
        <v>93009</v>
      </c>
      <c r="B288" s="716" t="s">
        <v>2822</v>
      </c>
      <c r="C288" s="717">
        <v>1.5400000000000002E-5</v>
      </c>
      <c r="D288" s="717">
        <v>1.6399999999999999E-5</v>
      </c>
      <c r="E288" s="718">
        <v>4865</v>
      </c>
      <c r="F288" s="718">
        <v>7360</v>
      </c>
      <c r="G288" s="718">
        <v>32684</v>
      </c>
      <c r="H288" s="718"/>
      <c r="I288" s="719">
        <v>614</v>
      </c>
      <c r="J288" s="719">
        <v>28642</v>
      </c>
      <c r="K288" s="719">
        <v>2239</v>
      </c>
      <c r="L288" s="718">
        <v>0</v>
      </c>
      <c r="M288" s="718"/>
      <c r="N288" s="719">
        <v>1145</v>
      </c>
      <c r="O288" s="719">
        <v>10571</v>
      </c>
      <c r="P288" s="719">
        <v>0</v>
      </c>
      <c r="Q288" s="718">
        <v>4210</v>
      </c>
      <c r="R288" s="719">
        <f t="shared" si="4"/>
        <v>18071</v>
      </c>
      <c r="S288" s="718"/>
      <c r="T288" s="719">
        <v>8736</v>
      </c>
      <c r="U288" s="721">
        <v>-1521</v>
      </c>
      <c r="V288" s="721">
        <v>7215</v>
      </c>
    </row>
    <row r="289" spans="1:22" x14ac:dyDescent="0.25">
      <c r="A289" s="715">
        <v>93011</v>
      </c>
      <c r="B289" s="716" t="s">
        <v>2823</v>
      </c>
      <c r="C289" s="717">
        <v>2.6160000000000002E-4</v>
      </c>
      <c r="D289" s="717">
        <v>2.9179999999999999E-4</v>
      </c>
      <c r="E289" s="718">
        <v>124242</v>
      </c>
      <c r="F289" s="718">
        <v>130958</v>
      </c>
      <c r="G289" s="718">
        <v>555203</v>
      </c>
      <c r="H289" s="718"/>
      <c r="I289" s="719">
        <v>10431</v>
      </c>
      <c r="J289" s="719">
        <v>486535</v>
      </c>
      <c r="K289" s="719">
        <v>38026</v>
      </c>
      <c r="L289" s="718">
        <v>2390</v>
      </c>
      <c r="M289" s="718"/>
      <c r="N289" s="719">
        <v>19455</v>
      </c>
      <c r="O289" s="719">
        <v>179577</v>
      </c>
      <c r="P289" s="719">
        <v>0</v>
      </c>
      <c r="Q289" s="718">
        <v>5043</v>
      </c>
      <c r="R289" s="719">
        <f t="shared" si="4"/>
        <v>306958</v>
      </c>
      <c r="S289" s="718"/>
      <c r="T289" s="719">
        <v>148398</v>
      </c>
      <c r="U289" s="721">
        <v>-926</v>
      </c>
      <c r="V289" s="721">
        <v>147472</v>
      </c>
    </row>
    <row r="290" spans="1:22" x14ac:dyDescent="0.25">
      <c r="A290" s="715">
        <v>93021</v>
      </c>
      <c r="B290" s="716" t="s">
        <v>2824</v>
      </c>
      <c r="C290" s="717">
        <v>2.8900000000000001E-5</v>
      </c>
      <c r="D290" s="717">
        <v>3.7200000000000003E-5</v>
      </c>
      <c r="E290" s="718">
        <v>9086</v>
      </c>
      <c r="F290" s="718">
        <v>16695</v>
      </c>
      <c r="G290" s="718">
        <v>61335</v>
      </c>
      <c r="H290" s="718"/>
      <c r="I290" s="719">
        <v>1152.3875</v>
      </c>
      <c r="J290" s="719">
        <v>53749</v>
      </c>
      <c r="K290" s="719">
        <v>4201</v>
      </c>
      <c r="L290" s="718">
        <v>4054</v>
      </c>
      <c r="M290" s="718"/>
      <c r="N290" s="719">
        <v>2149</v>
      </c>
      <c r="O290" s="719">
        <v>19839</v>
      </c>
      <c r="P290" s="719">
        <v>0</v>
      </c>
      <c r="Q290" s="718">
        <v>6719</v>
      </c>
      <c r="R290" s="719">
        <f t="shared" si="4"/>
        <v>33910</v>
      </c>
      <c r="S290" s="718"/>
      <c r="T290" s="719">
        <v>16394</v>
      </c>
      <c r="U290" s="721">
        <v>-87</v>
      </c>
      <c r="V290" s="721">
        <v>16307</v>
      </c>
    </row>
    <row r="291" spans="1:22" x14ac:dyDescent="0.25">
      <c r="A291" s="715">
        <v>93027</v>
      </c>
      <c r="B291" s="716" t="s">
        <v>2825</v>
      </c>
      <c r="C291" s="717">
        <v>1.6699999999999999E-5</v>
      </c>
      <c r="D291" s="717">
        <v>1.49E-5</v>
      </c>
      <c r="E291" s="718">
        <v>6777</v>
      </c>
      <c r="F291" s="718">
        <v>6687</v>
      </c>
      <c r="G291" s="718">
        <v>35443</v>
      </c>
      <c r="H291" s="718"/>
      <c r="I291" s="719">
        <v>665.91250000000002</v>
      </c>
      <c r="J291" s="719">
        <v>31059</v>
      </c>
      <c r="K291" s="719">
        <v>2428</v>
      </c>
      <c r="L291" s="718">
        <v>903</v>
      </c>
      <c r="M291" s="718"/>
      <c r="N291" s="719">
        <v>1242</v>
      </c>
      <c r="O291" s="719">
        <v>11464</v>
      </c>
      <c r="P291" s="719">
        <v>0</v>
      </c>
      <c r="Q291" s="718">
        <v>1496</v>
      </c>
      <c r="R291" s="719">
        <f t="shared" si="4"/>
        <v>19595</v>
      </c>
      <c r="S291" s="718"/>
      <c r="T291" s="719">
        <v>9473</v>
      </c>
      <c r="U291" s="721">
        <v>-429</v>
      </c>
      <c r="V291" s="721">
        <v>9045</v>
      </c>
    </row>
    <row r="292" spans="1:22" x14ac:dyDescent="0.25">
      <c r="A292" s="715">
        <v>93031</v>
      </c>
      <c r="B292" s="716" t="s">
        <v>2826</v>
      </c>
      <c r="C292" s="717">
        <v>2.2399999999999999E-5</v>
      </c>
      <c r="D292" s="717">
        <v>1.4399999999999999E-5</v>
      </c>
      <c r="E292" s="718">
        <v>20149</v>
      </c>
      <c r="F292" s="718">
        <v>6463</v>
      </c>
      <c r="G292" s="718">
        <v>47540</v>
      </c>
      <c r="H292" s="718"/>
      <c r="I292" s="719">
        <v>893</v>
      </c>
      <c r="J292" s="719">
        <v>41660</v>
      </c>
      <c r="K292" s="719">
        <v>3256</v>
      </c>
      <c r="L292" s="718">
        <v>15165</v>
      </c>
      <c r="M292" s="718"/>
      <c r="N292" s="719">
        <v>1666</v>
      </c>
      <c r="O292" s="719">
        <v>15377</v>
      </c>
      <c r="P292" s="719">
        <v>0</v>
      </c>
      <c r="Q292" s="718">
        <v>444</v>
      </c>
      <c r="R292" s="719">
        <f t="shared" si="4"/>
        <v>26283</v>
      </c>
      <c r="S292" s="718"/>
      <c r="T292" s="719">
        <v>12707</v>
      </c>
      <c r="U292" s="721">
        <v>3911</v>
      </c>
      <c r="V292" s="721">
        <v>16617</v>
      </c>
    </row>
    <row r="293" spans="1:22" x14ac:dyDescent="0.25">
      <c r="A293" s="715">
        <v>93101</v>
      </c>
      <c r="B293" s="716" t="s">
        <v>2827</v>
      </c>
      <c r="C293" s="717">
        <v>3.5771000000000002E-3</v>
      </c>
      <c r="D293" s="717">
        <v>3.2972000000000001E-3</v>
      </c>
      <c r="E293" s="718">
        <v>1332692</v>
      </c>
      <c r="F293" s="718">
        <v>1479764</v>
      </c>
      <c r="G293" s="718">
        <v>7591805</v>
      </c>
      <c r="H293" s="718"/>
      <c r="I293" s="719">
        <v>142637</v>
      </c>
      <c r="J293" s="719">
        <v>6652841</v>
      </c>
      <c r="K293" s="719">
        <v>519971</v>
      </c>
      <c r="L293" s="718">
        <v>172542</v>
      </c>
      <c r="M293" s="718"/>
      <c r="N293" s="719">
        <v>266025</v>
      </c>
      <c r="O293" s="719">
        <v>2455529</v>
      </c>
      <c r="P293" s="719">
        <v>0</v>
      </c>
      <c r="Q293" s="718">
        <v>0</v>
      </c>
      <c r="R293" s="719">
        <f t="shared" si="4"/>
        <v>4197312</v>
      </c>
      <c r="S293" s="718"/>
      <c r="T293" s="719">
        <v>2029178</v>
      </c>
      <c r="U293" s="721">
        <v>68285</v>
      </c>
      <c r="V293" s="721">
        <v>2097463</v>
      </c>
    </row>
    <row r="294" spans="1:22" x14ac:dyDescent="0.25">
      <c r="A294" s="715">
        <v>93103</v>
      </c>
      <c r="B294" s="716" t="s">
        <v>2096</v>
      </c>
      <c r="C294" s="717">
        <v>1.7200000000000001E-5</v>
      </c>
      <c r="D294" s="717">
        <v>0</v>
      </c>
      <c r="E294" s="718">
        <v>5178.82</v>
      </c>
      <c r="F294" s="718">
        <v>0</v>
      </c>
      <c r="G294" s="718">
        <v>36504</v>
      </c>
      <c r="H294" s="718"/>
      <c r="I294" s="719">
        <v>685.85</v>
      </c>
      <c r="J294" s="719">
        <v>31989</v>
      </c>
      <c r="K294" s="719">
        <v>2500</v>
      </c>
      <c r="L294" s="718">
        <v>9253</v>
      </c>
      <c r="M294" s="718"/>
      <c r="N294" s="719">
        <v>1279</v>
      </c>
      <c r="O294" s="719">
        <v>11807</v>
      </c>
      <c r="P294" s="719">
        <v>0</v>
      </c>
      <c r="Q294" s="718">
        <v>0</v>
      </c>
      <c r="R294" s="719">
        <f t="shared" si="4"/>
        <v>20182</v>
      </c>
      <c r="S294" s="718"/>
      <c r="T294" s="719">
        <v>9757</v>
      </c>
      <c r="U294" s="721">
        <v>2535</v>
      </c>
      <c r="V294" s="721">
        <v>12292</v>
      </c>
    </row>
    <row r="295" spans="1:22" x14ac:dyDescent="0.25">
      <c r="A295" s="715">
        <v>93108</v>
      </c>
      <c r="B295" s="716" t="s">
        <v>2828</v>
      </c>
      <c r="C295" s="717">
        <v>2.5661999999999998E-3</v>
      </c>
      <c r="D295" s="717">
        <v>2.4540999999999999E-3</v>
      </c>
      <c r="E295" s="718">
        <v>1060595</v>
      </c>
      <c r="F295" s="718">
        <v>1101385</v>
      </c>
      <c r="G295" s="718">
        <v>5446336</v>
      </c>
      <c r="H295" s="718"/>
      <c r="I295" s="719">
        <v>102327</v>
      </c>
      <c r="J295" s="719">
        <v>4772727</v>
      </c>
      <c r="K295" s="719">
        <v>373025</v>
      </c>
      <c r="L295" s="718">
        <v>417043</v>
      </c>
      <c r="M295" s="718"/>
      <c r="N295" s="719">
        <v>190846</v>
      </c>
      <c r="O295" s="719">
        <v>1761589</v>
      </c>
      <c r="P295" s="719">
        <v>0</v>
      </c>
      <c r="Q295" s="718">
        <v>0</v>
      </c>
      <c r="R295" s="719">
        <f t="shared" si="4"/>
        <v>3011138</v>
      </c>
      <c r="S295" s="718"/>
      <c r="T295" s="719">
        <v>1455726</v>
      </c>
      <c r="U295" s="721">
        <v>180256</v>
      </c>
      <c r="V295" s="721">
        <v>1635982</v>
      </c>
    </row>
    <row r="296" spans="1:22" x14ac:dyDescent="0.25">
      <c r="A296" s="715">
        <v>93111</v>
      </c>
      <c r="B296" s="716" t="s">
        <v>2829</v>
      </c>
      <c r="C296" s="717">
        <v>7.08E-5</v>
      </c>
      <c r="D296" s="717">
        <v>7.3700000000000002E-5</v>
      </c>
      <c r="E296" s="718">
        <v>24671.1</v>
      </c>
      <c r="F296" s="718">
        <v>33076</v>
      </c>
      <c r="G296" s="718">
        <v>150261</v>
      </c>
      <c r="H296" s="718"/>
      <c r="I296" s="719">
        <v>2823.15</v>
      </c>
      <c r="J296" s="719">
        <v>131677</v>
      </c>
      <c r="K296" s="719">
        <v>10292</v>
      </c>
      <c r="L296" s="718">
        <v>0</v>
      </c>
      <c r="M296" s="718"/>
      <c r="N296" s="719">
        <v>5265</v>
      </c>
      <c r="O296" s="719">
        <v>48601</v>
      </c>
      <c r="P296" s="719">
        <v>0</v>
      </c>
      <c r="Q296" s="718">
        <v>10981</v>
      </c>
      <c r="R296" s="719">
        <f t="shared" si="4"/>
        <v>83076</v>
      </c>
      <c r="S296" s="718"/>
      <c r="T296" s="719">
        <v>40163</v>
      </c>
      <c r="U296" s="721">
        <v>-3536</v>
      </c>
      <c r="V296" s="721">
        <v>36626</v>
      </c>
    </row>
    <row r="297" spans="1:22" x14ac:dyDescent="0.25">
      <c r="A297" s="715">
        <v>93121</v>
      </c>
      <c r="B297" s="716" t="s">
        <v>2830</v>
      </c>
      <c r="C297" s="717">
        <v>5.8900000000000002E-5</v>
      </c>
      <c r="D297" s="717">
        <v>7.4900000000000005E-5</v>
      </c>
      <c r="E297" s="718">
        <v>22115</v>
      </c>
      <c r="F297" s="718">
        <v>33615</v>
      </c>
      <c r="G297" s="718">
        <v>125006</v>
      </c>
      <c r="H297" s="718"/>
      <c r="I297" s="719">
        <v>2349</v>
      </c>
      <c r="J297" s="719">
        <v>109545</v>
      </c>
      <c r="K297" s="719">
        <v>8562</v>
      </c>
      <c r="L297" s="718">
        <v>0</v>
      </c>
      <c r="M297" s="718"/>
      <c r="N297" s="719">
        <v>4380</v>
      </c>
      <c r="O297" s="719">
        <v>40432</v>
      </c>
      <c r="P297" s="719">
        <v>0</v>
      </c>
      <c r="Q297" s="718">
        <v>13122</v>
      </c>
      <c r="R297" s="719">
        <f t="shared" si="4"/>
        <v>69113</v>
      </c>
      <c r="S297" s="718"/>
      <c r="T297" s="719">
        <v>33412</v>
      </c>
      <c r="U297" s="721">
        <v>-4063</v>
      </c>
      <c r="V297" s="721">
        <v>29349</v>
      </c>
    </row>
    <row r="298" spans="1:22" x14ac:dyDescent="0.25">
      <c r="A298" s="715">
        <v>93127</v>
      </c>
      <c r="B298" s="716" t="s">
        <v>2831</v>
      </c>
      <c r="C298" s="717">
        <v>6.8000000000000001E-6</v>
      </c>
      <c r="D298" s="717">
        <v>7.7999999999999999E-6</v>
      </c>
      <c r="E298" s="718">
        <v>2815</v>
      </c>
      <c r="F298" s="718">
        <v>3501</v>
      </c>
      <c r="G298" s="718">
        <v>14432</v>
      </c>
      <c r="H298" s="718"/>
      <c r="I298" s="719">
        <v>271</v>
      </c>
      <c r="J298" s="719">
        <v>12647</v>
      </c>
      <c r="K298" s="719">
        <v>988</v>
      </c>
      <c r="L298" s="718">
        <v>0</v>
      </c>
      <c r="M298" s="718"/>
      <c r="N298" s="719">
        <v>506</v>
      </c>
      <c r="O298" s="719">
        <v>4668</v>
      </c>
      <c r="P298" s="719">
        <v>0</v>
      </c>
      <c r="Q298" s="718">
        <v>1132</v>
      </c>
      <c r="R298" s="719">
        <f t="shared" si="4"/>
        <v>7979</v>
      </c>
      <c r="S298" s="718"/>
      <c r="T298" s="719">
        <v>3857</v>
      </c>
      <c r="U298" s="721">
        <v>-400</v>
      </c>
      <c r="V298" s="721">
        <v>3457</v>
      </c>
    </row>
    <row r="299" spans="1:22" x14ac:dyDescent="0.25">
      <c r="A299" s="715">
        <v>93131</v>
      </c>
      <c r="B299" s="716" t="s">
        <v>2832</v>
      </c>
      <c r="C299" s="717">
        <v>2.3939999999999999E-4</v>
      </c>
      <c r="D299" s="717">
        <v>2.3680000000000001E-4</v>
      </c>
      <c r="E299" s="718">
        <v>88660</v>
      </c>
      <c r="F299" s="718">
        <v>106274</v>
      </c>
      <c r="G299" s="718">
        <v>508087</v>
      </c>
      <c r="H299" s="718"/>
      <c r="I299" s="719">
        <v>9546</v>
      </c>
      <c r="J299" s="719">
        <v>445246</v>
      </c>
      <c r="K299" s="719">
        <v>34799</v>
      </c>
      <c r="L299" s="718">
        <v>13305</v>
      </c>
      <c r="M299" s="718"/>
      <c r="N299" s="719">
        <v>17804</v>
      </c>
      <c r="O299" s="719">
        <v>164338</v>
      </c>
      <c r="P299" s="719">
        <v>0</v>
      </c>
      <c r="Q299" s="718">
        <v>6369</v>
      </c>
      <c r="R299" s="719">
        <f t="shared" si="4"/>
        <v>280908</v>
      </c>
      <c r="S299" s="718"/>
      <c r="T299" s="719">
        <v>135804</v>
      </c>
      <c r="U299" s="721">
        <v>3767</v>
      </c>
      <c r="V299" s="721">
        <v>139571</v>
      </c>
    </row>
    <row r="300" spans="1:22" x14ac:dyDescent="0.25">
      <c r="A300" s="715">
        <v>93137</v>
      </c>
      <c r="B300" s="716" t="s">
        <v>2833</v>
      </c>
      <c r="C300" s="717">
        <v>1.9E-6</v>
      </c>
      <c r="D300" s="717">
        <v>2.0999999999999998E-6</v>
      </c>
      <c r="E300" s="718">
        <v>1987</v>
      </c>
      <c r="F300" s="718">
        <v>942</v>
      </c>
      <c r="G300" s="718">
        <v>4032</v>
      </c>
      <c r="H300" s="718"/>
      <c r="I300" s="719">
        <v>75.762500000000003</v>
      </c>
      <c r="J300" s="719">
        <v>3534</v>
      </c>
      <c r="K300" s="719">
        <v>276</v>
      </c>
      <c r="L300" s="718">
        <v>1359</v>
      </c>
      <c r="M300" s="718"/>
      <c r="N300" s="719">
        <v>141</v>
      </c>
      <c r="O300" s="719">
        <v>1304</v>
      </c>
      <c r="P300" s="719">
        <v>0</v>
      </c>
      <c r="Q300" s="718">
        <v>0</v>
      </c>
      <c r="R300" s="719">
        <f t="shared" si="4"/>
        <v>2230</v>
      </c>
      <c r="S300" s="718"/>
      <c r="T300" s="719">
        <v>1078</v>
      </c>
      <c r="U300" s="721">
        <v>401</v>
      </c>
      <c r="V300" s="721">
        <v>1479</v>
      </c>
    </row>
    <row r="301" spans="1:22" x14ac:dyDescent="0.25">
      <c r="A301" s="715">
        <v>93141</v>
      </c>
      <c r="B301" s="716" t="s">
        <v>2834</v>
      </c>
      <c r="C301" s="717">
        <v>4.5500000000000001E-5</v>
      </c>
      <c r="D301" s="717">
        <v>4.3399999999999998E-5</v>
      </c>
      <c r="E301" s="718">
        <v>16495.23</v>
      </c>
      <c r="F301" s="718">
        <v>19478</v>
      </c>
      <c r="G301" s="718">
        <v>96566</v>
      </c>
      <c r="H301" s="718"/>
      <c r="I301" s="719">
        <v>1814.3125</v>
      </c>
      <c r="J301" s="719">
        <v>84623</v>
      </c>
      <c r="K301" s="719">
        <v>6614</v>
      </c>
      <c r="L301" s="718">
        <v>4186.96</v>
      </c>
      <c r="M301" s="718"/>
      <c r="N301" s="719">
        <v>3384</v>
      </c>
      <c r="O301" s="719">
        <v>31234</v>
      </c>
      <c r="P301" s="719">
        <v>0</v>
      </c>
      <c r="Q301" s="718">
        <v>3505</v>
      </c>
      <c r="R301" s="719">
        <f t="shared" si="4"/>
        <v>53389</v>
      </c>
      <c r="S301" s="718"/>
      <c r="T301" s="719">
        <v>25811</v>
      </c>
      <c r="U301" s="721">
        <v>920</v>
      </c>
      <c r="V301" s="721">
        <v>26731</v>
      </c>
    </row>
    <row r="302" spans="1:22" x14ac:dyDescent="0.25">
      <c r="A302" s="715">
        <v>93151</v>
      </c>
      <c r="B302" s="716" t="s">
        <v>2835</v>
      </c>
      <c r="C302" s="717">
        <v>3.6539999999999999E-4</v>
      </c>
      <c r="D302" s="717">
        <v>3.524E-4</v>
      </c>
      <c r="E302" s="718">
        <v>137522.13</v>
      </c>
      <c r="F302" s="718">
        <v>158155</v>
      </c>
      <c r="G302" s="718">
        <v>775501</v>
      </c>
      <c r="H302" s="718"/>
      <c r="I302" s="719">
        <v>14570</v>
      </c>
      <c r="J302" s="719">
        <v>679586</v>
      </c>
      <c r="K302" s="719">
        <v>53115</v>
      </c>
      <c r="L302" s="718">
        <v>5881</v>
      </c>
      <c r="M302" s="718"/>
      <c r="N302" s="719">
        <v>27174</v>
      </c>
      <c r="O302" s="719">
        <v>250832</v>
      </c>
      <c r="P302" s="719">
        <v>0</v>
      </c>
      <c r="Q302" s="718">
        <v>6297</v>
      </c>
      <c r="R302" s="719">
        <f t="shared" si="4"/>
        <v>428754</v>
      </c>
      <c r="S302" s="718"/>
      <c r="T302" s="719">
        <v>207280</v>
      </c>
      <c r="U302" s="721">
        <v>-329</v>
      </c>
      <c r="V302" s="721">
        <v>206951</v>
      </c>
    </row>
    <row r="303" spans="1:22" x14ac:dyDescent="0.25">
      <c r="A303" s="715">
        <v>93157</v>
      </c>
      <c r="B303" s="716" t="s">
        <v>2836</v>
      </c>
      <c r="C303" s="717">
        <v>3.8E-6</v>
      </c>
      <c r="D303" s="717">
        <v>2.3999999999999999E-6</v>
      </c>
      <c r="E303" s="718">
        <v>4368.87</v>
      </c>
      <c r="F303" s="718">
        <v>1077</v>
      </c>
      <c r="G303" s="718">
        <v>8065</v>
      </c>
      <c r="H303" s="718"/>
      <c r="I303" s="719">
        <v>151.52500000000001</v>
      </c>
      <c r="J303" s="719">
        <v>7067</v>
      </c>
      <c r="K303" s="719">
        <v>552</v>
      </c>
      <c r="L303" s="718">
        <v>5676</v>
      </c>
      <c r="M303" s="718"/>
      <c r="N303" s="719">
        <v>283</v>
      </c>
      <c r="O303" s="719">
        <v>2609</v>
      </c>
      <c r="P303" s="719">
        <v>0</v>
      </c>
      <c r="Q303" s="718">
        <v>526</v>
      </c>
      <c r="R303" s="719">
        <f t="shared" si="4"/>
        <v>4458</v>
      </c>
      <c r="S303" s="718"/>
      <c r="T303" s="719">
        <v>2156</v>
      </c>
      <c r="U303" s="721">
        <v>1938</v>
      </c>
      <c r="V303" s="721">
        <v>4094</v>
      </c>
    </row>
    <row r="304" spans="1:22" x14ac:dyDescent="0.25">
      <c r="A304" s="715">
        <v>93161</v>
      </c>
      <c r="B304" s="716" t="s">
        <v>2837</v>
      </c>
      <c r="C304" s="717">
        <v>6.2500000000000001E-5</v>
      </c>
      <c r="D304" s="717">
        <v>7.4400000000000006E-5</v>
      </c>
      <c r="E304" s="718">
        <v>37835</v>
      </c>
      <c r="F304" s="718">
        <v>33390</v>
      </c>
      <c r="G304" s="718">
        <v>132646</v>
      </c>
      <c r="H304" s="718"/>
      <c r="I304" s="719">
        <v>2492.1875</v>
      </c>
      <c r="J304" s="719">
        <v>116240</v>
      </c>
      <c r="K304" s="719">
        <v>9085.0625</v>
      </c>
      <c r="L304" s="718">
        <v>14075</v>
      </c>
      <c r="M304" s="718"/>
      <c r="N304" s="719">
        <v>4648.0625</v>
      </c>
      <c r="O304" s="719">
        <v>42903.625</v>
      </c>
      <c r="P304" s="719">
        <v>0</v>
      </c>
      <c r="Q304" s="718">
        <v>0</v>
      </c>
      <c r="R304" s="719">
        <f t="shared" si="4"/>
        <v>73336</v>
      </c>
      <c r="S304" s="718"/>
      <c r="T304" s="719">
        <v>35454</v>
      </c>
      <c r="U304" s="721">
        <v>6018</v>
      </c>
      <c r="V304" s="721">
        <v>41472</v>
      </c>
    </row>
    <row r="305" spans="1:22" x14ac:dyDescent="0.25">
      <c r="A305" s="715">
        <v>93171</v>
      </c>
      <c r="B305" s="716" t="s">
        <v>2838</v>
      </c>
      <c r="C305" s="717">
        <v>5.8000000000000004E-6</v>
      </c>
      <c r="D305" s="717">
        <v>6.1999999999999999E-6</v>
      </c>
      <c r="E305" s="718">
        <v>3824</v>
      </c>
      <c r="F305" s="718">
        <v>2783</v>
      </c>
      <c r="G305" s="718">
        <v>12310</v>
      </c>
      <c r="H305" s="718"/>
      <c r="I305" s="719">
        <v>231.27500000000001</v>
      </c>
      <c r="J305" s="719">
        <v>10787</v>
      </c>
      <c r="K305" s="719">
        <v>843</v>
      </c>
      <c r="L305" s="718">
        <v>1752</v>
      </c>
      <c r="M305" s="718"/>
      <c r="N305" s="719">
        <v>431</v>
      </c>
      <c r="O305" s="719">
        <v>3981</v>
      </c>
      <c r="P305" s="719">
        <v>0</v>
      </c>
      <c r="Q305" s="718">
        <v>0</v>
      </c>
      <c r="R305" s="719">
        <f t="shared" si="4"/>
        <v>6806</v>
      </c>
      <c r="S305" s="718"/>
      <c r="T305" s="719">
        <v>3290</v>
      </c>
      <c r="U305" s="721">
        <v>591</v>
      </c>
      <c r="V305" s="721">
        <v>3881</v>
      </c>
    </row>
    <row r="306" spans="1:22" x14ac:dyDescent="0.25">
      <c r="A306" s="715">
        <v>93181</v>
      </c>
      <c r="B306" s="716" t="s">
        <v>2839</v>
      </c>
      <c r="C306" s="717">
        <v>1.1E-5</v>
      </c>
      <c r="D306" s="717">
        <v>1.0499999999999999E-5</v>
      </c>
      <c r="E306" s="718">
        <v>4374</v>
      </c>
      <c r="F306" s="718">
        <v>4712</v>
      </c>
      <c r="G306" s="718">
        <v>23346</v>
      </c>
      <c r="H306" s="718"/>
      <c r="I306" s="719">
        <v>438.625</v>
      </c>
      <c r="J306" s="719">
        <v>20458</v>
      </c>
      <c r="K306" s="719">
        <v>1599</v>
      </c>
      <c r="L306" s="718">
        <v>743</v>
      </c>
      <c r="M306" s="718"/>
      <c r="N306" s="719">
        <v>818</v>
      </c>
      <c r="O306" s="719">
        <v>7551</v>
      </c>
      <c r="P306" s="719">
        <v>0</v>
      </c>
      <c r="Q306" s="718">
        <v>44</v>
      </c>
      <c r="R306" s="719">
        <f t="shared" si="4"/>
        <v>12907</v>
      </c>
      <c r="S306" s="718"/>
      <c r="T306" s="719">
        <v>6240</v>
      </c>
      <c r="U306" s="721">
        <v>321</v>
      </c>
      <c r="V306" s="721">
        <v>6561</v>
      </c>
    </row>
    <row r="307" spans="1:22" x14ac:dyDescent="0.25">
      <c r="A307" s="715">
        <v>93191</v>
      </c>
      <c r="B307" s="716" t="s">
        <v>2840</v>
      </c>
      <c r="C307" s="717">
        <v>3.3000000000000003E-5</v>
      </c>
      <c r="D307" s="717">
        <v>3.65E-5</v>
      </c>
      <c r="E307" s="718">
        <v>16020</v>
      </c>
      <c r="F307" s="718">
        <v>16381</v>
      </c>
      <c r="G307" s="718">
        <v>70037</v>
      </c>
      <c r="H307" s="718"/>
      <c r="I307" s="719">
        <v>1315.875</v>
      </c>
      <c r="J307" s="719">
        <v>61375</v>
      </c>
      <c r="K307" s="719">
        <v>4797</v>
      </c>
      <c r="L307" s="718">
        <v>2648</v>
      </c>
      <c r="M307" s="718"/>
      <c r="N307" s="719">
        <v>2454</v>
      </c>
      <c r="O307" s="719">
        <v>22653</v>
      </c>
      <c r="P307" s="719">
        <v>0</v>
      </c>
      <c r="Q307" s="718">
        <v>1301.46</v>
      </c>
      <c r="R307" s="719">
        <f t="shared" si="4"/>
        <v>38722</v>
      </c>
      <c r="S307" s="718"/>
      <c r="T307" s="719">
        <v>18720</v>
      </c>
      <c r="U307" s="721">
        <v>280</v>
      </c>
      <c r="V307" s="721">
        <v>19000</v>
      </c>
    </row>
    <row r="308" spans="1:22" x14ac:dyDescent="0.25">
      <c r="A308" s="715">
        <v>93201</v>
      </c>
      <c r="B308" s="716" t="s">
        <v>2841</v>
      </c>
      <c r="C308" s="717">
        <v>1.5819699999999999E-2</v>
      </c>
      <c r="D308" s="717">
        <v>1.50364E-2</v>
      </c>
      <c r="E308" s="718">
        <v>6525567</v>
      </c>
      <c r="F308" s="718">
        <v>6748246</v>
      </c>
      <c r="G308" s="718">
        <v>33574703</v>
      </c>
      <c r="H308" s="718"/>
      <c r="I308" s="719">
        <v>630811</v>
      </c>
      <c r="J308" s="719">
        <v>29422142</v>
      </c>
      <c r="K308" s="719">
        <v>2299567</v>
      </c>
      <c r="L308" s="718">
        <v>1259115</v>
      </c>
      <c r="M308" s="718"/>
      <c r="N308" s="719">
        <v>1176495</v>
      </c>
      <c r="O308" s="719">
        <v>10859560</v>
      </c>
      <c r="P308" s="719">
        <v>0</v>
      </c>
      <c r="Q308" s="718">
        <v>0</v>
      </c>
      <c r="R308" s="719">
        <f t="shared" si="4"/>
        <v>18562582</v>
      </c>
      <c r="S308" s="718"/>
      <c r="T308" s="719">
        <v>8974025</v>
      </c>
      <c r="U308" s="721">
        <v>449569</v>
      </c>
      <c r="V308" s="721">
        <v>9423595</v>
      </c>
    </row>
    <row r="309" spans="1:22" x14ac:dyDescent="0.25">
      <c r="A309" s="715">
        <v>93202</v>
      </c>
      <c r="B309" s="716" t="s">
        <v>2842</v>
      </c>
      <c r="C309" s="717">
        <v>0</v>
      </c>
      <c r="D309" s="717">
        <v>2.076E-4</v>
      </c>
      <c r="E309" s="718">
        <v>0</v>
      </c>
      <c r="F309" s="718">
        <v>93170</v>
      </c>
      <c r="G309" s="718">
        <v>0</v>
      </c>
      <c r="H309" s="718"/>
      <c r="I309" s="719">
        <v>0</v>
      </c>
      <c r="J309" s="719">
        <v>0</v>
      </c>
      <c r="K309" s="719">
        <v>0</v>
      </c>
      <c r="L309" s="718">
        <v>0</v>
      </c>
      <c r="M309" s="718"/>
      <c r="N309" s="719">
        <v>0</v>
      </c>
      <c r="O309" s="719">
        <v>0</v>
      </c>
      <c r="P309" s="719">
        <v>0</v>
      </c>
      <c r="Q309" s="718">
        <v>322063</v>
      </c>
      <c r="R309" s="719">
        <f t="shared" si="4"/>
        <v>0</v>
      </c>
      <c r="S309" s="718"/>
      <c r="T309" s="719">
        <v>0</v>
      </c>
      <c r="U309" s="721">
        <v>-109544</v>
      </c>
      <c r="V309" s="721">
        <v>-109544</v>
      </c>
    </row>
    <row r="310" spans="1:22" x14ac:dyDescent="0.25">
      <c r="A310" s="715">
        <v>93204</v>
      </c>
      <c r="B310" s="716" t="s">
        <v>2843</v>
      </c>
      <c r="C310" s="717">
        <v>2.9480000000000001E-4</v>
      </c>
      <c r="D310" s="717">
        <v>3.168E-4</v>
      </c>
      <c r="E310" s="718">
        <v>128269</v>
      </c>
      <c r="F310" s="718">
        <v>142178</v>
      </c>
      <c r="G310" s="718">
        <v>625664</v>
      </c>
      <c r="H310" s="718"/>
      <c r="I310" s="719">
        <v>11755.15</v>
      </c>
      <c r="J310" s="719">
        <v>548281</v>
      </c>
      <c r="K310" s="719">
        <v>42852</v>
      </c>
      <c r="L310" s="718">
        <v>6159</v>
      </c>
      <c r="M310" s="718"/>
      <c r="N310" s="719">
        <v>21924</v>
      </c>
      <c r="O310" s="719">
        <v>202368</v>
      </c>
      <c r="P310" s="719">
        <v>0</v>
      </c>
      <c r="Q310" s="718">
        <v>15903</v>
      </c>
      <c r="R310" s="719">
        <f t="shared" si="4"/>
        <v>345913</v>
      </c>
      <c r="S310" s="718"/>
      <c r="T310" s="719">
        <v>167231</v>
      </c>
      <c r="U310" s="721">
        <v>-4266</v>
      </c>
      <c r="V310" s="721">
        <v>162965</v>
      </c>
    </row>
    <row r="311" spans="1:22" x14ac:dyDescent="0.25">
      <c r="A311" s="715">
        <v>93209</v>
      </c>
      <c r="B311" s="716" t="s">
        <v>2844</v>
      </c>
      <c r="C311" s="717">
        <v>4.5113999999999996E-3</v>
      </c>
      <c r="D311" s="717">
        <v>3.4578999999999999E-3</v>
      </c>
      <c r="E311" s="718">
        <v>1625225.44</v>
      </c>
      <c r="F311" s="718">
        <v>1551885</v>
      </c>
      <c r="G311" s="718">
        <v>9574702</v>
      </c>
      <c r="H311" s="718"/>
      <c r="I311" s="719">
        <v>179892</v>
      </c>
      <c r="J311" s="719">
        <v>8390491</v>
      </c>
      <c r="K311" s="719">
        <v>655782</v>
      </c>
      <c r="L311" s="718">
        <v>1306118</v>
      </c>
      <c r="M311" s="718"/>
      <c r="N311" s="719">
        <v>335508</v>
      </c>
      <c r="O311" s="719">
        <v>3096887</v>
      </c>
      <c r="P311" s="719">
        <v>0</v>
      </c>
      <c r="Q311" s="718">
        <v>0</v>
      </c>
      <c r="R311" s="719">
        <f t="shared" si="4"/>
        <v>5293604</v>
      </c>
      <c r="S311" s="718"/>
      <c r="T311" s="719">
        <v>2559177</v>
      </c>
      <c r="U311" s="721">
        <v>534418</v>
      </c>
      <c r="V311" s="721">
        <v>3093596</v>
      </c>
    </row>
    <row r="312" spans="1:22" x14ac:dyDescent="0.25">
      <c r="A312" s="715">
        <v>93211</v>
      </c>
      <c r="B312" s="716" t="s">
        <v>2845</v>
      </c>
      <c r="C312" s="717">
        <v>2.0456800000000001E-2</v>
      </c>
      <c r="D312" s="717">
        <v>2.1372599999999999E-2</v>
      </c>
      <c r="E312" s="718">
        <v>8152807</v>
      </c>
      <c r="F312" s="718">
        <v>9591895</v>
      </c>
      <c r="G312" s="718">
        <v>43416183</v>
      </c>
      <c r="H312" s="718"/>
      <c r="I312" s="719">
        <v>815714.9</v>
      </c>
      <c r="J312" s="719">
        <v>38046416</v>
      </c>
      <c r="K312" s="719">
        <v>2973621</v>
      </c>
      <c r="L312" s="718">
        <v>0</v>
      </c>
      <c r="M312" s="718"/>
      <c r="N312" s="719">
        <v>1521352</v>
      </c>
      <c r="O312" s="719">
        <v>14042734</v>
      </c>
      <c r="P312" s="719">
        <v>0</v>
      </c>
      <c r="Q312" s="718">
        <v>1405603</v>
      </c>
      <c r="R312" s="719">
        <f t="shared" si="4"/>
        <v>24003682</v>
      </c>
      <c r="S312" s="718"/>
      <c r="T312" s="719">
        <v>11604508</v>
      </c>
      <c r="U312" s="721">
        <v>-488705</v>
      </c>
      <c r="V312" s="721">
        <v>11115804</v>
      </c>
    </row>
    <row r="313" spans="1:22" x14ac:dyDescent="0.25">
      <c r="A313" s="715">
        <v>93212</v>
      </c>
      <c r="B313" s="716" t="s">
        <v>2846</v>
      </c>
      <c r="C313" s="717">
        <v>2.052E-4</v>
      </c>
      <c r="D313" s="717">
        <v>2.129E-4</v>
      </c>
      <c r="E313" s="718">
        <v>169265.99</v>
      </c>
      <c r="F313" s="718">
        <v>95548</v>
      </c>
      <c r="G313" s="718">
        <v>435503</v>
      </c>
      <c r="H313" s="718"/>
      <c r="I313" s="719">
        <v>8182.35</v>
      </c>
      <c r="J313" s="719">
        <v>381640</v>
      </c>
      <c r="K313" s="719">
        <v>29828</v>
      </c>
      <c r="L313" s="718">
        <v>106395</v>
      </c>
      <c r="M313" s="718"/>
      <c r="N313" s="719">
        <v>15261</v>
      </c>
      <c r="O313" s="719">
        <v>140861</v>
      </c>
      <c r="P313" s="719">
        <v>0</v>
      </c>
      <c r="Q313" s="718">
        <v>0</v>
      </c>
      <c r="R313" s="719">
        <f t="shared" si="4"/>
        <v>240779</v>
      </c>
      <c r="S313" s="718"/>
      <c r="T313" s="719">
        <v>116404</v>
      </c>
      <c r="U313" s="721">
        <v>32351</v>
      </c>
      <c r="V313" s="721">
        <v>148755</v>
      </c>
    </row>
    <row r="314" spans="1:22" x14ac:dyDescent="0.25">
      <c r="A314" s="715">
        <v>93219</v>
      </c>
      <c r="B314" s="716" t="s">
        <v>2847</v>
      </c>
      <c r="C314" s="717">
        <v>2.286E-4</v>
      </c>
      <c r="D314" s="717">
        <v>2.41E-4</v>
      </c>
      <c r="E314" s="718">
        <v>96646.59</v>
      </c>
      <c r="F314" s="718">
        <v>108159</v>
      </c>
      <c r="G314" s="718">
        <v>485166</v>
      </c>
      <c r="H314" s="718"/>
      <c r="I314" s="719">
        <v>9115</v>
      </c>
      <c r="J314" s="719">
        <v>425160</v>
      </c>
      <c r="K314" s="719">
        <v>33230</v>
      </c>
      <c r="L314" s="718">
        <v>243</v>
      </c>
      <c r="M314" s="718"/>
      <c r="N314" s="719">
        <v>17001</v>
      </c>
      <c r="O314" s="719">
        <v>156924</v>
      </c>
      <c r="P314" s="719">
        <v>0</v>
      </c>
      <c r="Q314" s="718">
        <v>13406</v>
      </c>
      <c r="R314" s="719">
        <f t="shared" si="4"/>
        <v>268236</v>
      </c>
      <c r="S314" s="718"/>
      <c r="T314" s="719">
        <v>129678</v>
      </c>
      <c r="U314" s="721">
        <v>-4190</v>
      </c>
      <c r="V314" s="721">
        <v>125487</v>
      </c>
    </row>
    <row r="315" spans="1:22" x14ac:dyDescent="0.25">
      <c r="A315" s="715">
        <v>93301</v>
      </c>
      <c r="B315" s="716" t="s">
        <v>2848</v>
      </c>
      <c r="C315" s="717">
        <v>2.5330999999999999E-3</v>
      </c>
      <c r="D315" s="717">
        <v>2.4084000000000002E-3</v>
      </c>
      <c r="E315" s="718">
        <v>1037164.56</v>
      </c>
      <c r="F315" s="718">
        <v>1080875</v>
      </c>
      <c r="G315" s="718">
        <v>5376087</v>
      </c>
      <c r="H315" s="718"/>
      <c r="I315" s="719">
        <v>101007</v>
      </c>
      <c r="J315" s="719">
        <v>4711166</v>
      </c>
      <c r="K315" s="719">
        <v>368214</v>
      </c>
      <c r="L315" s="718">
        <v>63934</v>
      </c>
      <c r="M315" s="718"/>
      <c r="N315" s="719">
        <v>188384</v>
      </c>
      <c r="O315" s="719">
        <v>1738867</v>
      </c>
      <c r="P315" s="719">
        <v>0</v>
      </c>
      <c r="Q315" s="718">
        <v>85549</v>
      </c>
      <c r="R315" s="719">
        <f t="shared" si="4"/>
        <v>2972299</v>
      </c>
      <c r="S315" s="718"/>
      <c r="T315" s="719">
        <v>1436949</v>
      </c>
      <c r="U315" s="721">
        <v>-17290</v>
      </c>
      <c r="V315" s="721">
        <v>1419659</v>
      </c>
    </row>
    <row r="316" spans="1:22" x14ac:dyDescent="0.25">
      <c r="A316" s="715">
        <v>93304</v>
      </c>
      <c r="B316" s="716" t="s">
        <v>2849</v>
      </c>
      <c r="C316" s="717">
        <v>3.4400000000000003E-5</v>
      </c>
      <c r="D316" s="717">
        <v>3.3399999999999999E-5</v>
      </c>
      <c r="E316" s="718">
        <v>16339</v>
      </c>
      <c r="F316" s="718">
        <v>14990</v>
      </c>
      <c r="G316" s="718">
        <v>73008</v>
      </c>
      <c r="H316" s="718"/>
      <c r="I316" s="719">
        <v>1371.7</v>
      </c>
      <c r="J316" s="719">
        <v>63979</v>
      </c>
      <c r="K316" s="719">
        <v>5000</v>
      </c>
      <c r="L316" s="718">
        <v>13604</v>
      </c>
      <c r="M316" s="718"/>
      <c r="N316" s="719">
        <v>2558</v>
      </c>
      <c r="O316" s="719">
        <v>23614</v>
      </c>
      <c r="P316" s="719">
        <v>0</v>
      </c>
      <c r="Q316" s="718">
        <v>0</v>
      </c>
      <c r="R316" s="719">
        <f t="shared" si="4"/>
        <v>40365</v>
      </c>
      <c r="S316" s="718"/>
      <c r="T316" s="719">
        <v>19514</v>
      </c>
      <c r="U316" s="721">
        <v>4940</v>
      </c>
      <c r="V316" s="721">
        <v>24454</v>
      </c>
    </row>
    <row r="317" spans="1:22" x14ac:dyDescent="0.25">
      <c r="A317" s="715">
        <v>93305</v>
      </c>
      <c r="B317" s="716" t="s">
        <v>2850</v>
      </c>
      <c r="C317" s="717">
        <v>4.9400000000000001E-5</v>
      </c>
      <c r="D317" s="717">
        <v>5.13E-5</v>
      </c>
      <c r="E317" s="718">
        <v>18489</v>
      </c>
      <c r="F317" s="718">
        <v>23023</v>
      </c>
      <c r="G317" s="718">
        <v>104843</v>
      </c>
      <c r="H317" s="718"/>
      <c r="I317" s="719">
        <v>1969.825</v>
      </c>
      <c r="J317" s="719">
        <v>91876</v>
      </c>
      <c r="K317" s="719">
        <v>7181</v>
      </c>
      <c r="L317" s="718">
        <v>0</v>
      </c>
      <c r="M317" s="718"/>
      <c r="N317" s="719">
        <v>3674</v>
      </c>
      <c r="O317" s="719">
        <v>33911</v>
      </c>
      <c r="P317" s="719">
        <v>0</v>
      </c>
      <c r="Q317" s="718">
        <v>3536</v>
      </c>
      <c r="R317" s="719">
        <f t="shared" si="4"/>
        <v>57965</v>
      </c>
      <c r="S317" s="718"/>
      <c r="T317" s="719">
        <v>28023</v>
      </c>
      <c r="U317" s="721">
        <v>-1124</v>
      </c>
      <c r="V317" s="721">
        <v>26899</v>
      </c>
    </row>
    <row r="318" spans="1:22" x14ac:dyDescent="0.25">
      <c r="A318" s="715">
        <v>93309</v>
      </c>
      <c r="B318" s="716" t="s">
        <v>2851</v>
      </c>
      <c r="C318" s="717">
        <v>1.716E-4</v>
      </c>
      <c r="D318" s="717">
        <v>1.5359999999999999E-4</v>
      </c>
      <c r="E318" s="718">
        <v>79731.47</v>
      </c>
      <c r="F318" s="718">
        <v>68935</v>
      </c>
      <c r="G318" s="718">
        <v>364193</v>
      </c>
      <c r="H318" s="718"/>
      <c r="I318" s="719">
        <v>6842.55</v>
      </c>
      <c r="J318" s="719">
        <v>319149</v>
      </c>
      <c r="K318" s="719">
        <v>24944</v>
      </c>
      <c r="L318" s="718">
        <v>23583</v>
      </c>
      <c r="M318" s="718"/>
      <c r="N318" s="719">
        <v>12762</v>
      </c>
      <c r="O318" s="719">
        <v>117796</v>
      </c>
      <c r="P318" s="719">
        <v>0</v>
      </c>
      <c r="Q318" s="718">
        <v>1972</v>
      </c>
      <c r="R318" s="719">
        <f t="shared" si="4"/>
        <v>201353</v>
      </c>
      <c r="S318" s="718"/>
      <c r="T318" s="719">
        <v>97343</v>
      </c>
      <c r="U318" s="721">
        <v>5745</v>
      </c>
      <c r="V318" s="721">
        <v>103088</v>
      </c>
    </row>
    <row r="319" spans="1:22" x14ac:dyDescent="0.25">
      <c r="A319" s="715">
        <v>93311</v>
      </c>
      <c r="B319" s="716" t="s">
        <v>2852</v>
      </c>
      <c r="C319" s="717">
        <v>1.1567000000000001E-3</v>
      </c>
      <c r="D319" s="717">
        <v>1.2727000000000001E-3</v>
      </c>
      <c r="E319" s="718">
        <v>452858.55</v>
      </c>
      <c r="F319" s="718">
        <v>571180</v>
      </c>
      <c r="G319" s="718">
        <v>2454905</v>
      </c>
      <c r="H319" s="718"/>
      <c r="I319" s="719">
        <v>46123</v>
      </c>
      <c r="J319" s="719">
        <v>2151279</v>
      </c>
      <c r="K319" s="719">
        <v>168139</v>
      </c>
      <c r="L319" s="718">
        <v>0</v>
      </c>
      <c r="M319" s="718"/>
      <c r="N319" s="719">
        <v>86023</v>
      </c>
      <c r="O319" s="719">
        <v>794026</v>
      </c>
      <c r="P319" s="719">
        <v>0</v>
      </c>
      <c r="Q319" s="718">
        <v>121847</v>
      </c>
      <c r="R319" s="719">
        <f t="shared" si="4"/>
        <v>1357253</v>
      </c>
      <c r="S319" s="718"/>
      <c r="T319" s="719">
        <v>656160</v>
      </c>
      <c r="U319" s="721">
        <v>-38102</v>
      </c>
      <c r="V319" s="721">
        <v>618058</v>
      </c>
    </row>
    <row r="320" spans="1:22" x14ac:dyDescent="0.25">
      <c r="A320" s="715">
        <v>93317</v>
      </c>
      <c r="B320" s="716" t="s">
        <v>2853</v>
      </c>
      <c r="C320" s="717">
        <v>4.8099999999999997E-5</v>
      </c>
      <c r="D320" s="717">
        <v>4.6600000000000001E-5</v>
      </c>
      <c r="E320" s="718">
        <v>19409</v>
      </c>
      <c r="F320" s="718">
        <v>20914</v>
      </c>
      <c r="G320" s="718">
        <v>102084</v>
      </c>
      <c r="H320" s="718"/>
      <c r="I320" s="719">
        <v>1918</v>
      </c>
      <c r="J320" s="719">
        <v>89458</v>
      </c>
      <c r="K320" s="719">
        <v>6992</v>
      </c>
      <c r="L320" s="718">
        <v>606</v>
      </c>
      <c r="M320" s="718"/>
      <c r="N320" s="719">
        <v>3577</v>
      </c>
      <c r="O320" s="719">
        <v>33019</v>
      </c>
      <c r="P320" s="719">
        <v>0</v>
      </c>
      <c r="Q320" s="718">
        <v>557</v>
      </c>
      <c r="R320" s="719">
        <f t="shared" si="4"/>
        <v>56439</v>
      </c>
      <c r="S320" s="718"/>
      <c r="T320" s="719">
        <v>27286</v>
      </c>
      <c r="U320" s="721">
        <v>-115</v>
      </c>
      <c r="V320" s="721">
        <v>27171</v>
      </c>
    </row>
    <row r="321" spans="1:22" x14ac:dyDescent="0.25">
      <c r="A321" s="715">
        <v>93321</v>
      </c>
      <c r="B321" s="716" t="s">
        <v>2854</v>
      </c>
      <c r="C321" s="717">
        <v>7.4706E-3</v>
      </c>
      <c r="D321" s="717">
        <v>7.7070000000000003E-3</v>
      </c>
      <c r="E321" s="718">
        <v>2840093.51</v>
      </c>
      <c r="F321" s="718">
        <v>3458855</v>
      </c>
      <c r="G321" s="718">
        <v>15855116</v>
      </c>
      <c r="H321" s="718"/>
      <c r="I321" s="719">
        <v>297890</v>
      </c>
      <c r="J321" s="719">
        <v>13894136</v>
      </c>
      <c r="K321" s="719">
        <v>1085934</v>
      </c>
      <c r="L321" s="718">
        <v>0</v>
      </c>
      <c r="M321" s="718"/>
      <c r="N321" s="719">
        <v>555581</v>
      </c>
      <c r="O321" s="719">
        <v>5128253</v>
      </c>
      <c r="P321" s="719">
        <v>0</v>
      </c>
      <c r="Q321" s="718">
        <v>746070</v>
      </c>
      <c r="R321" s="719">
        <f t="shared" si="4"/>
        <v>8765883</v>
      </c>
      <c r="S321" s="718"/>
      <c r="T321" s="719">
        <v>4237840</v>
      </c>
      <c r="U321" s="721">
        <v>-276901</v>
      </c>
      <c r="V321" s="721">
        <v>3960939</v>
      </c>
    </row>
    <row r="322" spans="1:22" x14ac:dyDescent="0.25">
      <c r="A322" s="715">
        <v>93323</v>
      </c>
      <c r="B322" s="716" t="s">
        <v>2855</v>
      </c>
      <c r="C322" s="717">
        <v>1.0200000000000001E-5</v>
      </c>
      <c r="D322" s="717">
        <v>1.4600000000000001E-5</v>
      </c>
      <c r="E322" s="718">
        <v>5325.71</v>
      </c>
      <c r="F322" s="718">
        <v>6552</v>
      </c>
      <c r="G322" s="718">
        <v>21648</v>
      </c>
      <c r="H322" s="718"/>
      <c r="I322" s="719">
        <v>406.72500000000002</v>
      </c>
      <c r="J322" s="719">
        <v>18970</v>
      </c>
      <c r="K322" s="719">
        <v>1483</v>
      </c>
      <c r="L322" s="718">
        <v>2836</v>
      </c>
      <c r="M322" s="718"/>
      <c r="N322" s="719">
        <v>759</v>
      </c>
      <c r="O322" s="719">
        <v>7002</v>
      </c>
      <c r="P322" s="719">
        <v>0</v>
      </c>
      <c r="Q322" s="718">
        <v>1485</v>
      </c>
      <c r="R322" s="719">
        <f t="shared" si="4"/>
        <v>11968</v>
      </c>
      <c r="S322" s="718"/>
      <c r="T322" s="719">
        <v>5786</v>
      </c>
      <c r="U322" s="721">
        <v>784</v>
      </c>
      <c r="V322" s="721">
        <v>6570</v>
      </c>
    </row>
    <row r="323" spans="1:22" x14ac:dyDescent="0.25">
      <c r="A323" s="715">
        <v>93331</v>
      </c>
      <c r="B323" s="716" t="s">
        <v>2856</v>
      </c>
      <c r="C323" s="717">
        <v>1.3090000000000001E-4</v>
      </c>
      <c r="D323" s="717">
        <v>1.1909999999999999E-4</v>
      </c>
      <c r="E323" s="718">
        <v>46762.55</v>
      </c>
      <c r="F323" s="718">
        <v>53451</v>
      </c>
      <c r="G323" s="718">
        <v>277814</v>
      </c>
      <c r="H323" s="718"/>
      <c r="I323" s="719">
        <v>5220</v>
      </c>
      <c r="J323" s="719">
        <v>243453</v>
      </c>
      <c r="K323" s="719">
        <v>19028</v>
      </c>
      <c r="L323" s="718">
        <v>4668</v>
      </c>
      <c r="M323" s="718"/>
      <c r="N323" s="719">
        <v>9735</v>
      </c>
      <c r="O323" s="719">
        <v>89857</v>
      </c>
      <c r="P323" s="719">
        <v>0</v>
      </c>
      <c r="Q323" s="718">
        <v>9208</v>
      </c>
      <c r="R323" s="719">
        <f t="shared" si="4"/>
        <v>153596</v>
      </c>
      <c r="S323" s="718"/>
      <c r="T323" s="719">
        <v>74256</v>
      </c>
      <c r="U323" s="721">
        <v>-1109</v>
      </c>
      <c r="V323" s="721">
        <v>73147</v>
      </c>
    </row>
    <row r="324" spans="1:22" x14ac:dyDescent="0.25">
      <c r="A324" s="715">
        <v>93333</v>
      </c>
      <c r="B324" s="716" t="s">
        <v>2857</v>
      </c>
      <c r="C324" s="717">
        <v>1.9990000000000001E-4</v>
      </c>
      <c r="D324" s="717">
        <v>2.1479999999999999E-4</v>
      </c>
      <c r="E324" s="718">
        <v>201284.12</v>
      </c>
      <c r="F324" s="718">
        <v>96401</v>
      </c>
      <c r="G324" s="718">
        <v>424255</v>
      </c>
      <c r="H324" s="718"/>
      <c r="I324" s="719">
        <v>7971</v>
      </c>
      <c r="J324" s="719">
        <v>371782</v>
      </c>
      <c r="K324" s="719">
        <v>29058</v>
      </c>
      <c r="L324" s="718">
        <v>178353</v>
      </c>
      <c r="M324" s="718"/>
      <c r="N324" s="719">
        <v>14866</v>
      </c>
      <c r="O324" s="719">
        <v>137223</v>
      </c>
      <c r="P324" s="719">
        <v>0</v>
      </c>
      <c r="Q324" s="718">
        <v>0</v>
      </c>
      <c r="R324" s="719">
        <f t="shared" si="4"/>
        <v>234559</v>
      </c>
      <c r="S324" s="718"/>
      <c r="T324" s="719">
        <v>113397</v>
      </c>
      <c r="U324" s="721">
        <v>56479</v>
      </c>
      <c r="V324" s="721">
        <v>169876</v>
      </c>
    </row>
    <row r="325" spans="1:22" x14ac:dyDescent="0.25">
      <c r="A325" s="715">
        <v>93341</v>
      </c>
      <c r="B325" s="716" t="s">
        <v>2858</v>
      </c>
      <c r="C325" s="717">
        <v>2.73E-5</v>
      </c>
      <c r="D325" s="717">
        <v>2.6699999999999998E-5</v>
      </c>
      <c r="E325" s="718">
        <v>12881</v>
      </c>
      <c r="F325" s="718">
        <v>11983</v>
      </c>
      <c r="G325" s="718">
        <v>57940</v>
      </c>
      <c r="H325" s="718"/>
      <c r="I325" s="719">
        <v>1089</v>
      </c>
      <c r="J325" s="719">
        <v>50774</v>
      </c>
      <c r="K325" s="719">
        <v>3968</v>
      </c>
      <c r="L325" s="718">
        <v>2789</v>
      </c>
      <c r="M325" s="718"/>
      <c r="N325" s="719">
        <v>2030</v>
      </c>
      <c r="O325" s="719">
        <v>18740</v>
      </c>
      <c r="P325" s="719">
        <v>0</v>
      </c>
      <c r="Q325" s="718">
        <v>0</v>
      </c>
      <c r="R325" s="719">
        <f t="shared" si="4"/>
        <v>32034</v>
      </c>
      <c r="S325" s="718"/>
      <c r="T325" s="719">
        <v>15486</v>
      </c>
      <c r="U325" s="721">
        <v>923</v>
      </c>
      <c r="V325" s="721">
        <v>16410</v>
      </c>
    </row>
    <row r="326" spans="1:22" x14ac:dyDescent="0.25">
      <c r="A326" s="715">
        <v>93351</v>
      </c>
      <c r="B326" s="716" t="s">
        <v>2859</v>
      </c>
      <c r="C326" s="717">
        <v>1.5999999999999999E-5</v>
      </c>
      <c r="D326" s="717">
        <v>5.4999999999999999E-6</v>
      </c>
      <c r="E326" s="718">
        <v>10006.02</v>
      </c>
      <c r="F326" s="718">
        <v>2468</v>
      </c>
      <c r="G326" s="718">
        <v>33957.360000000001</v>
      </c>
      <c r="H326" s="718"/>
      <c r="I326" s="719">
        <v>638</v>
      </c>
      <c r="J326" s="719">
        <v>29757</v>
      </c>
      <c r="K326" s="719">
        <v>2326</v>
      </c>
      <c r="L326" s="718">
        <v>8409</v>
      </c>
      <c r="M326" s="718"/>
      <c r="N326" s="719">
        <v>1190</v>
      </c>
      <c r="O326" s="719">
        <v>10983</v>
      </c>
      <c r="P326" s="719">
        <v>0</v>
      </c>
      <c r="Q326" s="718">
        <v>6601</v>
      </c>
      <c r="R326" s="719">
        <f t="shared" si="4"/>
        <v>18774</v>
      </c>
      <c r="S326" s="718"/>
      <c r="T326" s="719">
        <v>9076</v>
      </c>
      <c r="U326" s="721">
        <v>-253</v>
      </c>
      <c r="V326" s="721">
        <v>8823</v>
      </c>
    </row>
    <row r="327" spans="1:22" x14ac:dyDescent="0.25">
      <c r="A327" s="715">
        <v>93401</v>
      </c>
      <c r="B327" s="716" t="s">
        <v>2860</v>
      </c>
      <c r="C327" s="717">
        <v>1.37997E-2</v>
      </c>
      <c r="D327" s="717">
        <v>1.4001899999999999E-2</v>
      </c>
      <c r="E327" s="718">
        <v>5646375</v>
      </c>
      <c r="F327" s="718">
        <v>6283969</v>
      </c>
      <c r="G327" s="718">
        <v>29287586</v>
      </c>
      <c r="H327" s="718"/>
      <c r="I327" s="719">
        <v>550263</v>
      </c>
      <c r="J327" s="719">
        <v>25665262</v>
      </c>
      <c r="K327" s="719">
        <v>2005938</v>
      </c>
      <c r="L327" s="718">
        <v>111475</v>
      </c>
      <c r="M327" s="718"/>
      <c r="N327" s="719">
        <v>1026270</v>
      </c>
      <c r="O327" s="719">
        <v>9472914</v>
      </c>
      <c r="P327" s="719">
        <v>0</v>
      </c>
      <c r="Q327" s="718">
        <v>309143</v>
      </c>
      <c r="R327" s="719">
        <f t="shared" ref="R327:R390" si="5">IF(J327&gt;O327,J327-O327,O327-J327)</f>
        <v>16192348</v>
      </c>
      <c r="S327" s="718"/>
      <c r="T327" s="719">
        <v>7828142</v>
      </c>
      <c r="U327" s="721">
        <v>-83612</v>
      </c>
      <c r="V327" s="721">
        <v>7744530</v>
      </c>
    </row>
    <row r="328" spans="1:22" x14ac:dyDescent="0.25">
      <c r="A328" s="715">
        <v>93402</v>
      </c>
      <c r="B328" s="716" t="s">
        <v>2861</v>
      </c>
      <c r="C328" s="717">
        <v>9.2999999999999997E-5</v>
      </c>
      <c r="D328" s="717">
        <v>9.4400000000000004E-5</v>
      </c>
      <c r="E328" s="718">
        <v>35918</v>
      </c>
      <c r="F328" s="718">
        <v>42366</v>
      </c>
      <c r="G328" s="718">
        <v>197377</v>
      </c>
      <c r="H328" s="718"/>
      <c r="I328" s="719">
        <v>3708.375</v>
      </c>
      <c r="J328" s="719">
        <v>172965</v>
      </c>
      <c r="K328" s="719">
        <v>13519</v>
      </c>
      <c r="L328" s="718">
        <v>9628</v>
      </c>
      <c r="M328" s="718"/>
      <c r="N328" s="719">
        <v>6916</v>
      </c>
      <c r="O328" s="719">
        <v>63841</v>
      </c>
      <c r="P328" s="719">
        <v>0</v>
      </c>
      <c r="Q328" s="718">
        <v>2607</v>
      </c>
      <c r="R328" s="719">
        <f t="shared" si="5"/>
        <v>109124</v>
      </c>
      <c r="S328" s="718"/>
      <c r="T328" s="719">
        <v>52756</v>
      </c>
      <c r="U328" s="721">
        <v>3407</v>
      </c>
      <c r="V328" s="721">
        <v>56163</v>
      </c>
    </row>
    <row r="329" spans="1:22" x14ac:dyDescent="0.25">
      <c r="A329" s="715">
        <v>93406</v>
      </c>
      <c r="B329" s="716" t="s">
        <v>2862</v>
      </c>
      <c r="C329" s="717">
        <v>7.1170000000000001E-4</v>
      </c>
      <c r="D329" s="717">
        <v>7.0850000000000004E-4</v>
      </c>
      <c r="E329" s="718">
        <v>298926.93</v>
      </c>
      <c r="F329" s="718">
        <v>317971</v>
      </c>
      <c r="G329" s="718">
        <v>1510466</v>
      </c>
      <c r="H329" s="718"/>
      <c r="I329" s="719">
        <v>28379</v>
      </c>
      <c r="J329" s="719">
        <v>1323650</v>
      </c>
      <c r="K329" s="719">
        <v>103453</v>
      </c>
      <c r="L329" s="718">
        <v>45100</v>
      </c>
      <c r="M329" s="718"/>
      <c r="N329" s="719">
        <v>52928</v>
      </c>
      <c r="O329" s="719">
        <v>488552</v>
      </c>
      <c r="P329" s="719">
        <v>0</v>
      </c>
      <c r="Q329" s="718">
        <v>0</v>
      </c>
      <c r="R329" s="719">
        <f t="shared" si="5"/>
        <v>835098</v>
      </c>
      <c r="S329" s="718"/>
      <c r="T329" s="719">
        <v>403725</v>
      </c>
      <c r="U329" s="721">
        <v>19044</v>
      </c>
      <c r="V329" s="721">
        <v>422769</v>
      </c>
    </row>
    <row r="330" spans="1:22" x14ac:dyDescent="0.25">
      <c r="A330" s="715">
        <v>93408</v>
      </c>
      <c r="B330" s="716" t="s">
        <v>2863</v>
      </c>
      <c r="C330" s="717">
        <v>1.8967999999999999E-3</v>
      </c>
      <c r="D330" s="717">
        <v>1.7309000000000001E-3</v>
      </c>
      <c r="E330" s="718">
        <v>0</v>
      </c>
      <c r="F330" s="718">
        <v>776818</v>
      </c>
      <c r="G330" s="718">
        <v>4025645</v>
      </c>
      <c r="H330" s="718"/>
      <c r="I330" s="719">
        <v>75635</v>
      </c>
      <c r="J330" s="719">
        <v>3527748</v>
      </c>
      <c r="K330" s="719">
        <v>275721</v>
      </c>
      <c r="L330" s="718">
        <v>321789</v>
      </c>
      <c r="M330" s="718"/>
      <c r="N330" s="719">
        <v>141063</v>
      </c>
      <c r="O330" s="719">
        <v>1302074</v>
      </c>
      <c r="P330" s="719">
        <v>0</v>
      </c>
      <c r="Q330" s="718">
        <v>529672</v>
      </c>
      <c r="R330" s="719">
        <f t="shared" si="5"/>
        <v>2225674</v>
      </c>
      <c r="S330" s="718"/>
      <c r="T330" s="719">
        <v>1075996</v>
      </c>
      <c r="U330" s="721">
        <v>10994</v>
      </c>
      <c r="V330" s="721">
        <v>1086990</v>
      </c>
    </row>
    <row r="331" spans="1:22" x14ac:dyDescent="0.25">
      <c r="A331" s="715">
        <v>93411</v>
      </c>
      <c r="B331" s="716" t="s">
        <v>2864</v>
      </c>
      <c r="C331" s="717">
        <v>1.73309E-2</v>
      </c>
      <c r="D331" s="717">
        <v>1.8002500000000001E-2</v>
      </c>
      <c r="E331" s="718">
        <v>7066227</v>
      </c>
      <c r="F331" s="718">
        <v>8079414</v>
      </c>
      <c r="G331" s="718">
        <v>36781976</v>
      </c>
      <c r="H331" s="718"/>
      <c r="I331" s="719">
        <v>691070</v>
      </c>
      <c r="J331" s="719">
        <v>32232736</v>
      </c>
      <c r="K331" s="719">
        <v>2519237</v>
      </c>
      <c r="L331" s="718">
        <v>0</v>
      </c>
      <c r="M331" s="718"/>
      <c r="N331" s="719">
        <v>1288882</v>
      </c>
      <c r="O331" s="719">
        <v>11896935</v>
      </c>
      <c r="P331" s="719">
        <v>0</v>
      </c>
      <c r="Q331" s="718">
        <v>963900</v>
      </c>
      <c r="R331" s="719">
        <f t="shared" si="5"/>
        <v>20335801</v>
      </c>
      <c r="S331" s="718"/>
      <c r="T331" s="719">
        <v>9831282</v>
      </c>
      <c r="U331" s="721">
        <v>-369146</v>
      </c>
      <c r="V331" s="721">
        <v>9462137</v>
      </c>
    </row>
    <row r="332" spans="1:22" x14ac:dyDescent="0.25">
      <c r="A332" s="715">
        <v>93413</v>
      </c>
      <c r="B332" s="716" t="s">
        <v>2865</v>
      </c>
      <c r="C332" s="717">
        <v>8.0130000000000002E-4</v>
      </c>
      <c r="D332" s="717">
        <v>8.6039999999999999E-4</v>
      </c>
      <c r="E332" s="718">
        <v>344103.62</v>
      </c>
      <c r="F332" s="718">
        <v>386142</v>
      </c>
      <c r="G332" s="718">
        <v>1700627</v>
      </c>
      <c r="H332" s="718"/>
      <c r="I332" s="719">
        <v>31952</v>
      </c>
      <c r="J332" s="719">
        <v>1490291</v>
      </c>
      <c r="K332" s="719">
        <v>116478</v>
      </c>
      <c r="L332" s="718">
        <v>0</v>
      </c>
      <c r="M332" s="718"/>
      <c r="N332" s="719">
        <v>59592</v>
      </c>
      <c r="O332" s="719">
        <v>550059</v>
      </c>
      <c r="P332" s="719">
        <v>0</v>
      </c>
      <c r="Q332" s="718">
        <v>52213</v>
      </c>
      <c r="R332" s="719">
        <f t="shared" si="5"/>
        <v>940232</v>
      </c>
      <c r="S332" s="718"/>
      <c r="T332" s="719">
        <v>454553</v>
      </c>
      <c r="U332" s="721">
        <v>-17374</v>
      </c>
      <c r="V332" s="721">
        <v>437179</v>
      </c>
    </row>
    <row r="333" spans="1:22" x14ac:dyDescent="0.25">
      <c r="A333" s="715">
        <v>93417</v>
      </c>
      <c r="B333" s="716" t="s">
        <v>2866</v>
      </c>
      <c r="C333" s="717">
        <v>4.1130000000000002E-4</v>
      </c>
      <c r="D333" s="717">
        <v>4.2470000000000002E-4</v>
      </c>
      <c r="E333" s="718">
        <v>180699</v>
      </c>
      <c r="F333" s="718">
        <v>190603</v>
      </c>
      <c r="G333" s="718">
        <v>872916</v>
      </c>
      <c r="H333" s="718"/>
      <c r="I333" s="719">
        <v>16401</v>
      </c>
      <c r="J333" s="719">
        <v>764953</v>
      </c>
      <c r="K333" s="719">
        <v>59787</v>
      </c>
      <c r="L333" s="718">
        <v>29582</v>
      </c>
      <c r="M333" s="718"/>
      <c r="N333" s="719">
        <v>30588</v>
      </c>
      <c r="O333" s="719">
        <v>282340</v>
      </c>
      <c r="P333" s="719">
        <v>0</v>
      </c>
      <c r="Q333" s="718">
        <v>0</v>
      </c>
      <c r="R333" s="719">
        <f t="shared" si="5"/>
        <v>482613</v>
      </c>
      <c r="S333" s="718"/>
      <c r="T333" s="719">
        <v>233318</v>
      </c>
      <c r="U333" s="721">
        <v>14150</v>
      </c>
      <c r="V333" s="721">
        <v>247468</v>
      </c>
    </row>
    <row r="334" spans="1:22" x14ac:dyDescent="0.25">
      <c r="A334" s="715">
        <v>93421</v>
      </c>
      <c r="B334" s="716" t="s">
        <v>2867</v>
      </c>
      <c r="C334" s="717">
        <v>2.1646E-3</v>
      </c>
      <c r="D334" s="717">
        <v>2.2629E-3</v>
      </c>
      <c r="E334" s="718">
        <v>806586</v>
      </c>
      <c r="F334" s="718">
        <v>1015576</v>
      </c>
      <c r="G334" s="718">
        <v>4594006</v>
      </c>
      <c r="H334" s="718"/>
      <c r="I334" s="719">
        <v>86313</v>
      </c>
      <c r="J334" s="719">
        <v>4025814</v>
      </c>
      <c r="K334" s="719">
        <v>314648</v>
      </c>
      <c r="L334" s="718">
        <v>0</v>
      </c>
      <c r="M334" s="718"/>
      <c r="N334" s="719">
        <v>160979</v>
      </c>
      <c r="O334" s="719">
        <v>1485907</v>
      </c>
      <c r="P334" s="719">
        <v>0</v>
      </c>
      <c r="Q334" s="718">
        <v>286111</v>
      </c>
      <c r="R334" s="719">
        <f t="shared" si="5"/>
        <v>2539907</v>
      </c>
      <c r="S334" s="718"/>
      <c r="T334" s="719">
        <v>1227910</v>
      </c>
      <c r="U334" s="721">
        <v>-103829</v>
      </c>
      <c r="V334" s="721">
        <v>1124081</v>
      </c>
    </row>
    <row r="335" spans="1:22" x14ac:dyDescent="0.25">
      <c r="A335" s="715">
        <v>93431</v>
      </c>
      <c r="B335" s="716" t="s">
        <v>2868</v>
      </c>
      <c r="C335" s="717">
        <v>1.127E-4</v>
      </c>
      <c r="D335" s="717">
        <v>1.3469999999999999E-4</v>
      </c>
      <c r="E335" s="718">
        <v>53588</v>
      </c>
      <c r="F335" s="718">
        <v>60453</v>
      </c>
      <c r="G335" s="718">
        <v>239187</v>
      </c>
      <c r="H335" s="718"/>
      <c r="I335" s="719">
        <v>4494</v>
      </c>
      <c r="J335" s="719">
        <v>209604</v>
      </c>
      <c r="K335" s="719">
        <v>16382</v>
      </c>
      <c r="L335" s="718">
        <v>1676</v>
      </c>
      <c r="M335" s="718"/>
      <c r="N335" s="719">
        <v>8381</v>
      </c>
      <c r="O335" s="719">
        <v>77364</v>
      </c>
      <c r="P335" s="719">
        <v>0</v>
      </c>
      <c r="Q335" s="718">
        <v>7450</v>
      </c>
      <c r="R335" s="719">
        <f t="shared" si="5"/>
        <v>132240</v>
      </c>
      <c r="S335" s="718"/>
      <c r="T335" s="719">
        <v>63931</v>
      </c>
      <c r="U335" s="721">
        <v>-1211</v>
      </c>
      <c r="V335" s="721">
        <v>62721</v>
      </c>
    </row>
    <row r="336" spans="1:22" x14ac:dyDescent="0.25">
      <c r="A336" s="715">
        <v>93441</v>
      </c>
      <c r="B336" s="716" t="s">
        <v>2869</v>
      </c>
      <c r="C336" s="717">
        <v>1.4970000000000001E-4</v>
      </c>
      <c r="D336" s="717">
        <v>1.3239999999999999E-4</v>
      </c>
      <c r="E336" s="718">
        <v>71653</v>
      </c>
      <c r="F336" s="718">
        <v>59420</v>
      </c>
      <c r="G336" s="718">
        <v>317714</v>
      </c>
      <c r="H336" s="718"/>
      <c r="I336" s="719">
        <v>5969</v>
      </c>
      <c r="J336" s="719">
        <v>278418</v>
      </c>
      <c r="K336" s="719">
        <v>21761</v>
      </c>
      <c r="L336" s="718">
        <v>34771</v>
      </c>
      <c r="M336" s="718"/>
      <c r="N336" s="719">
        <v>11133</v>
      </c>
      <c r="O336" s="719">
        <v>102763</v>
      </c>
      <c r="P336" s="719">
        <v>0</v>
      </c>
      <c r="Q336" s="718">
        <v>0</v>
      </c>
      <c r="R336" s="719">
        <f t="shared" si="5"/>
        <v>175655</v>
      </c>
      <c r="S336" s="718"/>
      <c r="T336" s="719">
        <v>84920</v>
      </c>
      <c r="U336" s="721">
        <v>12654</v>
      </c>
      <c r="V336" s="721">
        <v>97574</v>
      </c>
    </row>
    <row r="337" spans="1:22" x14ac:dyDescent="0.25">
      <c r="A337" s="715">
        <v>93442</v>
      </c>
      <c r="B337" s="716" t="s">
        <v>2870</v>
      </c>
      <c r="C337" s="717">
        <v>1.3540000000000001E-4</v>
      </c>
      <c r="D337" s="717">
        <v>1.7799999999999999E-4</v>
      </c>
      <c r="E337" s="718">
        <v>53217.95</v>
      </c>
      <c r="F337" s="718">
        <v>79885</v>
      </c>
      <c r="G337" s="718">
        <v>287364</v>
      </c>
      <c r="H337" s="718"/>
      <c r="I337" s="719">
        <v>5399</v>
      </c>
      <c r="J337" s="719">
        <v>251823</v>
      </c>
      <c r="K337" s="719">
        <v>19682</v>
      </c>
      <c r="L337" s="718">
        <v>6718</v>
      </c>
      <c r="M337" s="718"/>
      <c r="N337" s="719">
        <v>10070</v>
      </c>
      <c r="O337" s="719">
        <v>92946</v>
      </c>
      <c r="P337" s="719">
        <v>0</v>
      </c>
      <c r="Q337" s="718">
        <v>29938</v>
      </c>
      <c r="R337" s="719">
        <f t="shared" si="5"/>
        <v>158877</v>
      </c>
      <c r="S337" s="718"/>
      <c r="T337" s="719">
        <v>76808</v>
      </c>
      <c r="U337" s="721">
        <v>-6567</v>
      </c>
      <c r="V337" s="721">
        <v>70241</v>
      </c>
    </row>
    <row r="338" spans="1:22" x14ac:dyDescent="0.25">
      <c r="A338" s="715">
        <v>93451</v>
      </c>
      <c r="B338" s="716" t="s">
        <v>2871</v>
      </c>
      <c r="C338" s="717">
        <v>7.6899999999999999E-5</v>
      </c>
      <c r="D338" s="717">
        <v>7.6699999999999994E-5</v>
      </c>
      <c r="E338" s="718">
        <v>41952.18</v>
      </c>
      <c r="F338" s="718">
        <v>34422</v>
      </c>
      <c r="G338" s="718">
        <v>163208</v>
      </c>
      <c r="H338" s="718"/>
      <c r="I338" s="719">
        <v>3066</v>
      </c>
      <c r="J338" s="719">
        <v>143022</v>
      </c>
      <c r="K338" s="719">
        <v>11178</v>
      </c>
      <c r="L338" s="718">
        <v>18732</v>
      </c>
      <c r="M338" s="718"/>
      <c r="N338" s="719">
        <v>5719</v>
      </c>
      <c r="O338" s="719">
        <v>52789</v>
      </c>
      <c r="P338" s="719">
        <v>0</v>
      </c>
      <c r="Q338" s="718">
        <v>2999</v>
      </c>
      <c r="R338" s="719">
        <f t="shared" si="5"/>
        <v>90233</v>
      </c>
      <c r="S338" s="718"/>
      <c r="T338" s="719">
        <v>43623</v>
      </c>
      <c r="U338" s="721">
        <v>4342</v>
      </c>
      <c r="V338" s="721">
        <v>47965</v>
      </c>
    </row>
    <row r="339" spans="1:22" x14ac:dyDescent="0.25">
      <c r="A339" s="715">
        <v>93461</v>
      </c>
      <c r="B339" s="716" t="s">
        <v>2872</v>
      </c>
      <c r="C339" s="717">
        <v>1.7200000000000001E-5</v>
      </c>
      <c r="D339" s="717">
        <v>1.7200000000000001E-5</v>
      </c>
      <c r="E339" s="718">
        <v>7471</v>
      </c>
      <c r="F339" s="718">
        <v>7719</v>
      </c>
      <c r="G339" s="718">
        <v>36504</v>
      </c>
      <c r="H339" s="718"/>
      <c r="I339" s="719">
        <v>685.85</v>
      </c>
      <c r="J339" s="719">
        <v>31989</v>
      </c>
      <c r="K339" s="719">
        <v>2500</v>
      </c>
      <c r="L339" s="718">
        <v>695</v>
      </c>
      <c r="M339" s="718"/>
      <c r="N339" s="719">
        <v>1279</v>
      </c>
      <c r="O339" s="719">
        <v>11807</v>
      </c>
      <c r="P339" s="719">
        <v>0</v>
      </c>
      <c r="Q339" s="718">
        <v>0</v>
      </c>
      <c r="R339" s="719">
        <f t="shared" si="5"/>
        <v>20182</v>
      </c>
      <c r="S339" s="718"/>
      <c r="T339" s="719">
        <v>9757</v>
      </c>
      <c r="U339" s="721">
        <v>226</v>
      </c>
      <c r="V339" s="721">
        <v>9983</v>
      </c>
    </row>
    <row r="340" spans="1:22" x14ac:dyDescent="0.25">
      <c r="A340" s="715">
        <v>93471</v>
      </c>
      <c r="B340" s="716" t="s">
        <v>2873</v>
      </c>
      <c r="C340" s="717">
        <v>1.1800000000000001E-5</v>
      </c>
      <c r="D340" s="717">
        <v>1.34E-5</v>
      </c>
      <c r="E340" s="718">
        <v>7905</v>
      </c>
      <c r="F340" s="718">
        <v>6014</v>
      </c>
      <c r="G340" s="718">
        <v>25044</v>
      </c>
      <c r="H340" s="718"/>
      <c r="I340" s="719">
        <v>471</v>
      </c>
      <c r="J340" s="719">
        <v>21946</v>
      </c>
      <c r="K340" s="719">
        <v>1715</v>
      </c>
      <c r="L340" s="718">
        <v>2187</v>
      </c>
      <c r="M340" s="718"/>
      <c r="N340" s="719">
        <v>878</v>
      </c>
      <c r="O340" s="719">
        <v>8100</v>
      </c>
      <c r="P340" s="719">
        <v>0</v>
      </c>
      <c r="Q340" s="718">
        <v>127</v>
      </c>
      <c r="R340" s="719">
        <f t="shared" si="5"/>
        <v>13846</v>
      </c>
      <c r="S340" s="718"/>
      <c r="T340" s="719">
        <v>6694</v>
      </c>
      <c r="U340" s="721">
        <v>563</v>
      </c>
      <c r="V340" s="721">
        <v>7256</v>
      </c>
    </row>
    <row r="341" spans="1:22" x14ac:dyDescent="0.25">
      <c r="A341" s="715">
        <v>93501</v>
      </c>
      <c r="B341" s="716" t="s">
        <v>2874</v>
      </c>
      <c r="C341" s="717">
        <v>3.4039000000000001E-3</v>
      </c>
      <c r="D341" s="717">
        <v>3.4708E-3</v>
      </c>
      <c r="E341" s="718">
        <v>1347598.72</v>
      </c>
      <c r="F341" s="718">
        <v>1557674</v>
      </c>
      <c r="G341" s="718">
        <v>7224216</v>
      </c>
      <c r="H341" s="718"/>
      <c r="I341" s="719">
        <v>135731</v>
      </c>
      <c r="J341" s="719">
        <v>6330716</v>
      </c>
      <c r="K341" s="719">
        <v>494794</v>
      </c>
      <c r="L341" s="718">
        <v>165283</v>
      </c>
      <c r="M341" s="718"/>
      <c r="N341" s="719">
        <v>253145</v>
      </c>
      <c r="O341" s="719">
        <v>2336634</v>
      </c>
      <c r="P341" s="719">
        <v>0</v>
      </c>
      <c r="Q341" s="718">
        <v>77725</v>
      </c>
      <c r="R341" s="719">
        <f t="shared" si="5"/>
        <v>3994082</v>
      </c>
      <c r="S341" s="718"/>
      <c r="T341" s="719">
        <v>1930927</v>
      </c>
      <c r="U341" s="721">
        <v>52932</v>
      </c>
      <c r="V341" s="721">
        <v>1983859</v>
      </c>
    </row>
    <row r="342" spans="1:22" x14ac:dyDescent="0.25">
      <c r="A342" s="715">
        <v>93511</v>
      </c>
      <c r="B342" s="716" t="s">
        <v>2875</v>
      </c>
      <c r="C342" s="717">
        <v>9.8999999999999994E-5</v>
      </c>
      <c r="D342" s="717">
        <v>1.142E-4</v>
      </c>
      <c r="E342" s="718">
        <v>40720.79</v>
      </c>
      <c r="F342" s="718">
        <v>51252</v>
      </c>
      <c r="G342" s="718">
        <v>210111</v>
      </c>
      <c r="H342" s="718"/>
      <c r="I342" s="719">
        <v>3948</v>
      </c>
      <c r="J342" s="719">
        <v>184124</v>
      </c>
      <c r="K342" s="719">
        <v>14391</v>
      </c>
      <c r="L342" s="718">
        <v>5204</v>
      </c>
      <c r="M342" s="718"/>
      <c r="N342" s="719">
        <v>7363</v>
      </c>
      <c r="O342" s="719">
        <v>67959</v>
      </c>
      <c r="P342" s="719">
        <v>0</v>
      </c>
      <c r="Q342" s="718">
        <v>14645</v>
      </c>
      <c r="R342" s="719">
        <f t="shared" si="5"/>
        <v>116165</v>
      </c>
      <c r="S342" s="718"/>
      <c r="T342" s="719">
        <v>56160</v>
      </c>
      <c r="U342" s="721">
        <v>-1792</v>
      </c>
      <c r="V342" s="721">
        <v>54368</v>
      </c>
    </row>
    <row r="343" spans="1:22" x14ac:dyDescent="0.25">
      <c r="A343" s="715">
        <v>93517</v>
      </c>
      <c r="B343" s="716" t="s">
        <v>2876</v>
      </c>
      <c r="C343" s="717">
        <v>6.4999999999999996E-6</v>
      </c>
      <c r="D343" s="717">
        <v>6.6000000000000003E-6</v>
      </c>
      <c r="E343" s="718">
        <v>4035.72</v>
      </c>
      <c r="F343" s="718">
        <v>2962</v>
      </c>
      <c r="G343" s="718">
        <v>13795</v>
      </c>
      <c r="H343" s="718"/>
      <c r="I343" s="719">
        <v>259.1875</v>
      </c>
      <c r="J343" s="719">
        <v>12089</v>
      </c>
      <c r="K343" s="719">
        <v>945</v>
      </c>
      <c r="L343" s="718">
        <v>3198</v>
      </c>
      <c r="M343" s="718"/>
      <c r="N343" s="719">
        <v>483</v>
      </c>
      <c r="O343" s="719">
        <v>4462</v>
      </c>
      <c r="P343" s="719">
        <v>0</v>
      </c>
      <c r="Q343" s="718">
        <v>1011</v>
      </c>
      <c r="R343" s="719">
        <f t="shared" si="5"/>
        <v>7627</v>
      </c>
      <c r="S343" s="718"/>
      <c r="T343" s="719">
        <v>3687</v>
      </c>
      <c r="U343" s="721">
        <v>528</v>
      </c>
      <c r="V343" s="721">
        <v>4215</v>
      </c>
    </row>
    <row r="344" spans="1:22" x14ac:dyDescent="0.25">
      <c r="A344" s="715">
        <v>93521</v>
      </c>
      <c r="B344" s="716" t="s">
        <v>2877</v>
      </c>
      <c r="C344" s="717">
        <v>5.6389999999999999E-4</v>
      </c>
      <c r="D344" s="717">
        <v>4.75E-4</v>
      </c>
      <c r="E344" s="718">
        <v>183431</v>
      </c>
      <c r="F344" s="718">
        <v>213177.15</v>
      </c>
      <c r="G344" s="718">
        <v>1196785</v>
      </c>
      <c r="H344" s="718"/>
      <c r="I344" s="719">
        <v>22486</v>
      </c>
      <c r="J344" s="719">
        <v>1048765</v>
      </c>
      <c r="K344" s="719">
        <v>81969</v>
      </c>
      <c r="L344" s="718">
        <v>9662</v>
      </c>
      <c r="M344" s="718"/>
      <c r="N344" s="719">
        <v>41937</v>
      </c>
      <c r="O344" s="719">
        <v>387094</v>
      </c>
      <c r="P344" s="719">
        <v>0</v>
      </c>
      <c r="Q344" s="718">
        <v>10656</v>
      </c>
      <c r="R344" s="719">
        <f t="shared" si="5"/>
        <v>661671</v>
      </c>
      <c r="S344" s="718"/>
      <c r="T344" s="719">
        <v>319883</v>
      </c>
      <c r="U344" s="721">
        <v>-2591</v>
      </c>
      <c r="V344" s="721">
        <v>317292</v>
      </c>
    </row>
    <row r="345" spans="1:22" x14ac:dyDescent="0.25">
      <c r="A345" s="715">
        <v>93527</v>
      </c>
      <c r="B345" s="716" t="s">
        <v>2878</v>
      </c>
      <c r="C345" s="717">
        <v>5.4E-6</v>
      </c>
      <c r="D345" s="717">
        <v>5.4E-6</v>
      </c>
      <c r="E345" s="718">
        <v>8301</v>
      </c>
      <c r="F345" s="718">
        <v>2423</v>
      </c>
      <c r="G345" s="718">
        <v>11461</v>
      </c>
      <c r="H345" s="718"/>
      <c r="I345" s="719">
        <v>215.32499999999999</v>
      </c>
      <c r="J345" s="719">
        <v>10043</v>
      </c>
      <c r="K345" s="719">
        <v>785</v>
      </c>
      <c r="L345" s="718">
        <v>11237</v>
      </c>
      <c r="M345" s="718"/>
      <c r="N345" s="719">
        <v>402</v>
      </c>
      <c r="O345" s="719">
        <v>3707</v>
      </c>
      <c r="P345" s="719">
        <v>0</v>
      </c>
      <c r="Q345" s="718">
        <v>0</v>
      </c>
      <c r="R345" s="719">
        <f t="shared" si="5"/>
        <v>6336</v>
      </c>
      <c r="S345" s="718"/>
      <c r="T345" s="719">
        <v>3063</v>
      </c>
      <c r="U345" s="721">
        <v>3941</v>
      </c>
      <c r="V345" s="721">
        <v>7005</v>
      </c>
    </row>
    <row r="346" spans="1:22" x14ac:dyDescent="0.25">
      <c r="A346" s="715">
        <v>93531</v>
      </c>
      <c r="B346" s="716" t="s">
        <v>2879</v>
      </c>
      <c r="C346" s="717">
        <v>2.4000000000000001E-5</v>
      </c>
      <c r="D346" s="717">
        <v>2.4700000000000001E-5</v>
      </c>
      <c r="E346" s="718">
        <v>11692.23</v>
      </c>
      <c r="F346" s="718">
        <v>11085</v>
      </c>
      <c r="G346" s="718">
        <v>50936.04</v>
      </c>
      <c r="H346" s="718"/>
      <c r="I346" s="719">
        <v>957</v>
      </c>
      <c r="J346" s="719">
        <v>44636</v>
      </c>
      <c r="K346" s="719">
        <v>3489</v>
      </c>
      <c r="L346" s="718">
        <v>1068</v>
      </c>
      <c r="M346" s="718"/>
      <c r="N346" s="719">
        <v>1785</v>
      </c>
      <c r="O346" s="719">
        <v>16475</v>
      </c>
      <c r="P346" s="719">
        <v>0</v>
      </c>
      <c r="Q346" s="718">
        <v>2182</v>
      </c>
      <c r="R346" s="719">
        <f t="shared" si="5"/>
        <v>28161</v>
      </c>
      <c r="S346" s="718"/>
      <c r="T346" s="719">
        <v>13614</v>
      </c>
      <c r="U346" s="721">
        <v>-801</v>
      </c>
      <c r="V346" s="721">
        <v>12814</v>
      </c>
    </row>
    <row r="347" spans="1:22" x14ac:dyDescent="0.25">
      <c r="A347" s="715">
        <v>93537</v>
      </c>
      <c r="B347" s="716" t="s">
        <v>2880</v>
      </c>
      <c r="C347" s="717">
        <v>1.17E-5</v>
      </c>
      <c r="D347" s="717">
        <v>1.13E-5</v>
      </c>
      <c r="E347" s="718">
        <v>3539</v>
      </c>
      <c r="F347" s="718">
        <v>5071</v>
      </c>
      <c r="G347" s="718">
        <v>24831</v>
      </c>
      <c r="H347" s="718"/>
      <c r="I347" s="719">
        <v>467</v>
      </c>
      <c r="J347" s="719">
        <v>21760</v>
      </c>
      <c r="K347" s="719">
        <v>1701</v>
      </c>
      <c r="L347" s="718">
        <v>0</v>
      </c>
      <c r="M347" s="718"/>
      <c r="N347" s="719">
        <v>870</v>
      </c>
      <c r="O347" s="719">
        <v>8032</v>
      </c>
      <c r="P347" s="719">
        <v>0</v>
      </c>
      <c r="Q347" s="718">
        <v>976</v>
      </c>
      <c r="R347" s="719">
        <f t="shared" si="5"/>
        <v>13728</v>
      </c>
      <c r="S347" s="718"/>
      <c r="T347" s="719">
        <v>6637</v>
      </c>
      <c r="U347" s="721">
        <v>-276</v>
      </c>
      <c r="V347" s="721">
        <v>6361</v>
      </c>
    </row>
    <row r="348" spans="1:22" x14ac:dyDescent="0.25">
      <c r="A348" s="715">
        <v>93541</v>
      </c>
      <c r="B348" s="716" t="s">
        <v>2881</v>
      </c>
      <c r="C348" s="717">
        <v>1.061E-4</v>
      </c>
      <c r="D348" s="717">
        <v>1.069E-4</v>
      </c>
      <c r="E348" s="718">
        <v>43706</v>
      </c>
      <c r="F348" s="718">
        <v>47976</v>
      </c>
      <c r="G348" s="718">
        <v>225180</v>
      </c>
      <c r="H348" s="718"/>
      <c r="I348" s="719">
        <v>4231</v>
      </c>
      <c r="J348" s="719">
        <v>197329</v>
      </c>
      <c r="K348" s="719">
        <v>15423</v>
      </c>
      <c r="L348" s="718">
        <v>8559</v>
      </c>
      <c r="M348" s="718"/>
      <c r="N348" s="719">
        <v>7891</v>
      </c>
      <c r="O348" s="719">
        <v>72833</v>
      </c>
      <c r="P348" s="719">
        <v>0</v>
      </c>
      <c r="Q348" s="718">
        <v>1155</v>
      </c>
      <c r="R348" s="719">
        <f t="shared" si="5"/>
        <v>124496</v>
      </c>
      <c r="S348" s="718"/>
      <c r="T348" s="719">
        <v>60187</v>
      </c>
      <c r="U348" s="721">
        <v>3927</v>
      </c>
      <c r="V348" s="721">
        <v>64114</v>
      </c>
    </row>
    <row r="349" spans="1:22" x14ac:dyDescent="0.25">
      <c r="A349" s="715">
        <v>93601</v>
      </c>
      <c r="B349" s="716" t="s">
        <v>2882</v>
      </c>
      <c r="C349" s="717">
        <v>1.1139899999999999E-2</v>
      </c>
      <c r="D349" s="717">
        <v>1.09906E-2</v>
      </c>
      <c r="E349" s="718">
        <v>4591072.71</v>
      </c>
      <c r="F349" s="718">
        <v>4932515</v>
      </c>
      <c r="G349" s="718">
        <v>23642600</v>
      </c>
      <c r="H349" s="718"/>
      <c r="I349" s="719">
        <v>444204</v>
      </c>
      <c r="J349" s="719">
        <v>20718454</v>
      </c>
      <c r="K349" s="719">
        <v>1619307</v>
      </c>
      <c r="L349" s="718">
        <v>88715</v>
      </c>
      <c r="M349" s="718"/>
      <c r="N349" s="719">
        <v>828463</v>
      </c>
      <c r="O349" s="719">
        <v>7647073</v>
      </c>
      <c r="P349" s="719">
        <v>0</v>
      </c>
      <c r="Q349" s="718">
        <v>158818</v>
      </c>
      <c r="R349" s="719">
        <f t="shared" si="5"/>
        <v>13071381</v>
      </c>
      <c r="S349" s="718"/>
      <c r="T349" s="719">
        <v>6319320</v>
      </c>
      <c r="U349" s="721">
        <v>-40519</v>
      </c>
      <c r="V349" s="721">
        <v>6278801</v>
      </c>
    </row>
    <row r="350" spans="1:22" x14ac:dyDescent="0.25">
      <c r="A350" s="715">
        <v>93602</v>
      </c>
      <c r="B350" s="716" t="s">
        <v>2883</v>
      </c>
      <c r="C350" s="717">
        <v>1.7200000000000001E-4</v>
      </c>
      <c r="D350" s="717">
        <v>1.873E-4</v>
      </c>
      <c r="E350" s="718">
        <v>65294.78</v>
      </c>
      <c r="F350" s="718">
        <v>84059</v>
      </c>
      <c r="G350" s="718">
        <v>365041.62</v>
      </c>
      <c r="H350" s="718"/>
      <c r="I350" s="719">
        <v>6858.5</v>
      </c>
      <c r="J350" s="719">
        <v>319893</v>
      </c>
      <c r="K350" s="719">
        <v>25002</v>
      </c>
      <c r="L350" s="718">
        <v>1192</v>
      </c>
      <c r="M350" s="718"/>
      <c r="N350" s="719">
        <v>12791</v>
      </c>
      <c r="O350" s="719">
        <v>118071</v>
      </c>
      <c r="P350" s="719">
        <v>0</v>
      </c>
      <c r="Q350" s="718">
        <v>14459</v>
      </c>
      <c r="R350" s="719">
        <f t="shared" si="5"/>
        <v>201822</v>
      </c>
      <c r="S350" s="718"/>
      <c r="T350" s="719">
        <v>97570</v>
      </c>
      <c r="U350" s="721">
        <v>-3774</v>
      </c>
      <c r="V350" s="721">
        <v>93797</v>
      </c>
    </row>
    <row r="351" spans="1:22" x14ac:dyDescent="0.25">
      <c r="A351" s="715">
        <v>93609</v>
      </c>
      <c r="B351" s="716" t="s">
        <v>2884</v>
      </c>
      <c r="C351" s="717">
        <v>3.0569E-3</v>
      </c>
      <c r="D351" s="717">
        <v>2.777E-3</v>
      </c>
      <c r="E351" s="718">
        <v>1250738</v>
      </c>
      <c r="F351" s="718">
        <v>1246301</v>
      </c>
      <c r="G351" s="718">
        <v>6487766</v>
      </c>
      <c r="H351" s="718"/>
      <c r="I351" s="719">
        <v>121894</v>
      </c>
      <c r="J351" s="719">
        <v>5685351</v>
      </c>
      <c r="K351" s="719">
        <v>444354</v>
      </c>
      <c r="L351" s="718">
        <v>575194</v>
      </c>
      <c r="M351" s="718"/>
      <c r="N351" s="719">
        <v>227339</v>
      </c>
      <c r="O351" s="719">
        <v>2098433</v>
      </c>
      <c r="P351" s="719">
        <v>0</v>
      </c>
      <c r="Q351" s="718">
        <v>0</v>
      </c>
      <c r="R351" s="719">
        <f t="shared" si="5"/>
        <v>3586918</v>
      </c>
      <c r="S351" s="718"/>
      <c r="T351" s="719">
        <v>1734085</v>
      </c>
      <c r="U351" s="721">
        <v>238417</v>
      </c>
      <c r="V351" s="721">
        <v>1972502</v>
      </c>
    </row>
    <row r="352" spans="1:22" x14ac:dyDescent="0.25">
      <c r="A352" s="715">
        <v>93610</v>
      </c>
      <c r="B352" s="716" t="s">
        <v>2885</v>
      </c>
      <c r="C352" s="717">
        <v>6.4999999999999996E-6</v>
      </c>
      <c r="D352" s="717">
        <v>1.84E-5</v>
      </c>
      <c r="E352" s="718">
        <v>5057</v>
      </c>
      <c r="F352" s="718">
        <v>8258</v>
      </c>
      <c r="G352" s="718">
        <v>13795</v>
      </c>
      <c r="H352" s="718"/>
      <c r="I352" s="719">
        <v>259.1875</v>
      </c>
      <c r="J352" s="719">
        <v>12089</v>
      </c>
      <c r="K352" s="719">
        <v>945</v>
      </c>
      <c r="L352" s="718">
        <v>3285</v>
      </c>
      <c r="M352" s="718"/>
      <c r="N352" s="719">
        <v>483</v>
      </c>
      <c r="O352" s="719">
        <v>4462</v>
      </c>
      <c r="P352" s="719">
        <v>0</v>
      </c>
      <c r="Q352" s="718">
        <v>4553</v>
      </c>
      <c r="R352" s="719">
        <f t="shared" si="5"/>
        <v>7627</v>
      </c>
      <c r="S352" s="718"/>
      <c r="T352" s="719">
        <v>3687</v>
      </c>
      <c r="U352" s="721">
        <v>154</v>
      </c>
      <c r="V352" s="721">
        <v>3842</v>
      </c>
    </row>
    <row r="353" spans="1:22" x14ac:dyDescent="0.25">
      <c r="A353" s="715">
        <v>93611</v>
      </c>
      <c r="B353" s="716" t="s">
        <v>2886</v>
      </c>
      <c r="C353" s="717">
        <v>6.9325000000000003E-3</v>
      </c>
      <c r="D353" s="717">
        <v>6.9034999999999999E-3</v>
      </c>
      <c r="E353" s="718">
        <v>2795516.27</v>
      </c>
      <c r="F353" s="718">
        <v>3098249</v>
      </c>
      <c r="G353" s="718">
        <v>14713087</v>
      </c>
      <c r="H353" s="718"/>
      <c r="I353" s="719">
        <v>276433</v>
      </c>
      <c r="J353" s="719">
        <v>12893355</v>
      </c>
      <c r="K353" s="719">
        <v>1007715</v>
      </c>
      <c r="L353" s="718">
        <v>0</v>
      </c>
      <c r="M353" s="718"/>
      <c r="N353" s="719">
        <v>515563</v>
      </c>
      <c r="O353" s="719">
        <v>4758870</v>
      </c>
      <c r="P353" s="719">
        <v>0</v>
      </c>
      <c r="Q353" s="718">
        <v>266414</v>
      </c>
      <c r="R353" s="719">
        <f t="shared" si="5"/>
        <v>8134485</v>
      </c>
      <c r="S353" s="718"/>
      <c r="T353" s="719">
        <v>3932592</v>
      </c>
      <c r="U353" s="721">
        <v>-113352</v>
      </c>
      <c r="V353" s="721">
        <v>3819240</v>
      </c>
    </row>
    <row r="354" spans="1:22" x14ac:dyDescent="0.25">
      <c r="A354" s="715">
        <v>93617</v>
      </c>
      <c r="B354" s="716" t="s">
        <v>2887</v>
      </c>
      <c r="C354" s="717">
        <v>9.5000000000000005E-5</v>
      </c>
      <c r="D354" s="717">
        <v>7.9200000000000001E-5</v>
      </c>
      <c r="E354" s="718">
        <v>46064</v>
      </c>
      <c r="F354" s="718">
        <v>35544</v>
      </c>
      <c r="G354" s="718">
        <v>201622</v>
      </c>
      <c r="H354" s="718"/>
      <c r="I354" s="719">
        <v>3788.125</v>
      </c>
      <c r="J354" s="719">
        <v>176685</v>
      </c>
      <c r="K354" s="719">
        <v>13809</v>
      </c>
      <c r="L354" s="718">
        <v>28939</v>
      </c>
      <c r="M354" s="718"/>
      <c r="N354" s="719">
        <v>7065</v>
      </c>
      <c r="O354" s="719">
        <v>65213.51</v>
      </c>
      <c r="P354" s="719">
        <v>0</v>
      </c>
      <c r="Q354" s="718">
        <v>0</v>
      </c>
      <c r="R354" s="719">
        <f t="shared" si="5"/>
        <v>111471</v>
      </c>
      <c r="S354" s="718"/>
      <c r="T354" s="719">
        <v>53891</v>
      </c>
      <c r="U354" s="721">
        <v>10007</v>
      </c>
      <c r="V354" s="721">
        <v>63898</v>
      </c>
    </row>
    <row r="355" spans="1:22" x14ac:dyDescent="0.25">
      <c r="A355" s="715">
        <v>93618</v>
      </c>
      <c r="B355" s="716" t="s">
        <v>2888</v>
      </c>
      <c r="C355" s="717">
        <v>1.17E-5</v>
      </c>
      <c r="D355" s="717">
        <v>1.0200000000000001E-5</v>
      </c>
      <c r="E355" s="718">
        <v>22629</v>
      </c>
      <c r="F355" s="718">
        <v>4578</v>
      </c>
      <c r="G355" s="718">
        <v>24831</v>
      </c>
      <c r="H355" s="718"/>
      <c r="I355" s="719">
        <v>467</v>
      </c>
      <c r="J355" s="719">
        <v>21760</v>
      </c>
      <c r="K355" s="719">
        <v>1701</v>
      </c>
      <c r="L355" s="718">
        <v>27424</v>
      </c>
      <c r="M355" s="718"/>
      <c r="N355" s="719">
        <v>870</v>
      </c>
      <c r="O355" s="719">
        <v>8032</v>
      </c>
      <c r="P355" s="719">
        <v>0</v>
      </c>
      <c r="Q355" s="718">
        <v>0</v>
      </c>
      <c r="R355" s="719">
        <f t="shared" si="5"/>
        <v>13728</v>
      </c>
      <c r="S355" s="718"/>
      <c r="T355" s="719">
        <v>6637</v>
      </c>
      <c r="U355" s="721">
        <v>8505</v>
      </c>
      <c r="V355" s="721">
        <v>15142</v>
      </c>
    </row>
    <row r="356" spans="1:22" x14ac:dyDescent="0.25">
      <c r="A356" s="715">
        <v>93621</v>
      </c>
      <c r="B356" s="716" t="s">
        <v>2889</v>
      </c>
      <c r="C356" s="717">
        <v>8.5320000000000003E-4</v>
      </c>
      <c r="D356" s="717">
        <v>9.5949999999999996E-4</v>
      </c>
      <c r="E356" s="718">
        <v>330203.31</v>
      </c>
      <c r="F356" s="718">
        <v>430618</v>
      </c>
      <c r="G356" s="718">
        <v>1810776</v>
      </c>
      <c r="H356" s="718"/>
      <c r="I356" s="719">
        <v>34021.35</v>
      </c>
      <c r="J356" s="719">
        <v>1586817</v>
      </c>
      <c r="K356" s="719">
        <v>124022</v>
      </c>
      <c r="L356" s="718">
        <v>0</v>
      </c>
      <c r="M356" s="718"/>
      <c r="N356" s="719">
        <v>63452</v>
      </c>
      <c r="O356" s="719">
        <v>585686</v>
      </c>
      <c r="P356" s="719">
        <v>0</v>
      </c>
      <c r="Q356" s="718">
        <v>118410</v>
      </c>
      <c r="R356" s="719">
        <f t="shared" si="5"/>
        <v>1001131</v>
      </c>
      <c r="S356" s="718"/>
      <c r="T356" s="719">
        <v>483994</v>
      </c>
      <c r="U356" s="721">
        <v>-38643</v>
      </c>
      <c r="V356" s="721">
        <v>445351</v>
      </c>
    </row>
    <row r="357" spans="1:22" x14ac:dyDescent="0.25">
      <c r="A357" s="715">
        <v>93623</v>
      </c>
      <c r="B357" s="716" t="s">
        <v>2890</v>
      </c>
      <c r="C357" s="717">
        <v>1.2500000000000001E-5</v>
      </c>
      <c r="D357" s="717">
        <v>1.24E-5</v>
      </c>
      <c r="E357" s="718">
        <v>8241</v>
      </c>
      <c r="F357" s="718">
        <v>5565</v>
      </c>
      <c r="G357" s="718">
        <v>26529.1875</v>
      </c>
      <c r="H357" s="718"/>
      <c r="I357" s="719">
        <v>498.4375</v>
      </c>
      <c r="J357" s="719">
        <v>23248</v>
      </c>
      <c r="K357" s="719">
        <v>1817</v>
      </c>
      <c r="L357" s="718">
        <v>4315</v>
      </c>
      <c r="M357" s="718"/>
      <c r="N357" s="719">
        <v>930</v>
      </c>
      <c r="O357" s="719">
        <v>8581</v>
      </c>
      <c r="P357" s="719">
        <v>0</v>
      </c>
      <c r="Q357" s="718">
        <v>2</v>
      </c>
      <c r="R357" s="719">
        <f t="shared" si="5"/>
        <v>14667</v>
      </c>
      <c r="S357" s="718"/>
      <c r="T357" s="719">
        <v>7091</v>
      </c>
      <c r="U357" s="721">
        <v>1289</v>
      </c>
      <c r="V357" s="721">
        <v>8380</v>
      </c>
    </row>
    <row r="358" spans="1:22" x14ac:dyDescent="0.25">
      <c r="A358" s="715">
        <v>93631</v>
      </c>
      <c r="B358" s="716" t="s">
        <v>2891</v>
      </c>
      <c r="C358" s="717">
        <v>2.3440000000000001E-4</v>
      </c>
      <c r="D358" s="717">
        <v>2.3680000000000001E-4</v>
      </c>
      <c r="E358" s="718">
        <v>87285</v>
      </c>
      <c r="F358" s="718">
        <v>106274</v>
      </c>
      <c r="G358" s="718">
        <v>497475</v>
      </c>
      <c r="H358" s="718"/>
      <c r="I358" s="719">
        <v>9347</v>
      </c>
      <c r="J358" s="719">
        <v>435947</v>
      </c>
      <c r="K358" s="719">
        <v>34073</v>
      </c>
      <c r="L358" s="718">
        <v>874</v>
      </c>
      <c r="M358" s="718"/>
      <c r="N358" s="719">
        <v>17432</v>
      </c>
      <c r="O358" s="719">
        <v>160906</v>
      </c>
      <c r="P358" s="719">
        <v>0</v>
      </c>
      <c r="Q358" s="718">
        <v>17303</v>
      </c>
      <c r="R358" s="719">
        <f t="shared" si="5"/>
        <v>275041</v>
      </c>
      <c r="S358" s="718"/>
      <c r="T358" s="719">
        <v>132968</v>
      </c>
      <c r="U358" s="721">
        <v>-4881</v>
      </c>
      <c r="V358" s="721">
        <v>128086</v>
      </c>
    </row>
    <row r="359" spans="1:22" x14ac:dyDescent="0.25">
      <c r="A359" s="715">
        <v>93641</v>
      </c>
      <c r="B359" s="716" t="s">
        <v>2892</v>
      </c>
      <c r="C359" s="717">
        <v>4.3550000000000001E-4</v>
      </c>
      <c r="D359" s="717">
        <v>4.3100000000000001E-4</v>
      </c>
      <c r="E359" s="718">
        <v>182885.7</v>
      </c>
      <c r="F359" s="718">
        <v>193430</v>
      </c>
      <c r="G359" s="718">
        <v>924277</v>
      </c>
      <c r="H359" s="718"/>
      <c r="I359" s="719">
        <v>17365.5625</v>
      </c>
      <c r="J359" s="719">
        <v>809961</v>
      </c>
      <c r="K359" s="719">
        <v>63305</v>
      </c>
      <c r="L359" s="718">
        <v>21571</v>
      </c>
      <c r="M359" s="718"/>
      <c r="N359" s="719">
        <v>32388</v>
      </c>
      <c r="O359" s="719">
        <v>298952</v>
      </c>
      <c r="P359" s="719">
        <v>0</v>
      </c>
      <c r="Q359" s="718">
        <v>0</v>
      </c>
      <c r="R359" s="719">
        <f t="shared" si="5"/>
        <v>511009</v>
      </c>
      <c r="S359" s="718"/>
      <c r="T359" s="719">
        <v>247046</v>
      </c>
      <c r="U359" s="721">
        <v>7537</v>
      </c>
      <c r="V359" s="721">
        <v>254583</v>
      </c>
    </row>
    <row r="360" spans="1:22" x14ac:dyDescent="0.25">
      <c r="A360" s="715">
        <v>93647</v>
      </c>
      <c r="B360" s="716" t="s">
        <v>2893</v>
      </c>
      <c r="C360" s="717">
        <v>6.1E-6</v>
      </c>
      <c r="D360" s="717">
        <v>6.0000000000000002E-6</v>
      </c>
      <c r="E360" s="718">
        <v>7779</v>
      </c>
      <c r="F360" s="718">
        <v>2693</v>
      </c>
      <c r="G360" s="718">
        <v>12946</v>
      </c>
      <c r="H360" s="718"/>
      <c r="I360" s="719">
        <v>243.23750000000001</v>
      </c>
      <c r="J360" s="719">
        <v>11345</v>
      </c>
      <c r="K360" s="719">
        <v>887</v>
      </c>
      <c r="L360" s="718">
        <v>10457</v>
      </c>
      <c r="M360" s="718"/>
      <c r="N360" s="719">
        <v>454</v>
      </c>
      <c r="O360" s="719">
        <v>4187</v>
      </c>
      <c r="P360" s="719">
        <v>0</v>
      </c>
      <c r="Q360" s="718">
        <v>0</v>
      </c>
      <c r="R360" s="719">
        <f t="shared" si="5"/>
        <v>7158</v>
      </c>
      <c r="S360" s="718"/>
      <c r="T360" s="719">
        <v>3460</v>
      </c>
      <c r="U360" s="721">
        <v>3397</v>
      </c>
      <c r="V360" s="721">
        <v>6857</v>
      </c>
    </row>
    <row r="361" spans="1:22" x14ac:dyDescent="0.25">
      <c r="A361" s="715">
        <v>93651</v>
      </c>
      <c r="B361" s="716" t="s">
        <v>2894</v>
      </c>
      <c r="C361" s="717">
        <v>4.282E-4</v>
      </c>
      <c r="D361" s="717">
        <v>4.216E-4</v>
      </c>
      <c r="E361" s="718">
        <v>158412.88</v>
      </c>
      <c r="F361" s="718">
        <v>189212</v>
      </c>
      <c r="G361" s="718">
        <v>908784</v>
      </c>
      <c r="H361" s="718"/>
      <c r="I361" s="719">
        <v>17074</v>
      </c>
      <c r="J361" s="719">
        <v>796384</v>
      </c>
      <c r="K361" s="719">
        <v>62244</v>
      </c>
      <c r="L361" s="718">
        <v>9033</v>
      </c>
      <c r="M361" s="718"/>
      <c r="N361" s="719">
        <v>31845</v>
      </c>
      <c r="O361" s="719">
        <v>293941</v>
      </c>
      <c r="P361" s="719">
        <v>0</v>
      </c>
      <c r="Q361" s="718">
        <v>11722</v>
      </c>
      <c r="R361" s="719">
        <f t="shared" si="5"/>
        <v>502443</v>
      </c>
      <c r="S361" s="718"/>
      <c r="T361" s="719">
        <v>242905</v>
      </c>
      <c r="U361" s="721">
        <v>-139</v>
      </c>
      <c r="V361" s="721">
        <v>242766</v>
      </c>
    </row>
    <row r="362" spans="1:22" x14ac:dyDescent="0.25">
      <c r="A362" s="715">
        <v>93661</v>
      </c>
      <c r="B362" s="716" t="s">
        <v>2895</v>
      </c>
      <c r="C362" s="717">
        <v>1.3420000000000001E-4</v>
      </c>
      <c r="D362" s="717">
        <v>1.2750000000000001E-4</v>
      </c>
      <c r="E362" s="718">
        <v>60285</v>
      </c>
      <c r="F362" s="718">
        <v>57221</v>
      </c>
      <c r="G362" s="718">
        <v>284817</v>
      </c>
      <c r="H362" s="718"/>
      <c r="I362" s="719">
        <v>5351</v>
      </c>
      <c r="J362" s="719">
        <v>249591</v>
      </c>
      <c r="K362" s="719">
        <v>19507</v>
      </c>
      <c r="L362" s="718">
        <v>12174</v>
      </c>
      <c r="M362" s="718"/>
      <c r="N362" s="719">
        <v>9980</v>
      </c>
      <c r="O362" s="719">
        <v>92123</v>
      </c>
      <c r="P362" s="719">
        <v>0</v>
      </c>
      <c r="Q362" s="718">
        <v>0</v>
      </c>
      <c r="R362" s="719">
        <f t="shared" si="5"/>
        <v>157468</v>
      </c>
      <c r="S362" s="718"/>
      <c r="T362" s="719">
        <v>76127</v>
      </c>
      <c r="U362" s="721">
        <v>3955</v>
      </c>
      <c r="V362" s="721">
        <v>80082</v>
      </c>
    </row>
    <row r="363" spans="1:22" x14ac:dyDescent="0.25">
      <c r="A363" s="715">
        <v>93671</v>
      </c>
      <c r="B363" s="716" t="s">
        <v>2896</v>
      </c>
      <c r="C363" s="717">
        <v>3.6900000000000002E-4</v>
      </c>
      <c r="D363" s="717">
        <v>3.5710000000000001E-4</v>
      </c>
      <c r="E363" s="718">
        <v>141320.09</v>
      </c>
      <c r="F363" s="718">
        <v>160264</v>
      </c>
      <c r="G363" s="718">
        <v>783142</v>
      </c>
      <c r="H363" s="718"/>
      <c r="I363" s="719">
        <v>14714</v>
      </c>
      <c r="J363" s="719">
        <v>686282</v>
      </c>
      <c r="K363" s="719">
        <v>53638</v>
      </c>
      <c r="L363" s="718">
        <v>67993</v>
      </c>
      <c r="M363" s="718"/>
      <c r="N363" s="719">
        <v>27442</v>
      </c>
      <c r="O363" s="719">
        <v>253303</v>
      </c>
      <c r="P363" s="719">
        <v>0</v>
      </c>
      <c r="Q363" s="718">
        <v>1836</v>
      </c>
      <c r="R363" s="719">
        <f t="shared" si="5"/>
        <v>432979</v>
      </c>
      <c r="S363" s="718"/>
      <c r="T363" s="719">
        <v>209322</v>
      </c>
      <c r="U363" s="721">
        <v>28852</v>
      </c>
      <c r="V363" s="721">
        <v>238174</v>
      </c>
    </row>
    <row r="364" spans="1:22" x14ac:dyDescent="0.25">
      <c r="A364" s="715">
        <v>93677</v>
      </c>
      <c r="B364" s="716" t="s">
        <v>1497</v>
      </c>
      <c r="C364" s="717">
        <v>0</v>
      </c>
      <c r="D364" s="717">
        <v>0</v>
      </c>
      <c r="E364" s="718">
        <v>0</v>
      </c>
      <c r="F364" s="718">
        <v>0</v>
      </c>
      <c r="G364" s="718">
        <v>0</v>
      </c>
      <c r="H364" s="718"/>
      <c r="I364" s="719">
        <v>0</v>
      </c>
      <c r="J364" s="719">
        <v>0</v>
      </c>
      <c r="K364" s="719">
        <v>0</v>
      </c>
      <c r="L364" s="718">
        <v>0</v>
      </c>
      <c r="M364" s="718"/>
      <c r="N364" s="719">
        <v>0</v>
      </c>
      <c r="O364" s="719">
        <v>0</v>
      </c>
      <c r="P364" s="719">
        <v>0</v>
      </c>
      <c r="Q364" s="718">
        <v>1443</v>
      </c>
      <c r="R364" s="719">
        <f t="shared" si="5"/>
        <v>0</v>
      </c>
      <c r="S364" s="718"/>
      <c r="T364" s="719">
        <v>0</v>
      </c>
      <c r="U364" s="721">
        <v>-725</v>
      </c>
      <c r="V364" s="721">
        <v>-725</v>
      </c>
    </row>
    <row r="365" spans="1:22" x14ac:dyDescent="0.25">
      <c r="A365" s="715">
        <v>93681</v>
      </c>
      <c r="B365" s="716" t="s">
        <v>2897</v>
      </c>
      <c r="C365" s="717">
        <v>1.1010000000000001E-4</v>
      </c>
      <c r="D365" s="717">
        <v>1.2769999999999999E-4</v>
      </c>
      <c r="E365" s="718">
        <v>44347.75</v>
      </c>
      <c r="F365" s="718">
        <v>57311</v>
      </c>
      <c r="G365" s="718">
        <v>233669</v>
      </c>
      <c r="H365" s="718"/>
      <c r="I365" s="719">
        <v>4390</v>
      </c>
      <c r="J365" s="719">
        <v>204769</v>
      </c>
      <c r="K365" s="719">
        <v>16004</v>
      </c>
      <c r="L365" s="718">
        <v>409</v>
      </c>
      <c r="M365" s="718"/>
      <c r="N365" s="719">
        <v>8188</v>
      </c>
      <c r="O365" s="719">
        <v>75579</v>
      </c>
      <c r="P365" s="719">
        <v>0</v>
      </c>
      <c r="Q365" s="718">
        <v>17487</v>
      </c>
      <c r="R365" s="719">
        <f t="shared" si="5"/>
        <v>129190</v>
      </c>
      <c r="S365" s="718"/>
      <c r="T365" s="719">
        <v>62456</v>
      </c>
      <c r="U365" s="721">
        <v>-6141</v>
      </c>
      <c r="V365" s="721">
        <v>56315</v>
      </c>
    </row>
    <row r="366" spans="1:22" x14ac:dyDescent="0.25">
      <c r="A366" s="715">
        <v>93691</v>
      </c>
      <c r="B366" s="716" t="s">
        <v>2898</v>
      </c>
      <c r="C366" s="717">
        <v>1.1251E-3</v>
      </c>
      <c r="D366" s="717">
        <v>1.1314999999999999E-3</v>
      </c>
      <c r="E366" s="718">
        <v>407119.95</v>
      </c>
      <c r="F366" s="718">
        <v>507810</v>
      </c>
      <c r="G366" s="718">
        <v>2387839</v>
      </c>
      <c r="H366" s="718"/>
      <c r="I366" s="719">
        <v>44863</v>
      </c>
      <c r="J366" s="719">
        <v>2092508</v>
      </c>
      <c r="K366" s="719">
        <v>163546</v>
      </c>
      <c r="L366" s="718">
        <v>0</v>
      </c>
      <c r="M366" s="718"/>
      <c r="N366" s="719">
        <v>83673</v>
      </c>
      <c r="O366" s="719">
        <v>772334</v>
      </c>
      <c r="P366" s="719">
        <v>0</v>
      </c>
      <c r="Q366" s="718">
        <v>90621</v>
      </c>
      <c r="R366" s="719">
        <f t="shared" si="5"/>
        <v>1320174</v>
      </c>
      <c r="S366" s="718"/>
      <c r="T366" s="719">
        <v>638234</v>
      </c>
      <c r="U366" s="721">
        <v>-28965</v>
      </c>
      <c r="V366" s="721">
        <v>609269</v>
      </c>
    </row>
    <row r="367" spans="1:22" x14ac:dyDescent="0.25">
      <c r="A367" s="715">
        <v>93701</v>
      </c>
      <c r="B367" s="716" t="s">
        <v>2899</v>
      </c>
      <c r="C367" s="717">
        <v>4.6200000000000001E-4</v>
      </c>
      <c r="D367" s="717">
        <v>4.7169999999999997E-4</v>
      </c>
      <c r="E367" s="718">
        <v>182681.63</v>
      </c>
      <c r="F367" s="718">
        <v>211696</v>
      </c>
      <c r="G367" s="718">
        <v>980518.77</v>
      </c>
      <c r="H367" s="718"/>
      <c r="I367" s="719">
        <v>18422.25</v>
      </c>
      <c r="J367" s="719">
        <v>859247</v>
      </c>
      <c r="K367" s="719">
        <v>67157</v>
      </c>
      <c r="L367" s="718">
        <v>13714</v>
      </c>
      <c r="M367" s="718"/>
      <c r="N367" s="719">
        <v>34358</v>
      </c>
      <c r="O367" s="719">
        <v>317144</v>
      </c>
      <c r="P367" s="719">
        <v>0</v>
      </c>
      <c r="Q367" s="718">
        <v>11063</v>
      </c>
      <c r="R367" s="719">
        <f t="shared" si="5"/>
        <v>542103</v>
      </c>
      <c r="S367" s="718"/>
      <c r="T367" s="719">
        <v>262078</v>
      </c>
      <c r="U367" s="721">
        <v>2925</v>
      </c>
      <c r="V367" s="721">
        <v>265003</v>
      </c>
    </row>
    <row r="368" spans="1:22" x14ac:dyDescent="0.25">
      <c r="A368" s="715">
        <v>93704</v>
      </c>
      <c r="B368" s="716" t="s">
        <v>2900</v>
      </c>
      <c r="C368" s="717">
        <v>3.3000000000000002E-6</v>
      </c>
      <c r="D368" s="717">
        <v>3.3000000000000002E-6</v>
      </c>
      <c r="E368" s="718">
        <v>1805</v>
      </c>
      <c r="F368" s="718">
        <v>1481</v>
      </c>
      <c r="G368" s="718">
        <v>7004</v>
      </c>
      <c r="H368" s="718"/>
      <c r="I368" s="719">
        <v>131.58750000000001</v>
      </c>
      <c r="J368" s="719">
        <v>6137</v>
      </c>
      <c r="K368" s="719">
        <v>480</v>
      </c>
      <c r="L368" s="718">
        <v>430</v>
      </c>
      <c r="M368" s="718"/>
      <c r="N368" s="719">
        <v>245</v>
      </c>
      <c r="O368" s="719">
        <v>2265</v>
      </c>
      <c r="P368" s="719">
        <v>0</v>
      </c>
      <c r="Q368" s="718">
        <v>97.51</v>
      </c>
      <c r="R368" s="719">
        <f t="shared" si="5"/>
        <v>3872</v>
      </c>
      <c r="S368" s="718"/>
      <c r="T368" s="719">
        <v>1872</v>
      </c>
      <c r="U368" s="721">
        <v>69</v>
      </c>
      <c r="V368" s="721">
        <v>1941</v>
      </c>
    </row>
    <row r="369" spans="1:22" x14ac:dyDescent="0.25">
      <c r="A369" s="715">
        <v>93801</v>
      </c>
      <c r="B369" s="716" t="s">
        <v>2901</v>
      </c>
      <c r="C369" s="717">
        <v>5.4180000000000005E-4</v>
      </c>
      <c r="D369" s="717">
        <v>4.4959999999999998E-4</v>
      </c>
      <c r="E369" s="718">
        <v>326497.91999999998</v>
      </c>
      <c r="F369" s="718">
        <v>201778</v>
      </c>
      <c r="G369" s="718">
        <v>1149881</v>
      </c>
      <c r="H369" s="718"/>
      <c r="I369" s="719">
        <v>21604</v>
      </c>
      <c r="J369" s="719">
        <v>1007662</v>
      </c>
      <c r="K369" s="719">
        <v>78757</v>
      </c>
      <c r="L369" s="718">
        <v>156479</v>
      </c>
      <c r="M369" s="718"/>
      <c r="N369" s="719">
        <v>40293</v>
      </c>
      <c r="O369" s="719">
        <v>371923</v>
      </c>
      <c r="P369" s="719">
        <v>0</v>
      </c>
      <c r="Q369" s="718">
        <v>2943</v>
      </c>
      <c r="R369" s="719">
        <f t="shared" si="5"/>
        <v>635739</v>
      </c>
      <c r="S369" s="718"/>
      <c r="T369" s="719">
        <v>307346</v>
      </c>
      <c r="U369" s="721">
        <v>41370</v>
      </c>
      <c r="V369" s="721">
        <v>348716</v>
      </c>
    </row>
    <row r="370" spans="1:22" x14ac:dyDescent="0.25">
      <c r="A370" s="715">
        <v>93803</v>
      </c>
      <c r="B370" s="716" t="s">
        <v>2902</v>
      </c>
      <c r="C370" s="717">
        <v>1.4469999999999999E-4</v>
      </c>
      <c r="D370" s="717">
        <v>1.582E-4</v>
      </c>
      <c r="E370" s="718">
        <v>49766</v>
      </c>
      <c r="F370" s="718">
        <v>70999</v>
      </c>
      <c r="G370" s="718">
        <v>307102</v>
      </c>
      <c r="H370" s="718"/>
      <c r="I370" s="719">
        <v>5770</v>
      </c>
      <c r="J370" s="719">
        <v>269119</v>
      </c>
      <c r="K370" s="719">
        <v>21034</v>
      </c>
      <c r="L370" s="718">
        <v>0</v>
      </c>
      <c r="M370" s="718"/>
      <c r="N370" s="719">
        <v>10761</v>
      </c>
      <c r="O370" s="719">
        <v>99330</v>
      </c>
      <c r="P370" s="719">
        <v>0</v>
      </c>
      <c r="Q370" s="718">
        <v>34507</v>
      </c>
      <c r="R370" s="719">
        <f t="shared" si="5"/>
        <v>169789</v>
      </c>
      <c r="S370" s="718"/>
      <c r="T370" s="719">
        <v>82084</v>
      </c>
      <c r="U370" s="721">
        <v>-12391</v>
      </c>
      <c r="V370" s="721">
        <v>69693</v>
      </c>
    </row>
    <row r="371" spans="1:22" x14ac:dyDescent="0.25">
      <c r="A371" s="715">
        <v>93806</v>
      </c>
      <c r="B371" s="716" t="s">
        <v>2903</v>
      </c>
      <c r="C371" s="717">
        <v>7.3700000000000002E-5</v>
      </c>
      <c r="D371" s="717">
        <v>7.7899999999999996E-5</v>
      </c>
      <c r="E371" s="718">
        <v>32242.28</v>
      </c>
      <c r="F371" s="718">
        <v>34961</v>
      </c>
      <c r="G371" s="718">
        <v>156416</v>
      </c>
      <c r="H371" s="718"/>
      <c r="I371" s="719">
        <v>2939</v>
      </c>
      <c r="J371" s="719">
        <v>137070</v>
      </c>
      <c r="K371" s="719">
        <v>10713</v>
      </c>
      <c r="L371" s="718">
        <v>1793</v>
      </c>
      <c r="M371" s="718"/>
      <c r="N371" s="719">
        <v>5481</v>
      </c>
      <c r="O371" s="719">
        <v>50592</v>
      </c>
      <c r="P371" s="719">
        <v>0</v>
      </c>
      <c r="Q371" s="718">
        <v>19837</v>
      </c>
      <c r="R371" s="719">
        <f t="shared" si="5"/>
        <v>86478</v>
      </c>
      <c r="S371" s="718"/>
      <c r="T371" s="719">
        <v>41808</v>
      </c>
      <c r="U371" s="721">
        <v>-9153</v>
      </c>
      <c r="V371" s="721">
        <v>32655</v>
      </c>
    </row>
    <row r="372" spans="1:22" x14ac:dyDescent="0.25">
      <c r="A372" s="715">
        <v>93821</v>
      </c>
      <c r="B372" s="716" t="s">
        <v>2904</v>
      </c>
      <c r="C372" s="717">
        <v>5.7200000000000001E-5</v>
      </c>
      <c r="D372" s="717">
        <v>5.2899999999999998E-5</v>
      </c>
      <c r="E372" s="718">
        <v>45354.71</v>
      </c>
      <c r="F372" s="718">
        <v>23741</v>
      </c>
      <c r="G372" s="718">
        <v>121398</v>
      </c>
      <c r="H372" s="718"/>
      <c r="I372" s="719">
        <v>2280.85</v>
      </c>
      <c r="J372" s="719">
        <v>106383</v>
      </c>
      <c r="K372" s="719">
        <v>8315</v>
      </c>
      <c r="L372" s="718">
        <v>26142</v>
      </c>
      <c r="M372" s="718"/>
      <c r="N372" s="719">
        <v>4254</v>
      </c>
      <c r="O372" s="719">
        <v>39265</v>
      </c>
      <c r="P372" s="719">
        <v>0</v>
      </c>
      <c r="Q372" s="718">
        <v>0</v>
      </c>
      <c r="R372" s="719">
        <f t="shared" si="5"/>
        <v>67118</v>
      </c>
      <c r="S372" s="718"/>
      <c r="T372" s="719">
        <v>32448</v>
      </c>
      <c r="U372" s="721">
        <v>7718</v>
      </c>
      <c r="V372" s="721">
        <v>40166</v>
      </c>
    </row>
    <row r="373" spans="1:22" x14ac:dyDescent="0.25">
      <c r="A373" s="715">
        <v>93901</v>
      </c>
      <c r="B373" s="716" t="s">
        <v>2905</v>
      </c>
      <c r="C373" s="717">
        <v>1.8059E-3</v>
      </c>
      <c r="D373" s="717">
        <v>1.7983999999999999E-3</v>
      </c>
      <c r="E373" s="718">
        <v>780735.88</v>
      </c>
      <c r="F373" s="718">
        <v>807111</v>
      </c>
      <c r="G373" s="718">
        <v>3832725</v>
      </c>
      <c r="H373" s="718"/>
      <c r="I373" s="719">
        <v>72010</v>
      </c>
      <c r="J373" s="719">
        <v>3358689</v>
      </c>
      <c r="K373" s="719">
        <v>262507</v>
      </c>
      <c r="L373" s="718">
        <v>66837</v>
      </c>
      <c r="M373" s="718"/>
      <c r="N373" s="719">
        <v>134303</v>
      </c>
      <c r="O373" s="719">
        <v>1239675</v>
      </c>
      <c r="P373" s="719">
        <v>0</v>
      </c>
      <c r="Q373" s="718">
        <v>0</v>
      </c>
      <c r="R373" s="719">
        <f t="shared" si="5"/>
        <v>2119014</v>
      </c>
      <c r="S373" s="718"/>
      <c r="T373" s="719">
        <v>1024431</v>
      </c>
      <c r="U373" s="721">
        <v>21679</v>
      </c>
      <c r="V373" s="721">
        <v>1046110</v>
      </c>
    </row>
    <row r="374" spans="1:22" x14ac:dyDescent="0.25">
      <c r="A374" s="715">
        <v>93904</v>
      </c>
      <c r="B374" s="716" t="s">
        <v>2906</v>
      </c>
      <c r="C374" s="717">
        <v>2.4700000000000001E-5</v>
      </c>
      <c r="D374" s="717">
        <v>2.5700000000000001E-5</v>
      </c>
      <c r="E374" s="718">
        <v>12993.06</v>
      </c>
      <c r="F374" s="718">
        <v>11534</v>
      </c>
      <c r="G374" s="718">
        <v>52422</v>
      </c>
      <c r="H374" s="718"/>
      <c r="I374" s="719">
        <v>984.91250000000002</v>
      </c>
      <c r="J374" s="719">
        <v>45938</v>
      </c>
      <c r="K374" s="719">
        <v>3590</v>
      </c>
      <c r="L374" s="718">
        <v>4911</v>
      </c>
      <c r="M374" s="718"/>
      <c r="N374" s="719">
        <v>1837</v>
      </c>
      <c r="O374" s="719">
        <v>16956</v>
      </c>
      <c r="P374" s="719">
        <v>0</v>
      </c>
      <c r="Q374" s="718">
        <v>56</v>
      </c>
      <c r="R374" s="719">
        <f t="shared" si="5"/>
        <v>28982</v>
      </c>
      <c r="S374" s="718"/>
      <c r="T374" s="719">
        <v>14012</v>
      </c>
      <c r="U374" s="721">
        <v>1550</v>
      </c>
      <c r="V374" s="721">
        <v>15562</v>
      </c>
    </row>
    <row r="375" spans="1:22" x14ac:dyDescent="0.25">
      <c r="A375" s="715">
        <v>93906</v>
      </c>
      <c r="B375" s="716" t="s">
        <v>2907</v>
      </c>
      <c r="C375" s="717">
        <v>3.4513E-3</v>
      </c>
      <c r="D375" s="717">
        <v>3.4020000000000001E-3</v>
      </c>
      <c r="E375" s="718">
        <v>1324474.51</v>
      </c>
      <c r="F375" s="718">
        <v>1526797</v>
      </c>
      <c r="G375" s="718">
        <v>7324815</v>
      </c>
      <c r="H375" s="718"/>
      <c r="I375" s="719">
        <v>137621</v>
      </c>
      <c r="J375" s="719">
        <v>6418873</v>
      </c>
      <c r="K375" s="719">
        <v>501684</v>
      </c>
      <c r="L375" s="718">
        <v>30117</v>
      </c>
      <c r="M375" s="718"/>
      <c r="N375" s="719">
        <v>256670</v>
      </c>
      <c r="O375" s="719">
        <v>2369172</v>
      </c>
      <c r="P375" s="719">
        <v>0</v>
      </c>
      <c r="Q375" s="718">
        <v>185682</v>
      </c>
      <c r="R375" s="719">
        <f t="shared" si="5"/>
        <v>4049701</v>
      </c>
      <c r="S375" s="718"/>
      <c r="T375" s="719">
        <v>1957815</v>
      </c>
      <c r="U375" s="721">
        <v>-46065</v>
      </c>
      <c r="V375" s="721">
        <v>1911751</v>
      </c>
    </row>
    <row r="376" spans="1:22" x14ac:dyDescent="0.25">
      <c r="A376" s="715">
        <v>93908</v>
      </c>
      <c r="B376" s="716" t="s">
        <v>2908</v>
      </c>
      <c r="C376" s="717">
        <v>5.0239999999999996E-4</v>
      </c>
      <c r="D376" s="717">
        <v>5.1309999999999995E-4</v>
      </c>
      <c r="E376" s="718">
        <v>209823</v>
      </c>
      <c r="F376" s="718">
        <v>230276</v>
      </c>
      <c r="G376" s="718">
        <v>1066261</v>
      </c>
      <c r="H376" s="718"/>
      <c r="I376" s="719">
        <v>20033</v>
      </c>
      <c r="J376" s="719">
        <v>934385</v>
      </c>
      <c r="K376" s="719">
        <v>73029</v>
      </c>
      <c r="L376" s="718">
        <v>8428</v>
      </c>
      <c r="M376" s="718"/>
      <c r="N376" s="719">
        <v>37363</v>
      </c>
      <c r="O376" s="719">
        <v>344876</v>
      </c>
      <c r="P376" s="719">
        <v>0</v>
      </c>
      <c r="Q376" s="718">
        <v>25053</v>
      </c>
      <c r="R376" s="719">
        <f t="shared" si="5"/>
        <v>589509</v>
      </c>
      <c r="S376" s="718"/>
      <c r="T376" s="719">
        <v>284996</v>
      </c>
      <c r="U376" s="721">
        <v>-4339</v>
      </c>
      <c r="V376" s="721">
        <v>280657</v>
      </c>
    </row>
    <row r="377" spans="1:22" x14ac:dyDescent="0.25">
      <c r="A377" s="715">
        <v>93910</v>
      </c>
      <c r="B377" s="716" t="s">
        <v>2909</v>
      </c>
      <c r="C377" s="717">
        <v>2.9129999999999998E-4</v>
      </c>
      <c r="D377" s="717">
        <v>2.8830000000000001E-4</v>
      </c>
      <c r="E377" s="718">
        <v>105004</v>
      </c>
      <c r="F377" s="718">
        <v>129387</v>
      </c>
      <c r="G377" s="718">
        <v>618236</v>
      </c>
      <c r="H377" s="718"/>
      <c r="I377" s="719">
        <v>11616</v>
      </c>
      <c r="J377" s="719">
        <v>541772</v>
      </c>
      <c r="K377" s="719">
        <v>42344</v>
      </c>
      <c r="L377" s="718">
        <v>0</v>
      </c>
      <c r="M377" s="718"/>
      <c r="N377" s="719">
        <v>21664</v>
      </c>
      <c r="O377" s="719">
        <v>199965</v>
      </c>
      <c r="P377" s="719">
        <v>0</v>
      </c>
      <c r="Q377" s="718">
        <v>27549</v>
      </c>
      <c r="R377" s="719">
        <f t="shared" si="5"/>
        <v>341807</v>
      </c>
      <c r="S377" s="718"/>
      <c r="T377" s="719">
        <v>165245</v>
      </c>
      <c r="U377" s="721">
        <v>-10320</v>
      </c>
      <c r="V377" s="721">
        <v>154925</v>
      </c>
    </row>
    <row r="378" spans="1:22" x14ac:dyDescent="0.25">
      <c r="A378" s="715">
        <v>93911</v>
      </c>
      <c r="B378" s="716" t="s">
        <v>2910</v>
      </c>
      <c r="C378" s="717">
        <v>6.9890000000000002E-4</v>
      </c>
      <c r="D378" s="717">
        <v>7.1869999999999996E-4</v>
      </c>
      <c r="E378" s="718">
        <v>267489</v>
      </c>
      <c r="F378" s="718">
        <v>322548</v>
      </c>
      <c r="G378" s="718">
        <v>1483300</v>
      </c>
      <c r="H378" s="718"/>
      <c r="I378" s="719">
        <v>27869</v>
      </c>
      <c r="J378" s="719">
        <v>1299844</v>
      </c>
      <c r="K378" s="719">
        <v>101593</v>
      </c>
      <c r="L378" s="718">
        <v>21802</v>
      </c>
      <c r="M378" s="718"/>
      <c r="N378" s="719">
        <v>51976</v>
      </c>
      <c r="O378" s="719">
        <v>479765</v>
      </c>
      <c r="P378" s="719">
        <v>0</v>
      </c>
      <c r="Q378" s="718">
        <v>26554</v>
      </c>
      <c r="R378" s="719">
        <f t="shared" si="5"/>
        <v>820079</v>
      </c>
      <c r="S378" s="718"/>
      <c r="T378" s="719">
        <v>396464</v>
      </c>
      <c r="U378" s="721">
        <v>1748</v>
      </c>
      <c r="V378" s="721">
        <v>398212</v>
      </c>
    </row>
    <row r="379" spans="1:22" x14ac:dyDescent="0.25">
      <c r="A379" s="715">
        <v>93913</v>
      </c>
      <c r="B379" s="716" t="s">
        <v>2911</v>
      </c>
      <c r="C379" s="717">
        <v>6.2600000000000004E-5</v>
      </c>
      <c r="D379" s="717">
        <v>5.5699999999999999E-5</v>
      </c>
      <c r="E379" s="718">
        <v>25969.759999999998</v>
      </c>
      <c r="F379" s="718">
        <v>24998</v>
      </c>
      <c r="G379" s="718">
        <v>132858</v>
      </c>
      <c r="H379" s="718"/>
      <c r="I379" s="719">
        <v>2496</v>
      </c>
      <c r="J379" s="719">
        <v>116426</v>
      </c>
      <c r="K379" s="719">
        <v>9100</v>
      </c>
      <c r="L379" s="718">
        <v>3917</v>
      </c>
      <c r="M379" s="718"/>
      <c r="N379" s="719">
        <v>4655</v>
      </c>
      <c r="O379" s="719">
        <v>42972</v>
      </c>
      <c r="P379" s="719">
        <v>0</v>
      </c>
      <c r="Q379" s="718">
        <v>1335</v>
      </c>
      <c r="R379" s="719">
        <f t="shared" si="5"/>
        <v>73454</v>
      </c>
      <c r="S379" s="718"/>
      <c r="T379" s="719">
        <v>35511</v>
      </c>
      <c r="U379" s="721">
        <v>530</v>
      </c>
      <c r="V379" s="721">
        <v>36041</v>
      </c>
    </row>
    <row r="380" spans="1:22" x14ac:dyDescent="0.25">
      <c r="A380" s="715">
        <v>93914</v>
      </c>
      <c r="B380" s="716" t="s">
        <v>2912</v>
      </c>
      <c r="C380" s="717">
        <v>9.0999999999999993E-6</v>
      </c>
      <c r="D380" s="717">
        <v>1.0000000000000001E-5</v>
      </c>
      <c r="E380" s="718">
        <v>5837.72</v>
      </c>
      <c r="F380" s="718">
        <v>4488</v>
      </c>
      <c r="G380" s="718">
        <v>19313</v>
      </c>
      <c r="H380" s="718"/>
      <c r="I380" s="719">
        <v>363</v>
      </c>
      <c r="J380" s="719">
        <v>16925</v>
      </c>
      <c r="K380" s="719">
        <v>1323</v>
      </c>
      <c r="L380" s="718">
        <v>3108</v>
      </c>
      <c r="M380" s="718"/>
      <c r="N380" s="719">
        <v>677</v>
      </c>
      <c r="O380" s="719">
        <v>6247</v>
      </c>
      <c r="P380" s="719">
        <v>0</v>
      </c>
      <c r="Q380" s="718">
        <v>0</v>
      </c>
      <c r="R380" s="719">
        <f t="shared" si="5"/>
        <v>10678</v>
      </c>
      <c r="S380" s="718"/>
      <c r="T380" s="719">
        <v>5162</v>
      </c>
      <c r="U380" s="721">
        <v>1124</v>
      </c>
      <c r="V380" s="721">
        <v>6287</v>
      </c>
    </row>
    <row r="381" spans="1:22" x14ac:dyDescent="0.25">
      <c r="A381" s="715">
        <v>93921</v>
      </c>
      <c r="B381" s="716" t="s">
        <v>2913</v>
      </c>
      <c r="C381" s="717">
        <v>2.7139999999999998E-4</v>
      </c>
      <c r="D381" s="717">
        <v>2.8130000000000001E-4</v>
      </c>
      <c r="E381" s="718">
        <v>109806.1</v>
      </c>
      <c r="F381" s="718">
        <v>126246</v>
      </c>
      <c r="G381" s="718">
        <v>576002</v>
      </c>
      <c r="H381" s="718"/>
      <c r="I381" s="719">
        <v>10822</v>
      </c>
      <c r="J381" s="719">
        <v>504761</v>
      </c>
      <c r="K381" s="719">
        <v>39451</v>
      </c>
      <c r="L381" s="718">
        <v>14895</v>
      </c>
      <c r="M381" s="718"/>
      <c r="N381" s="719">
        <v>20184</v>
      </c>
      <c r="O381" s="719">
        <v>186305</v>
      </c>
      <c r="P381" s="719">
        <v>0</v>
      </c>
      <c r="Q381" s="718">
        <v>6797</v>
      </c>
      <c r="R381" s="719">
        <f t="shared" si="5"/>
        <v>318456</v>
      </c>
      <c r="S381" s="718"/>
      <c r="T381" s="719">
        <v>153957</v>
      </c>
      <c r="U381" s="721">
        <v>4443</v>
      </c>
      <c r="V381" s="721">
        <v>158400</v>
      </c>
    </row>
    <row r="382" spans="1:22" x14ac:dyDescent="0.25">
      <c r="A382" s="715">
        <v>93931</v>
      </c>
      <c r="B382" s="716" t="s">
        <v>2914</v>
      </c>
      <c r="C382" s="717">
        <v>5.2260000000000002E-4</v>
      </c>
      <c r="D382" s="717">
        <v>5.1309999999999995E-4</v>
      </c>
      <c r="E382" s="718">
        <v>190729</v>
      </c>
      <c r="F382" s="718">
        <v>230276</v>
      </c>
      <c r="G382" s="718">
        <v>1109132</v>
      </c>
      <c r="H382" s="718"/>
      <c r="I382" s="719">
        <v>20839</v>
      </c>
      <c r="J382" s="719">
        <v>971953</v>
      </c>
      <c r="K382" s="719">
        <v>75966</v>
      </c>
      <c r="L382" s="718">
        <v>197494</v>
      </c>
      <c r="M382" s="718"/>
      <c r="N382" s="719">
        <v>38865</v>
      </c>
      <c r="O382" s="719">
        <v>358743</v>
      </c>
      <c r="P382" s="719">
        <v>0</v>
      </c>
      <c r="Q382" s="718">
        <v>14064</v>
      </c>
      <c r="R382" s="719">
        <f t="shared" si="5"/>
        <v>613210</v>
      </c>
      <c r="S382" s="718"/>
      <c r="T382" s="719">
        <v>296455</v>
      </c>
      <c r="U382" s="721">
        <v>86279</v>
      </c>
      <c r="V382" s="721">
        <v>382733</v>
      </c>
    </row>
    <row r="383" spans="1:22" x14ac:dyDescent="0.25">
      <c r="A383" s="715">
        <v>94001</v>
      </c>
      <c r="B383" s="716" t="s">
        <v>2915</v>
      </c>
      <c r="C383" s="717">
        <v>9.0240000000000003E-4</v>
      </c>
      <c r="D383" s="717">
        <v>8.1820000000000005E-4</v>
      </c>
      <c r="E383" s="718">
        <v>359460</v>
      </c>
      <c r="F383" s="718">
        <v>367203</v>
      </c>
      <c r="G383" s="718">
        <v>1915195</v>
      </c>
      <c r="H383" s="718"/>
      <c r="I383" s="719">
        <v>35983</v>
      </c>
      <c r="J383" s="719">
        <v>1678321</v>
      </c>
      <c r="K383" s="719">
        <v>131174</v>
      </c>
      <c r="L383" s="718">
        <v>36363</v>
      </c>
      <c r="M383" s="718"/>
      <c r="N383" s="719">
        <v>67111</v>
      </c>
      <c r="O383" s="719">
        <v>619460</v>
      </c>
      <c r="P383" s="719">
        <v>0</v>
      </c>
      <c r="Q383" s="718">
        <v>53646</v>
      </c>
      <c r="R383" s="719">
        <f t="shared" si="5"/>
        <v>1058861</v>
      </c>
      <c r="S383" s="718"/>
      <c r="T383" s="719">
        <v>511904</v>
      </c>
      <c r="U383" s="721">
        <v>-17058</v>
      </c>
      <c r="V383" s="721">
        <v>494846</v>
      </c>
    </row>
    <row r="384" spans="1:22" x14ac:dyDescent="0.25">
      <c r="A384" s="715">
        <v>94002</v>
      </c>
      <c r="B384" s="716" t="s">
        <v>2916</v>
      </c>
      <c r="C384" s="717">
        <v>7.6000000000000001E-6</v>
      </c>
      <c r="D384" s="717">
        <v>8.3000000000000002E-6</v>
      </c>
      <c r="E384" s="718">
        <v>4360</v>
      </c>
      <c r="F384" s="718">
        <v>3725</v>
      </c>
      <c r="G384" s="718">
        <v>16130</v>
      </c>
      <c r="H384" s="718"/>
      <c r="I384" s="719">
        <v>303.05</v>
      </c>
      <c r="J384" s="719">
        <v>14135</v>
      </c>
      <c r="K384" s="719">
        <v>1105</v>
      </c>
      <c r="L384" s="718">
        <v>867</v>
      </c>
      <c r="M384" s="718"/>
      <c r="N384" s="719">
        <v>565</v>
      </c>
      <c r="O384" s="719">
        <v>5217</v>
      </c>
      <c r="P384" s="719">
        <v>0</v>
      </c>
      <c r="Q384" s="718">
        <v>430</v>
      </c>
      <c r="R384" s="719">
        <f t="shared" si="5"/>
        <v>8918</v>
      </c>
      <c r="S384" s="718"/>
      <c r="T384" s="719">
        <v>4311</v>
      </c>
      <c r="U384" s="721">
        <v>34</v>
      </c>
      <c r="V384" s="721">
        <v>4345</v>
      </c>
    </row>
    <row r="385" spans="1:22" x14ac:dyDescent="0.25">
      <c r="A385" s="715">
        <v>94004</v>
      </c>
      <c r="B385" s="716" t="s">
        <v>2917</v>
      </c>
      <c r="C385" s="717">
        <v>2.7999999999999999E-6</v>
      </c>
      <c r="D385" s="717">
        <v>2.2000000000000001E-6</v>
      </c>
      <c r="E385" s="718">
        <v>2638.89</v>
      </c>
      <c r="F385" s="718">
        <v>987</v>
      </c>
      <c r="G385" s="718">
        <v>5943</v>
      </c>
      <c r="H385" s="718"/>
      <c r="I385" s="719">
        <v>112</v>
      </c>
      <c r="J385" s="719">
        <v>5208</v>
      </c>
      <c r="K385" s="719">
        <v>407</v>
      </c>
      <c r="L385" s="718">
        <v>1506</v>
      </c>
      <c r="M385" s="718"/>
      <c r="N385" s="719">
        <v>208</v>
      </c>
      <c r="O385" s="719">
        <v>1922</v>
      </c>
      <c r="P385" s="719">
        <v>0</v>
      </c>
      <c r="Q385" s="718">
        <v>1224</v>
      </c>
      <c r="R385" s="719">
        <f t="shared" si="5"/>
        <v>3286</v>
      </c>
      <c r="S385" s="718"/>
      <c r="T385" s="719">
        <v>1588</v>
      </c>
      <c r="U385" s="721">
        <v>-207</v>
      </c>
      <c r="V385" s="721">
        <v>1381</v>
      </c>
    </row>
    <row r="386" spans="1:22" x14ac:dyDescent="0.25">
      <c r="A386" s="715">
        <v>94005</v>
      </c>
      <c r="B386" s="716" t="s">
        <v>2918</v>
      </c>
      <c r="C386" s="717">
        <v>5.4999999999999999E-6</v>
      </c>
      <c r="D386" s="717">
        <v>6.2999999999999998E-6</v>
      </c>
      <c r="E386" s="718">
        <v>0</v>
      </c>
      <c r="F386" s="718">
        <v>2827</v>
      </c>
      <c r="G386" s="718">
        <v>11673</v>
      </c>
      <c r="H386" s="718"/>
      <c r="I386" s="719">
        <v>219.3125</v>
      </c>
      <c r="J386" s="719">
        <v>10229</v>
      </c>
      <c r="K386" s="719">
        <v>799</v>
      </c>
      <c r="L386" s="718">
        <v>0</v>
      </c>
      <c r="M386" s="718"/>
      <c r="N386" s="719">
        <v>409</v>
      </c>
      <c r="O386" s="719">
        <v>3776</v>
      </c>
      <c r="P386" s="719">
        <v>0</v>
      </c>
      <c r="Q386" s="718">
        <v>3798</v>
      </c>
      <c r="R386" s="719">
        <f t="shared" si="5"/>
        <v>6453</v>
      </c>
      <c r="S386" s="718"/>
      <c r="T386" s="719">
        <v>3120</v>
      </c>
      <c r="U386" s="721">
        <v>-1174</v>
      </c>
      <c r="V386" s="721">
        <v>1946</v>
      </c>
    </row>
    <row r="387" spans="1:22" x14ac:dyDescent="0.25">
      <c r="A387" s="715">
        <v>94011</v>
      </c>
      <c r="B387" s="716" t="s">
        <v>2919</v>
      </c>
      <c r="C387" s="717">
        <v>2.5599999999999999E-5</v>
      </c>
      <c r="D387" s="717">
        <v>1.3900000000000001E-5</v>
      </c>
      <c r="E387" s="718">
        <v>8013.12</v>
      </c>
      <c r="F387" s="718">
        <v>6238</v>
      </c>
      <c r="G387" s="718">
        <v>54332</v>
      </c>
      <c r="H387" s="718"/>
      <c r="I387" s="719">
        <v>1020.8</v>
      </c>
      <c r="J387" s="719">
        <v>47612</v>
      </c>
      <c r="K387" s="719">
        <v>3721</v>
      </c>
      <c r="L387" s="718">
        <v>4341</v>
      </c>
      <c r="M387" s="718"/>
      <c r="N387" s="719">
        <v>1904</v>
      </c>
      <c r="O387" s="719">
        <v>17573</v>
      </c>
      <c r="P387" s="719">
        <v>0</v>
      </c>
      <c r="Q387" s="718">
        <v>1019</v>
      </c>
      <c r="R387" s="719">
        <f t="shared" si="5"/>
        <v>30039</v>
      </c>
      <c r="S387" s="718"/>
      <c r="T387" s="719">
        <v>14522</v>
      </c>
      <c r="U387" s="721">
        <v>639</v>
      </c>
      <c r="V387" s="721">
        <v>15161</v>
      </c>
    </row>
    <row r="388" spans="1:22" x14ac:dyDescent="0.25">
      <c r="A388" s="715">
        <v>94021</v>
      </c>
      <c r="B388" s="716" t="s">
        <v>2920</v>
      </c>
      <c r="C388" s="717">
        <v>8.1699999999999994E-5</v>
      </c>
      <c r="D388" s="717">
        <v>7.6899999999999999E-5</v>
      </c>
      <c r="E388" s="718">
        <v>34891</v>
      </c>
      <c r="F388" s="718">
        <v>34512</v>
      </c>
      <c r="G388" s="718">
        <v>173395</v>
      </c>
      <c r="H388" s="718"/>
      <c r="I388" s="719">
        <v>3258</v>
      </c>
      <c r="J388" s="719">
        <v>151949</v>
      </c>
      <c r="K388" s="719">
        <v>11876</v>
      </c>
      <c r="L388" s="718">
        <v>14318</v>
      </c>
      <c r="M388" s="718"/>
      <c r="N388" s="719">
        <v>6076</v>
      </c>
      <c r="O388" s="719">
        <v>56084</v>
      </c>
      <c r="P388" s="719">
        <v>0</v>
      </c>
      <c r="Q388" s="718">
        <v>0</v>
      </c>
      <c r="R388" s="719">
        <f t="shared" si="5"/>
        <v>95865</v>
      </c>
      <c r="S388" s="718"/>
      <c r="T388" s="719">
        <v>46346</v>
      </c>
      <c r="U388" s="721">
        <v>5712</v>
      </c>
      <c r="V388" s="721">
        <v>52058</v>
      </c>
    </row>
    <row r="389" spans="1:22" x14ac:dyDescent="0.25">
      <c r="A389" s="715">
        <v>94031</v>
      </c>
      <c r="B389" s="716" t="s">
        <v>2921</v>
      </c>
      <c r="C389" s="717">
        <v>8.1000000000000004E-6</v>
      </c>
      <c r="D389" s="717">
        <v>6.9E-6</v>
      </c>
      <c r="E389" s="718">
        <v>7705.65</v>
      </c>
      <c r="F389" s="718">
        <v>3097</v>
      </c>
      <c r="G389" s="718">
        <v>17191</v>
      </c>
      <c r="H389" s="718"/>
      <c r="I389" s="719">
        <v>322.98750000000001</v>
      </c>
      <c r="J389" s="719">
        <v>15065</v>
      </c>
      <c r="K389" s="719">
        <v>1177</v>
      </c>
      <c r="L389" s="718">
        <v>8044</v>
      </c>
      <c r="M389" s="718"/>
      <c r="N389" s="719">
        <v>602</v>
      </c>
      <c r="O389" s="719">
        <v>5560</v>
      </c>
      <c r="P389" s="719">
        <v>0</v>
      </c>
      <c r="Q389" s="718">
        <v>81.59</v>
      </c>
      <c r="R389" s="719">
        <f t="shared" si="5"/>
        <v>9505</v>
      </c>
      <c r="S389" s="718"/>
      <c r="T389" s="719">
        <v>4595</v>
      </c>
      <c r="U389" s="721">
        <v>2417</v>
      </c>
      <c r="V389" s="721">
        <v>7012</v>
      </c>
    </row>
    <row r="390" spans="1:22" x14ac:dyDescent="0.25">
      <c r="A390" s="715">
        <v>94101</v>
      </c>
      <c r="B390" s="716" t="s">
        <v>2922</v>
      </c>
      <c r="C390" s="717">
        <v>1.85028E-2</v>
      </c>
      <c r="D390" s="717">
        <v>1.9464599999999999E-2</v>
      </c>
      <c r="E390" s="718">
        <v>7542806</v>
      </c>
      <c r="F390" s="718">
        <v>8735596</v>
      </c>
      <c r="G390" s="718">
        <v>39269140</v>
      </c>
      <c r="H390" s="718"/>
      <c r="I390" s="719">
        <v>737799.15</v>
      </c>
      <c r="J390" s="719">
        <v>34412285</v>
      </c>
      <c r="K390" s="719">
        <v>2689586</v>
      </c>
      <c r="L390" s="718">
        <v>420795</v>
      </c>
      <c r="M390" s="718"/>
      <c r="N390" s="719">
        <v>1376035</v>
      </c>
      <c r="O390" s="719">
        <v>12701395</v>
      </c>
      <c r="P390" s="719">
        <v>0</v>
      </c>
      <c r="Q390" s="718">
        <v>1094802</v>
      </c>
      <c r="R390" s="719">
        <f t="shared" si="5"/>
        <v>21710890</v>
      </c>
      <c r="S390" s="718"/>
      <c r="T390" s="719">
        <v>10496065</v>
      </c>
      <c r="U390" s="721">
        <v>-261265</v>
      </c>
      <c r="V390" s="721">
        <v>10234799</v>
      </c>
    </row>
    <row r="391" spans="1:22" x14ac:dyDescent="0.25">
      <c r="A391" s="715">
        <v>94102</v>
      </c>
      <c r="B391" s="716" t="s">
        <v>2923</v>
      </c>
      <c r="C391" s="717">
        <v>2.7569999999999998E-4</v>
      </c>
      <c r="D391" s="717">
        <v>2.7809999999999998E-4</v>
      </c>
      <c r="E391" s="718">
        <v>89848.97</v>
      </c>
      <c r="F391" s="718">
        <v>124810</v>
      </c>
      <c r="G391" s="718">
        <v>585128</v>
      </c>
      <c r="H391" s="718"/>
      <c r="I391" s="719">
        <v>10994</v>
      </c>
      <c r="J391" s="719">
        <v>512758</v>
      </c>
      <c r="K391" s="719">
        <v>40076</v>
      </c>
      <c r="L391" s="718">
        <v>5166</v>
      </c>
      <c r="M391" s="718"/>
      <c r="N391" s="719">
        <v>20504</v>
      </c>
      <c r="O391" s="719">
        <v>189256</v>
      </c>
      <c r="P391" s="719">
        <v>0</v>
      </c>
      <c r="Q391" s="718">
        <v>36634</v>
      </c>
      <c r="R391" s="719">
        <f t="shared" ref="R391:R454" si="6">IF(J391&gt;O391,J391-O391,O391-J391)</f>
        <v>323502</v>
      </c>
      <c r="S391" s="718"/>
      <c r="T391" s="719">
        <v>156396</v>
      </c>
      <c r="U391" s="721">
        <v>-8485</v>
      </c>
      <c r="V391" s="721">
        <v>147911</v>
      </c>
    </row>
    <row r="392" spans="1:22" x14ac:dyDescent="0.25">
      <c r="A392" s="715">
        <v>94108</v>
      </c>
      <c r="B392" s="716" t="s">
        <v>2924</v>
      </c>
      <c r="C392" s="717">
        <v>3.1809999999999998E-4</v>
      </c>
      <c r="D392" s="717">
        <v>3.991E-4</v>
      </c>
      <c r="E392" s="718">
        <v>100948</v>
      </c>
      <c r="F392" s="718">
        <v>179114</v>
      </c>
      <c r="G392" s="718">
        <v>675115</v>
      </c>
      <c r="H392" s="718"/>
      <c r="I392" s="719">
        <v>12684</v>
      </c>
      <c r="J392" s="719">
        <v>591616</v>
      </c>
      <c r="K392" s="719">
        <v>46239</v>
      </c>
      <c r="L392" s="718">
        <v>0</v>
      </c>
      <c r="M392" s="718"/>
      <c r="N392" s="719">
        <v>23657</v>
      </c>
      <c r="O392" s="719">
        <v>218362</v>
      </c>
      <c r="P392" s="719">
        <v>0</v>
      </c>
      <c r="Q392" s="718">
        <v>121376</v>
      </c>
      <c r="R392" s="719">
        <f t="shared" si="6"/>
        <v>373254</v>
      </c>
      <c r="S392" s="718"/>
      <c r="T392" s="719">
        <v>180448</v>
      </c>
      <c r="U392" s="721">
        <v>-40521</v>
      </c>
      <c r="V392" s="721">
        <v>139927</v>
      </c>
    </row>
    <row r="393" spans="1:22" x14ac:dyDescent="0.25">
      <c r="A393" s="715">
        <v>94109</v>
      </c>
      <c r="B393" s="716" t="s">
        <v>2925</v>
      </c>
      <c r="C393" s="717">
        <v>1.0399999999999999E-4</v>
      </c>
      <c r="D393" s="717">
        <v>1.359E-4</v>
      </c>
      <c r="E393" s="718">
        <v>30807.5</v>
      </c>
      <c r="F393" s="718">
        <v>60991</v>
      </c>
      <c r="G393" s="718">
        <v>220722.84</v>
      </c>
      <c r="H393" s="718"/>
      <c r="I393" s="719">
        <v>4147</v>
      </c>
      <c r="J393" s="719">
        <v>193424</v>
      </c>
      <c r="K393" s="719">
        <v>15118</v>
      </c>
      <c r="L393" s="718">
        <v>1600</v>
      </c>
      <c r="M393" s="718"/>
      <c r="N393" s="719">
        <v>7734</v>
      </c>
      <c r="O393" s="719">
        <v>71392</v>
      </c>
      <c r="P393" s="719">
        <v>0</v>
      </c>
      <c r="Q393" s="718">
        <v>33989</v>
      </c>
      <c r="R393" s="719">
        <f t="shared" si="6"/>
        <v>122032</v>
      </c>
      <c r="S393" s="718"/>
      <c r="T393" s="719">
        <v>58996</v>
      </c>
      <c r="U393" s="721">
        <v>-8690</v>
      </c>
      <c r="V393" s="721">
        <v>50306</v>
      </c>
    </row>
    <row r="394" spans="1:22" x14ac:dyDescent="0.25">
      <c r="A394" s="715">
        <v>94111</v>
      </c>
      <c r="B394" s="716" t="s">
        <v>2926</v>
      </c>
      <c r="C394" s="717">
        <v>2.5623300000000002E-2</v>
      </c>
      <c r="D394" s="717">
        <v>2.7054000000000002E-2</v>
      </c>
      <c r="E394" s="718">
        <v>10028319</v>
      </c>
      <c r="F394" s="718">
        <v>12141673</v>
      </c>
      <c r="G394" s="718">
        <v>54381226</v>
      </c>
      <c r="H394" s="718"/>
      <c r="I394" s="719">
        <v>1021729</v>
      </c>
      <c r="J394" s="719">
        <v>47655290</v>
      </c>
      <c r="K394" s="719">
        <v>3724629</v>
      </c>
      <c r="L394" s="718">
        <v>15132</v>
      </c>
      <c r="M394" s="718"/>
      <c r="N394" s="719">
        <v>1905579</v>
      </c>
      <c r="O394" s="719">
        <v>17589319</v>
      </c>
      <c r="P394" s="719">
        <v>0</v>
      </c>
      <c r="Q394" s="718">
        <v>1552982</v>
      </c>
      <c r="R394" s="719">
        <f t="shared" si="6"/>
        <v>30065971</v>
      </c>
      <c r="S394" s="718"/>
      <c r="T394" s="719">
        <v>14535304</v>
      </c>
      <c r="U394" s="721">
        <v>-430419</v>
      </c>
      <c r="V394" s="721">
        <v>14104885</v>
      </c>
    </row>
    <row r="395" spans="1:22" x14ac:dyDescent="0.25">
      <c r="A395" s="715">
        <v>94112</v>
      </c>
      <c r="B395" s="716" t="s">
        <v>2927</v>
      </c>
      <c r="C395" s="717">
        <v>1.6530000000000001E-4</v>
      </c>
      <c r="D395" s="717">
        <v>1.6909999999999999E-4</v>
      </c>
      <c r="E395" s="718">
        <v>58678.14</v>
      </c>
      <c r="F395" s="718">
        <v>75891</v>
      </c>
      <c r="G395" s="718">
        <v>350822</v>
      </c>
      <c r="H395" s="718"/>
      <c r="I395" s="719">
        <v>6591</v>
      </c>
      <c r="J395" s="719">
        <v>307432</v>
      </c>
      <c r="K395" s="719">
        <v>24028</v>
      </c>
      <c r="L395" s="718">
        <v>0</v>
      </c>
      <c r="M395" s="718"/>
      <c r="N395" s="719">
        <v>12293</v>
      </c>
      <c r="O395" s="719">
        <v>113472</v>
      </c>
      <c r="P395" s="719">
        <v>0</v>
      </c>
      <c r="Q395" s="718">
        <v>20904</v>
      </c>
      <c r="R395" s="719">
        <f t="shared" si="6"/>
        <v>193960</v>
      </c>
      <c r="S395" s="718"/>
      <c r="T395" s="719">
        <v>93770</v>
      </c>
      <c r="U395" s="721">
        <v>-7213</v>
      </c>
      <c r="V395" s="721">
        <v>86557</v>
      </c>
    </row>
    <row r="396" spans="1:22" x14ac:dyDescent="0.25">
      <c r="A396" s="715">
        <v>94117</v>
      </c>
      <c r="B396" s="716" t="s">
        <v>2928</v>
      </c>
      <c r="C396" s="717">
        <v>4.0709999999999997E-4</v>
      </c>
      <c r="D396" s="717">
        <v>4.17E-4</v>
      </c>
      <c r="E396" s="718">
        <v>162038</v>
      </c>
      <c r="F396" s="718">
        <v>187147</v>
      </c>
      <c r="G396" s="718">
        <v>864003</v>
      </c>
      <c r="H396" s="718"/>
      <c r="I396" s="719">
        <v>16233</v>
      </c>
      <c r="J396" s="719">
        <v>757142</v>
      </c>
      <c r="K396" s="719">
        <v>59176</v>
      </c>
      <c r="L396" s="718">
        <v>12662</v>
      </c>
      <c r="M396" s="718"/>
      <c r="N396" s="719">
        <v>30276</v>
      </c>
      <c r="O396" s="719">
        <v>279457</v>
      </c>
      <c r="P396" s="719">
        <v>0</v>
      </c>
      <c r="Q396" s="718">
        <v>9635</v>
      </c>
      <c r="R396" s="719">
        <f t="shared" si="6"/>
        <v>477685</v>
      </c>
      <c r="S396" s="718"/>
      <c r="T396" s="719">
        <v>230935</v>
      </c>
      <c r="U396" s="721">
        <v>2033</v>
      </c>
      <c r="V396" s="721">
        <v>232968</v>
      </c>
    </row>
    <row r="397" spans="1:22" x14ac:dyDescent="0.25">
      <c r="A397" s="715">
        <v>94118</v>
      </c>
      <c r="B397" s="716" t="s">
        <v>2929</v>
      </c>
      <c r="C397" s="717">
        <v>1.63E-4</v>
      </c>
      <c r="D397" s="717">
        <v>1.918E-4</v>
      </c>
      <c r="E397" s="718">
        <v>53076</v>
      </c>
      <c r="F397" s="718">
        <v>86079</v>
      </c>
      <c r="G397" s="718">
        <v>345941</v>
      </c>
      <c r="H397" s="718"/>
      <c r="I397" s="719">
        <v>6499.625</v>
      </c>
      <c r="J397" s="719">
        <v>303154</v>
      </c>
      <c r="K397" s="719">
        <v>23694</v>
      </c>
      <c r="L397" s="718">
        <v>0</v>
      </c>
      <c r="M397" s="718"/>
      <c r="N397" s="719">
        <v>12122</v>
      </c>
      <c r="O397" s="719">
        <v>111893</v>
      </c>
      <c r="P397" s="719">
        <v>0</v>
      </c>
      <c r="Q397" s="718">
        <v>58615</v>
      </c>
      <c r="R397" s="719">
        <f t="shared" si="6"/>
        <v>191261</v>
      </c>
      <c r="S397" s="718"/>
      <c r="T397" s="719">
        <v>92465</v>
      </c>
      <c r="U397" s="721">
        <v>-20217</v>
      </c>
      <c r="V397" s="721">
        <v>72248</v>
      </c>
    </row>
    <row r="398" spans="1:22" x14ac:dyDescent="0.25">
      <c r="A398" s="715">
        <v>94121</v>
      </c>
      <c r="B398" s="716" t="s">
        <v>2930</v>
      </c>
      <c r="C398" s="717">
        <v>1.12823E-2</v>
      </c>
      <c r="D398" s="717">
        <v>1.20112E-2</v>
      </c>
      <c r="E398" s="718">
        <v>4810509.83</v>
      </c>
      <c r="F398" s="718">
        <v>5390554</v>
      </c>
      <c r="G398" s="718">
        <v>23944820</v>
      </c>
      <c r="H398" s="718"/>
      <c r="I398" s="719">
        <v>449882</v>
      </c>
      <c r="J398" s="719">
        <v>20983295</v>
      </c>
      <c r="K398" s="719">
        <v>1640006</v>
      </c>
      <c r="L398" s="718">
        <v>42878</v>
      </c>
      <c r="M398" s="718"/>
      <c r="N398" s="719">
        <v>839053</v>
      </c>
      <c r="O398" s="719">
        <v>7744825</v>
      </c>
      <c r="P398" s="719">
        <v>0</v>
      </c>
      <c r="Q398" s="718">
        <v>429585</v>
      </c>
      <c r="R398" s="719">
        <f t="shared" si="6"/>
        <v>13238470</v>
      </c>
      <c r="S398" s="718"/>
      <c r="T398" s="719">
        <v>6400099</v>
      </c>
      <c r="U398" s="721">
        <v>-137554</v>
      </c>
      <c r="V398" s="721">
        <v>6262545</v>
      </c>
    </row>
    <row r="399" spans="1:22" x14ac:dyDescent="0.25">
      <c r="A399" s="715">
        <v>94127</v>
      </c>
      <c r="B399" s="716" t="s">
        <v>2931</v>
      </c>
      <c r="C399" s="717">
        <v>1.528E-4</v>
      </c>
      <c r="D399" s="717">
        <v>1.4530000000000001E-4</v>
      </c>
      <c r="E399" s="718">
        <v>61108</v>
      </c>
      <c r="F399" s="718">
        <v>65210</v>
      </c>
      <c r="G399" s="718">
        <v>324293</v>
      </c>
      <c r="H399" s="718"/>
      <c r="I399" s="719">
        <v>6092.9</v>
      </c>
      <c r="J399" s="719">
        <v>284184</v>
      </c>
      <c r="K399" s="719">
        <v>22211</v>
      </c>
      <c r="L399" s="718">
        <v>3883</v>
      </c>
      <c r="M399" s="718"/>
      <c r="N399" s="719">
        <v>11364</v>
      </c>
      <c r="O399" s="719">
        <v>104891</v>
      </c>
      <c r="P399" s="719">
        <v>0</v>
      </c>
      <c r="Q399" s="718">
        <v>617</v>
      </c>
      <c r="R399" s="719">
        <f t="shared" si="6"/>
        <v>179293</v>
      </c>
      <c r="S399" s="718"/>
      <c r="T399" s="719">
        <v>86679</v>
      </c>
      <c r="U399" s="721">
        <v>1078</v>
      </c>
      <c r="V399" s="721">
        <v>87756</v>
      </c>
    </row>
    <row r="400" spans="1:22" x14ac:dyDescent="0.25">
      <c r="A400" s="715">
        <v>94131</v>
      </c>
      <c r="B400" s="716" t="s">
        <v>2932</v>
      </c>
      <c r="C400" s="717">
        <v>2.0049999999999999E-4</v>
      </c>
      <c r="D400" s="717">
        <v>2.0120000000000001E-4</v>
      </c>
      <c r="E400" s="718">
        <v>83859.38</v>
      </c>
      <c r="F400" s="718">
        <v>90297</v>
      </c>
      <c r="G400" s="718">
        <v>425528</v>
      </c>
      <c r="H400" s="718"/>
      <c r="I400" s="719">
        <v>7994.9375</v>
      </c>
      <c r="J400" s="719">
        <v>372898</v>
      </c>
      <c r="K400" s="719">
        <v>29145</v>
      </c>
      <c r="L400" s="718">
        <v>4546</v>
      </c>
      <c r="M400" s="718"/>
      <c r="N400" s="719">
        <v>14911</v>
      </c>
      <c r="O400" s="719">
        <v>137635</v>
      </c>
      <c r="P400" s="719">
        <v>0</v>
      </c>
      <c r="Q400" s="718">
        <v>1120</v>
      </c>
      <c r="R400" s="719">
        <f t="shared" si="6"/>
        <v>235263</v>
      </c>
      <c r="S400" s="718"/>
      <c r="T400" s="719">
        <v>113737</v>
      </c>
      <c r="U400" s="721">
        <v>979</v>
      </c>
      <c r="V400" s="721">
        <v>114716</v>
      </c>
    </row>
    <row r="401" spans="1:22" x14ac:dyDescent="0.25">
      <c r="A401" s="715">
        <v>94151</v>
      </c>
      <c r="B401" s="716" t="s">
        <v>2933</v>
      </c>
      <c r="C401" s="717">
        <v>4.2870000000000001E-4</v>
      </c>
      <c r="D401" s="717">
        <v>4.0200000000000001E-4</v>
      </c>
      <c r="E401" s="718">
        <v>148093.01</v>
      </c>
      <c r="F401" s="718">
        <v>180415</v>
      </c>
      <c r="G401" s="718">
        <v>909845</v>
      </c>
      <c r="H401" s="718"/>
      <c r="I401" s="719">
        <v>17094</v>
      </c>
      <c r="J401" s="719">
        <v>797314</v>
      </c>
      <c r="K401" s="719">
        <v>62316</v>
      </c>
      <c r="L401" s="718">
        <v>0</v>
      </c>
      <c r="M401" s="718"/>
      <c r="N401" s="719">
        <v>31882</v>
      </c>
      <c r="O401" s="719">
        <v>294285</v>
      </c>
      <c r="P401" s="719">
        <v>0</v>
      </c>
      <c r="Q401" s="718">
        <v>19133</v>
      </c>
      <c r="R401" s="719">
        <f t="shared" si="6"/>
        <v>503029</v>
      </c>
      <c r="S401" s="718"/>
      <c r="T401" s="719">
        <v>243188</v>
      </c>
      <c r="U401" s="721">
        <v>-6795</v>
      </c>
      <c r="V401" s="721">
        <v>236393</v>
      </c>
    </row>
    <row r="402" spans="1:22" x14ac:dyDescent="0.25">
      <c r="A402" s="715">
        <v>94157</v>
      </c>
      <c r="B402" s="716" t="s">
        <v>2934</v>
      </c>
      <c r="C402" s="717">
        <v>9.3999999999999998E-6</v>
      </c>
      <c r="D402" s="717">
        <v>8.1999999999999994E-6</v>
      </c>
      <c r="E402" s="718">
        <v>4973</v>
      </c>
      <c r="F402" s="718">
        <v>3680</v>
      </c>
      <c r="G402" s="718">
        <v>19950</v>
      </c>
      <c r="H402" s="718"/>
      <c r="I402" s="719">
        <v>374.82499999999999</v>
      </c>
      <c r="J402" s="719">
        <v>17483</v>
      </c>
      <c r="K402" s="719">
        <v>1366</v>
      </c>
      <c r="L402" s="718">
        <v>5150</v>
      </c>
      <c r="M402" s="718"/>
      <c r="N402" s="719">
        <v>699</v>
      </c>
      <c r="O402" s="719">
        <v>6453</v>
      </c>
      <c r="P402" s="719">
        <v>0</v>
      </c>
      <c r="Q402" s="718">
        <v>0</v>
      </c>
      <c r="R402" s="719">
        <f t="shared" si="6"/>
        <v>11030</v>
      </c>
      <c r="S402" s="718"/>
      <c r="T402" s="719">
        <v>5332</v>
      </c>
      <c r="U402" s="721">
        <v>1947</v>
      </c>
      <c r="V402" s="721">
        <v>7280</v>
      </c>
    </row>
    <row r="403" spans="1:22" x14ac:dyDescent="0.25">
      <c r="A403" s="715">
        <v>94161</v>
      </c>
      <c r="B403" s="716" t="s">
        <v>2935</v>
      </c>
      <c r="C403" s="717">
        <v>5.7899999999999998E-5</v>
      </c>
      <c r="D403" s="717">
        <v>5.3000000000000001E-5</v>
      </c>
      <c r="E403" s="718">
        <v>21890.33</v>
      </c>
      <c r="F403" s="718">
        <v>23786</v>
      </c>
      <c r="G403" s="718">
        <v>122883</v>
      </c>
      <c r="H403" s="718"/>
      <c r="I403" s="719">
        <v>2309</v>
      </c>
      <c r="J403" s="719">
        <v>107685</v>
      </c>
      <c r="K403" s="719">
        <v>8416</v>
      </c>
      <c r="L403" s="718">
        <v>8543</v>
      </c>
      <c r="M403" s="718"/>
      <c r="N403" s="719">
        <v>4306</v>
      </c>
      <c r="O403" s="719">
        <v>39746</v>
      </c>
      <c r="P403" s="719">
        <v>0</v>
      </c>
      <c r="Q403" s="718">
        <v>0</v>
      </c>
      <c r="R403" s="719">
        <f t="shared" si="6"/>
        <v>67939</v>
      </c>
      <c r="S403" s="718"/>
      <c r="T403" s="719">
        <v>32845</v>
      </c>
      <c r="U403" s="721">
        <v>3088</v>
      </c>
      <c r="V403" s="721">
        <v>35933</v>
      </c>
    </row>
    <row r="404" spans="1:22" x14ac:dyDescent="0.25">
      <c r="A404" s="715">
        <v>94168</v>
      </c>
      <c r="B404" s="716" t="s">
        <v>2936</v>
      </c>
      <c r="C404" s="717">
        <v>3.4E-5</v>
      </c>
      <c r="D404" s="717">
        <v>4.18E-5</v>
      </c>
      <c r="E404" s="718">
        <v>12127.4</v>
      </c>
      <c r="F404" s="718">
        <v>18760</v>
      </c>
      <c r="G404" s="718">
        <v>72159.39</v>
      </c>
      <c r="H404" s="718"/>
      <c r="I404" s="719">
        <v>1355.75</v>
      </c>
      <c r="J404" s="719">
        <v>63235</v>
      </c>
      <c r="K404" s="719">
        <v>4942</v>
      </c>
      <c r="L404" s="718">
        <v>0</v>
      </c>
      <c r="M404" s="718"/>
      <c r="N404" s="719">
        <v>2529</v>
      </c>
      <c r="O404" s="719">
        <v>23340</v>
      </c>
      <c r="P404" s="719">
        <v>0</v>
      </c>
      <c r="Q404" s="718">
        <v>13113</v>
      </c>
      <c r="R404" s="719">
        <f t="shared" si="6"/>
        <v>39895</v>
      </c>
      <c r="S404" s="718"/>
      <c r="T404" s="719">
        <v>19287</v>
      </c>
      <c r="U404" s="721">
        <v>-4643</v>
      </c>
      <c r="V404" s="721">
        <v>14644</v>
      </c>
    </row>
    <row r="405" spans="1:22" x14ac:dyDescent="0.25">
      <c r="A405" s="715">
        <v>94171</v>
      </c>
      <c r="B405" s="716" t="s">
        <v>2937</v>
      </c>
      <c r="C405" s="717">
        <v>5.5000000000000002E-5</v>
      </c>
      <c r="D405" s="717">
        <v>5.1100000000000002E-5</v>
      </c>
      <c r="E405" s="718">
        <v>21113.95</v>
      </c>
      <c r="F405" s="718">
        <v>22933</v>
      </c>
      <c r="G405" s="718">
        <v>116728</v>
      </c>
      <c r="H405" s="718"/>
      <c r="I405" s="719">
        <v>2193.125</v>
      </c>
      <c r="J405" s="719">
        <v>102291.31</v>
      </c>
      <c r="K405" s="719">
        <v>7995</v>
      </c>
      <c r="L405" s="718">
        <v>6490</v>
      </c>
      <c r="M405" s="718"/>
      <c r="N405" s="719">
        <v>4090</v>
      </c>
      <c r="O405" s="719">
        <v>37755.19</v>
      </c>
      <c r="P405" s="719">
        <v>0</v>
      </c>
      <c r="Q405" s="718">
        <v>1733</v>
      </c>
      <c r="R405" s="719">
        <f t="shared" si="6"/>
        <v>64536</v>
      </c>
      <c r="S405" s="718"/>
      <c r="T405" s="719">
        <v>31200</v>
      </c>
      <c r="U405" s="721">
        <v>1343</v>
      </c>
      <c r="V405" s="721">
        <v>32542</v>
      </c>
    </row>
    <row r="406" spans="1:22" x14ac:dyDescent="0.25">
      <c r="A406" s="715">
        <v>94172</v>
      </c>
      <c r="B406" s="716" t="s">
        <v>2938</v>
      </c>
      <c r="C406" s="717">
        <v>2.6699999999999998E-4</v>
      </c>
      <c r="D406" s="717">
        <v>3.1379999999999998E-4</v>
      </c>
      <c r="E406" s="718">
        <v>80979</v>
      </c>
      <c r="F406" s="718">
        <v>140832</v>
      </c>
      <c r="G406" s="718">
        <v>566663</v>
      </c>
      <c r="H406" s="718"/>
      <c r="I406" s="719">
        <v>10646.625</v>
      </c>
      <c r="J406" s="719">
        <v>496578</v>
      </c>
      <c r="K406" s="719">
        <v>38811</v>
      </c>
      <c r="L406" s="718">
        <v>0</v>
      </c>
      <c r="M406" s="718"/>
      <c r="N406" s="719">
        <v>19857</v>
      </c>
      <c r="O406" s="719">
        <v>183284</v>
      </c>
      <c r="P406" s="719">
        <v>0</v>
      </c>
      <c r="Q406" s="718">
        <v>98660</v>
      </c>
      <c r="R406" s="719">
        <f t="shared" si="6"/>
        <v>313294</v>
      </c>
      <c r="S406" s="718"/>
      <c r="T406" s="719">
        <v>151461</v>
      </c>
      <c r="U406" s="721">
        <v>-34663</v>
      </c>
      <c r="V406" s="721">
        <v>116798</v>
      </c>
    </row>
    <row r="407" spans="1:22" x14ac:dyDescent="0.25">
      <c r="A407" s="715">
        <v>94201</v>
      </c>
      <c r="B407" s="716" t="s">
        <v>2939</v>
      </c>
      <c r="C407" s="717">
        <v>3.4813000000000001E-3</v>
      </c>
      <c r="D407" s="717">
        <v>3.4115E-3</v>
      </c>
      <c r="E407" s="718">
        <v>1407554</v>
      </c>
      <c r="F407" s="718">
        <v>1531061</v>
      </c>
      <c r="G407" s="718">
        <v>7388485</v>
      </c>
      <c r="H407" s="718"/>
      <c r="I407" s="719">
        <v>138817</v>
      </c>
      <c r="J407" s="719">
        <v>6474668</v>
      </c>
      <c r="K407" s="719">
        <v>506045</v>
      </c>
      <c r="L407" s="718">
        <v>56033</v>
      </c>
      <c r="M407" s="718"/>
      <c r="N407" s="719">
        <v>258901</v>
      </c>
      <c r="O407" s="719">
        <v>2389766</v>
      </c>
      <c r="P407" s="719">
        <v>0</v>
      </c>
      <c r="Q407" s="718">
        <v>3701</v>
      </c>
      <c r="R407" s="719">
        <f t="shared" si="6"/>
        <v>4084902</v>
      </c>
      <c r="S407" s="718"/>
      <c r="T407" s="719">
        <v>1974834</v>
      </c>
      <c r="U407" s="721">
        <v>16227</v>
      </c>
      <c r="V407" s="721">
        <v>1991060</v>
      </c>
    </row>
    <row r="408" spans="1:22" x14ac:dyDescent="0.25">
      <c r="A408" s="715">
        <v>94204</v>
      </c>
      <c r="B408" s="716" t="s">
        <v>2940</v>
      </c>
      <c r="C408" s="717">
        <v>2.4899999999999999E-5</v>
      </c>
      <c r="D408" s="717">
        <v>2.41E-5</v>
      </c>
      <c r="E408" s="718">
        <v>15446</v>
      </c>
      <c r="F408" s="718">
        <v>10816</v>
      </c>
      <c r="G408" s="718">
        <v>52846</v>
      </c>
      <c r="H408" s="718"/>
      <c r="I408" s="719">
        <v>993</v>
      </c>
      <c r="J408" s="719">
        <v>46310</v>
      </c>
      <c r="K408" s="719">
        <v>3619</v>
      </c>
      <c r="L408" s="718">
        <v>10811</v>
      </c>
      <c r="M408" s="718"/>
      <c r="N408" s="719">
        <v>1852</v>
      </c>
      <c r="O408" s="719">
        <v>17093</v>
      </c>
      <c r="P408" s="719">
        <v>0</v>
      </c>
      <c r="Q408" s="718">
        <v>0</v>
      </c>
      <c r="R408" s="719">
        <f t="shared" si="6"/>
        <v>29217</v>
      </c>
      <c r="S408" s="718"/>
      <c r="T408" s="719">
        <v>14125</v>
      </c>
      <c r="U408" s="721">
        <v>3721</v>
      </c>
      <c r="V408" s="721">
        <v>17846</v>
      </c>
    </row>
    <row r="409" spans="1:22" x14ac:dyDescent="0.25">
      <c r="A409" s="715">
        <v>94205</v>
      </c>
      <c r="B409" s="716" t="s">
        <v>2941</v>
      </c>
      <c r="C409" s="717">
        <v>2.6100000000000001E-5</v>
      </c>
      <c r="D409" s="717">
        <v>2.6999999999999999E-5</v>
      </c>
      <c r="E409" s="718">
        <v>12435.88</v>
      </c>
      <c r="F409" s="718">
        <v>12117</v>
      </c>
      <c r="G409" s="718">
        <v>55393</v>
      </c>
      <c r="H409" s="718"/>
      <c r="I409" s="719">
        <v>1040.7375</v>
      </c>
      <c r="J409" s="719">
        <v>48542</v>
      </c>
      <c r="K409" s="719">
        <v>3794</v>
      </c>
      <c r="L409" s="718">
        <v>2432</v>
      </c>
      <c r="M409" s="718"/>
      <c r="N409" s="719">
        <v>1941</v>
      </c>
      <c r="O409" s="719">
        <v>17917</v>
      </c>
      <c r="P409" s="719">
        <v>0</v>
      </c>
      <c r="Q409" s="718">
        <v>6726</v>
      </c>
      <c r="R409" s="719">
        <f t="shared" si="6"/>
        <v>30625</v>
      </c>
      <c r="S409" s="718"/>
      <c r="T409" s="719">
        <v>14806</v>
      </c>
      <c r="U409" s="721">
        <v>-2600</v>
      </c>
      <c r="V409" s="721">
        <v>12205</v>
      </c>
    </row>
    <row r="410" spans="1:22" x14ac:dyDescent="0.25">
      <c r="A410" s="715">
        <v>94209</v>
      </c>
      <c r="B410" s="716" t="s">
        <v>2942</v>
      </c>
      <c r="C410" s="717">
        <v>3.2909999999999998E-4</v>
      </c>
      <c r="D410" s="717">
        <v>3.5540000000000002E-4</v>
      </c>
      <c r="E410" s="718">
        <v>141050</v>
      </c>
      <c r="F410" s="718">
        <v>159501</v>
      </c>
      <c r="G410" s="718">
        <v>698460</v>
      </c>
      <c r="H410" s="718"/>
      <c r="I410" s="719">
        <v>13123</v>
      </c>
      <c r="J410" s="719">
        <v>612074</v>
      </c>
      <c r="K410" s="719">
        <v>47838</v>
      </c>
      <c r="L410" s="718">
        <v>24306</v>
      </c>
      <c r="M410" s="718"/>
      <c r="N410" s="719">
        <v>24475</v>
      </c>
      <c r="O410" s="719">
        <v>225913</v>
      </c>
      <c r="P410" s="719">
        <v>0</v>
      </c>
      <c r="Q410" s="718">
        <v>9712</v>
      </c>
      <c r="R410" s="719">
        <f t="shared" si="6"/>
        <v>386161</v>
      </c>
      <c r="S410" s="718"/>
      <c r="T410" s="719">
        <v>186688</v>
      </c>
      <c r="U410" s="721">
        <v>6974</v>
      </c>
      <c r="V410" s="721">
        <v>193663</v>
      </c>
    </row>
    <row r="411" spans="1:22" x14ac:dyDescent="0.25">
      <c r="A411" s="715">
        <v>94211</v>
      </c>
      <c r="B411" s="716" t="s">
        <v>2943</v>
      </c>
      <c r="C411" s="717">
        <v>1.2400000000000001E-4</v>
      </c>
      <c r="D411" s="717">
        <v>1.217E-4</v>
      </c>
      <c r="E411" s="718">
        <v>49845.440000000002</v>
      </c>
      <c r="F411" s="718">
        <v>54618</v>
      </c>
      <c r="G411" s="718">
        <v>263170</v>
      </c>
      <c r="H411" s="718"/>
      <c r="I411" s="719">
        <v>4944.5</v>
      </c>
      <c r="J411" s="719">
        <v>230620</v>
      </c>
      <c r="K411" s="719">
        <v>18025</v>
      </c>
      <c r="L411" s="718">
        <v>334</v>
      </c>
      <c r="M411" s="718"/>
      <c r="N411" s="719">
        <v>9222</v>
      </c>
      <c r="O411" s="719">
        <v>85121</v>
      </c>
      <c r="P411" s="719">
        <v>0</v>
      </c>
      <c r="Q411" s="718">
        <v>30868</v>
      </c>
      <c r="R411" s="719">
        <f t="shared" si="6"/>
        <v>145499</v>
      </c>
      <c r="S411" s="718"/>
      <c r="T411" s="719">
        <v>70341</v>
      </c>
      <c r="U411" s="721">
        <v>-13456</v>
      </c>
      <c r="V411" s="721">
        <v>56885</v>
      </c>
    </row>
    <row r="412" spans="1:22" x14ac:dyDescent="0.25">
      <c r="A412" s="715">
        <v>94221</v>
      </c>
      <c r="B412" s="716" t="s">
        <v>2944</v>
      </c>
      <c r="C412" s="717">
        <v>1.0705999999999999E-3</v>
      </c>
      <c r="D412" s="717">
        <v>1.1294E-3</v>
      </c>
      <c r="E412" s="718">
        <v>386218.22</v>
      </c>
      <c r="F412" s="718">
        <v>506868</v>
      </c>
      <c r="G412" s="718">
        <v>2272172</v>
      </c>
      <c r="H412" s="718"/>
      <c r="I412" s="719">
        <v>42690</v>
      </c>
      <c r="J412" s="719">
        <v>1991147</v>
      </c>
      <c r="K412" s="719">
        <v>155623</v>
      </c>
      <c r="L412" s="718">
        <v>98739</v>
      </c>
      <c r="M412" s="718"/>
      <c r="N412" s="719">
        <v>79619</v>
      </c>
      <c r="O412" s="719">
        <v>734922</v>
      </c>
      <c r="P412" s="719">
        <v>0</v>
      </c>
      <c r="Q412" s="718">
        <v>138383</v>
      </c>
      <c r="R412" s="719">
        <f t="shared" si="6"/>
        <v>1256225</v>
      </c>
      <c r="S412" s="718"/>
      <c r="T412" s="719">
        <v>607318</v>
      </c>
      <c r="U412" s="721">
        <v>-16318</v>
      </c>
      <c r="V412" s="721">
        <v>591000</v>
      </c>
    </row>
    <row r="413" spans="1:22" x14ac:dyDescent="0.25">
      <c r="A413" s="715">
        <v>94231</v>
      </c>
      <c r="B413" s="716" t="s">
        <v>2945</v>
      </c>
      <c r="C413" s="717">
        <v>2.1269999999999999E-4</v>
      </c>
      <c r="D413" s="717">
        <v>1.9469999999999999E-4</v>
      </c>
      <c r="E413" s="718">
        <v>77695.47</v>
      </c>
      <c r="F413" s="718">
        <v>87380</v>
      </c>
      <c r="G413" s="718">
        <v>451421</v>
      </c>
      <c r="H413" s="718"/>
      <c r="I413" s="719">
        <v>8481</v>
      </c>
      <c r="J413" s="719">
        <v>395588</v>
      </c>
      <c r="K413" s="719">
        <v>30918</v>
      </c>
      <c r="L413" s="718">
        <v>1986</v>
      </c>
      <c r="M413" s="718"/>
      <c r="N413" s="719">
        <v>15818</v>
      </c>
      <c r="O413" s="719">
        <v>146010</v>
      </c>
      <c r="P413" s="719">
        <v>0</v>
      </c>
      <c r="Q413" s="718">
        <v>11747</v>
      </c>
      <c r="R413" s="719">
        <f t="shared" si="6"/>
        <v>249578</v>
      </c>
      <c r="S413" s="718"/>
      <c r="T413" s="719">
        <v>120658</v>
      </c>
      <c r="U413" s="721">
        <v>-4519</v>
      </c>
      <c r="V413" s="721">
        <v>116139</v>
      </c>
    </row>
    <row r="414" spans="1:22" x14ac:dyDescent="0.25">
      <c r="A414" s="715">
        <v>94241</v>
      </c>
      <c r="B414" s="716" t="s">
        <v>2946</v>
      </c>
      <c r="C414" s="717">
        <v>8.4099999999999998E-5</v>
      </c>
      <c r="D414" s="717">
        <v>8.4800000000000001E-5</v>
      </c>
      <c r="E414" s="718">
        <v>37415.33</v>
      </c>
      <c r="F414" s="718">
        <v>38058</v>
      </c>
      <c r="G414" s="718">
        <v>178488</v>
      </c>
      <c r="H414" s="718"/>
      <c r="I414" s="719">
        <v>3353</v>
      </c>
      <c r="J414" s="719">
        <v>156413</v>
      </c>
      <c r="K414" s="719">
        <v>12225</v>
      </c>
      <c r="L414" s="718">
        <v>3164</v>
      </c>
      <c r="M414" s="718"/>
      <c r="N414" s="719">
        <v>6254</v>
      </c>
      <c r="O414" s="719">
        <v>57731</v>
      </c>
      <c r="P414" s="719">
        <v>0</v>
      </c>
      <c r="Q414" s="718">
        <v>1327</v>
      </c>
      <c r="R414" s="719">
        <f t="shared" si="6"/>
        <v>98682</v>
      </c>
      <c r="S414" s="718"/>
      <c r="T414" s="719">
        <v>47707</v>
      </c>
      <c r="U414" s="721">
        <v>664</v>
      </c>
      <c r="V414" s="721">
        <v>48372</v>
      </c>
    </row>
    <row r="415" spans="1:22" x14ac:dyDescent="0.25">
      <c r="A415" s="715">
        <v>94251</v>
      </c>
      <c r="B415" s="716" t="s">
        <v>2947</v>
      </c>
      <c r="C415" s="717">
        <v>1.4E-5</v>
      </c>
      <c r="D415" s="717">
        <v>2.37E-5</v>
      </c>
      <c r="E415" s="718">
        <v>7105.57</v>
      </c>
      <c r="F415" s="718">
        <v>10636</v>
      </c>
      <c r="G415" s="718">
        <v>29712.69</v>
      </c>
      <c r="H415" s="718"/>
      <c r="I415" s="719">
        <v>558.25</v>
      </c>
      <c r="J415" s="719">
        <v>26038</v>
      </c>
      <c r="K415" s="719">
        <v>2035</v>
      </c>
      <c r="L415" s="718">
        <v>0</v>
      </c>
      <c r="M415" s="718"/>
      <c r="N415" s="719">
        <v>1041</v>
      </c>
      <c r="O415" s="719">
        <v>9610</v>
      </c>
      <c r="P415" s="719">
        <v>0</v>
      </c>
      <c r="Q415" s="718">
        <v>9627</v>
      </c>
      <c r="R415" s="719">
        <f t="shared" si="6"/>
        <v>16428</v>
      </c>
      <c r="S415" s="718"/>
      <c r="T415" s="719">
        <v>7942</v>
      </c>
      <c r="U415" s="721">
        <v>-3119</v>
      </c>
      <c r="V415" s="721">
        <v>4823</v>
      </c>
    </row>
    <row r="416" spans="1:22" x14ac:dyDescent="0.25">
      <c r="A416" s="715">
        <v>94261</v>
      </c>
      <c r="B416" s="716" t="s">
        <v>2948</v>
      </c>
      <c r="C416" s="717">
        <v>2.9499999999999999E-5</v>
      </c>
      <c r="D416" s="717">
        <v>1.66E-5</v>
      </c>
      <c r="E416" s="718">
        <v>13527</v>
      </c>
      <c r="F416" s="718">
        <v>7450</v>
      </c>
      <c r="G416" s="718">
        <v>62609</v>
      </c>
      <c r="H416" s="718"/>
      <c r="I416" s="719">
        <v>1176.3125</v>
      </c>
      <c r="J416" s="719">
        <v>54865</v>
      </c>
      <c r="K416" s="719">
        <v>4288</v>
      </c>
      <c r="L416" s="718">
        <v>12167</v>
      </c>
      <c r="M416" s="718"/>
      <c r="N416" s="719">
        <v>2194</v>
      </c>
      <c r="O416" s="719">
        <v>20251</v>
      </c>
      <c r="P416" s="719">
        <v>0</v>
      </c>
      <c r="Q416" s="718">
        <v>0</v>
      </c>
      <c r="R416" s="719">
        <f t="shared" si="6"/>
        <v>34614</v>
      </c>
      <c r="S416" s="718"/>
      <c r="T416" s="719">
        <v>16734</v>
      </c>
      <c r="U416" s="721">
        <v>3736</v>
      </c>
      <c r="V416" s="721">
        <v>20471</v>
      </c>
    </row>
    <row r="417" spans="1:22" x14ac:dyDescent="0.25">
      <c r="A417" s="715">
        <v>94301</v>
      </c>
      <c r="B417" s="716" t="s">
        <v>2949</v>
      </c>
      <c r="C417" s="717">
        <v>6.0746999999999997E-3</v>
      </c>
      <c r="D417" s="717">
        <v>6.0625999999999996E-3</v>
      </c>
      <c r="E417" s="718">
        <v>2375298</v>
      </c>
      <c r="F417" s="718">
        <v>2720859</v>
      </c>
      <c r="G417" s="718">
        <v>12892548</v>
      </c>
      <c r="H417" s="718"/>
      <c r="I417" s="719">
        <v>242229</v>
      </c>
      <c r="J417" s="719">
        <v>11297982</v>
      </c>
      <c r="K417" s="719">
        <v>883024</v>
      </c>
      <c r="L417" s="718">
        <v>18885</v>
      </c>
      <c r="M417" s="718"/>
      <c r="N417" s="719">
        <v>451769</v>
      </c>
      <c r="O417" s="719">
        <v>4170026</v>
      </c>
      <c r="P417" s="719">
        <v>0</v>
      </c>
      <c r="Q417" s="718">
        <v>169326</v>
      </c>
      <c r="R417" s="719">
        <f t="shared" si="6"/>
        <v>7127956</v>
      </c>
      <c r="S417" s="718"/>
      <c r="T417" s="719">
        <v>3445989</v>
      </c>
      <c r="U417" s="721">
        <v>-41856</v>
      </c>
      <c r="V417" s="721">
        <v>3404133</v>
      </c>
    </row>
    <row r="418" spans="1:22" x14ac:dyDescent="0.25">
      <c r="A418" s="715">
        <v>94311</v>
      </c>
      <c r="B418" s="716" t="s">
        <v>2950</v>
      </c>
      <c r="C418" s="717">
        <v>7.4399999999999998E-4</v>
      </c>
      <c r="D418" s="717">
        <v>8.4360000000000001E-4</v>
      </c>
      <c r="E418" s="718">
        <v>317608</v>
      </c>
      <c r="F418" s="718">
        <v>378603</v>
      </c>
      <c r="G418" s="718">
        <v>1579017.24</v>
      </c>
      <c r="H418" s="718"/>
      <c r="I418" s="719">
        <v>29667</v>
      </c>
      <c r="J418" s="719">
        <v>1383722</v>
      </c>
      <c r="K418" s="719">
        <v>108149</v>
      </c>
      <c r="L418" s="718">
        <v>5590</v>
      </c>
      <c r="M418" s="718"/>
      <c r="N418" s="719">
        <v>55331</v>
      </c>
      <c r="O418" s="719">
        <v>510725</v>
      </c>
      <c r="P418" s="719">
        <v>0</v>
      </c>
      <c r="Q418" s="718">
        <v>74131</v>
      </c>
      <c r="R418" s="719">
        <f t="shared" si="6"/>
        <v>872997</v>
      </c>
      <c r="S418" s="718"/>
      <c r="T418" s="719">
        <v>422048</v>
      </c>
      <c r="U418" s="721">
        <v>-19207</v>
      </c>
      <c r="V418" s="721">
        <v>402841</v>
      </c>
    </row>
    <row r="419" spans="1:22" x14ac:dyDescent="0.25">
      <c r="A419" s="715">
        <v>94313</v>
      </c>
      <c r="B419" s="716" t="s">
        <v>2951</v>
      </c>
      <c r="C419" s="717">
        <v>2.0299999999999999E-5</v>
      </c>
      <c r="D419" s="717">
        <v>1.8099999999999999E-5</v>
      </c>
      <c r="E419" s="718">
        <v>12274.81</v>
      </c>
      <c r="F419" s="718">
        <v>8123</v>
      </c>
      <c r="G419" s="718">
        <v>43083</v>
      </c>
      <c r="H419" s="718"/>
      <c r="I419" s="719">
        <v>809.46249999999998</v>
      </c>
      <c r="J419" s="719">
        <v>37755</v>
      </c>
      <c r="K419" s="719">
        <v>2951</v>
      </c>
      <c r="L419" s="718">
        <v>7808</v>
      </c>
      <c r="M419" s="718"/>
      <c r="N419" s="719">
        <v>1510</v>
      </c>
      <c r="O419" s="719">
        <v>13935</v>
      </c>
      <c r="P419" s="719">
        <v>0</v>
      </c>
      <c r="Q419" s="718">
        <v>0</v>
      </c>
      <c r="R419" s="719">
        <f t="shared" si="6"/>
        <v>23820</v>
      </c>
      <c r="S419" s="718"/>
      <c r="T419" s="719">
        <v>11516</v>
      </c>
      <c r="U419" s="721">
        <v>2576</v>
      </c>
      <c r="V419" s="721">
        <v>14092</v>
      </c>
    </row>
    <row r="420" spans="1:22" x14ac:dyDescent="0.25">
      <c r="A420" s="715">
        <v>94317</v>
      </c>
      <c r="B420" s="716" t="s">
        <v>2952</v>
      </c>
      <c r="C420" s="717">
        <v>1.2099999999999999E-5</v>
      </c>
      <c r="D420" s="717">
        <v>1.15E-5</v>
      </c>
      <c r="E420" s="718">
        <v>8376.6</v>
      </c>
      <c r="F420" s="718">
        <v>5161</v>
      </c>
      <c r="G420" s="718">
        <v>25680</v>
      </c>
      <c r="H420" s="718"/>
      <c r="I420" s="719">
        <v>482</v>
      </c>
      <c r="J420" s="719">
        <v>22504</v>
      </c>
      <c r="K420" s="719">
        <v>1759</v>
      </c>
      <c r="L420" s="718">
        <v>6768</v>
      </c>
      <c r="M420" s="718"/>
      <c r="N420" s="719">
        <v>900</v>
      </c>
      <c r="O420" s="719">
        <v>8306</v>
      </c>
      <c r="P420" s="719">
        <v>0</v>
      </c>
      <c r="Q420" s="718">
        <v>0</v>
      </c>
      <c r="R420" s="719">
        <f t="shared" si="6"/>
        <v>14198</v>
      </c>
      <c r="S420" s="718"/>
      <c r="T420" s="719">
        <v>6864</v>
      </c>
      <c r="U420" s="721">
        <v>2325</v>
      </c>
      <c r="V420" s="721">
        <v>9189</v>
      </c>
    </row>
    <row r="421" spans="1:22" x14ac:dyDescent="0.25">
      <c r="A421" s="715">
        <v>94321</v>
      </c>
      <c r="B421" s="716" t="s">
        <v>2953</v>
      </c>
      <c r="C421" s="717">
        <v>2.7070000000000002E-4</v>
      </c>
      <c r="D421" s="717">
        <v>2.7270000000000001E-4</v>
      </c>
      <c r="E421" s="718">
        <v>94893.09</v>
      </c>
      <c r="F421" s="718">
        <v>122386</v>
      </c>
      <c r="G421" s="718">
        <v>574516</v>
      </c>
      <c r="H421" s="718"/>
      <c r="I421" s="719">
        <v>10794</v>
      </c>
      <c r="J421" s="719">
        <v>503459</v>
      </c>
      <c r="K421" s="719">
        <v>39349</v>
      </c>
      <c r="L421" s="718">
        <v>3401</v>
      </c>
      <c r="M421" s="718"/>
      <c r="N421" s="719">
        <v>20132</v>
      </c>
      <c r="O421" s="719">
        <v>185824</v>
      </c>
      <c r="P421" s="719">
        <v>0</v>
      </c>
      <c r="Q421" s="718">
        <v>21015</v>
      </c>
      <c r="R421" s="719">
        <f t="shared" si="6"/>
        <v>317635</v>
      </c>
      <c r="S421" s="718"/>
      <c r="T421" s="719">
        <v>153560</v>
      </c>
      <c r="U421" s="721">
        <v>-4393</v>
      </c>
      <c r="V421" s="721">
        <v>149167</v>
      </c>
    </row>
    <row r="422" spans="1:22" x14ac:dyDescent="0.25">
      <c r="A422" s="715">
        <v>94331</v>
      </c>
      <c r="B422" s="716" t="s">
        <v>2954</v>
      </c>
      <c r="C422" s="717">
        <v>1.517E-4</v>
      </c>
      <c r="D422" s="717">
        <v>1.7420000000000001E-4</v>
      </c>
      <c r="E422" s="718">
        <v>69883.19</v>
      </c>
      <c r="F422" s="718">
        <v>78180</v>
      </c>
      <c r="G422" s="718">
        <v>321958</v>
      </c>
      <c r="H422" s="718"/>
      <c r="I422" s="719">
        <v>6049</v>
      </c>
      <c r="J422" s="719">
        <v>282138</v>
      </c>
      <c r="K422" s="719">
        <v>22051</v>
      </c>
      <c r="L422" s="718">
        <v>13796</v>
      </c>
      <c r="M422" s="718"/>
      <c r="N422" s="719">
        <v>11282</v>
      </c>
      <c r="O422" s="719">
        <v>104136</v>
      </c>
      <c r="P422" s="719">
        <v>0</v>
      </c>
      <c r="Q422" s="718">
        <v>6234</v>
      </c>
      <c r="R422" s="719">
        <f t="shared" si="6"/>
        <v>178002</v>
      </c>
      <c r="S422" s="718"/>
      <c r="T422" s="719">
        <v>86055</v>
      </c>
      <c r="U422" s="721">
        <v>4466</v>
      </c>
      <c r="V422" s="721">
        <v>90520</v>
      </c>
    </row>
    <row r="423" spans="1:22" x14ac:dyDescent="0.25">
      <c r="A423" s="715">
        <v>94341</v>
      </c>
      <c r="B423" s="716" t="s">
        <v>2955</v>
      </c>
      <c r="C423" s="717">
        <v>8.1000000000000004E-5</v>
      </c>
      <c r="D423" s="717">
        <v>8.8399999999999994E-5</v>
      </c>
      <c r="E423" s="718">
        <v>31929.82</v>
      </c>
      <c r="F423" s="718">
        <v>39673</v>
      </c>
      <c r="G423" s="718">
        <v>171909</v>
      </c>
      <c r="H423" s="718"/>
      <c r="I423" s="719">
        <v>3229.875</v>
      </c>
      <c r="J423" s="719">
        <v>150647</v>
      </c>
      <c r="K423" s="719">
        <v>11774</v>
      </c>
      <c r="L423" s="718">
        <v>513</v>
      </c>
      <c r="M423" s="718"/>
      <c r="N423" s="719">
        <v>6024</v>
      </c>
      <c r="O423" s="719">
        <v>55603</v>
      </c>
      <c r="P423" s="719">
        <v>0</v>
      </c>
      <c r="Q423" s="718">
        <v>8986</v>
      </c>
      <c r="R423" s="719">
        <f t="shared" si="6"/>
        <v>95044</v>
      </c>
      <c r="S423" s="718"/>
      <c r="T423" s="719">
        <v>45949</v>
      </c>
      <c r="U423" s="721">
        <v>-3091</v>
      </c>
      <c r="V423" s="721">
        <v>42858</v>
      </c>
    </row>
    <row r="424" spans="1:22" x14ac:dyDescent="0.25">
      <c r="A424" s="715">
        <v>94347</v>
      </c>
      <c r="B424" s="716" t="s">
        <v>2956</v>
      </c>
      <c r="C424" s="717">
        <v>1.2300000000000001E-5</v>
      </c>
      <c r="D424" s="717">
        <v>1.31E-5</v>
      </c>
      <c r="E424" s="718">
        <v>6975</v>
      </c>
      <c r="F424" s="718">
        <v>5879</v>
      </c>
      <c r="G424" s="718">
        <v>26105</v>
      </c>
      <c r="H424" s="718"/>
      <c r="I424" s="719">
        <v>490</v>
      </c>
      <c r="J424" s="719">
        <v>22876</v>
      </c>
      <c r="K424" s="719">
        <v>1788</v>
      </c>
      <c r="L424" s="718">
        <v>3157</v>
      </c>
      <c r="M424" s="718"/>
      <c r="N424" s="719">
        <v>915</v>
      </c>
      <c r="O424" s="719">
        <v>8443</v>
      </c>
      <c r="P424" s="719">
        <v>0</v>
      </c>
      <c r="Q424" s="718">
        <v>0</v>
      </c>
      <c r="R424" s="719">
        <f t="shared" si="6"/>
        <v>14433</v>
      </c>
      <c r="S424" s="718"/>
      <c r="T424" s="719">
        <v>6977</v>
      </c>
      <c r="U424" s="721">
        <v>1291</v>
      </c>
      <c r="V424" s="721">
        <v>8268</v>
      </c>
    </row>
    <row r="425" spans="1:22" x14ac:dyDescent="0.25">
      <c r="A425" s="715">
        <v>94351</v>
      </c>
      <c r="B425" s="716" t="s">
        <v>2957</v>
      </c>
      <c r="C425" s="717">
        <v>2.377E-4</v>
      </c>
      <c r="D425" s="717">
        <v>2.3049999999999999E-4</v>
      </c>
      <c r="E425" s="718">
        <v>90845.03</v>
      </c>
      <c r="F425" s="718">
        <v>103447</v>
      </c>
      <c r="G425" s="718">
        <v>504479</v>
      </c>
      <c r="H425" s="718"/>
      <c r="I425" s="719">
        <v>9478</v>
      </c>
      <c r="J425" s="719">
        <v>442084</v>
      </c>
      <c r="K425" s="719">
        <v>34552</v>
      </c>
      <c r="L425" s="718">
        <v>2466</v>
      </c>
      <c r="M425" s="718"/>
      <c r="N425" s="719">
        <v>17678</v>
      </c>
      <c r="O425" s="719">
        <v>163171</v>
      </c>
      <c r="P425" s="719">
        <v>0</v>
      </c>
      <c r="Q425" s="718">
        <v>4917</v>
      </c>
      <c r="R425" s="719">
        <f t="shared" si="6"/>
        <v>278913</v>
      </c>
      <c r="S425" s="718"/>
      <c r="T425" s="719">
        <v>134840</v>
      </c>
      <c r="U425" s="721">
        <v>-1210</v>
      </c>
      <c r="V425" s="721">
        <v>133630</v>
      </c>
    </row>
    <row r="426" spans="1:22" x14ac:dyDescent="0.25">
      <c r="A426" s="715">
        <v>94401</v>
      </c>
      <c r="B426" s="716" t="s">
        <v>2958</v>
      </c>
      <c r="C426" s="717">
        <v>3.4548999999999999E-3</v>
      </c>
      <c r="D426" s="717">
        <v>3.3264000000000002E-3</v>
      </c>
      <c r="E426" s="718">
        <v>1346130.7</v>
      </c>
      <c r="F426" s="718">
        <v>1492868</v>
      </c>
      <c r="G426" s="718">
        <v>7332455</v>
      </c>
      <c r="H426" s="718"/>
      <c r="I426" s="719">
        <v>137764</v>
      </c>
      <c r="J426" s="719">
        <v>6425568</v>
      </c>
      <c r="K426" s="719">
        <v>502208</v>
      </c>
      <c r="L426" s="718">
        <v>30696</v>
      </c>
      <c r="M426" s="718"/>
      <c r="N426" s="719">
        <v>256937</v>
      </c>
      <c r="O426" s="719">
        <v>2371644</v>
      </c>
      <c r="P426" s="719">
        <v>0</v>
      </c>
      <c r="Q426" s="718">
        <v>635</v>
      </c>
      <c r="R426" s="719">
        <f t="shared" si="6"/>
        <v>4053924</v>
      </c>
      <c r="S426" s="718"/>
      <c r="T426" s="719">
        <v>1959858</v>
      </c>
      <c r="U426" s="721">
        <v>9582</v>
      </c>
      <c r="V426" s="721">
        <v>1969439</v>
      </c>
    </row>
    <row r="427" spans="1:22" x14ac:dyDescent="0.25">
      <c r="A427" s="715">
        <v>94402</v>
      </c>
      <c r="B427" s="716" t="s">
        <v>2959</v>
      </c>
      <c r="C427" s="717">
        <v>0</v>
      </c>
      <c r="D427" s="717">
        <v>0</v>
      </c>
      <c r="E427" s="718">
        <v>0</v>
      </c>
      <c r="F427" s="718">
        <v>0</v>
      </c>
      <c r="G427" s="718">
        <v>0</v>
      </c>
      <c r="H427" s="718"/>
      <c r="I427" s="719">
        <v>0</v>
      </c>
      <c r="J427" s="719">
        <v>0</v>
      </c>
      <c r="K427" s="719">
        <v>0</v>
      </c>
      <c r="L427" s="718">
        <v>0</v>
      </c>
      <c r="M427" s="718"/>
      <c r="N427" s="719">
        <v>0</v>
      </c>
      <c r="O427" s="719">
        <v>0</v>
      </c>
      <c r="P427" s="719">
        <v>0</v>
      </c>
      <c r="Q427" s="718">
        <v>2781798</v>
      </c>
      <c r="R427" s="719">
        <f t="shared" si="6"/>
        <v>0</v>
      </c>
      <c r="S427" s="718"/>
      <c r="T427" s="719">
        <v>0</v>
      </c>
      <c r="U427" s="721">
        <v>-1007431</v>
      </c>
      <c r="V427" s="721">
        <v>-1007431</v>
      </c>
    </row>
    <row r="428" spans="1:22" x14ac:dyDescent="0.25">
      <c r="A428" s="715">
        <v>94408</v>
      </c>
      <c r="B428" s="716" t="s">
        <v>2960</v>
      </c>
      <c r="C428" s="717">
        <v>4.0099999999999999E-5</v>
      </c>
      <c r="D428" s="717">
        <v>1.9000000000000001E-5</v>
      </c>
      <c r="E428" s="718">
        <v>13760</v>
      </c>
      <c r="F428" s="718">
        <v>8527</v>
      </c>
      <c r="G428" s="718">
        <v>85106</v>
      </c>
      <c r="H428" s="718"/>
      <c r="I428" s="719">
        <v>1599</v>
      </c>
      <c r="J428" s="719">
        <v>74580</v>
      </c>
      <c r="K428" s="719">
        <v>5829</v>
      </c>
      <c r="L428" s="718">
        <v>10369</v>
      </c>
      <c r="M428" s="718"/>
      <c r="N428" s="719">
        <v>2982</v>
      </c>
      <c r="O428" s="719">
        <v>27527</v>
      </c>
      <c r="P428" s="719">
        <v>0</v>
      </c>
      <c r="Q428" s="718">
        <v>3687</v>
      </c>
      <c r="R428" s="719">
        <f t="shared" si="6"/>
        <v>47053</v>
      </c>
      <c r="S428" s="718"/>
      <c r="T428" s="719">
        <v>22747</v>
      </c>
      <c r="U428" s="721">
        <v>939</v>
      </c>
      <c r="V428" s="721">
        <v>23687</v>
      </c>
    </row>
    <row r="429" spans="1:22" x14ac:dyDescent="0.25">
      <c r="A429" s="715">
        <v>94411</v>
      </c>
      <c r="B429" s="716" t="s">
        <v>2961</v>
      </c>
      <c r="C429" s="717">
        <v>1.1592E-3</v>
      </c>
      <c r="D429" s="717">
        <v>1.1820999999999999E-3</v>
      </c>
      <c r="E429" s="718">
        <v>485425</v>
      </c>
      <c r="F429" s="718">
        <v>530519</v>
      </c>
      <c r="G429" s="718">
        <v>2460211</v>
      </c>
      <c r="H429" s="718"/>
      <c r="I429" s="719">
        <v>46223.1</v>
      </c>
      <c r="J429" s="719">
        <v>2155929</v>
      </c>
      <c r="K429" s="719">
        <v>168502</v>
      </c>
      <c r="L429" s="718">
        <v>19239</v>
      </c>
      <c r="M429" s="718"/>
      <c r="N429" s="719">
        <v>86209</v>
      </c>
      <c r="O429" s="719">
        <v>795742</v>
      </c>
      <c r="P429" s="719">
        <v>0</v>
      </c>
      <c r="Q429" s="718">
        <v>5607</v>
      </c>
      <c r="R429" s="719">
        <f t="shared" si="6"/>
        <v>1360187</v>
      </c>
      <c r="S429" s="718"/>
      <c r="T429" s="719">
        <v>657578</v>
      </c>
      <c r="U429" s="721">
        <v>5340</v>
      </c>
      <c r="V429" s="721">
        <v>662918</v>
      </c>
    </row>
    <row r="430" spans="1:22" x14ac:dyDescent="0.25">
      <c r="A430" s="715">
        <v>94412</v>
      </c>
      <c r="B430" s="716" t="s">
        <v>2962</v>
      </c>
      <c r="C430" s="717">
        <v>1.63E-5</v>
      </c>
      <c r="D430" s="717">
        <v>1.7200000000000001E-5</v>
      </c>
      <c r="E430" s="718">
        <v>13713</v>
      </c>
      <c r="F430" s="718">
        <v>7719</v>
      </c>
      <c r="G430" s="718">
        <v>34594</v>
      </c>
      <c r="H430" s="718"/>
      <c r="I430" s="719">
        <v>649.96249999999998</v>
      </c>
      <c r="J430" s="719">
        <v>30315</v>
      </c>
      <c r="K430" s="719">
        <v>2369</v>
      </c>
      <c r="L430" s="718">
        <v>13305</v>
      </c>
      <c r="M430" s="718"/>
      <c r="N430" s="719">
        <v>1212</v>
      </c>
      <c r="O430" s="719">
        <v>11189</v>
      </c>
      <c r="P430" s="719">
        <v>0</v>
      </c>
      <c r="Q430" s="718">
        <v>0</v>
      </c>
      <c r="R430" s="719">
        <f t="shared" si="6"/>
        <v>19126</v>
      </c>
      <c r="S430" s="718"/>
      <c r="T430" s="719">
        <v>9246</v>
      </c>
      <c r="U430" s="721">
        <v>4869</v>
      </c>
      <c r="V430" s="721">
        <v>14116</v>
      </c>
    </row>
    <row r="431" spans="1:22" x14ac:dyDescent="0.25">
      <c r="A431" s="715">
        <v>94421</v>
      </c>
      <c r="B431" s="716" t="s">
        <v>2963</v>
      </c>
      <c r="C431" s="717">
        <v>1.6899999999999999E-4</v>
      </c>
      <c r="D431" s="717">
        <v>1.7149999999999999E-4</v>
      </c>
      <c r="E431" s="718">
        <v>68013</v>
      </c>
      <c r="F431" s="718">
        <v>76968</v>
      </c>
      <c r="G431" s="718">
        <v>358675</v>
      </c>
      <c r="H431" s="718"/>
      <c r="I431" s="719">
        <v>6739</v>
      </c>
      <c r="J431" s="719">
        <v>314313</v>
      </c>
      <c r="K431" s="719">
        <v>24566</v>
      </c>
      <c r="L431" s="718">
        <v>3528</v>
      </c>
      <c r="M431" s="718"/>
      <c r="N431" s="719">
        <v>12568</v>
      </c>
      <c r="O431" s="719">
        <v>116011</v>
      </c>
      <c r="P431" s="719">
        <v>0</v>
      </c>
      <c r="Q431" s="718">
        <v>12354</v>
      </c>
      <c r="R431" s="719">
        <f t="shared" si="6"/>
        <v>198302</v>
      </c>
      <c r="S431" s="718"/>
      <c r="T431" s="719">
        <v>95868</v>
      </c>
      <c r="U431" s="721">
        <v>-4340</v>
      </c>
      <c r="V431" s="721">
        <v>91529</v>
      </c>
    </row>
    <row r="432" spans="1:22" x14ac:dyDescent="0.25">
      <c r="A432" s="715">
        <v>94427</v>
      </c>
      <c r="B432" s="716" t="s">
        <v>2964</v>
      </c>
      <c r="C432" s="717">
        <v>1.29E-5</v>
      </c>
      <c r="D432" s="717">
        <v>1.56E-5</v>
      </c>
      <c r="E432" s="718">
        <v>6501.51</v>
      </c>
      <c r="F432" s="718">
        <v>7001</v>
      </c>
      <c r="G432" s="718">
        <v>27378</v>
      </c>
      <c r="H432" s="718"/>
      <c r="I432" s="719">
        <v>514</v>
      </c>
      <c r="J432" s="719">
        <v>23992</v>
      </c>
      <c r="K432" s="719">
        <v>1875</v>
      </c>
      <c r="L432" s="718">
        <v>785</v>
      </c>
      <c r="M432" s="718"/>
      <c r="N432" s="719">
        <v>959</v>
      </c>
      <c r="O432" s="719">
        <v>8855</v>
      </c>
      <c r="P432" s="719">
        <v>0</v>
      </c>
      <c r="Q432" s="718">
        <v>709</v>
      </c>
      <c r="R432" s="719">
        <f t="shared" si="6"/>
        <v>15137</v>
      </c>
      <c r="S432" s="718"/>
      <c r="T432" s="719">
        <v>7318</v>
      </c>
      <c r="U432" s="721">
        <v>47</v>
      </c>
      <c r="V432" s="721">
        <v>7365</v>
      </c>
    </row>
    <row r="433" spans="1:22" x14ac:dyDescent="0.25">
      <c r="A433" s="715">
        <v>94428</v>
      </c>
      <c r="B433" s="716" t="s">
        <v>2965</v>
      </c>
      <c r="C433" s="717">
        <v>7.4400000000000006E-5</v>
      </c>
      <c r="D433" s="717">
        <v>7.7799999999999994E-5</v>
      </c>
      <c r="E433" s="718">
        <v>33919</v>
      </c>
      <c r="F433" s="718">
        <v>34916</v>
      </c>
      <c r="G433" s="718">
        <v>157902</v>
      </c>
      <c r="H433" s="718"/>
      <c r="I433" s="719">
        <v>2967</v>
      </c>
      <c r="J433" s="719">
        <v>138372</v>
      </c>
      <c r="K433" s="719">
        <v>10815</v>
      </c>
      <c r="L433" s="718">
        <v>3518</v>
      </c>
      <c r="M433" s="718"/>
      <c r="N433" s="719">
        <v>5533</v>
      </c>
      <c r="O433" s="719">
        <v>51072</v>
      </c>
      <c r="P433" s="719">
        <v>0</v>
      </c>
      <c r="Q433" s="718">
        <v>0</v>
      </c>
      <c r="R433" s="719">
        <f t="shared" si="6"/>
        <v>87300</v>
      </c>
      <c r="S433" s="718"/>
      <c r="T433" s="719">
        <v>42205</v>
      </c>
      <c r="U433" s="721">
        <v>1203</v>
      </c>
      <c r="V433" s="721">
        <v>43408</v>
      </c>
    </row>
    <row r="434" spans="1:22" x14ac:dyDescent="0.25">
      <c r="A434" s="715">
        <v>94431</v>
      </c>
      <c r="B434" s="716" t="s">
        <v>2966</v>
      </c>
      <c r="C434" s="717">
        <v>3.7589999999999998E-4</v>
      </c>
      <c r="D434" s="717">
        <v>3.6390000000000001E-4</v>
      </c>
      <c r="E434" s="718">
        <v>261746</v>
      </c>
      <c r="F434" s="718">
        <v>163316</v>
      </c>
      <c r="G434" s="718">
        <v>797786</v>
      </c>
      <c r="H434" s="718"/>
      <c r="I434" s="719">
        <v>14989</v>
      </c>
      <c r="J434" s="719">
        <v>699115</v>
      </c>
      <c r="K434" s="719">
        <v>54641</v>
      </c>
      <c r="L434" s="718">
        <v>140656</v>
      </c>
      <c r="M434" s="718"/>
      <c r="N434" s="719">
        <v>27955</v>
      </c>
      <c r="O434" s="719">
        <v>258040</v>
      </c>
      <c r="P434" s="719">
        <v>0</v>
      </c>
      <c r="Q434" s="718">
        <v>1228</v>
      </c>
      <c r="R434" s="719">
        <f t="shared" si="6"/>
        <v>441075</v>
      </c>
      <c r="S434" s="718"/>
      <c r="T434" s="719">
        <v>213236</v>
      </c>
      <c r="U434" s="721">
        <v>40508</v>
      </c>
      <c r="V434" s="721">
        <v>253745</v>
      </c>
    </row>
    <row r="435" spans="1:22" x14ac:dyDescent="0.25">
      <c r="A435" s="715">
        <v>94437</v>
      </c>
      <c r="B435" s="716" t="s">
        <v>2967</v>
      </c>
      <c r="C435" s="717">
        <v>1.34E-5</v>
      </c>
      <c r="D435" s="717">
        <v>1.1600000000000001E-5</v>
      </c>
      <c r="E435" s="718">
        <v>11266</v>
      </c>
      <c r="F435" s="718">
        <v>5206</v>
      </c>
      <c r="G435" s="718">
        <v>28439</v>
      </c>
      <c r="H435" s="718"/>
      <c r="I435" s="719">
        <v>534</v>
      </c>
      <c r="J435" s="719">
        <v>24922</v>
      </c>
      <c r="K435" s="719">
        <v>1948</v>
      </c>
      <c r="L435" s="718">
        <v>12092</v>
      </c>
      <c r="M435" s="718"/>
      <c r="N435" s="719">
        <v>997</v>
      </c>
      <c r="O435" s="719">
        <v>9199</v>
      </c>
      <c r="P435" s="719">
        <v>0</v>
      </c>
      <c r="Q435" s="718">
        <v>0</v>
      </c>
      <c r="R435" s="719">
        <f t="shared" si="6"/>
        <v>15723</v>
      </c>
      <c r="S435" s="718"/>
      <c r="T435" s="719">
        <v>7601</v>
      </c>
      <c r="U435" s="721">
        <v>4157</v>
      </c>
      <c r="V435" s="721">
        <v>11759</v>
      </c>
    </row>
    <row r="436" spans="1:22" x14ac:dyDescent="0.25">
      <c r="A436" s="715">
        <v>94501</v>
      </c>
      <c r="B436" s="716" t="s">
        <v>2968</v>
      </c>
      <c r="C436" s="717">
        <v>5.8474E-3</v>
      </c>
      <c r="D436" s="717">
        <v>5.5922999999999997E-3</v>
      </c>
      <c r="E436" s="718">
        <v>2261129.31</v>
      </c>
      <c r="F436" s="718">
        <v>2509791</v>
      </c>
      <c r="G436" s="718">
        <v>12410142</v>
      </c>
      <c r="H436" s="718"/>
      <c r="I436" s="719">
        <v>233165</v>
      </c>
      <c r="J436" s="719">
        <v>10875240</v>
      </c>
      <c r="K436" s="719">
        <v>849984</v>
      </c>
      <c r="L436" s="718">
        <v>248127</v>
      </c>
      <c r="M436" s="718"/>
      <c r="N436" s="719">
        <v>434865</v>
      </c>
      <c r="O436" s="719">
        <v>4013995</v>
      </c>
      <c r="P436" s="719">
        <v>0</v>
      </c>
      <c r="Q436" s="718">
        <v>0</v>
      </c>
      <c r="R436" s="719">
        <f t="shared" si="6"/>
        <v>6861245</v>
      </c>
      <c r="S436" s="718"/>
      <c r="T436" s="719">
        <v>3317049</v>
      </c>
      <c r="U436" s="721">
        <v>102688</v>
      </c>
      <c r="V436" s="721">
        <v>3419736</v>
      </c>
    </row>
    <row r="437" spans="1:22" x14ac:dyDescent="0.25">
      <c r="A437" s="715">
        <v>94511</v>
      </c>
      <c r="B437" s="716" t="s">
        <v>2969</v>
      </c>
      <c r="C437" s="717">
        <v>1.7432000000000001E-3</v>
      </c>
      <c r="D437" s="717">
        <v>1.7692999999999999E-3</v>
      </c>
      <c r="E437" s="718">
        <v>680925.99</v>
      </c>
      <c r="F437" s="718">
        <v>794051</v>
      </c>
      <c r="G437" s="718">
        <v>3699654</v>
      </c>
      <c r="H437" s="718"/>
      <c r="I437" s="719">
        <v>69510</v>
      </c>
      <c r="J437" s="719">
        <v>3242077</v>
      </c>
      <c r="K437" s="719">
        <v>253393</v>
      </c>
      <c r="L437" s="718">
        <v>224818</v>
      </c>
      <c r="M437" s="718"/>
      <c r="N437" s="719">
        <v>129640</v>
      </c>
      <c r="O437" s="719">
        <v>1196634</v>
      </c>
      <c r="P437" s="719">
        <v>0</v>
      </c>
      <c r="Q437" s="718">
        <v>42694</v>
      </c>
      <c r="R437" s="719">
        <f t="shared" si="6"/>
        <v>2045443</v>
      </c>
      <c r="S437" s="718"/>
      <c r="T437" s="719">
        <v>988863</v>
      </c>
      <c r="U437" s="721">
        <v>69976</v>
      </c>
      <c r="V437" s="721">
        <v>1058839</v>
      </c>
    </row>
    <row r="438" spans="1:22" x14ac:dyDescent="0.25">
      <c r="A438" s="715">
        <v>94512</v>
      </c>
      <c r="B438" s="716" t="s">
        <v>2970</v>
      </c>
      <c r="C438" s="717">
        <v>0</v>
      </c>
      <c r="D438" s="717">
        <v>0</v>
      </c>
      <c r="E438" s="718">
        <v>0</v>
      </c>
      <c r="F438" s="718">
        <v>0</v>
      </c>
      <c r="G438" s="718">
        <v>0</v>
      </c>
      <c r="H438" s="718"/>
      <c r="I438" s="719">
        <v>0</v>
      </c>
      <c r="J438" s="719">
        <v>0</v>
      </c>
      <c r="K438" s="719">
        <v>0</v>
      </c>
      <c r="L438" s="718">
        <v>0</v>
      </c>
      <c r="M438" s="718"/>
      <c r="N438" s="719">
        <v>0</v>
      </c>
      <c r="O438" s="719">
        <v>0</v>
      </c>
      <c r="P438" s="719">
        <v>0</v>
      </c>
      <c r="Q438" s="718">
        <v>217292</v>
      </c>
      <c r="R438" s="719">
        <f t="shared" si="6"/>
        <v>0</v>
      </c>
      <c r="S438" s="718"/>
      <c r="T438" s="719">
        <v>0</v>
      </c>
      <c r="U438" s="721">
        <v>-78713</v>
      </c>
      <c r="V438" s="721">
        <v>-78713</v>
      </c>
    </row>
    <row r="439" spans="1:22" x14ac:dyDescent="0.25">
      <c r="A439" s="715">
        <v>94517</v>
      </c>
      <c r="B439" s="716" t="s">
        <v>2971</v>
      </c>
      <c r="C439" s="717">
        <v>4.9599999999999999E-5</v>
      </c>
      <c r="D439" s="717">
        <v>4.9100000000000001E-5</v>
      </c>
      <c r="E439" s="718">
        <v>28272.959999999999</v>
      </c>
      <c r="F439" s="718">
        <v>22036</v>
      </c>
      <c r="G439" s="718">
        <v>105268</v>
      </c>
      <c r="H439" s="718"/>
      <c r="I439" s="719">
        <v>1977.8</v>
      </c>
      <c r="J439" s="719">
        <v>92248</v>
      </c>
      <c r="K439" s="719">
        <v>7210</v>
      </c>
      <c r="L439" s="718">
        <v>19501</v>
      </c>
      <c r="M439" s="718"/>
      <c r="N439" s="719">
        <v>3689</v>
      </c>
      <c r="O439" s="719">
        <v>34048</v>
      </c>
      <c r="P439" s="719">
        <v>0</v>
      </c>
      <c r="Q439" s="718">
        <v>0</v>
      </c>
      <c r="R439" s="719">
        <f t="shared" si="6"/>
        <v>58200</v>
      </c>
      <c r="S439" s="718"/>
      <c r="T439" s="719">
        <v>28137</v>
      </c>
      <c r="U439" s="721">
        <v>7376</v>
      </c>
      <c r="V439" s="721">
        <v>35513</v>
      </c>
    </row>
    <row r="440" spans="1:22" x14ac:dyDescent="0.25">
      <c r="A440" s="715">
        <v>94521</v>
      </c>
      <c r="B440" s="716" t="s">
        <v>2972</v>
      </c>
      <c r="C440" s="717">
        <v>1.2410000000000001E-4</v>
      </c>
      <c r="D440" s="717">
        <v>1.6320000000000001E-4</v>
      </c>
      <c r="E440" s="718">
        <v>54157.59</v>
      </c>
      <c r="F440" s="718">
        <v>73243</v>
      </c>
      <c r="G440" s="718">
        <v>263382</v>
      </c>
      <c r="H440" s="718"/>
      <c r="I440" s="719">
        <v>4948</v>
      </c>
      <c r="J440" s="719">
        <v>230806</v>
      </c>
      <c r="K440" s="719">
        <v>18039</v>
      </c>
      <c r="L440" s="718">
        <v>5851</v>
      </c>
      <c r="M440" s="718"/>
      <c r="N440" s="719">
        <v>9229</v>
      </c>
      <c r="O440" s="719">
        <v>85189</v>
      </c>
      <c r="P440" s="719">
        <v>0</v>
      </c>
      <c r="Q440" s="718">
        <v>18701</v>
      </c>
      <c r="R440" s="719">
        <f t="shared" si="6"/>
        <v>145617</v>
      </c>
      <c r="S440" s="718"/>
      <c r="T440" s="719">
        <v>70398</v>
      </c>
      <c r="U440" s="721">
        <v>-2526</v>
      </c>
      <c r="V440" s="721">
        <v>67872</v>
      </c>
    </row>
    <row r="441" spans="1:22" x14ac:dyDescent="0.25">
      <c r="A441" s="715">
        <v>94527</v>
      </c>
      <c r="B441" s="716" t="s">
        <v>2973</v>
      </c>
      <c r="C441" s="717">
        <v>6.3999999999999997E-6</v>
      </c>
      <c r="D441" s="717">
        <v>9.0000000000000002E-6</v>
      </c>
      <c r="E441" s="718">
        <v>0</v>
      </c>
      <c r="F441" s="718">
        <v>4039</v>
      </c>
      <c r="G441" s="718">
        <v>13583</v>
      </c>
      <c r="H441" s="718"/>
      <c r="I441" s="719">
        <v>255.2</v>
      </c>
      <c r="J441" s="719">
        <v>11903</v>
      </c>
      <c r="K441" s="719">
        <v>930</v>
      </c>
      <c r="L441" s="718">
        <v>477</v>
      </c>
      <c r="M441" s="718"/>
      <c r="N441" s="719">
        <v>476</v>
      </c>
      <c r="O441" s="719">
        <v>4393</v>
      </c>
      <c r="P441" s="719">
        <v>0</v>
      </c>
      <c r="Q441" s="718">
        <v>3557</v>
      </c>
      <c r="R441" s="719">
        <f t="shared" si="6"/>
        <v>7510</v>
      </c>
      <c r="S441" s="718"/>
      <c r="T441" s="719">
        <v>3631</v>
      </c>
      <c r="U441" s="721">
        <v>-766</v>
      </c>
      <c r="V441" s="721">
        <v>2864</v>
      </c>
    </row>
    <row r="442" spans="1:22" x14ac:dyDescent="0.25">
      <c r="A442" s="715">
        <v>94531</v>
      </c>
      <c r="B442" s="716" t="s">
        <v>2974</v>
      </c>
      <c r="C442" s="717">
        <v>1.5500000000000001E-5</v>
      </c>
      <c r="D442" s="717">
        <v>1.66E-5</v>
      </c>
      <c r="E442" s="718">
        <v>9989</v>
      </c>
      <c r="F442" s="718">
        <v>7450</v>
      </c>
      <c r="G442" s="718">
        <v>32896</v>
      </c>
      <c r="H442" s="718"/>
      <c r="I442" s="719">
        <v>618.0625</v>
      </c>
      <c r="J442" s="719">
        <v>28828</v>
      </c>
      <c r="K442" s="719">
        <v>2253</v>
      </c>
      <c r="L442" s="718">
        <v>5256</v>
      </c>
      <c r="M442" s="718"/>
      <c r="N442" s="719">
        <v>1153</v>
      </c>
      <c r="O442" s="719">
        <v>10640</v>
      </c>
      <c r="P442" s="719">
        <v>0</v>
      </c>
      <c r="Q442" s="718">
        <v>0</v>
      </c>
      <c r="R442" s="719">
        <f t="shared" si="6"/>
        <v>18188</v>
      </c>
      <c r="S442" s="718"/>
      <c r="T442" s="719">
        <v>8793</v>
      </c>
      <c r="U442" s="721">
        <v>1863</v>
      </c>
      <c r="V442" s="721">
        <v>10656</v>
      </c>
    </row>
    <row r="443" spans="1:22" x14ac:dyDescent="0.25">
      <c r="A443" s="715">
        <v>94532</v>
      </c>
      <c r="B443" s="716" t="s">
        <v>2975</v>
      </c>
      <c r="C443" s="717">
        <v>9.4099999999999997E-5</v>
      </c>
      <c r="D443" s="717">
        <v>1.155E-4</v>
      </c>
      <c r="E443" s="718">
        <v>41786.75</v>
      </c>
      <c r="F443" s="718">
        <v>51836</v>
      </c>
      <c r="G443" s="718">
        <v>199712</v>
      </c>
      <c r="H443" s="718"/>
      <c r="I443" s="719">
        <v>3752</v>
      </c>
      <c r="J443" s="719">
        <v>175011</v>
      </c>
      <c r="K443" s="719">
        <v>13678</v>
      </c>
      <c r="L443" s="718">
        <v>0</v>
      </c>
      <c r="M443" s="718"/>
      <c r="N443" s="719">
        <v>6998</v>
      </c>
      <c r="O443" s="719">
        <v>64596</v>
      </c>
      <c r="P443" s="719">
        <v>0</v>
      </c>
      <c r="Q443" s="718">
        <v>15319</v>
      </c>
      <c r="R443" s="719">
        <f t="shared" si="6"/>
        <v>110415</v>
      </c>
      <c r="S443" s="718"/>
      <c r="T443" s="719">
        <v>53380</v>
      </c>
      <c r="U443" s="721">
        <v>-5410</v>
      </c>
      <c r="V443" s="721">
        <v>47970</v>
      </c>
    </row>
    <row r="444" spans="1:22" x14ac:dyDescent="0.25">
      <c r="A444" s="715">
        <v>94541</v>
      </c>
      <c r="B444" s="716" t="s">
        <v>2976</v>
      </c>
      <c r="C444" s="717">
        <v>2.9839999999999999E-4</v>
      </c>
      <c r="D444" s="717">
        <v>2.8739999999999999E-4</v>
      </c>
      <c r="E444" s="718">
        <v>104979.31</v>
      </c>
      <c r="F444" s="718">
        <v>128983</v>
      </c>
      <c r="G444" s="718">
        <v>633305</v>
      </c>
      <c r="H444" s="718"/>
      <c r="I444" s="719">
        <v>11899</v>
      </c>
      <c r="J444" s="719">
        <v>554977</v>
      </c>
      <c r="K444" s="719">
        <v>43376</v>
      </c>
      <c r="L444" s="718">
        <v>0</v>
      </c>
      <c r="M444" s="718"/>
      <c r="N444" s="719">
        <v>22192</v>
      </c>
      <c r="O444" s="719">
        <v>204839</v>
      </c>
      <c r="P444" s="719">
        <v>0</v>
      </c>
      <c r="Q444" s="718">
        <v>23573</v>
      </c>
      <c r="R444" s="719">
        <f t="shared" si="6"/>
        <v>350138</v>
      </c>
      <c r="S444" s="718"/>
      <c r="T444" s="719">
        <v>169273</v>
      </c>
      <c r="U444" s="721">
        <v>-7692</v>
      </c>
      <c r="V444" s="721">
        <v>161581</v>
      </c>
    </row>
    <row r="445" spans="1:22" x14ac:dyDescent="0.25">
      <c r="A445" s="715">
        <v>94547</v>
      </c>
      <c r="B445" s="716" t="s">
        <v>2977</v>
      </c>
      <c r="C445" s="717">
        <v>1.24E-5</v>
      </c>
      <c r="D445" s="717">
        <v>1.3499999999999999E-5</v>
      </c>
      <c r="E445" s="718">
        <v>7369</v>
      </c>
      <c r="F445" s="718">
        <v>6059</v>
      </c>
      <c r="G445" s="718">
        <v>26317</v>
      </c>
      <c r="H445" s="718"/>
      <c r="I445" s="719">
        <v>494.45</v>
      </c>
      <c r="J445" s="719">
        <v>23062</v>
      </c>
      <c r="K445" s="719">
        <v>1802</v>
      </c>
      <c r="L445" s="718">
        <v>2133</v>
      </c>
      <c r="M445" s="718"/>
      <c r="N445" s="719">
        <v>922</v>
      </c>
      <c r="O445" s="719">
        <v>8512</v>
      </c>
      <c r="P445" s="719">
        <v>0</v>
      </c>
      <c r="Q445" s="718">
        <v>0</v>
      </c>
      <c r="R445" s="719">
        <f t="shared" si="6"/>
        <v>14550</v>
      </c>
      <c r="S445" s="718"/>
      <c r="T445" s="719">
        <v>7034</v>
      </c>
      <c r="U445" s="721">
        <v>656</v>
      </c>
      <c r="V445" s="721">
        <v>7690</v>
      </c>
    </row>
    <row r="446" spans="1:22" x14ac:dyDescent="0.25">
      <c r="A446" s="715">
        <v>94551</v>
      </c>
      <c r="B446" s="716" t="s">
        <v>2978</v>
      </c>
      <c r="C446" s="717">
        <v>4.5899999999999998E-5</v>
      </c>
      <c r="D446" s="717">
        <v>3.0599999999999998E-5</v>
      </c>
      <c r="E446" s="718">
        <v>22107</v>
      </c>
      <c r="F446" s="718">
        <v>13733</v>
      </c>
      <c r="G446" s="718">
        <v>97415</v>
      </c>
      <c r="H446" s="718"/>
      <c r="I446" s="719">
        <v>1830</v>
      </c>
      <c r="J446" s="719">
        <v>85367</v>
      </c>
      <c r="K446" s="719">
        <v>6672</v>
      </c>
      <c r="L446" s="718">
        <v>14242</v>
      </c>
      <c r="M446" s="718"/>
      <c r="N446" s="719">
        <v>3414</v>
      </c>
      <c r="O446" s="719">
        <v>31508</v>
      </c>
      <c r="P446" s="719">
        <v>0</v>
      </c>
      <c r="Q446" s="718">
        <v>2442</v>
      </c>
      <c r="R446" s="719">
        <f t="shared" si="6"/>
        <v>53859</v>
      </c>
      <c r="S446" s="718"/>
      <c r="T446" s="719">
        <v>26038</v>
      </c>
      <c r="U446" s="721">
        <v>3648</v>
      </c>
      <c r="V446" s="721">
        <v>29686</v>
      </c>
    </row>
    <row r="447" spans="1:22" x14ac:dyDescent="0.25">
      <c r="A447" s="715">
        <v>94601</v>
      </c>
      <c r="B447" s="716" t="s">
        <v>2979</v>
      </c>
      <c r="C447" s="717">
        <v>1.0011E-3</v>
      </c>
      <c r="D447" s="717">
        <v>9.7179999999999999E-4</v>
      </c>
      <c r="E447" s="718">
        <v>433754</v>
      </c>
      <c r="F447" s="718">
        <v>436138</v>
      </c>
      <c r="G447" s="718">
        <v>2124670</v>
      </c>
      <c r="H447" s="718"/>
      <c r="I447" s="719">
        <v>39919</v>
      </c>
      <c r="J447" s="719">
        <v>1861888</v>
      </c>
      <c r="K447" s="719">
        <v>145521</v>
      </c>
      <c r="L447" s="718">
        <v>36047</v>
      </c>
      <c r="M447" s="718"/>
      <c r="N447" s="719">
        <v>74451</v>
      </c>
      <c r="O447" s="719">
        <v>687213</v>
      </c>
      <c r="P447" s="719">
        <v>0</v>
      </c>
      <c r="Q447" s="718">
        <v>3381</v>
      </c>
      <c r="R447" s="719">
        <f t="shared" si="6"/>
        <v>1174675</v>
      </c>
      <c r="S447" s="718"/>
      <c r="T447" s="719">
        <v>567893</v>
      </c>
      <c r="U447" s="721">
        <v>8786</v>
      </c>
      <c r="V447" s="721">
        <v>576679</v>
      </c>
    </row>
    <row r="448" spans="1:22" x14ac:dyDescent="0.25">
      <c r="A448" s="715">
        <v>94604</v>
      </c>
      <c r="B448" s="716" t="s">
        <v>2980</v>
      </c>
      <c r="C448" s="717">
        <v>2.65E-5</v>
      </c>
      <c r="D448" s="717">
        <v>2.76E-5</v>
      </c>
      <c r="E448" s="718">
        <v>12705</v>
      </c>
      <c r="F448" s="718">
        <v>12387</v>
      </c>
      <c r="G448" s="718">
        <v>56242</v>
      </c>
      <c r="H448" s="718"/>
      <c r="I448" s="719">
        <v>1056.6875</v>
      </c>
      <c r="J448" s="719">
        <v>49286</v>
      </c>
      <c r="K448" s="719">
        <v>3852</v>
      </c>
      <c r="L448" s="718">
        <v>1065</v>
      </c>
      <c r="M448" s="718"/>
      <c r="N448" s="719">
        <v>1971</v>
      </c>
      <c r="O448" s="719">
        <v>18191</v>
      </c>
      <c r="P448" s="719">
        <v>0</v>
      </c>
      <c r="Q448" s="718">
        <v>52</v>
      </c>
      <c r="R448" s="719">
        <f t="shared" si="6"/>
        <v>31095</v>
      </c>
      <c r="S448" s="718"/>
      <c r="T448" s="719">
        <v>15033</v>
      </c>
      <c r="U448" s="721">
        <v>272</v>
      </c>
      <c r="V448" s="721">
        <v>15304</v>
      </c>
    </row>
    <row r="449" spans="1:22" x14ac:dyDescent="0.25">
      <c r="A449" s="715">
        <v>94606</v>
      </c>
      <c r="B449" s="716" t="s">
        <v>2981</v>
      </c>
      <c r="C449" s="717">
        <v>2.6229999999999998E-4</v>
      </c>
      <c r="D449" s="717">
        <v>2.8610000000000002E-4</v>
      </c>
      <c r="E449" s="718">
        <v>101571</v>
      </c>
      <c r="F449" s="718">
        <v>128400</v>
      </c>
      <c r="G449" s="718">
        <v>556688</v>
      </c>
      <c r="H449" s="718"/>
      <c r="I449" s="719">
        <v>10459</v>
      </c>
      <c r="J449" s="719">
        <v>487837</v>
      </c>
      <c r="K449" s="719">
        <v>38128</v>
      </c>
      <c r="L449" s="718">
        <v>0</v>
      </c>
      <c r="M449" s="718"/>
      <c r="N449" s="719">
        <v>19507</v>
      </c>
      <c r="O449" s="719">
        <v>180058</v>
      </c>
      <c r="P449" s="719">
        <v>0</v>
      </c>
      <c r="Q449" s="718">
        <v>52213</v>
      </c>
      <c r="R449" s="719">
        <f t="shared" si="6"/>
        <v>307779</v>
      </c>
      <c r="S449" s="718"/>
      <c r="T449" s="719">
        <v>148795</v>
      </c>
      <c r="U449" s="721">
        <v>-19437</v>
      </c>
      <c r="V449" s="721">
        <v>129358</v>
      </c>
    </row>
    <row r="450" spans="1:22" x14ac:dyDescent="0.25">
      <c r="A450" s="715">
        <v>94611</v>
      </c>
      <c r="B450" s="716" t="s">
        <v>2982</v>
      </c>
      <c r="C450" s="717">
        <v>4.4450000000000002E-4</v>
      </c>
      <c r="D450" s="717">
        <v>4.5360000000000002E-4</v>
      </c>
      <c r="E450" s="718">
        <v>189159.12</v>
      </c>
      <c r="F450" s="718">
        <v>203573</v>
      </c>
      <c r="G450" s="718">
        <v>943378</v>
      </c>
      <c r="H450" s="718"/>
      <c r="I450" s="719">
        <v>17724.4375</v>
      </c>
      <c r="J450" s="719">
        <v>826700</v>
      </c>
      <c r="K450" s="719">
        <v>64613</v>
      </c>
      <c r="L450" s="718">
        <v>3960</v>
      </c>
      <c r="M450" s="718"/>
      <c r="N450" s="719">
        <v>33057</v>
      </c>
      <c r="O450" s="719">
        <v>305131</v>
      </c>
      <c r="P450" s="719">
        <v>0</v>
      </c>
      <c r="Q450" s="718">
        <v>4915.3</v>
      </c>
      <c r="R450" s="719">
        <f t="shared" si="6"/>
        <v>521569</v>
      </c>
      <c r="S450" s="718"/>
      <c r="T450" s="719">
        <v>252151</v>
      </c>
      <c r="U450" s="721">
        <v>-1078</v>
      </c>
      <c r="V450" s="721">
        <v>251074</v>
      </c>
    </row>
    <row r="451" spans="1:22" x14ac:dyDescent="0.25">
      <c r="A451" s="715">
        <v>94621</v>
      </c>
      <c r="B451" s="716" t="s">
        <v>2983</v>
      </c>
      <c r="C451" s="717">
        <v>1.3119999999999999E-4</v>
      </c>
      <c r="D451" s="717">
        <v>1.5200000000000001E-4</v>
      </c>
      <c r="E451" s="718">
        <v>64393.31</v>
      </c>
      <c r="F451" s="718">
        <v>68217</v>
      </c>
      <c r="G451" s="718">
        <v>278450</v>
      </c>
      <c r="H451" s="718"/>
      <c r="I451" s="719">
        <v>5232</v>
      </c>
      <c r="J451" s="719">
        <v>244011</v>
      </c>
      <c r="K451" s="719">
        <v>19071</v>
      </c>
      <c r="L451" s="718">
        <v>13237</v>
      </c>
      <c r="M451" s="718"/>
      <c r="N451" s="719">
        <v>9757</v>
      </c>
      <c r="O451" s="719">
        <v>90063</v>
      </c>
      <c r="P451" s="719">
        <v>0</v>
      </c>
      <c r="Q451" s="718">
        <v>19570</v>
      </c>
      <c r="R451" s="719">
        <f t="shared" si="6"/>
        <v>153948</v>
      </c>
      <c r="S451" s="718"/>
      <c r="T451" s="719">
        <v>74426</v>
      </c>
      <c r="U451" s="721">
        <v>-3</v>
      </c>
      <c r="V451" s="721">
        <v>74422</v>
      </c>
    </row>
    <row r="452" spans="1:22" x14ac:dyDescent="0.25">
      <c r="A452" s="715">
        <v>94631</v>
      </c>
      <c r="B452" s="716" t="s">
        <v>2984</v>
      </c>
      <c r="C452" s="717">
        <v>3.9799999999999998E-5</v>
      </c>
      <c r="D452" s="717">
        <v>4.0299999999999997E-5</v>
      </c>
      <c r="E452" s="718">
        <v>19878.57</v>
      </c>
      <c r="F452" s="718">
        <v>18086</v>
      </c>
      <c r="G452" s="718">
        <v>84469</v>
      </c>
      <c r="H452" s="718"/>
      <c r="I452" s="719">
        <v>1587</v>
      </c>
      <c r="J452" s="719">
        <v>74022</v>
      </c>
      <c r="K452" s="719">
        <v>5785</v>
      </c>
      <c r="L452" s="718">
        <v>5170</v>
      </c>
      <c r="M452" s="718"/>
      <c r="N452" s="719">
        <v>2960</v>
      </c>
      <c r="O452" s="719">
        <v>27321</v>
      </c>
      <c r="P452" s="719">
        <v>0</v>
      </c>
      <c r="Q452" s="718">
        <v>0</v>
      </c>
      <c r="R452" s="719">
        <f t="shared" si="6"/>
        <v>46701</v>
      </c>
      <c r="S452" s="718"/>
      <c r="T452" s="719">
        <v>22577</v>
      </c>
      <c r="U452" s="721">
        <v>1734</v>
      </c>
      <c r="V452" s="721">
        <v>24311</v>
      </c>
    </row>
    <row r="453" spans="1:22" x14ac:dyDescent="0.25">
      <c r="A453" s="715">
        <v>94641</v>
      </c>
      <c r="B453" s="716" t="s">
        <v>2985</v>
      </c>
      <c r="C453" s="717">
        <v>4.6999999999999999E-6</v>
      </c>
      <c r="D453" s="717">
        <v>4.6999999999999999E-6</v>
      </c>
      <c r="E453" s="718">
        <v>4524.25</v>
      </c>
      <c r="F453" s="718">
        <v>2109</v>
      </c>
      <c r="G453" s="718">
        <v>9975</v>
      </c>
      <c r="H453" s="718"/>
      <c r="I453" s="719">
        <v>187.41249999999999</v>
      </c>
      <c r="J453" s="719">
        <v>8741</v>
      </c>
      <c r="K453" s="719">
        <v>683</v>
      </c>
      <c r="L453" s="718">
        <v>4799</v>
      </c>
      <c r="M453" s="718"/>
      <c r="N453" s="719">
        <v>350</v>
      </c>
      <c r="O453" s="719">
        <v>3226</v>
      </c>
      <c r="P453" s="719">
        <v>0</v>
      </c>
      <c r="Q453" s="718">
        <v>0</v>
      </c>
      <c r="R453" s="719">
        <f t="shared" si="6"/>
        <v>5515</v>
      </c>
      <c r="S453" s="718"/>
      <c r="T453" s="719">
        <v>2666</v>
      </c>
      <c r="U453" s="721">
        <v>1678</v>
      </c>
      <c r="V453" s="721">
        <v>4344</v>
      </c>
    </row>
    <row r="454" spans="1:22" x14ac:dyDescent="0.25">
      <c r="A454" s="715">
        <v>94701</v>
      </c>
      <c r="B454" s="716" t="s">
        <v>2986</v>
      </c>
      <c r="C454" s="717">
        <v>2.5636000000000001E-3</v>
      </c>
      <c r="D454" s="717">
        <v>2.6064999999999999E-3</v>
      </c>
      <c r="E454" s="718">
        <v>956457</v>
      </c>
      <c r="F454" s="718">
        <v>1169782</v>
      </c>
      <c r="G454" s="718">
        <v>5440818</v>
      </c>
      <c r="H454" s="718"/>
      <c r="I454" s="719">
        <v>102223.55</v>
      </c>
      <c r="J454" s="719">
        <v>4767891</v>
      </c>
      <c r="K454" s="719">
        <v>372647</v>
      </c>
      <c r="L454" s="718">
        <v>75767</v>
      </c>
      <c r="M454" s="718"/>
      <c r="N454" s="719">
        <v>190652</v>
      </c>
      <c r="O454" s="719">
        <v>1759804</v>
      </c>
      <c r="P454" s="719">
        <v>0</v>
      </c>
      <c r="Q454" s="718">
        <v>100921</v>
      </c>
      <c r="R454" s="719">
        <f t="shared" si="6"/>
        <v>3008087</v>
      </c>
      <c r="S454" s="718"/>
      <c r="T454" s="719">
        <v>1454251</v>
      </c>
      <c r="U454" s="721">
        <v>4371</v>
      </c>
      <c r="V454" s="721">
        <v>1458622</v>
      </c>
    </row>
    <row r="455" spans="1:22" x14ac:dyDescent="0.25">
      <c r="A455" s="715">
        <v>94704</v>
      </c>
      <c r="B455" s="716" t="s">
        <v>2987</v>
      </c>
      <c r="C455" s="717">
        <v>1.04E-5</v>
      </c>
      <c r="D455" s="717">
        <v>1.0900000000000001E-5</v>
      </c>
      <c r="E455" s="718">
        <v>4510</v>
      </c>
      <c r="F455" s="718">
        <v>4892</v>
      </c>
      <c r="G455" s="718">
        <v>22072</v>
      </c>
      <c r="H455" s="718"/>
      <c r="I455" s="719">
        <v>414.7</v>
      </c>
      <c r="J455" s="719">
        <v>19342</v>
      </c>
      <c r="K455" s="719">
        <v>1512</v>
      </c>
      <c r="L455" s="718">
        <v>147</v>
      </c>
      <c r="M455" s="718"/>
      <c r="N455" s="719">
        <v>773</v>
      </c>
      <c r="O455" s="719">
        <v>7139</v>
      </c>
      <c r="P455" s="719">
        <v>0</v>
      </c>
      <c r="Q455" s="718">
        <v>86</v>
      </c>
      <c r="R455" s="719">
        <f t="shared" ref="R455:R518" si="7">IF(J455&gt;O455,J455-O455,O455-J455)</f>
        <v>12203</v>
      </c>
      <c r="S455" s="718"/>
      <c r="T455" s="719">
        <v>5900</v>
      </c>
      <c r="U455" s="721">
        <v>47</v>
      </c>
      <c r="V455" s="721">
        <v>5946</v>
      </c>
    </row>
    <row r="456" spans="1:22" x14ac:dyDescent="0.25">
      <c r="A456" s="715">
        <v>94711</v>
      </c>
      <c r="B456" s="716" t="s">
        <v>2988</v>
      </c>
      <c r="C456" s="717">
        <v>3.5110000000000002E-4</v>
      </c>
      <c r="D456" s="717">
        <v>3.5270000000000001E-4</v>
      </c>
      <c r="E456" s="718">
        <v>140447</v>
      </c>
      <c r="F456" s="718">
        <v>158290</v>
      </c>
      <c r="G456" s="718">
        <v>745152</v>
      </c>
      <c r="H456" s="718"/>
      <c r="I456" s="719">
        <v>14000</v>
      </c>
      <c r="J456" s="719">
        <v>652991</v>
      </c>
      <c r="K456" s="719">
        <v>51036</v>
      </c>
      <c r="L456" s="718">
        <v>14121</v>
      </c>
      <c r="M456" s="718"/>
      <c r="N456" s="719">
        <v>26111</v>
      </c>
      <c r="O456" s="719">
        <v>241015</v>
      </c>
      <c r="P456" s="719">
        <v>0</v>
      </c>
      <c r="Q456" s="718">
        <v>8957</v>
      </c>
      <c r="R456" s="719">
        <f t="shared" si="7"/>
        <v>411976</v>
      </c>
      <c r="S456" s="718"/>
      <c r="T456" s="719">
        <v>199168</v>
      </c>
      <c r="U456" s="721">
        <v>1479</v>
      </c>
      <c r="V456" s="721">
        <v>200647</v>
      </c>
    </row>
    <row r="457" spans="1:22" x14ac:dyDescent="0.25">
      <c r="A457" s="715">
        <v>94801</v>
      </c>
      <c r="B457" s="716" t="s">
        <v>2989</v>
      </c>
      <c r="C457" s="717">
        <v>7.6539999999999996E-4</v>
      </c>
      <c r="D457" s="717">
        <v>7.425E-4</v>
      </c>
      <c r="E457" s="718">
        <v>315764</v>
      </c>
      <c r="F457" s="718">
        <v>333230</v>
      </c>
      <c r="G457" s="718">
        <v>1624435</v>
      </c>
      <c r="H457" s="718"/>
      <c r="I457" s="719">
        <v>30520</v>
      </c>
      <c r="J457" s="719">
        <v>1423523</v>
      </c>
      <c r="K457" s="719">
        <v>111259</v>
      </c>
      <c r="L457" s="718">
        <v>62992</v>
      </c>
      <c r="M457" s="718"/>
      <c r="N457" s="719">
        <v>56922</v>
      </c>
      <c r="O457" s="719">
        <v>525415</v>
      </c>
      <c r="P457" s="719">
        <v>0</v>
      </c>
      <c r="Q457" s="718">
        <v>0</v>
      </c>
      <c r="R457" s="719">
        <f t="shared" si="7"/>
        <v>898108</v>
      </c>
      <c r="S457" s="718"/>
      <c r="T457" s="719">
        <v>434188</v>
      </c>
      <c r="U457" s="721">
        <v>22612</v>
      </c>
      <c r="V457" s="721">
        <v>456800</v>
      </c>
    </row>
    <row r="458" spans="1:22" x14ac:dyDescent="0.25">
      <c r="A458" s="715">
        <v>94804</v>
      </c>
      <c r="B458" s="716" t="s">
        <v>2990</v>
      </c>
      <c r="C458" s="717">
        <v>3.8E-6</v>
      </c>
      <c r="D458" s="717">
        <v>5.5999999999999997E-6</v>
      </c>
      <c r="E458" s="718">
        <v>2421</v>
      </c>
      <c r="F458" s="718">
        <v>2513</v>
      </c>
      <c r="G458" s="718">
        <v>8065</v>
      </c>
      <c r="H458" s="718"/>
      <c r="I458" s="719">
        <v>151.52500000000001</v>
      </c>
      <c r="J458" s="719">
        <v>7067</v>
      </c>
      <c r="K458" s="719">
        <v>552</v>
      </c>
      <c r="L458" s="718">
        <v>3516</v>
      </c>
      <c r="M458" s="718"/>
      <c r="N458" s="719">
        <v>283</v>
      </c>
      <c r="O458" s="719">
        <v>2609</v>
      </c>
      <c r="P458" s="719">
        <v>0</v>
      </c>
      <c r="Q458" s="718">
        <v>294</v>
      </c>
      <c r="R458" s="719">
        <f t="shared" si="7"/>
        <v>4458</v>
      </c>
      <c r="S458" s="718"/>
      <c r="T458" s="719">
        <v>2156</v>
      </c>
      <c r="U458" s="721">
        <v>1680</v>
      </c>
      <c r="V458" s="721">
        <v>3836</v>
      </c>
    </row>
    <row r="459" spans="1:22" x14ac:dyDescent="0.25">
      <c r="A459" s="715">
        <v>94812</v>
      </c>
      <c r="B459" s="716" t="s">
        <v>2991</v>
      </c>
      <c r="C459" s="717">
        <v>3.3500000000000001E-5</v>
      </c>
      <c r="D459" s="717">
        <v>2.8200000000000001E-5</v>
      </c>
      <c r="E459" s="718">
        <v>17637</v>
      </c>
      <c r="F459" s="718">
        <v>12656</v>
      </c>
      <c r="G459" s="718">
        <v>71098</v>
      </c>
      <c r="H459" s="718"/>
      <c r="I459" s="719">
        <v>1335.8125</v>
      </c>
      <c r="J459" s="719">
        <v>62305</v>
      </c>
      <c r="K459" s="719">
        <v>4870</v>
      </c>
      <c r="L459" s="718">
        <v>10393</v>
      </c>
      <c r="M459" s="718"/>
      <c r="N459" s="719">
        <v>2491</v>
      </c>
      <c r="O459" s="719">
        <v>22996</v>
      </c>
      <c r="P459" s="719">
        <v>0</v>
      </c>
      <c r="Q459" s="718">
        <v>0</v>
      </c>
      <c r="R459" s="719">
        <f t="shared" si="7"/>
        <v>39309</v>
      </c>
      <c r="S459" s="718"/>
      <c r="T459" s="719">
        <v>19004</v>
      </c>
      <c r="U459" s="721">
        <v>3222</v>
      </c>
      <c r="V459" s="721">
        <v>22225</v>
      </c>
    </row>
    <row r="460" spans="1:22" x14ac:dyDescent="0.25">
      <c r="A460" s="715">
        <v>94901</v>
      </c>
      <c r="B460" s="716" t="s">
        <v>2992</v>
      </c>
      <c r="C460" s="717">
        <v>7.0014999999999999E-3</v>
      </c>
      <c r="D460" s="717">
        <v>6.6921999999999997E-3</v>
      </c>
      <c r="E460" s="718">
        <v>2681224</v>
      </c>
      <c r="F460" s="718">
        <v>3003419</v>
      </c>
      <c r="G460" s="718">
        <v>14859529</v>
      </c>
      <c r="H460" s="718"/>
      <c r="I460" s="719">
        <v>279185</v>
      </c>
      <c r="J460" s="719">
        <v>13021684</v>
      </c>
      <c r="K460" s="719">
        <v>1017745</v>
      </c>
      <c r="L460" s="718">
        <v>28689</v>
      </c>
      <c r="M460" s="718"/>
      <c r="N460" s="719">
        <v>520695</v>
      </c>
      <c r="O460" s="719">
        <v>4806236</v>
      </c>
      <c r="P460" s="719">
        <v>0</v>
      </c>
      <c r="Q460" s="718">
        <v>82188</v>
      </c>
      <c r="R460" s="719">
        <f t="shared" si="7"/>
        <v>8215448</v>
      </c>
      <c r="S460" s="718"/>
      <c r="T460" s="719">
        <v>3971734</v>
      </c>
      <c r="U460" s="721">
        <v>-17216</v>
      </c>
      <c r="V460" s="721">
        <v>3954518</v>
      </c>
    </row>
    <row r="461" spans="1:22" x14ac:dyDescent="0.25">
      <c r="A461" s="715">
        <v>94908</v>
      </c>
      <c r="B461" s="716" t="s">
        <v>2993</v>
      </c>
      <c r="C461" s="717">
        <v>3.9799999999999998E-5</v>
      </c>
      <c r="D461" s="717">
        <v>4.2799999999999997E-5</v>
      </c>
      <c r="E461" s="718">
        <v>16384</v>
      </c>
      <c r="F461" s="718">
        <v>19208</v>
      </c>
      <c r="G461" s="718">
        <v>84469</v>
      </c>
      <c r="H461" s="718"/>
      <c r="I461" s="719">
        <v>1587</v>
      </c>
      <c r="J461" s="719">
        <v>74022</v>
      </c>
      <c r="K461" s="719">
        <v>5785</v>
      </c>
      <c r="L461" s="718">
        <v>0</v>
      </c>
      <c r="M461" s="718"/>
      <c r="N461" s="719">
        <v>2960</v>
      </c>
      <c r="O461" s="719">
        <v>27321</v>
      </c>
      <c r="P461" s="719">
        <v>0</v>
      </c>
      <c r="Q461" s="718">
        <v>5878</v>
      </c>
      <c r="R461" s="719">
        <f t="shared" si="7"/>
        <v>46701</v>
      </c>
      <c r="S461" s="718"/>
      <c r="T461" s="719">
        <v>22577</v>
      </c>
      <c r="U461" s="721">
        <v>-2269</v>
      </c>
      <c r="V461" s="721">
        <v>20308</v>
      </c>
    </row>
    <row r="462" spans="1:22" x14ac:dyDescent="0.25">
      <c r="A462" s="715">
        <v>94911</v>
      </c>
      <c r="B462" s="716" t="s">
        <v>2994</v>
      </c>
      <c r="C462" s="717">
        <v>2.7745999999999999E-3</v>
      </c>
      <c r="D462" s="717">
        <v>2.8086000000000001E-3</v>
      </c>
      <c r="E462" s="718">
        <v>1108370.94</v>
      </c>
      <c r="F462" s="718">
        <v>1260483</v>
      </c>
      <c r="G462" s="718">
        <v>5888631</v>
      </c>
      <c r="H462" s="718"/>
      <c r="I462" s="719">
        <v>110637</v>
      </c>
      <c r="J462" s="719">
        <v>5160318</v>
      </c>
      <c r="K462" s="719">
        <v>403319</v>
      </c>
      <c r="L462" s="718">
        <v>7508</v>
      </c>
      <c r="M462" s="718"/>
      <c r="N462" s="719">
        <v>206344</v>
      </c>
      <c r="O462" s="719">
        <v>1904646</v>
      </c>
      <c r="P462" s="719">
        <v>0</v>
      </c>
      <c r="Q462" s="718">
        <v>58992</v>
      </c>
      <c r="R462" s="719">
        <f t="shared" si="7"/>
        <v>3255672</v>
      </c>
      <c r="S462" s="718"/>
      <c r="T462" s="719">
        <v>1573945</v>
      </c>
      <c r="U462" s="721">
        <v>-16182</v>
      </c>
      <c r="V462" s="721">
        <v>1557762</v>
      </c>
    </row>
    <row r="463" spans="1:22" x14ac:dyDescent="0.25">
      <c r="A463" s="715">
        <v>94917</v>
      </c>
      <c r="B463" s="716" t="s">
        <v>2995</v>
      </c>
      <c r="C463" s="717">
        <v>3.7400000000000001E-5</v>
      </c>
      <c r="D463" s="717">
        <v>4.0399999999999999E-5</v>
      </c>
      <c r="E463" s="718">
        <v>24113.03</v>
      </c>
      <c r="F463" s="718">
        <v>18131</v>
      </c>
      <c r="G463" s="718">
        <v>79375</v>
      </c>
      <c r="H463" s="718"/>
      <c r="I463" s="719">
        <v>1491.325</v>
      </c>
      <c r="J463" s="719">
        <v>69558</v>
      </c>
      <c r="K463" s="719">
        <v>5437</v>
      </c>
      <c r="L463" s="718">
        <v>14598</v>
      </c>
      <c r="M463" s="718"/>
      <c r="N463" s="719">
        <v>2781</v>
      </c>
      <c r="O463" s="719">
        <v>25674</v>
      </c>
      <c r="P463" s="719">
        <v>0</v>
      </c>
      <c r="Q463" s="718">
        <v>0</v>
      </c>
      <c r="R463" s="719">
        <f t="shared" si="7"/>
        <v>43884</v>
      </c>
      <c r="S463" s="718"/>
      <c r="T463" s="719">
        <v>21216</v>
      </c>
      <c r="U463" s="721">
        <v>5296</v>
      </c>
      <c r="V463" s="721">
        <v>26512</v>
      </c>
    </row>
    <row r="464" spans="1:22" x14ac:dyDescent="0.25">
      <c r="A464" s="715">
        <v>94921</v>
      </c>
      <c r="B464" s="716" t="s">
        <v>2996</v>
      </c>
      <c r="C464" s="717">
        <v>3.7063E-3</v>
      </c>
      <c r="D464" s="717">
        <v>4.0699999999999998E-3</v>
      </c>
      <c r="E464" s="718">
        <v>1372917.85</v>
      </c>
      <c r="F464" s="718">
        <v>1826592</v>
      </c>
      <c r="G464" s="718">
        <v>7866010</v>
      </c>
      <c r="H464" s="718"/>
      <c r="I464" s="719">
        <v>147789</v>
      </c>
      <c r="J464" s="719">
        <v>6893132</v>
      </c>
      <c r="K464" s="719">
        <v>538751</v>
      </c>
      <c r="L464" s="718">
        <v>0</v>
      </c>
      <c r="M464" s="718"/>
      <c r="N464" s="719">
        <v>275634</v>
      </c>
      <c r="O464" s="719">
        <v>2544219</v>
      </c>
      <c r="P464" s="719">
        <v>0</v>
      </c>
      <c r="Q464" s="718">
        <v>505665</v>
      </c>
      <c r="R464" s="719">
        <f t="shared" si="7"/>
        <v>4348913</v>
      </c>
      <c r="S464" s="718"/>
      <c r="T464" s="719">
        <v>2102469</v>
      </c>
      <c r="U464" s="721">
        <v>-155426</v>
      </c>
      <c r="V464" s="721">
        <v>1947043</v>
      </c>
    </row>
    <row r="465" spans="1:22" x14ac:dyDescent="0.25">
      <c r="A465" s="715">
        <v>94923</v>
      </c>
      <c r="B465" s="716" t="s">
        <v>2997</v>
      </c>
      <c r="C465" s="717">
        <v>2.4499999999999999E-5</v>
      </c>
      <c r="D465" s="717">
        <v>2.9300000000000001E-5</v>
      </c>
      <c r="E465" s="718">
        <v>14094</v>
      </c>
      <c r="F465" s="718">
        <v>13150</v>
      </c>
      <c r="G465" s="718">
        <v>51997</v>
      </c>
      <c r="H465" s="718"/>
      <c r="I465" s="719">
        <v>976.9375</v>
      </c>
      <c r="J465" s="719">
        <v>45566</v>
      </c>
      <c r="K465" s="719">
        <v>3561</v>
      </c>
      <c r="L465" s="718">
        <v>1458</v>
      </c>
      <c r="M465" s="718"/>
      <c r="N465" s="719">
        <v>1822</v>
      </c>
      <c r="O465" s="719">
        <v>16818</v>
      </c>
      <c r="P465" s="719">
        <v>0</v>
      </c>
      <c r="Q465" s="718">
        <v>173</v>
      </c>
      <c r="R465" s="719">
        <f t="shared" si="7"/>
        <v>28748</v>
      </c>
      <c r="S465" s="718"/>
      <c r="T465" s="719">
        <v>13898</v>
      </c>
      <c r="U465" s="721">
        <v>373</v>
      </c>
      <c r="V465" s="721">
        <v>14272</v>
      </c>
    </row>
    <row r="466" spans="1:22" x14ac:dyDescent="0.25">
      <c r="A466" s="715">
        <v>94927</v>
      </c>
      <c r="B466" s="716" t="s">
        <v>2998</v>
      </c>
      <c r="C466" s="717">
        <v>3.3899999999999997E-5</v>
      </c>
      <c r="D466" s="717">
        <v>3.2700000000000002E-5</v>
      </c>
      <c r="E466" s="718">
        <v>16597.12</v>
      </c>
      <c r="F466" s="718">
        <v>14676</v>
      </c>
      <c r="G466" s="718">
        <v>71947</v>
      </c>
      <c r="H466" s="718"/>
      <c r="I466" s="719">
        <v>1352</v>
      </c>
      <c r="J466" s="719">
        <v>63049</v>
      </c>
      <c r="K466" s="719">
        <v>4928</v>
      </c>
      <c r="L466" s="718">
        <v>3081</v>
      </c>
      <c r="M466" s="718"/>
      <c r="N466" s="719">
        <v>2521</v>
      </c>
      <c r="O466" s="719">
        <v>23271</v>
      </c>
      <c r="P466" s="719">
        <v>0</v>
      </c>
      <c r="Q466" s="718">
        <v>52</v>
      </c>
      <c r="R466" s="719">
        <f t="shared" si="7"/>
        <v>39778</v>
      </c>
      <c r="S466" s="718"/>
      <c r="T466" s="719">
        <v>19230</v>
      </c>
      <c r="U466" s="721">
        <v>803</v>
      </c>
      <c r="V466" s="721">
        <v>20033</v>
      </c>
    </row>
    <row r="467" spans="1:22" x14ac:dyDescent="0.25">
      <c r="A467" s="715">
        <v>94931</v>
      </c>
      <c r="B467" s="716" t="s">
        <v>2999</v>
      </c>
      <c r="C467" s="717">
        <v>2.1130000000000001E-4</v>
      </c>
      <c r="D467" s="717">
        <v>2.4020000000000001E-4</v>
      </c>
      <c r="E467" s="718">
        <v>88195.43</v>
      </c>
      <c r="F467" s="718">
        <v>107800</v>
      </c>
      <c r="G467" s="718">
        <v>448449</v>
      </c>
      <c r="H467" s="718"/>
      <c r="I467" s="719">
        <v>8426</v>
      </c>
      <c r="J467" s="719">
        <v>392985</v>
      </c>
      <c r="K467" s="719">
        <v>30715</v>
      </c>
      <c r="L467" s="718">
        <v>0</v>
      </c>
      <c r="M467" s="718"/>
      <c r="N467" s="719">
        <v>15714</v>
      </c>
      <c r="O467" s="719">
        <v>145049</v>
      </c>
      <c r="P467" s="719">
        <v>0</v>
      </c>
      <c r="Q467" s="718">
        <v>23880</v>
      </c>
      <c r="R467" s="719">
        <f t="shared" si="7"/>
        <v>247936</v>
      </c>
      <c r="S467" s="718"/>
      <c r="T467" s="719">
        <v>119864</v>
      </c>
      <c r="U467" s="721">
        <v>-8140</v>
      </c>
      <c r="V467" s="721">
        <v>111724</v>
      </c>
    </row>
    <row r="468" spans="1:22" x14ac:dyDescent="0.25">
      <c r="A468" s="715">
        <v>94941</v>
      </c>
      <c r="B468" s="716" t="s">
        <v>3000</v>
      </c>
      <c r="C468" s="717">
        <v>5.2959999999999997E-4</v>
      </c>
      <c r="D468" s="717">
        <v>5.0549999999999998E-4</v>
      </c>
      <c r="E468" s="718">
        <v>202001.05</v>
      </c>
      <c r="F468" s="718">
        <v>226865</v>
      </c>
      <c r="G468" s="718">
        <v>1123989</v>
      </c>
      <c r="H468" s="718"/>
      <c r="I468" s="719">
        <v>21117.8</v>
      </c>
      <c r="J468" s="719">
        <v>984972</v>
      </c>
      <c r="K468" s="719">
        <v>76983</v>
      </c>
      <c r="L468" s="718">
        <v>96457</v>
      </c>
      <c r="M468" s="718"/>
      <c r="N468" s="719">
        <v>39386</v>
      </c>
      <c r="O468" s="719">
        <v>363548</v>
      </c>
      <c r="P468" s="719">
        <v>0</v>
      </c>
      <c r="Q468" s="718">
        <v>0</v>
      </c>
      <c r="R468" s="719">
        <f t="shared" si="7"/>
        <v>621424</v>
      </c>
      <c r="S468" s="718"/>
      <c r="T468" s="719">
        <v>300426</v>
      </c>
      <c r="U468" s="721">
        <v>42457</v>
      </c>
      <c r="V468" s="721">
        <v>342883</v>
      </c>
    </row>
    <row r="469" spans="1:22" x14ac:dyDescent="0.25">
      <c r="A469" s="715">
        <v>95001</v>
      </c>
      <c r="B469" s="716" t="s">
        <v>3001</v>
      </c>
      <c r="C469" s="717">
        <v>2.3779000000000001E-3</v>
      </c>
      <c r="D469" s="717">
        <v>2.3674E-3</v>
      </c>
      <c r="E469" s="718">
        <v>1026879.06</v>
      </c>
      <c r="F469" s="718">
        <v>1062475</v>
      </c>
      <c r="G469" s="718">
        <v>5046700</v>
      </c>
      <c r="H469" s="718"/>
      <c r="I469" s="719">
        <v>94819</v>
      </c>
      <c r="J469" s="719">
        <v>4422518</v>
      </c>
      <c r="K469" s="719">
        <v>345654</v>
      </c>
      <c r="L469" s="718">
        <v>86860</v>
      </c>
      <c r="M469" s="718"/>
      <c r="N469" s="719">
        <v>176842</v>
      </c>
      <c r="O469" s="719">
        <v>1632328</v>
      </c>
      <c r="P469" s="719">
        <v>0</v>
      </c>
      <c r="Q469" s="718">
        <v>8022</v>
      </c>
      <c r="R469" s="719">
        <f t="shared" si="7"/>
        <v>2790190</v>
      </c>
      <c r="S469" s="718"/>
      <c r="T469" s="719">
        <v>1348909</v>
      </c>
      <c r="U469" s="721">
        <v>22510</v>
      </c>
      <c r="V469" s="721">
        <v>1371419</v>
      </c>
    </row>
    <row r="470" spans="1:22" x14ac:dyDescent="0.25">
      <c r="A470" s="715">
        <v>95002</v>
      </c>
      <c r="B470" s="716" t="s">
        <v>3002</v>
      </c>
      <c r="C470" s="717">
        <v>2.0120000000000001E-4</v>
      </c>
      <c r="D470" s="717">
        <v>1.919E-4</v>
      </c>
      <c r="E470" s="718">
        <v>91760.39</v>
      </c>
      <c r="F470" s="718">
        <v>86124</v>
      </c>
      <c r="G470" s="718">
        <v>427014</v>
      </c>
      <c r="H470" s="718"/>
      <c r="I470" s="719">
        <v>8022.85</v>
      </c>
      <c r="J470" s="719">
        <v>374200</v>
      </c>
      <c r="K470" s="719">
        <v>29247</v>
      </c>
      <c r="L470" s="718">
        <v>17432</v>
      </c>
      <c r="M470" s="718"/>
      <c r="N470" s="719">
        <v>14963</v>
      </c>
      <c r="O470" s="719">
        <v>138115</v>
      </c>
      <c r="P470" s="719">
        <v>0</v>
      </c>
      <c r="Q470" s="718">
        <v>0</v>
      </c>
      <c r="R470" s="719">
        <f t="shared" si="7"/>
        <v>236085</v>
      </c>
      <c r="S470" s="718"/>
      <c r="T470" s="719">
        <v>114135</v>
      </c>
      <c r="U470" s="721">
        <v>5391</v>
      </c>
      <c r="V470" s="721">
        <v>119526</v>
      </c>
    </row>
    <row r="471" spans="1:22" x14ac:dyDescent="0.25">
      <c r="A471" s="715">
        <v>95005</v>
      </c>
      <c r="B471" s="716" t="s">
        <v>3003</v>
      </c>
      <c r="C471" s="717">
        <v>2.3829999999999999E-4</v>
      </c>
      <c r="D471" s="717">
        <v>2.4499999999999999E-4</v>
      </c>
      <c r="E471" s="718">
        <v>102067</v>
      </c>
      <c r="F471" s="718">
        <v>109954.53</v>
      </c>
      <c r="G471" s="718">
        <v>505752</v>
      </c>
      <c r="H471" s="718"/>
      <c r="I471" s="719">
        <v>9502</v>
      </c>
      <c r="J471" s="719">
        <v>443200</v>
      </c>
      <c r="K471" s="719">
        <v>34640</v>
      </c>
      <c r="L471" s="718">
        <v>23207</v>
      </c>
      <c r="M471" s="718"/>
      <c r="N471" s="719">
        <v>17722</v>
      </c>
      <c r="O471" s="719">
        <v>163583</v>
      </c>
      <c r="P471" s="719">
        <v>0</v>
      </c>
      <c r="Q471" s="718">
        <v>399</v>
      </c>
      <c r="R471" s="719">
        <f t="shared" si="7"/>
        <v>279617</v>
      </c>
      <c r="S471" s="718"/>
      <c r="T471" s="719">
        <v>135180</v>
      </c>
      <c r="U471" s="721">
        <v>9376</v>
      </c>
      <c r="V471" s="721">
        <v>144556</v>
      </c>
    </row>
    <row r="472" spans="1:22" x14ac:dyDescent="0.25">
      <c r="A472" s="715">
        <v>95008</v>
      </c>
      <c r="B472" s="716" t="s">
        <v>3004</v>
      </c>
      <c r="C472" s="717">
        <v>1.169E-4</v>
      </c>
      <c r="D472" s="717">
        <v>1.3669999999999999E-4</v>
      </c>
      <c r="E472" s="718">
        <v>50977.440000000002</v>
      </c>
      <c r="F472" s="718">
        <v>61350</v>
      </c>
      <c r="G472" s="718">
        <v>248101</v>
      </c>
      <c r="H472" s="718"/>
      <c r="I472" s="719">
        <v>4661</v>
      </c>
      <c r="J472" s="719">
        <v>217416</v>
      </c>
      <c r="K472" s="719">
        <v>16993</v>
      </c>
      <c r="L472" s="718">
        <v>21945</v>
      </c>
      <c r="M472" s="718"/>
      <c r="N472" s="719">
        <v>8694</v>
      </c>
      <c r="O472" s="719">
        <v>80247</v>
      </c>
      <c r="P472" s="719">
        <v>0</v>
      </c>
      <c r="Q472" s="718">
        <v>8420</v>
      </c>
      <c r="R472" s="719">
        <f t="shared" si="7"/>
        <v>137169</v>
      </c>
      <c r="S472" s="718"/>
      <c r="T472" s="719">
        <v>66314</v>
      </c>
      <c r="U472" s="721">
        <v>7393</v>
      </c>
      <c r="V472" s="721">
        <v>73707</v>
      </c>
    </row>
    <row r="473" spans="1:22" x14ac:dyDescent="0.25">
      <c r="A473" s="715">
        <v>95009</v>
      </c>
      <c r="B473" s="716" t="s">
        <v>3005</v>
      </c>
      <c r="C473" s="717">
        <v>3.9902000000000002E-3</v>
      </c>
      <c r="D473" s="717">
        <v>3.614E-3</v>
      </c>
      <c r="E473" s="718">
        <v>1651705</v>
      </c>
      <c r="F473" s="718">
        <v>1621942</v>
      </c>
      <c r="G473" s="718">
        <v>8468541</v>
      </c>
      <c r="H473" s="718"/>
      <c r="I473" s="719">
        <v>159109</v>
      </c>
      <c r="J473" s="719">
        <v>7421142</v>
      </c>
      <c r="K473" s="719">
        <v>580019</v>
      </c>
      <c r="L473" s="718">
        <v>1306132</v>
      </c>
      <c r="M473" s="718"/>
      <c r="N473" s="719">
        <v>296747</v>
      </c>
      <c r="O473" s="719">
        <v>2739105</v>
      </c>
      <c r="P473" s="719">
        <v>0</v>
      </c>
      <c r="Q473" s="718">
        <v>0</v>
      </c>
      <c r="R473" s="719">
        <f t="shared" si="7"/>
        <v>4682037</v>
      </c>
      <c r="S473" s="718"/>
      <c r="T473" s="719">
        <v>2263517</v>
      </c>
      <c r="U473" s="721">
        <v>547444</v>
      </c>
      <c r="V473" s="721">
        <v>2810961</v>
      </c>
    </row>
    <row r="474" spans="1:22" x14ac:dyDescent="0.25">
      <c r="A474" s="715">
        <v>95011</v>
      </c>
      <c r="B474" s="716" t="s">
        <v>3006</v>
      </c>
      <c r="C474" s="717">
        <v>1.707E-4</v>
      </c>
      <c r="D474" s="717">
        <v>1.8760000000000001E-4</v>
      </c>
      <c r="E474" s="718">
        <v>71948</v>
      </c>
      <c r="F474" s="718">
        <v>84194</v>
      </c>
      <c r="G474" s="718">
        <v>362283</v>
      </c>
      <c r="H474" s="718"/>
      <c r="I474" s="719">
        <v>6807</v>
      </c>
      <c r="J474" s="719">
        <v>317475</v>
      </c>
      <c r="K474" s="719">
        <v>24813</v>
      </c>
      <c r="L474" s="718">
        <v>0</v>
      </c>
      <c r="M474" s="718"/>
      <c r="N474" s="719">
        <v>12695</v>
      </c>
      <c r="O474" s="719">
        <v>117178</v>
      </c>
      <c r="P474" s="719">
        <v>0</v>
      </c>
      <c r="Q474" s="718">
        <v>13568</v>
      </c>
      <c r="R474" s="719">
        <f t="shared" si="7"/>
        <v>200297</v>
      </c>
      <c r="S474" s="718"/>
      <c r="T474" s="719">
        <v>96833</v>
      </c>
      <c r="U474" s="721">
        <v>-4659</v>
      </c>
      <c r="V474" s="721">
        <v>92174</v>
      </c>
    </row>
    <row r="475" spans="1:22" x14ac:dyDescent="0.25">
      <c r="A475" s="715">
        <v>95017</v>
      </c>
      <c r="B475" s="716" t="s">
        <v>3007</v>
      </c>
      <c r="C475" s="717">
        <v>3.5800000000000003E-5</v>
      </c>
      <c r="D475" s="717">
        <v>3.9900000000000001E-5</v>
      </c>
      <c r="E475" s="718">
        <v>21743.88</v>
      </c>
      <c r="F475" s="718">
        <v>17907</v>
      </c>
      <c r="G475" s="718">
        <v>75980</v>
      </c>
      <c r="H475" s="718"/>
      <c r="I475" s="719">
        <v>1427.5250000000001</v>
      </c>
      <c r="J475" s="719">
        <v>66582</v>
      </c>
      <c r="K475" s="719">
        <v>5204</v>
      </c>
      <c r="L475" s="718">
        <v>20942</v>
      </c>
      <c r="M475" s="718"/>
      <c r="N475" s="719">
        <v>2662</v>
      </c>
      <c r="O475" s="719">
        <v>24575</v>
      </c>
      <c r="P475" s="719">
        <v>0</v>
      </c>
      <c r="Q475" s="718">
        <v>0</v>
      </c>
      <c r="R475" s="719">
        <f t="shared" si="7"/>
        <v>42007</v>
      </c>
      <c r="S475" s="718"/>
      <c r="T475" s="719">
        <v>20308</v>
      </c>
      <c r="U475" s="721">
        <v>7629</v>
      </c>
      <c r="V475" s="721">
        <v>27937</v>
      </c>
    </row>
    <row r="476" spans="1:22" x14ac:dyDescent="0.25">
      <c r="A476" s="715">
        <v>95101</v>
      </c>
      <c r="B476" s="716" t="s">
        <v>3008</v>
      </c>
      <c r="C476" s="717">
        <v>8.0955999999999997E-3</v>
      </c>
      <c r="D476" s="717">
        <v>7.8796000000000005E-3</v>
      </c>
      <c r="E476" s="718">
        <v>3063500.72</v>
      </c>
      <c r="F476" s="718">
        <v>3536317</v>
      </c>
      <c r="G476" s="718">
        <v>17181575</v>
      </c>
      <c r="H476" s="718"/>
      <c r="I476" s="719">
        <v>322812.05</v>
      </c>
      <c r="J476" s="719">
        <v>15056537</v>
      </c>
      <c r="K476" s="719">
        <v>1176785</v>
      </c>
      <c r="L476" s="718">
        <v>77016</v>
      </c>
      <c r="M476" s="718"/>
      <c r="N476" s="719">
        <v>602062</v>
      </c>
      <c r="O476" s="719">
        <v>5557289</v>
      </c>
      <c r="P476" s="719">
        <v>0</v>
      </c>
      <c r="Q476" s="718">
        <v>94065</v>
      </c>
      <c r="R476" s="719">
        <f t="shared" si="7"/>
        <v>9499248</v>
      </c>
      <c r="S476" s="718"/>
      <c r="T476" s="719">
        <v>4592383</v>
      </c>
      <c r="U476" s="721">
        <v>13084</v>
      </c>
      <c r="V476" s="721">
        <v>4605467</v>
      </c>
    </row>
    <row r="477" spans="1:22" x14ac:dyDescent="0.25">
      <c r="A477" s="715">
        <v>95103</v>
      </c>
      <c r="B477" s="716" t="s">
        <v>3009</v>
      </c>
      <c r="C477" s="717">
        <v>6.02E-5</v>
      </c>
      <c r="D477" s="717">
        <v>5.91E-5</v>
      </c>
      <c r="E477" s="718">
        <v>34084</v>
      </c>
      <c r="F477" s="718">
        <v>26524</v>
      </c>
      <c r="G477" s="718">
        <v>127765</v>
      </c>
      <c r="H477" s="718"/>
      <c r="I477" s="719">
        <v>2400.4749999999999</v>
      </c>
      <c r="J477" s="719">
        <v>111962</v>
      </c>
      <c r="K477" s="719">
        <v>8751</v>
      </c>
      <c r="L477" s="718">
        <v>41064</v>
      </c>
      <c r="M477" s="718"/>
      <c r="N477" s="719">
        <v>4477</v>
      </c>
      <c r="O477" s="719">
        <v>41325</v>
      </c>
      <c r="P477" s="719">
        <v>0</v>
      </c>
      <c r="Q477" s="718">
        <v>0</v>
      </c>
      <c r="R477" s="719">
        <f t="shared" si="7"/>
        <v>70637</v>
      </c>
      <c r="S477" s="718"/>
      <c r="T477" s="719">
        <v>34150</v>
      </c>
      <c r="U477" s="721">
        <v>17815</v>
      </c>
      <c r="V477" s="721">
        <v>51965</v>
      </c>
    </row>
    <row r="478" spans="1:22" x14ac:dyDescent="0.25">
      <c r="A478" s="715">
        <v>95104</v>
      </c>
      <c r="B478" s="716" t="s">
        <v>3010</v>
      </c>
      <c r="C478" s="717">
        <v>1.011E-4</v>
      </c>
      <c r="D478" s="717">
        <v>1.022E-4</v>
      </c>
      <c r="E478" s="718">
        <v>48495.61</v>
      </c>
      <c r="F478" s="718">
        <v>45867</v>
      </c>
      <c r="G478" s="718">
        <v>214568</v>
      </c>
      <c r="H478" s="718"/>
      <c r="I478" s="719">
        <v>4031</v>
      </c>
      <c r="J478" s="719">
        <v>188030</v>
      </c>
      <c r="K478" s="719">
        <v>14696</v>
      </c>
      <c r="L478" s="718">
        <v>18344</v>
      </c>
      <c r="M478" s="718"/>
      <c r="N478" s="719">
        <v>7519</v>
      </c>
      <c r="O478" s="719">
        <v>69401</v>
      </c>
      <c r="P478" s="719">
        <v>0</v>
      </c>
      <c r="Q478" s="718">
        <v>0</v>
      </c>
      <c r="R478" s="719">
        <f t="shared" si="7"/>
        <v>118629</v>
      </c>
      <c r="S478" s="718"/>
      <c r="T478" s="719">
        <v>57351</v>
      </c>
      <c r="U478" s="721">
        <v>6442</v>
      </c>
      <c r="V478" s="721">
        <v>63793</v>
      </c>
    </row>
    <row r="479" spans="1:22" x14ac:dyDescent="0.25">
      <c r="A479" s="715">
        <v>95105</v>
      </c>
      <c r="B479" s="716" t="s">
        <v>3011</v>
      </c>
      <c r="C479" s="717">
        <v>6.3700000000000003E-5</v>
      </c>
      <c r="D479" s="717">
        <v>6.2199999999999994E-5</v>
      </c>
      <c r="E479" s="718">
        <v>28734</v>
      </c>
      <c r="F479" s="718">
        <v>27915</v>
      </c>
      <c r="G479" s="718">
        <v>135193</v>
      </c>
      <c r="H479" s="718"/>
      <c r="I479" s="719">
        <v>2540</v>
      </c>
      <c r="J479" s="719">
        <v>118472</v>
      </c>
      <c r="K479" s="719">
        <v>9259</v>
      </c>
      <c r="L479" s="718">
        <v>9013</v>
      </c>
      <c r="M479" s="718"/>
      <c r="N479" s="719">
        <v>4737</v>
      </c>
      <c r="O479" s="719">
        <v>43727</v>
      </c>
      <c r="P479" s="719">
        <v>0</v>
      </c>
      <c r="Q479" s="718">
        <v>0</v>
      </c>
      <c r="R479" s="719">
        <f t="shared" si="7"/>
        <v>74745</v>
      </c>
      <c r="S479" s="718"/>
      <c r="T479" s="719">
        <v>36135</v>
      </c>
      <c r="U479" s="721">
        <v>3391</v>
      </c>
      <c r="V479" s="721">
        <v>39526</v>
      </c>
    </row>
    <row r="480" spans="1:22" x14ac:dyDescent="0.25">
      <c r="A480" s="715">
        <v>95106</v>
      </c>
      <c r="B480" s="716" t="s">
        <v>3012</v>
      </c>
      <c r="C480" s="717">
        <v>1.3900000000000001E-5</v>
      </c>
      <c r="D480" s="717">
        <v>5.9000000000000003E-6</v>
      </c>
      <c r="E480" s="718">
        <v>4209.76</v>
      </c>
      <c r="F480" s="718">
        <v>2648</v>
      </c>
      <c r="G480" s="718">
        <v>29500</v>
      </c>
      <c r="H480" s="718"/>
      <c r="I480" s="719">
        <v>554</v>
      </c>
      <c r="J480" s="719">
        <v>25852</v>
      </c>
      <c r="K480" s="719">
        <v>2021</v>
      </c>
      <c r="L480" s="718">
        <v>7510</v>
      </c>
      <c r="M480" s="718"/>
      <c r="N480" s="719">
        <v>1034</v>
      </c>
      <c r="O480" s="719">
        <v>9542</v>
      </c>
      <c r="P480" s="719">
        <v>0</v>
      </c>
      <c r="Q480" s="718">
        <v>0</v>
      </c>
      <c r="R480" s="719">
        <f t="shared" si="7"/>
        <v>16310</v>
      </c>
      <c r="S480" s="718"/>
      <c r="T480" s="719">
        <v>7885</v>
      </c>
      <c r="U480" s="721">
        <v>2593</v>
      </c>
      <c r="V480" s="721">
        <v>10478</v>
      </c>
    </row>
    <row r="481" spans="1:22" x14ac:dyDescent="0.25">
      <c r="A481" s="715">
        <v>95110</v>
      </c>
      <c r="B481" s="716" t="s">
        <v>3013</v>
      </c>
      <c r="C481" s="717">
        <v>4.4609000000000003E-3</v>
      </c>
      <c r="D481" s="717">
        <v>5.5170000000000002E-3</v>
      </c>
      <c r="E481" s="718">
        <v>1868606.24</v>
      </c>
      <c r="F481" s="718">
        <v>2475996</v>
      </c>
      <c r="G481" s="718">
        <v>9467524</v>
      </c>
      <c r="H481" s="718"/>
      <c r="I481" s="719">
        <v>177878</v>
      </c>
      <c r="J481" s="719">
        <v>8296569</v>
      </c>
      <c r="K481" s="719">
        <v>648441</v>
      </c>
      <c r="L481" s="718">
        <v>0</v>
      </c>
      <c r="M481" s="718"/>
      <c r="N481" s="719">
        <v>331753</v>
      </c>
      <c r="O481" s="719">
        <v>3062220</v>
      </c>
      <c r="P481" s="719">
        <v>0</v>
      </c>
      <c r="Q481" s="718">
        <v>1586204</v>
      </c>
      <c r="R481" s="719">
        <f t="shared" si="7"/>
        <v>5234349</v>
      </c>
      <c r="S481" s="718"/>
      <c r="T481" s="719">
        <v>2530530</v>
      </c>
      <c r="U481" s="721">
        <v>-606775</v>
      </c>
      <c r="V481" s="721">
        <v>1923756</v>
      </c>
    </row>
    <row r="482" spans="1:22" x14ac:dyDescent="0.25">
      <c r="A482" s="715">
        <v>95111</v>
      </c>
      <c r="B482" s="716" t="s">
        <v>3014</v>
      </c>
      <c r="C482" s="717">
        <v>1.0709000000000001E-3</v>
      </c>
      <c r="D482" s="717">
        <v>1.1418999999999999E-3</v>
      </c>
      <c r="E482" s="718">
        <v>392359.07</v>
      </c>
      <c r="F482" s="718">
        <v>512478</v>
      </c>
      <c r="G482" s="718">
        <v>2272809</v>
      </c>
      <c r="H482" s="718"/>
      <c r="I482" s="719">
        <v>42702</v>
      </c>
      <c r="J482" s="719">
        <v>1991705</v>
      </c>
      <c r="K482" s="719">
        <v>155667</v>
      </c>
      <c r="L482" s="718">
        <v>0</v>
      </c>
      <c r="M482" s="718"/>
      <c r="N482" s="719">
        <v>79642</v>
      </c>
      <c r="O482" s="719">
        <v>735128</v>
      </c>
      <c r="P482" s="719">
        <v>0</v>
      </c>
      <c r="Q482" s="718">
        <v>161003</v>
      </c>
      <c r="R482" s="719">
        <f t="shared" si="7"/>
        <v>1256577</v>
      </c>
      <c r="S482" s="718"/>
      <c r="T482" s="719">
        <v>607488</v>
      </c>
      <c r="U482" s="721">
        <v>-55722</v>
      </c>
      <c r="V482" s="721">
        <v>551766</v>
      </c>
    </row>
    <row r="483" spans="1:22" x14ac:dyDescent="0.25">
      <c r="A483" s="715">
        <v>95113</v>
      </c>
      <c r="B483" s="716" t="s">
        <v>3015</v>
      </c>
      <c r="C483" s="717">
        <v>4.7500000000000003E-5</v>
      </c>
      <c r="D483" s="717">
        <v>4.4299999999999999E-5</v>
      </c>
      <c r="E483" s="718">
        <v>62344</v>
      </c>
      <c r="F483" s="718">
        <v>19882</v>
      </c>
      <c r="G483" s="718">
        <v>100811</v>
      </c>
      <c r="H483" s="718"/>
      <c r="I483" s="719">
        <v>1894.0625</v>
      </c>
      <c r="J483" s="719">
        <v>88342</v>
      </c>
      <c r="K483" s="719">
        <v>6905</v>
      </c>
      <c r="L483" s="718">
        <v>69845</v>
      </c>
      <c r="M483" s="718"/>
      <c r="N483" s="719">
        <v>3533</v>
      </c>
      <c r="O483" s="719">
        <v>32607</v>
      </c>
      <c r="P483" s="719">
        <v>0</v>
      </c>
      <c r="Q483" s="718">
        <v>0</v>
      </c>
      <c r="R483" s="719">
        <f t="shared" si="7"/>
        <v>55735</v>
      </c>
      <c r="S483" s="718"/>
      <c r="T483" s="719">
        <v>26945</v>
      </c>
      <c r="U483" s="721">
        <v>22543</v>
      </c>
      <c r="V483" s="721">
        <v>49489</v>
      </c>
    </row>
    <row r="484" spans="1:22" x14ac:dyDescent="0.25">
      <c r="A484" s="715">
        <v>95121</v>
      </c>
      <c r="B484" s="716" t="s">
        <v>3016</v>
      </c>
      <c r="C484" s="717">
        <v>4.9580000000000002E-4</v>
      </c>
      <c r="D484" s="717">
        <v>4.7540000000000001E-4</v>
      </c>
      <c r="E484" s="718">
        <v>201528.43</v>
      </c>
      <c r="F484" s="718">
        <v>213357</v>
      </c>
      <c r="G484" s="718">
        <v>1052254</v>
      </c>
      <c r="H484" s="718"/>
      <c r="I484" s="719">
        <v>19770</v>
      </c>
      <c r="J484" s="719">
        <v>922110</v>
      </c>
      <c r="K484" s="719">
        <v>72070</v>
      </c>
      <c r="L484" s="718">
        <v>18227</v>
      </c>
      <c r="M484" s="718"/>
      <c r="N484" s="719">
        <v>36872</v>
      </c>
      <c r="O484" s="719">
        <v>340346</v>
      </c>
      <c r="P484" s="719">
        <v>0</v>
      </c>
      <c r="Q484" s="718">
        <v>25446.13</v>
      </c>
      <c r="R484" s="719">
        <f t="shared" si="7"/>
        <v>581764</v>
      </c>
      <c r="S484" s="718"/>
      <c r="T484" s="719">
        <v>281252</v>
      </c>
      <c r="U484" s="721">
        <v>-7200</v>
      </c>
      <c r="V484" s="721">
        <v>274052</v>
      </c>
    </row>
    <row r="485" spans="1:22" x14ac:dyDescent="0.25">
      <c r="A485" s="715">
        <v>95122</v>
      </c>
      <c r="B485" s="716" t="s">
        <v>3017</v>
      </c>
      <c r="C485" s="717">
        <v>2.7999999999999999E-6</v>
      </c>
      <c r="D485" s="717">
        <v>3.3000000000000002E-6</v>
      </c>
      <c r="E485" s="718">
        <v>2740.07</v>
      </c>
      <c r="F485" s="718">
        <v>1481</v>
      </c>
      <c r="G485" s="718">
        <v>5943</v>
      </c>
      <c r="H485" s="718"/>
      <c r="I485" s="719">
        <v>112</v>
      </c>
      <c r="J485" s="719">
        <v>5208</v>
      </c>
      <c r="K485" s="719">
        <v>407</v>
      </c>
      <c r="L485" s="718">
        <v>1558</v>
      </c>
      <c r="M485" s="718"/>
      <c r="N485" s="719">
        <v>208</v>
      </c>
      <c r="O485" s="719">
        <v>1922</v>
      </c>
      <c r="P485" s="719">
        <v>0</v>
      </c>
      <c r="Q485" s="718">
        <v>0</v>
      </c>
      <c r="R485" s="719">
        <f t="shared" si="7"/>
        <v>3286</v>
      </c>
      <c r="S485" s="718"/>
      <c r="T485" s="719">
        <v>1588</v>
      </c>
      <c r="U485" s="721">
        <v>459</v>
      </c>
      <c r="V485" s="721">
        <v>2048</v>
      </c>
    </row>
    <row r="486" spans="1:22" x14ac:dyDescent="0.25">
      <c r="A486" s="715">
        <v>95123</v>
      </c>
      <c r="B486" s="716" t="s">
        <v>3018</v>
      </c>
      <c r="C486" s="717">
        <v>5.6700000000000003E-5</v>
      </c>
      <c r="D486" s="717">
        <v>5.1199999999999998E-5</v>
      </c>
      <c r="E486" s="718">
        <v>25666.18</v>
      </c>
      <c r="F486" s="718">
        <v>22978</v>
      </c>
      <c r="G486" s="718">
        <v>120336</v>
      </c>
      <c r="H486" s="718"/>
      <c r="I486" s="719">
        <v>2261</v>
      </c>
      <c r="J486" s="719">
        <v>105453</v>
      </c>
      <c r="K486" s="719">
        <v>8242</v>
      </c>
      <c r="L486" s="718">
        <v>8689</v>
      </c>
      <c r="M486" s="718"/>
      <c r="N486" s="719">
        <v>4217</v>
      </c>
      <c r="O486" s="719">
        <v>38922</v>
      </c>
      <c r="P486" s="719">
        <v>0</v>
      </c>
      <c r="Q486" s="718">
        <v>2933.26</v>
      </c>
      <c r="R486" s="719">
        <f t="shared" si="7"/>
        <v>66531</v>
      </c>
      <c r="S486" s="718"/>
      <c r="T486" s="719">
        <v>32164</v>
      </c>
      <c r="U486" s="721">
        <v>1144</v>
      </c>
      <c r="V486" s="721">
        <v>33309</v>
      </c>
    </row>
    <row r="487" spans="1:22" x14ac:dyDescent="0.25">
      <c r="A487" s="715">
        <v>95131</v>
      </c>
      <c r="B487" s="716" t="s">
        <v>3019</v>
      </c>
      <c r="C487" s="717">
        <v>1.5451E-3</v>
      </c>
      <c r="D487" s="717">
        <v>1.4713E-3</v>
      </c>
      <c r="E487" s="718">
        <v>607661.46</v>
      </c>
      <c r="F487" s="718">
        <v>660311</v>
      </c>
      <c r="G487" s="718">
        <v>3279220</v>
      </c>
      <c r="H487" s="718"/>
      <c r="I487" s="719">
        <v>61611</v>
      </c>
      <c r="J487" s="719">
        <v>2873642</v>
      </c>
      <c r="K487" s="719">
        <v>224597</v>
      </c>
      <c r="L487" s="718">
        <v>53573</v>
      </c>
      <c r="M487" s="718"/>
      <c r="N487" s="719">
        <v>114908</v>
      </c>
      <c r="O487" s="719">
        <v>1060646</v>
      </c>
      <c r="P487" s="719">
        <v>0</v>
      </c>
      <c r="Q487" s="718">
        <v>1701</v>
      </c>
      <c r="R487" s="719">
        <f t="shared" si="7"/>
        <v>1812996</v>
      </c>
      <c r="S487" s="718"/>
      <c r="T487" s="719">
        <v>876487</v>
      </c>
      <c r="U487" s="721">
        <v>16429</v>
      </c>
      <c r="V487" s="721">
        <v>892916</v>
      </c>
    </row>
    <row r="488" spans="1:22" x14ac:dyDescent="0.25">
      <c r="A488" s="715">
        <v>95141</v>
      </c>
      <c r="B488" s="716" t="s">
        <v>3020</v>
      </c>
      <c r="C488" s="717">
        <v>3.1819999999999998E-4</v>
      </c>
      <c r="D488" s="717">
        <v>2.99E-4</v>
      </c>
      <c r="E488" s="718">
        <v>115455.16</v>
      </c>
      <c r="F488" s="718">
        <v>134189</v>
      </c>
      <c r="G488" s="718">
        <v>675327</v>
      </c>
      <c r="H488" s="718"/>
      <c r="I488" s="719">
        <v>12688</v>
      </c>
      <c r="J488" s="719">
        <v>591802</v>
      </c>
      <c r="K488" s="719">
        <v>46254</v>
      </c>
      <c r="L488" s="718">
        <v>2515.36</v>
      </c>
      <c r="M488" s="718"/>
      <c r="N488" s="719">
        <v>23664</v>
      </c>
      <c r="O488" s="719">
        <v>218431</v>
      </c>
      <c r="P488" s="719">
        <v>0</v>
      </c>
      <c r="Q488" s="718">
        <v>28114</v>
      </c>
      <c r="R488" s="719">
        <f t="shared" si="7"/>
        <v>373371</v>
      </c>
      <c r="S488" s="718"/>
      <c r="T488" s="719">
        <v>180505</v>
      </c>
      <c r="U488" s="721">
        <v>-8530</v>
      </c>
      <c r="V488" s="721">
        <v>171975</v>
      </c>
    </row>
    <row r="489" spans="1:22" x14ac:dyDescent="0.25">
      <c r="A489" s="715">
        <v>95151</v>
      </c>
      <c r="B489" s="716" t="s">
        <v>3021</v>
      </c>
      <c r="C489" s="717">
        <v>1.158E-4</v>
      </c>
      <c r="D489" s="717">
        <v>1.05E-4</v>
      </c>
      <c r="E489" s="718">
        <v>39583.1</v>
      </c>
      <c r="F489" s="718">
        <v>47123.37</v>
      </c>
      <c r="G489" s="718">
        <v>245766</v>
      </c>
      <c r="H489" s="718"/>
      <c r="I489" s="719">
        <v>4618</v>
      </c>
      <c r="J489" s="719">
        <v>215370</v>
      </c>
      <c r="K489" s="719">
        <v>16833</v>
      </c>
      <c r="L489" s="718">
        <v>732.32</v>
      </c>
      <c r="M489" s="718"/>
      <c r="N489" s="719">
        <v>8612</v>
      </c>
      <c r="O489" s="719">
        <v>79492</v>
      </c>
      <c r="P489" s="719">
        <v>0</v>
      </c>
      <c r="Q489" s="718">
        <v>5502</v>
      </c>
      <c r="R489" s="719">
        <f t="shared" si="7"/>
        <v>135878</v>
      </c>
      <c r="S489" s="718"/>
      <c r="T489" s="719">
        <v>65690</v>
      </c>
      <c r="U489" s="721">
        <v>-1532</v>
      </c>
      <c r="V489" s="721">
        <v>64158</v>
      </c>
    </row>
    <row r="490" spans="1:22" x14ac:dyDescent="0.25">
      <c r="A490" s="715">
        <v>95161</v>
      </c>
      <c r="B490" s="716" t="s">
        <v>3022</v>
      </c>
      <c r="C490" s="717">
        <v>7.4800000000000002E-5</v>
      </c>
      <c r="D490" s="717">
        <v>7.0599999999999995E-5</v>
      </c>
      <c r="E490" s="718">
        <v>34992</v>
      </c>
      <c r="F490" s="718">
        <v>31685</v>
      </c>
      <c r="G490" s="718">
        <v>158751</v>
      </c>
      <c r="H490" s="718"/>
      <c r="I490" s="719">
        <v>2982.65</v>
      </c>
      <c r="J490" s="719">
        <v>139116</v>
      </c>
      <c r="K490" s="719">
        <v>10873</v>
      </c>
      <c r="L490" s="718">
        <v>6290</v>
      </c>
      <c r="M490" s="718"/>
      <c r="N490" s="719">
        <v>5563</v>
      </c>
      <c r="O490" s="719">
        <v>51347</v>
      </c>
      <c r="P490" s="719">
        <v>0</v>
      </c>
      <c r="Q490" s="718">
        <v>2096</v>
      </c>
      <c r="R490" s="719">
        <f t="shared" si="7"/>
        <v>87769</v>
      </c>
      <c r="S490" s="718"/>
      <c r="T490" s="719">
        <v>42432</v>
      </c>
      <c r="U490" s="721">
        <v>1046</v>
      </c>
      <c r="V490" s="721">
        <v>43477</v>
      </c>
    </row>
    <row r="491" spans="1:22" x14ac:dyDescent="0.25">
      <c r="A491" s="715">
        <v>95171</v>
      </c>
      <c r="B491" s="716" t="s">
        <v>3023</v>
      </c>
      <c r="C491" s="717">
        <v>1.2300000000000001E-4</v>
      </c>
      <c r="D491" s="717">
        <v>1.2740000000000001E-4</v>
      </c>
      <c r="E491" s="718">
        <v>48393.279999999999</v>
      </c>
      <c r="F491" s="718">
        <v>57176</v>
      </c>
      <c r="G491" s="718">
        <v>261047</v>
      </c>
      <c r="H491" s="718"/>
      <c r="I491" s="719">
        <v>4904.625</v>
      </c>
      <c r="J491" s="719">
        <v>228761</v>
      </c>
      <c r="K491" s="719">
        <v>17879</v>
      </c>
      <c r="L491" s="718">
        <v>10389</v>
      </c>
      <c r="M491" s="718"/>
      <c r="N491" s="719">
        <v>9147</v>
      </c>
      <c r="O491" s="719">
        <v>84434</v>
      </c>
      <c r="P491" s="719">
        <v>0</v>
      </c>
      <c r="Q491" s="718">
        <v>12793</v>
      </c>
      <c r="R491" s="719">
        <f t="shared" si="7"/>
        <v>144327</v>
      </c>
      <c r="S491" s="718"/>
      <c r="T491" s="719">
        <v>69774</v>
      </c>
      <c r="U491" s="721">
        <v>-1741</v>
      </c>
      <c r="V491" s="721">
        <v>68033</v>
      </c>
    </row>
    <row r="492" spans="1:22" x14ac:dyDescent="0.25">
      <c r="A492" s="715">
        <v>95181</v>
      </c>
      <c r="B492" s="716" t="s">
        <v>3024</v>
      </c>
      <c r="C492" s="717">
        <v>7.7899999999999996E-5</v>
      </c>
      <c r="D492" s="717">
        <v>8.0400000000000003E-5</v>
      </c>
      <c r="E492" s="718">
        <v>26255</v>
      </c>
      <c r="F492" s="718">
        <v>36083</v>
      </c>
      <c r="G492" s="718">
        <v>165330</v>
      </c>
      <c r="H492" s="718"/>
      <c r="I492" s="719">
        <v>3106</v>
      </c>
      <c r="J492" s="719">
        <v>144882</v>
      </c>
      <c r="K492" s="719">
        <v>11324</v>
      </c>
      <c r="L492" s="718">
        <v>1657</v>
      </c>
      <c r="M492" s="718"/>
      <c r="N492" s="719">
        <v>5793</v>
      </c>
      <c r="O492" s="719">
        <v>53475</v>
      </c>
      <c r="P492" s="719">
        <v>0</v>
      </c>
      <c r="Q492" s="718">
        <v>6539</v>
      </c>
      <c r="R492" s="719">
        <f t="shared" si="7"/>
        <v>91407</v>
      </c>
      <c r="S492" s="718"/>
      <c r="T492" s="719">
        <v>44190</v>
      </c>
      <c r="U492" s="721">
        <v>-1251</v>
      </c>
      <c r="V492" s="721">
        <v>42939</v>
      </c>
    </row>
    <row r="493" spans="1:22" x14ac:dyDescent="0.25">
      <c r="A493" s="715">
        <v>95191</v>
      </c>
      <c r="B493" s="716" t="s">
        <v>3025</v>
      </c>
      <c r="C493" s="717">
        <v>5.3999999999999998E-5</v>
      </c>
      <c r="D493" s="717">
        <v>7.9099999999999998E-5</v>
      </c>
      <c r="E493" s="718">
        <v>30331.53</v>
      </c>
      <c r="F493" s="718">
        <v>35500</v>
      </c>
      <c r="G493" s="718">
        <v>114606.09</v>
      </c>
      <c r="H493" s="718"/>
      <c r="I493" s="719">
        <v>2153.25</v>
      </c>
      <c r="J493" s="719">
        <v>100431</v>
      </c>
      <c r="K493" s="719">
        <v>7849</v>
      </c>
      <c r="L493" s="718">
        <v>12291</v>
      </c>
      <c r="M493" s="718"/>
      <c r="N493" s="719">
        <v>4016</v>
      </c>
      <c r="O493" s="719">
        <v>37069</v>
      </c>
      <c r="P493" s="719">
        <v>0</v>
      </c>
      <c r="Q493" s="718">
        <v>7144</v>
      </c>
      <c r="R493" s="719">
        <f t="shared" si="7"/>
        <v>63362</v>
      </c>
      <c r="S493" s="718"/>
      <c r="T493" s="719">
        <v>30633</v>
      </c>
      <c r="U493" s="721">
        <v>3134</v>
      </c>
      <c r="V493" s="721">
        <v>33767</v>
      </c>
    </row>
    <row r="494" spans="1:22" x14ac:dyDescent="0.25">
      <c r="A494" s="715">
        <v>95201</v>
      </c>
      <c r="B494" s="716" t="s">
        <v>3026</v>
      </c>
      <c r="C494" s="717">
        <v>6.8329999999999997E-4</v>
      </c>
      <c r="D494" s="717">
        <v>6.3000000000000003E-4</v>
      </c>
      <c r="E494" s="718">
        <v>255294</v>
      </c>
      <c r="F494" s="718">
        <v>282740</v>
      </c>
      <c r="G494" s="718">
        <v>1450192</v>
      </c>
      <c r="H494" s="718"/>
      <c r="I494" s="719">
        <v>27247</v>
      </c>
      <c r="J494" s="719">
        <v>1270830</v>
      </c>
      <c r="K494" s="719">
        <v>99325</v>
      </c>
      <c r="L494" s="718">
        <v>8455</v>
      </c>
      <c r="M494" s="718"/>
      <c r="N494" s="719">
        <v>50816</v>
      </c>
      <c r="O494" s="719">
        <v>469057</v>
      </c>
      <c r="P494" s="719">
        <v>0</v>
      </c>
      <c r="Q494" s="718">
        <v>33064</v>
      </c>
      <c r="R494" s="719">
        <f t="shared" si="7"/>
        <v>801773</v>
      </c>
      <c r="S494" s="718"/>
      <c r="T494" s="719">
        <v>387615</v>
      </c>
      <c r="U494" s="721">
        <v>-9716</v>
      </c>
      <c r="V494" s="721">
        <v>377899</v>
      </c>
    </row>
    <row r="495" spans="1:22" x14ac:dyDescent="0.25">
      <c r="A495" s="715">
        <v>95204</v>
      </c>
      <c r="B495" s="716" t="s">
        <v>3027</v>
      </c>
      <c r="C495" s="717">
        <v>1.1600000000000001E-5</v>
      </c>
      <c r="D495" s="717">
        <v>1.49E-5</v>
      </c>
      <c r="E495" s="718">
        <v>6020</v>
      </c>
      <c r="F495" s="718">
        <v>6687</v>
      </c>
      <c r="G495" s="718">
        <v>24619</v>
      </c>
      <c r="H495" s="718"/>
      <c r="I495" s="719">
        <v>462.55</v>
      </c>
      <c r="J495" s="719">
        <v>21574</v>
      </c>
      <c r="K495" s="719">
        <v>1686</v>
      </c>
      <c r="L495" s="718">
        <v>0</v>
      </c>
      <c r="M495" s="718"/>
      <c r="N495" s="719">
        <v>863</v>
      </c>
      <c r="O495" s="719">
        <v>7963</v>
      </c>
      <c r="P495" s="719">
        <v>0</v>
      </c>
      <c r="Q495" s="718">
        <v>1794</v>
      </c>
      <c r="R495" s="719">
        <f t="shared" si="7"/>
        <v>13611</v>
      </c>
      <c r="S495" s="718"/>
      <c r="T495" s="719">
        <v>6580</v>
      </c>
      <c r="U495" s="721">
        <v>-651</v>
      </c>
      <c r="V495" s="721">
        <v>5930</v>
      </c>
    </row>
    <row r="496" spans="1:22" x14ac:dyDescent="0.25">
      <c r="A496" s="715">
        <v>95205</v>
      </c>
      <c r="B496" s="716" t="s">
        <v>3028</v>
      </c>
      <c r="C496" s="717">
        <v>4.7999999999999998E-6</v>
      </c>
      <c r="D496" s="717">
        <v>5.0000000000000004E-6</v>
      </c>
      <c r="E496" s="718">
        <v>2441</v>
      </c>
      <c r="F496" s="718">
        <v>2244</v>
      </c>
      <c r="G496" s="718">
        <v>10187</v>
      </c>
      <c r="H496" s="718"/>
      <c r="I496" s="719">
        <v>191</v>
      </c>
      <c r="J496" s="719">
        <v>8927</v>
      </c>
      <c r="K496" s="719">
        <v>698</v>
      </c>
      <c r="L496" s="718">
        <v>779</v>
      </c>
      <c r="M496" s="718"/>
      <c r="N496" s="719">
        <v>357</v>
      </c>
      <c r="O496" s="719">
        <v>3295</v>
      </c>
      <c r="P496" s="719">
        <v>0</v>
      </c>
      <c r="Q496" s="718">
        <v>0</v>
      </c>
      <c r="R496" s="719">
        <f t="shared" si="7"/>
        <v>5632</v>
      </c>
      <c r="S496" s="718"/>
      <c r="T496" s="719">
        <v>2723</v>
      </c>
      <c r="U496" s="721">
        <v>284</v>
      </c>
      <c r="V496" s="721">
        <v>3007</v>
      </c>
    </row>
    <row r="497" spans="1:22" x14ac:dyDescent="0.25">
      <c r="A497" s="715">
        <v>95211</v>
      </c>
      <c r="B497" s="716" t="s">
        <v>3029</v>
      </c>
      <c r="C497" s="717">
        <v>9.2E-6</v>
      </c>
      <c r="D497" s="717">
        <v>5.9000000000000003E-6</v>
      </c>
      <c r="E497" s="718">
        <v>4005</v>
      </c>
      <c r="F497" s="718">
        <v>2648</v>
      </c>
      <c r="G497" s="718">
        <v>19525</v>
      </c>
      <c r="H497" s="718"/>
      <c r="I497" s="719">
        <v>366.85</v>
      </c>
      <c r="J497" s="719">
        <v>17111</v>
      </c>
      <c r="K497" s="719">
        <v>1337</v>
      </c>
      <c r="L497" s="718">
        <v>1964</v>
      </c>
      <c r="M497" s="718"/>
      <c r="N497" s="719">
        <v>684</v>
      </c>
      <c r="O497" s="719">
        <v>6315</v>
      </c>
      <c r="P497" s="719">
        <v>0</v>
      </c>
      <c r="Q497" s="718">
        <v>1957</v>
      </c>
      <c r="R497" s="719">
        <f t="shared" si="7"/>
        <v>10796</v>
      </c>
      <c r="S497" s="718"/>
      <c r="T497" s="719">
        <v>5219</v>
      </c>
      <c r="U497" s="721">
        <v>-462</v>
      </c>
      <c r="V497" s="721">
        <v>4757</v>
      </c>
    </row>
    <row r="498" spans="1:22" x14ac:dyDescent="0.25">
      <c r="A498" s="715">
        <v>95221</v>
      </c>
      <c r="B498" s="716" t="s">
        <v>3030</v>
      </c>
      <c r="C498" s="717">
        <v>1.6900000000000001E-5</v>
      </c>
      <c r="D498" s="717">
        <v>4.5099999999999998E-5</v>
      </c>
      <c r="E498" s="718">
        <v>14058.05</v>
      </c>
      <c r="F498" s="718">
        <v>20241</v>
      </c>
      <c r="G498" s="718">
        <v>35867</v>
      </c>
      <c r="H498" s="718"/>
      <c r="I498" s="719">
        <v>673.88750000000005</v>
      </c>
      <c r="J498" s="719">
        <v>31431</v>
      </c>
      <c r="K498" s="719">
        <v>2457</v>
      </c>
      <c r="L498" s="718">
        <v>5443</v>
      </c>
      <c r="M498" s="718"/>
      <c r="N498" s="719">
        <v>1257</v>
      </c>
      <c r="O498" s="719">
        <v>11601</v>
      </c>
      <c r="P498" s="719">
        <v>0</v>
      </c>
      <c r="Q498" s="718">
        <v>16082</v>
      </c>
      <c r="R498" s="719">
        <f t="shared" si="7"/>
        <v>19830</v>
      </c>
      <c r="S498" s="718"/>
      <c r="T498" s="719">
        <v>9587</v>
      </c>
      <c r="U498" s="721">
        <v>-2048</v>
      </c>
      <c r="V498" s="721">
        <v>7539</v>
      </c>
    </row>
    <row r="499" spans="1:22" x14ac:dyDescent="0.25">
      <c r="A499" s="715">
        <v>95301</v>
      </c>
      <c r="B499" s="716" t="s">
        <v>3031</v>
      </c>
      <c r="C499" s="717">
        <v>2.4063999999999999E-3</v>
      </c>
      <c r="D499" s="717">
        <v>2.3544E-3</v>
      </c>
      <c r="E499" s="718">
        <v>972446</v>
      </c>
      <c r="F499" s="718">
        <v>1056641</v>
      </c>
      <c r="G499" s="718">
        <v>5107187</v>
      </c>
      <c r="H499" s="718"/>
      <c r="I499" s="719">
        <v>95955.199999999997</v>
      </c>
      <c r="J499" s="719">
        <v>4475524</v>
      </c>
      <c r="K499" s="719">
        <v>349797</v>
      </c>
      <c r="L499" s="718">
        <v>72796</v>
      </c>
      <c r="M499" s="718"/>
      <c r="N499" s="719">
        <v>178962</v>
      </c>
      <c r="O499" s="719">
        <v>1651893</v>
      </c>
      <c r="P499" s="719">
        <v>0</v>
      </c>
      <c r="Q499" s="718">
        <v>22569</v>
      </c>
      <c r="R499" s="719">
        <f t="shared" si="7"/>
        <v>2823631</v>
      </c>
      <c r="S499" s="718"/>
      <c r="T499" s="719">
        <v>1365076</v>
      </c>
      <c r="U499" s="721">
        <v>13085</v>
      </c>
      <c r="V499" s="721">
        <v>1378161</v>
      </c>
    </row>
    <row r="500" spans="1:22" x14ac:dyDescent="0.25">
      <c r="A500" s="715">
        <v>95311</v>
      </c>
      <c r="B500" s="716" t="s">
        <v>3032</v>
      </c>
      <c r="C500" s="717">
        <v>2.6841999999999999E-3</v>
      </c>
      <c r="D500" s="717">
        <v>2.9946E-3</v>
      </c>
      <c r="E500" s="718">
        <v>1161820.17</v>
      </c>
      <c r="F500" s="718">
        <v>1343959</v>
      </c>
      <c r="G500" s="718">
        <v>5696772</v>
      </c>
      <c r="H500" s="718"/>
      <c r="I500" s="719">
        <v>107032</v>
      </c>
      <c r="J500" s="719">
        <v>4992188</v>
      </c>
      <c r="K500" s="719">
        <v>390178</v>
      </c>
      <c r="L500" s="718">
        <v>8404</v>
      </c>
      <c r="M500" s="718"/>
      <c r="N500" s="719">
        <v>199621</v>
      </c>
      <c r="O500" s="719">
        <v>1842591</v>
      </c>
      <c r="P500" s="719">
        <v>0</v>
      </c>
      <c r="Q500" s="718">
        <v>175770</v>
      </c>
      <c r="R500" s="719">
        <f t="shared" si="7"/>
        <v>3149597</v>
      </c>
      <c r="S500" s="718"/>
      <c r="T500" s="719">
        <v>1522663</v>
      </c>
      <c r="U500" s="721">
        <v>-55618</v>
      </c>
      <c r="V500" s="721">
        <v>1467045</v>
      </c>
    </row>
    <row r="501" spans="1:22" x14ac:dyDescent="0.25">
      <c r="A501" s="715">
        <v>95317</v>
      </c>
      <c r="B501" s="716" t="s">
        <v>3033</v>
      </c>
      <c r="C501" s="717">
        <v>5.1400000000000003E-5</v>
      </c>
      <c r="D501" s="717">
        <v>5.3900000000000002E-5</v>
      </c>
      <c r="E501" s="718">
        <v>25005</v>
      </c>
      <c r="F501" s="718">
        <v>24190</v>
      </c>
      <c r="G501" s="718">
        <v>109088</v>
      </c>
      <c r="H501" s="718"/>
      <c r="I501" s="719">
        <v>2050</v>
      </c>
      <c r="J501" s="719">
        <v>95596</v>
      </c>
      <c r="K501" s="719">
        <v>7472</v>
      </c>
      <c r="L501" s="718">
        <v>5874</v>
      </c>
      <c r="M501" s="718"/>
      <c r="N501" s="719">
        <v>3823</v>
      </c>
      <c r="O501" s="719">
        <v>35284</v>
      </c>
      <c r="P501" s="719">
        <v>0</v>
      </c>
      <c r="Q501" s="718">
        <v>75.62</v>
      </c>
      <c r="R501" s="719">
        <f t="shared" si="7"/>
        <v>60312</v>
      </c>
      <c r="S501" s="718"/>
      <c r="T501" s="719">
        <v>29158</v>
      </c>
      <c r="U501" s="721">
        <v>1881</v>
      </c>
      <c r="V501" s="721">
        <v>31039</v>
      </c>
    </row>
    <row r="502" spans="1:22" x14ac:dyDescent="0.25">
      <c r="A502" s="715">
        <v>95321</v>
      </c>
      <c r="B502" s="716" t="s">
        <v>3034</v>
      </c>
      <c r="C502" s="717">
        <v>5.7000000000000003E-5</v>
      </c>
      <c r="D502" s="717">
        <v>5.6499999999999998E-5</v>
      </c>
      <c r="E502" s="718">
        <v>24286.95</v>
      </c>
      <c r="F502" s="718">
        <v>25357</v>
      </c>
      <c r="G502" s="718">
        <v>120973</v>
      </c>
      <c r="H502" s="718"/>
      <c r="I502" s="719">
        <v>2272.875</v>
      </c>
      <c r="J502" s="719">
        <v>106011</v>
      </c>
      <c r="K502" s="719">
        <v>8286</v>
      </c>
      <c r="L502" s="718">
        <v>4716</v>
      </c>
      <c r="M502" s="718"/>
      <c r="N502" s="719">
        <v>4239</v>
      </c>
      <c r="O502" s="719">
        <v>39128</v>
      </c>
      <c r="P502" s="719">
        <v>0</v>
      </c>
      <c r="Q502" s="718">
        <v>0</v>
      </c>
      <c r="R502" s="719">
        <f t="shared" si="7"/>
        <v>66883</v>
      </c>
      <c r="S502" s="718"/>
      <c r="T502" s="719">
        <v>32334</v>
      </c>
      <c r="U502" s="721">
        <v>1628</v>
      </c>
      <c r="V502" s="721">
        <v>33963</v>
      </c>
    </row>
    <row r="503" spans="1:22" x14ac:dyDescent="0.25">
      <c r="A503" s="715">
        <v>95401</v>
      </c>
      <c r="B503" s="716" t="s">
        <v>3035</v>
      </c>
      <c r="C503" s="717">
        <v>2.9979999999999998E-3</v>
      </c>
      <c r="D503" s="717">
        <v>2.8663999999999999E-3</v>
      </c>
      <c r="E503" s="718">
        <v>1170186.01</v>
      </c>
      <c r="F503" s="718">
        <v>1286423</v>
      </c>
      <c r="G503" s="718">
        <v>6362760</v>
      </c>
      <c r="H503" s="718"/>
      <c r="I503" s="719">
        <v>119545</v>
      </c>
      <c r="J503" s="719">
        <v>5575806</v>
      </c>
      <c r="K503" s="719">
        <v>435792</v>
      </c>
      <c r="L503" s="718">
        <v>42759</v>
      </c>
      <c r="M503" s="718"/>
      <c r="N503" s="719">
        <v>222958</v>
      </c>
      <c r="O503" s="719">
        <v>2058001</v>
      </c>
      <c r="P503" s="719">
        <v>0</v>
      </c>
      <c r="Q503" s="718">
        <v>0</v>
      </c>
      <c r="R503" s="719">
        <f t="shared" si="7"/>
        <v>3517805</v>
      </c>
      <c r="S503" s="718"/>
      <c r="T503" s="719">
        <v>1700672</v>
      </c>
      <c r="U503" s="721">
        <v>15064</v>
      </c>
      <c r="V503" s="721">
        <v>1715737</v>
      </c>
    </row>
    <row r="504" spans="1:22" x14ac:dyDescent="0.25">
      <c r="A504" s="715">
        <v>95404</v>
      </c>
      <c r="B504" s="716" t="s">
        <v>3036</v>
      </c>
      <c r="C504" s="717">
        <v>4.9799999999999998E-5</v>
      </c>
      <c r="D504" s="717">
        <v>3.4999999999999997E-5</v>
      </c>
      <c r="E504" s="718">
        <v>17582</v>
      </c>
      <c r="F504" s="718">
        <v>15708</v>
      </c>
      <c r="G504" s="718">
        <v>105692</v>
      </c>
      <c r="H504" s="718"/>
      <c r="I504" s="719">
        <v>1986</v>
      </c>
      <c r="J504" s="719">
        <v>92620</v>
      </c>
      <c r="K504" s="719">
        <v>7239</v>
      </c>
      <c r="L504" s="718">
        <v>6596</v>
      </c>
      <c r="M504" s="718"/>
      <c r="N504" s="719">
        <v>3704</v>
      </c>
      <c r="O504" s="719">
        <v>34186</v>
      </c>
      <c r="P504" s="719">
        <v>0</v>
      </c>
      <c r="Q504" s="718">
        <v>0</v>
      </c>
      <c r="R504" s="719">
        <f t="shared" si="7"/>
        <v>58434</v>
      </c>
      <c r="S504" s="718"/>
      <c r="T504" s="719">
        <v>28250</v>
      </c>
      <c r="U504" s="721">
        <v>1847</v>
      </c>
      <c r="V504" s="721">
        <v>30097</v>
      </c>
    </row>
    <row r="505" spans="1:22" x14ac:dyDescent="0.25">
      <c r="A505" s="715">
        <v>95405</v>
      </c>
      <c r="B505" s="716" t="s">
        <v>3037</v>
      </c>
      <c r="C505" s="717">
        <v>1.84E-5</v>
      </c>
      <c r="D505" s="717">
        <v>1.7E-5</v>
      </c>
      <c r="E505" s="718">
        <v>15271</v>
      </c>
      <c r="F505" s="718">
        <v>7629</v>
      </c>
      <c r="G505" s="718">
        <v>39051</v>
      </c>
      <c r="H505" s="718"/>
      <c r="I505" s="719">
        <v>733.7</v>
      </c>
      <c r="J505" s="719">
        <v>34221</v>
      </c>
      <c r="K505" s="719">
        <v>2675</v>
      </c>
      <c r="L505" s="718">
        <v>12414</v>
      </c>
      <c r="M505" s="718"/>
      <c r="N505" s="719">
        <v>1368</v>
      </c>
      <c r="O505" s="719">
        <v>12631</v>
      </c>
      <c r="P505" s="719">
        <v>0</v>
      </c>
      <c r="Q505" s="718">
        <v>0</v>
      </c>
      <c r="R505" s="719">
        <f t="shared" si="7"/>
        <v>21590</v>
      </c>
      <c r="S505" s="718"/>
      <c r="T505" s="719">
        <v>10438</v>
      </c>
      <c r="U505" s="721">
        <v>3754</v>
      </c>
      <c r="V505" s="721">
        <v>14192</v>
      </c>
    </row>
    <row r="506" spans="1:22" x14ac:dyDescent="0.25">
      <c r="A506" s="715">
        <v>95411</v>
      </c>
      <c r="B506" s="716" t="s">
        <v>3038</v>
      </c>
      <c r="C506" s="717">
        <v>2.3272000000000002E-3</v>
      </c>
      <c r="D506" s="717">
        <v>2.3019E-3</v>
      </c>
      <c r="E506" s="718">
        <v>960134</v>
      </c>
      <c r="F506" s="718">
        <v>1033079</v>
      </c>
      <c r="G506" s="718">
        <v>4939098</v>
      </c>
      <c r="H506" s="718"/>
      <c r="I506" s="719">
        <v>92797.1</v>
      </c>
      <c r="J506" s="719">
        <v>4328224</v>
      </c>
      <c r="K506" s="719">
        <v>338284</v>
      </c>
      <c r="L506" s="718">
        <v>19324</v>
      </c>
      <c r="M506" s="718"/>
      <c r="N506" s="719">
        <v>173072</v>
      </c>
      <c r="O506" s="719">
        <v>1597525</v>
      </c>
      <c r="P506" s="719">
        <v>0</v>
      </c>
      <c r="Q506" s="718">
        <v>37438</v>
      </c>
      <c r="R506" s="719">
        <f t="shared" si="7"/>
        <v>2730699</v>
      </c>
      <c r="S506" s="718"/>
      <c r="T506" s="719">
        <v>1320148</v>
      </c>
      <c r="U506" s="721">
        <v>-13504</v>
      </c>
      <c r="V506" s="721">
        <v>1306644</v>
      </c>
    </row>
    <row r="507" spans="1:22" x14ac:dyDescent="0.25">
      <c r="A507" s="715">
        <v>95412</v>
      </c>
      <c r="B507" s="716" t="s">
        <v>3039</v>
      </c>
      <c r="C507" s="717">
        <v>0</v>
      </c>
      <c r="D507" s="717">
        <v>0</v>
      </c>
      <c r="E507" s="718">
        <v>0</v>
      </c>
      <c r="F507" s="718">
        <v>0</v>
      </c>
      <c r="G507" s="718">
        <v>0</v>
      </c>
      <c r="H507" s="718"/>
      <c r="I507" s="719">
        <v>0</v>
      </c>
      <c r="J507" s="719">
        <v>0</v>
      </c>
      <c r="K507" s="719">
        <v>0</v>
      </c>
      <c r="L507" s="718">
        <v>0</v>
      </c>
      <c r="M507" s="718"/>
      <c r="N507" s="719">
        <v>0</v>
      </c>
      <c r="O507" s="719">
        <v>0</v>
      </c>
      <c r="P507" s="719">
        <v>0</v>
      </c>
      <c r="Q507" s="718">
        <v>46349</v>
      </c>
      <c r="R507" s="719">
        <f t="shared" si="7"/>
        <v>0</v>
      </c>
      <c r="S507" s="718"/>
      <c r="T507" s="719">
        <v>0</v>
      </c>
      <c r="U507" s="721">
        <v>-18518</v>
      </c>
      <c r="V507" s="721">
        <v>-18518</v>
      </c>
    </row>
    <row r="508" spans="1:22" x14ac:dyDescent="0.25">
      <c r="A508" s="715">
        <v>95413</v>
      </c>
      <c r="B508" s="716" t="s">
        <v>3040</v>
      </c>
      <c r="C508" s="717">
        <v>2.945E-4</v>
      </c>
      <c r="D508" s="717">
        <v>2.9579999999999998E-4</v>
      </c>
      <c r="E508" s="718">
        <v>262975</v>
      </c>
      <c r="F508" s="718">
        <v>132753</v>
      </c>
      <c r="G508" s="718">
        <v>625028</v>
      </c>
      <c r="H508" s="718"/>
      <c r="I508" s="719">
        <v>11743.1875</v>
      </c>
      <c r="J508" s="719">
        <v>547723</v>
      </c>
      <c r="K508" s="719">
        <v>42809</v>
      </c>
      <c r="L508" s="718">
        <v>198118</v>
      </c>
      <c r="M508" s="718"/>
      <c r="N508" s="719">
        <v>21902</v>
      </c>
      <c r="O508" s="719">
        <v>202162</v>
      </c>
      <c r="P508" s="719">
        <v>0</v>
      </c>
      <c r="Q508" s="718">
        <v>18897.04</v>
      </c>
      <c r="R508" s="719">
        <f t="shared" si="7"/>
        <v>345561</v>
      </c>
      <c r="S508" s="718"/>
      <c r="T508" s="719">
        <v>167061</v>
      </c>
      <c r="U508" s="721">
        <v>50061</v>
      </c>
      <c r="V508" s="721">
        <v>217122</v>
      </c>
    </row>
    <row r="509" spans="1:22" x14ac:dyDescent="0.25">
      <c r="A509" s="715">
        <v>95415</v>
      </c>
      <c r="B509" s="716" t="s">
        <v>3041</v>
      </c>
      <c r="C509" s="717">
        <v>7.9499999999999994E-5</v>
      </c>
      <c r="D509" s="717">
        <v>7.6600000000000005E-5</v>
      </c>
      <c r="E509" s="718">
        <v>28617</v>
      </c>
      <c r="F509" s="718">
        <v>34378</v>
      </c>
      <c r="G509" s="718">
        <v>168726</v>
      </c>
      <c r="H509" s="718"/>
      <c r="I509" s="719">
        <v>3170.0625</v>
      </c>
      <c r="J509" s="719">
        <v>147857</v>
      </c>
      <c r="K509" s="719">
        <v>11556</v>
      </c>
      <c r="L509" s="718">
        <v>10656.45</v>
      </c>
      <c r="M509" s="718"/>
      <c r="N509" s="719">
        <v>5912</v>
      </c>
      <c r="O509" s="719">
        <v>54573</v>
      </c>
      <c r="P509" s="719">
        <v>0</v>
      </c>
      <c r="Q509" s="718">
        <v>7763</v>
      </c>
      <c r="R509" s="719">
        <f t="shared" si="7"/>
        <v>93284</v>
      </c>
      <c r="S509" s="718"/>
      <c r="T509" s="719">
        <v>45098</v>
      </c>
      <c r="U509" s="721">
        <v>2762</v>
      </c>
      <c r="V509" s="721">
        <v>47859</v>
      </c>
    </row>
    <row r="510" spans="1:22" x14ac:dyDescent="0.25">
      <c r="A510" s="715">
        <v>95421</v>
      </c>
      <c r="B510" s="716" t="s">
        <v>3042</v>
      </c>
      <c r="C510" s="717">
        <v>3.9100000000000002E-5</v>
      </c>
      <c r="D510" s="717">
        <v>5.1E-5</v>
      </c>
      <c r="E510" s="718">
        <v>15644</v>
      </c>
      <c r="F510" s="718">
        <v>22888</v>
      </c>
      <c r="G510" s="718">
        <v>82983</v>
      </c>
      <c r="H510" s="718"/>
      <c r="I510" s="719">
        <v>1559</v>
      </c>
      <c r="J510" s="719">
        <v>72720</v>
      </c>
      <c r="K510" s="719">
        <v>5684</v>
      </c>
      <c r="L510" s="718">
        <v>0</v>
      </c>
      <c r="M510" s="718"/>
      <c r="N510" s="719">
        <v>2908</v>
      </c>
      <c r="O510" s="719">
        <v>26841</v>
      </c>
      <c r="P510" s="719">
        <v>0</v>
      </c>
      <c r="Q510" s="718">
        <v>14322</v>
      </c>
      <c r="R510" s="719">
        <f t="shared" si="7"/>
        <v>45879</v>
      </c>
      <c r="S510" s="718"/>
      <c r="T510" s="719">
        <v>22180</v>
      </c>
      <c r="U510" s="721">
        <v>-4969</v>
      </c>
      <c r="V510" s="721">
        <v>17211</v>
      </c>
    </row>
    <row r="511" spans="1:22" x14ac:dyDescent="0.25">
      <c r="A511" s="715">
        <v>95431</v>
      </c>
      <c r="B511" s="716" t="s">
        <v>3043</v>
      </c>
      <c r="C511" s="717">
        <v>1.8009999999999999E-4</v>
      </c>
      <c r="D511" s="717">
        <v>1.7249999999999999E-4</v>
      </c>
      <c r="E511" s="718">
        <v>59568.97</v>
      </c>
      <c r="F511" s="718">
        <v>77417</v>
      </c>
      <c r="G511" s="718">
        <v>382233</v>
      </c>
      <c r="H511" s="718"/>
      <c r="I511" s="719">
        <v>7181</v>
      </c>
      <c r="J511" s="719">
        <v>334958</v>
      </c>
      <c r="K511" s="719">
        <v>26180</v>
      </c>
      <c r="L511" s="718">
        <v>450</v>
      </c>
      <c r="M511" s="718"/>
      <c r="N511" s="719">
        <v>13394</v>
      </c>
      <c r="O511" s="719">
        <v>123631</v>
      </c>
      <c r="P511" s="719">
        <v>0</v>
      </c>
      <c r="Q511" s="718">
        <v>13081</v>
      </c>
      <c r="R511" s="719">
        <f t="shared" si="7"/>
        <v>211327</v>
      </c>
      <c r="S511" s="718"/>
      <c r="T511" s="719">
        <v>102165</v>
      </c>
      <c r="U511" s="721">
        <v>-3706</v>
      </c>
      <c r="V511" s="721">
        <v>98459</v>
      </c>
    </row>
    <row r="512" spans="1:22" x14ac:dyDescent="0.25">
      <c r="A512" s="715">
        <v>95501</v>
      </c>
      <c r="B512" s="716" t="s">
        <v>3044</v>
      </c>
      <c r="C512" s="717">
        <v>4.7917999999999997E-3</v>
      </c>
      <c r="D512" s="717">
        <v>4.8338000000000001E-3</v>
      </c>
      <c r="E512" s="718">
        <v>1890954</v>
      </c>
      <c r="F512" s="718">
        <v>2169380</v>
      </c>
      <c r="G512" s="718">
        <v>10169805</v>
      </c>
      <c r="H512" s="718"/>
      <c r="I512" s="719">
        <v>191073</v>
      </c>
      <c r="J512" s="719">
        <v>8911991</v>
      </c>
      <c r="K512" s="719">
        <v>696541</v>
      </c>
      <c r="L512" s="718">
        <v>63710</v>
      </c>
      <c r="M512" s="718"/>
      <c r="N512" s="719">
        <v>356361</v>
      </c>
      <c r="O512" s="719">
        <v>3289369</v>
      </c>
      <c r="P512" s="719">
        <v>0</v>
      </c>
      <c r="Q512" s="718">
        <v>102347</v>
      </c>
      <c r="R512" s="719">
        <f t="shared" si="7"/>
        <v>5622622</v>
      </c>
      <c r="S512" s="718"/>
      <c r="T512" s="719">
        <v>2718240</v>
      </c>
      <c r="U512" s="721">
        <v>3939</v>
      </c>
      <c r="V512" s="721">
        <v>2722178</v>
      </c>
    </row>
    <row r="513" spans="1:22" x14ac:dyDescent="0.25">
      <c r="A513" s="715">
        <v>95504</v>
      </c>
      <c r="B513" s="716" t="s">
        <v>3045</v>
      </c>
      <c r="C513" s="717">
        <v>8.8999999999999995E-6</v>
      </c>
      <c r="D513" s="717">
        <v>1.2099999999999999E-5</v>
      </c>
      <c r="E513" s="718">
        <v>7171.2</v>
      </c>
      <c r="F513" s="718">
        <v>5430</v>
      </c>
      <c r="G513" s="718">
        <v>18889</v>
      </c>
      <c r="H513" s="718"/>
      <c r="I513" s="719">
        <v>354.88749999999999</v>
      </c>
      <c r="J513" s="719">
        <v>16553</v>
      </c>
      <c r="K513" s="719">
        <v>1294</v>
      </c>
      <c r="L513" s="718">
        <v>5463</v>
      </c>
      <c r="M513" s="718"/>
      <c r="N513" s="719">
        <v>662</v>
      </c>
      <c r="O513" s="719">
        <v>6109</v>
      </c>
      <c r="P513" s="719">
        <v>0</v>
      </c>
      <c r="Q513" s="718">
        <v>0</v>
      </c>
      <c r="R513" s="719">
        <f t="shared" si="7"/>
        <v>10444</v>
      </c>
      <c r="S513" s="718"/>
      <c r="T513" s="719">
        <v>5049</v>
      </c>
      <c r="U513" s="721">
        <v>1872</v>
      </c>
      <c r="V513" s="721">
        <v>6921</v>
      </c>
    </row>
    <row r="514" spans="1:22" x14ac:dyDescent="0.25">
      <c r="A514" s="715">
        <v>95511</v>
      </c>
      <c r="B514" s="716" t="s">
        <v>3046</v>
      </c>
      <c r="C514" s="717">
        <v>9.6049999999999998E-4</v>
      </c>
      <c r="D514" s="717">
        <v>1.0989000000000001E-3</v>
      </c>
      <c r="E514" s="718">
        <v>413682.63</v>
      </c>
      <c r="F514" s="718">
        <v>493180</v>
      </c>
      <c r="G514" s="718">
        <v>2038503</v>
      </c>
      <c r="H514" s="718"/>
      <c r="I514" s="719">
        <v>38300</v>
      </c>
      <c r="J514" s="719">
        <v>1786378</v>
      </c>
      <c r="K514" s="719">
        <v>139619</v>
      </c>
      <c r="L514" s="718">
        <v>10807.69</v>
      </c>
      <c r="M514" s="718"/>
      <c r="N514" s="719">
        <v>71431</v>
      </c>
      <c r="O514" s="719">
        <v>659343</v>
      </c>
      <c r="P514" s="719">
        <v>0</v>
      </c>
      <c r="Q514" s="718">
        <v>71910</v>
      </c>
      <c r="R514" s="719">
        <f t="shared" si="7"/>
        <v>1127035</v>
      </c>
      <c r="S514" s="718"/>
      <c r="T514" s="719">
        <v>544862</v>
      </c>
      <c r="U514" s="721">
        <v>-14323</v>
      </c>
      <c r="V514" s="721">
        <v>530538</v>
      </c>
    </row>
    <row r="515" spans="1:22" x14ac:dyDescent="0.25">
      <c r="A515" s="715">
        <v>95513</v>
      </c>
      <c r="B515" s="716" t="s">
        <v>3047</v>
      </c>
      <c r="C515" s="717">
        <v>4.5500000000000001E-5</v>
      </c>
      <c r="D515" s="717">
        <v>4.4499999999999997E-5</v>
      </c>
      <c r="E515" s="718">
        <v>28270</v>
      </c>
      <c r="F515" s="718">
        <v>19971</v>
      </c>
      <c r="G515" s="718">
        <v>96566</v>
      </c>
      <c r="H515" s="718"/>
      <c r="I515" s="719">
        <v>1814.3125</v>
      </c>
      <c r="J515" s="719">
        <v>84623</v>
      </c>
      <c r="K515" s="719">
        <v>6614</v>
      </c>
      <c r="L515" s="718">
        <v>19516</v>
      </c>
      <c r="M515" s="718"/>
      <c r="N515" s="719">
        <v>3384</v>
      </c>
      <c r="O515" s="719">
        <v>31234</v>
      </c>
      <c r="P515" s="719">
        <v>0</v>
      </c>
      <c r="Q515" s="718">
        <v>0</v>
      </c>
      <c r="R515" s="719">
        <f t="shared" si="7"/>
        <v>53389</v>
      </c>
      <c r="S515" s="718"/>
      <c r="T515" s="719">
        <v>25811</v>
      </c>
      <c r="U515" s="721">
        <v>6831</v>
      </c>
      <c r="V515" s="721">
        <v>32642</v>
      </c>
    </row>
    <row r="516" spans="1:22" x14ac:dyDescent="0.25">
      <c r="A516" s="715">
        <v>95517</v>
      </c>
      <c r="B516" s="716" t="s">
        <v>3048</v>
      </c>
      <c r="C516" s="717">
        <v>1.66E-5</v>
      </c>
      <c r="D516" s="717">
        <v>1.1399999999999999E-5</v>
      </c>
      <c r="E516" s="718">
        <v>13168.44</v>
      </c>
      <c r="F516" s="718">
        <v>5116</v>
      </c>
      <c r="G516" s="718">
        <v>35231</v>
      </c>
      <c r="H516" s="718"/>
      <c r="I516" s="719">
        <v>662</v>
      </c>
      <c r="J516" s="719">
        <v>30873</v>
      </c>
      <c r="K516" s="719">
        <v>2413</v>
      </c>
      <c r="L516" s="718">
        <v>13465</v>
      </c>
      <c r="M516" s="718"/>
      <c r="N516" s="719">
        <v>1235</v>
      </c>
      <c r="O516" s="719">
        <v>11395</v>
      </c>
      <c r="P516" s="719">
        <v>0</v>
      </c>
      <c r="Q516" s="718">
        <v>0</v>
      </c>
      <c r="R516" s="719">
        <f t="shared" si="7"/>
        <v>19478</v>
      </c>
      <c r="S516" s="718"/>
      <c r="T516" s="719">
        <v>9417</v>
      </c>
      <c r="U516" s="721">
        <v>4330</v>
      </c>
      <c r="V516" s="721">
        <v>13747</v>
      </c>
    </row>
    <row r="517" spans="1:22" x14ac:dyDescent="0.25">
      <c r="A517" s="715">
        <v>95601</v>
      </c>
      <c r="B517" s="716" t="s">
        <v>3049</v>
      </c>
      <c r="C517" s="717">
        <v>2.6592999999999999E-3</v>
      </c>
      <c r="D517" s="717">
        <v>2.4567999999999999E-3</v>
      </c>
      <c r="E517" s="718">
        <v>1012937</v>
      </c>
      <c r="F517" s="718">
        <v>1102597</v>
      </c>
      <c r="G517" s="718">
        <v>5643925</v>
      </c>
      <c r="H517" s="718"/>
      <c r="I517" s="719">
        <v>106040</v>
      </c>
      <c r="J517" s="719">
        <v>4945878</v>
      </c>
      <c r="K517" s="719">
        <v>386559</v>
      </c>
      <c r="L517" s="718">
        <v>138057</v>
      </c>
      <c r="M517" s="718"/>
      <c r="N517" s="719">
        <v>197769</v>
      </c>
      <c r="O517" s="719">
        <v>1825498</v>
      </c>
      <c r="P517" s="719">
        <v>0</v>
      </c>
      <c r="Q517" s="718">
        <v>0</v>
      </c>
      <c r="R517" s="719">
        <f t="shared" si="7"/>
        <v>3120380</v>
      </c>
      <c r="S517" s="718"/>
      <c r="T517" s="719">
        <v>1508538</v>
      </c>
      <c r="U517" s="721">
        <v>52467</v>
      </c>
      <c r="V517" s="721">
        <v>1561006</v>
      </c>
    </row>
    <row r="518" spans="1:22" x14ac:dyDescent="0.25">
      <c r="A518" s="715">
        <v>95611</v>
      </c>
      <c r="B518" s="716" t="s">
        <v>3050</v>
      </c>
      <c r="C518" s="717">
        <v>3.9540000000000002E-4</v>
      </c>
      <c r="D518" s="717">
        <v>3.9500000000000001E-4</v>
      </c>
      <c r="E518" s="718">
        <v>162221</v>
      </c>
      <c r="F518" s="718">
        <v>177273.63</v>
      </c>
      <c r="G518" s="718">
        <v>839171</v>
      </c>
      <c r="H518" s="718"/>
      <c r="I518" s="719">
        <v>15767</v>
      </c>
      <c r="J518" s="719">
        <v>735382</v>
      </c>
      <c r="K518" s="719">
        <v>57476</v>
      </c>
      <c r="L518" s="718">
        <v>2750</v>
      </c>
      <c r="M518" s="718"/>
      <c r="N518" s="719">
        <v>29406</v>
      </c>
      <c r="O518" s="719">
        <v>271425</v>
      </c>
      <c r="P518" s="719">
        <v>0</v>
      </c>
      <c r="Q518" s="718">
        <v>5641</v>
      </c>
      <c r="R518" s="719">
        <f t="shared" si="7"/>
        <v>463957</v>
      </c>
      <c r="S518" s="718"/>
      <c r="T518" s="719">
        <v>224298</v>
      </c>
      <c r="U518" s="721">
        <v>-610</v>
      </c>
      <c r="V518" s="721">
        <v>223688</v>
      </c>
    </row>
    <row r="519" spans="1:22" x14ac:dyDescent="0.25">
      <c r="A519" s="715">
        <v>95617</v>
      </c>
      <c r="B519" s="716" t="s">
        <v>3051</v>
      </c>
      <c r="C519" s="717">
        <v>1.6500000000000001E-5</v>
      </c>
      <c r="D519" s="717">
        <v>1.63E-5</v>
      </c>
      <c r="E519" s="718">
        <v>7075</v>
      </c>
      <c r="F519" s="718">
        <v>7315</v>
      </c>
      <c r="G519" s="718">
        <v>35019</v>
      </c>
      <c r="H519" s="718"/>
      <c r="I519" s="719">
        <v>657.9375</v>
      </c>
      <c r="J519" s="719">
        <v>30687</v>
      </c>
      <c r="K519" s="719">
        <v>2398</v>
      </c>
      <c r="L519" s="718">
        <v>338</v>
      </c>
      <c r="M519" s="718"/>
      <c r="N519" s="719">
        <v>1227</v>
      </c>
      <c r="O519" s="719">
        <v>11327</v>
      </c>
      <c r="P519" s="719">
        <v>0</v>
      </c>
      <c r="Q519" s="718">
        <v>2141</v>
      </c>
      <c r="R519" s="719">
        <f t="shared" ref="R519:R582" si="8">IF(J519&gt;O519,J519-O519,O519-J519)</f>
        <v>19360</v>
      </c>
      <c r="S519" s="718"/>
      <c r="T519" s="719">
        <v>9360</v>
      </c>
      <c r="U519" s="721">
        <v>-777</v>
      </c>
      <c r="V519" s="721">
        <v>8583</v>
      </c>
    </row>
    <row r="520" spans="1:22" x14ac:dyDescent="0.25">
      <c r="A520" s="715">
        <v>95621</v>
      </c>
      <c r="B520" s="716" t="s">
        <v>3052</v>
      </c>
      <c r="C520" s="717">
        <v>4.8020000000000002E-4</v>
      </c>
      <c r="D520" s="717">
        <v>5.0210000000000001E-4</v>
      </c>
      <c r="E520" s="718">
        <v>211840</v>
      </c>
      <c r="F520" s="718">
        <v>225339</v>
      </c>
      <c r="G520" s="718">
        <v>1019145</v>
      </c>
      <c r="H520" s="718"/>
      <c r="I520" s="719">
        <v>19148</v>
      </c>
      <c r="J520" s="719">
        <v>893096</v>
      </c>
      <c r="K520" s="719">
        <v>69802</v>
      </c>
      <c r="L520" s="718">
        <v>6364.02</v>
      </c>
      <c r="M520" s="718"/>
      <c r="N520" s="719">
        <v>35712</v>
      </c>
      <c r="O520" s="719">
        <v>329637</v>
      </c>
      <c r="P520" s="719">
        <v>0</v>
      </c>
      <c r="Q520" s="718">
        <v>3443</v>
      </c>
      <c r="R520" s="719">
        <f t="shared" si="8"/>
        <v>563459</v>
      </c>
      <c r="S520" s="718"/>
      <c r="T520" s="719">
        <v>272403</v>
      </c>
      <c r="U520" s="721">
        <v>2021</v>
      </c>
      <c r="V520" s="721">
        <v>274423</v>
      </c>
    </row>
    <row r="521" spans="1:22" x14ac:dyDescent="0.25">
      <c r="A521" s="715">
        <v>95701</v>
      </c>
      <c r="B521" s="716" t="s">
        <v>3053</v>
      </c>
      <c r="C521" s="717">
        <v>1.291E-3</v>
      </c>
      <c r="D521" s="717">
        <v>1.2436999999999999E-3</v>
      </c>
      <c r="E521" s="718">
        <v>517495</v>
      </c>
      <c r="F521" s="718">
        <v>558165</v>
      </c>
      <c r="G521" s="718">
        <v>2739934</v>
      </c>
      <c r="H521" s="718"/>
      <c r="I521" s="719">
        <v>51478.625</v>
      </c>
      <c r="J521" s="719">
        <v>2401056</v>
      </c>
      <c r="K521" s="719">
        <v>187661</v>
      </c>
      <c r="L521" s="718">
        <v>51877</v>
      </c>
      <c r="M521" s="718"/>
      <c r="N521" s="719">
        <v>96010</v>
      </c>
      <c r="O521" s="719">
        <v>886217</v>
      </c>
      <c r="P521" s="719">
        <v>0</v>
      </c>
      <c r="Q521" s="718">
        <v>0</v>
      </c>
      <c r="R521" s="719">
        <f t="shared" si="8"/>
        <v>1514839</v>
      </c>
      <c r="S521" s="718"/>
      <c r="T521" s="719">
        <v>732344</v>
      </c>
      <c r="U521" s="721">
        <v>20713</v>
      </c>
      <c r="V521" s="721">
        <v>753057</v>
      </c>
    </row>
    <row r="522" spans="1:22" x14ac:dyDescent="0.25">
      <c r="A522" s="715">
        <v>95711</v>
      </c>
      <c r="B522" s="716" t="s">
        <v>3054</v>
      </c>
      <c r="C522" s="717">
        <v>1.382E-4</v>
      </c>
      <c r="D522" s="717">
        <v>1.284E-4</v>
      </c>
      <c r="E522" s="718">
        <v>51439.57</v>
      </c>
      <c r="F522" s="718">
        <v>57625</v>
      </c>
      <c r="G522" s="718">
        <v>293307</v>
      </c>
      <c r="H522" s="718"/>
      <c r="I522" s="719">
        <v>5511</v>
      </c>
      <c r="J522" s="719">
        <v>257030</v>
      </c>
      <c r="K522" s="719">
        <v>20089</v>
      </c>
      <c r="L522" s="718">
        <v>9232</v>
      </c>
      <c r="M522" s="718"/>
      <c r="N522" s="719">
        <v>10278</v>
      </c>
      <c r="O522" s="719">
        <v>94868</v>
      </c>
      <c r="P522" s="719">
        <v>0</v>
      </c>
      <c r="Q522" s="718">
        <v>143</v>
      </c>
      <c r="R522" s="719">
        <f t="shared" si="8"/>
        <v>162162</v>
      </c>
      <c r="S522" s="718"/>
      <c r="T522" s="719">
        <v>78397</v>
      </c>
      <c r="U522" s="721">
        <v>3104</v>
      </c>
      <c r="V522" s="721">
        <v>81500</v>
      </c>
    </row>
    <row r="523" spans="1:22" x14ac:dyDescent="0.25">
      <c r="A523" s="715">
        <v>95721</v>
      </c>
      <c r="B523" s="716" t="s">
        <v>3055</v>
      </c>
      <c r="C523" s="717">
        <v>6.6199999999999996E-5</v>
      </c>
      <c r="D523" s="717">
        <v>6.7199999999999994E-5</v>
      </c>
      <c r="E523" s="718">
        <v>22493.79</v>
      </c>
      <c r="F523" s="718">
        <v>30159</v>
      </c>
      <c r="G523" s="718">
        <v>140499</v>
      </c>
      <c r="H523" s="718"/>
      <c r="I523" s="719">
        <v>2640</v>
      </c>
      <c r="J523" s="719">
        <v>123122</v>
      </c>
      <c r="K523" s="719">
        <v>9623</v>
      </c>
      <c r="L523" s="718">
        <v>0</v>
      </c>
      <c r="M523" s="718"/>
      <c r="N523" s="719">
        <v>4923</v>
      </c>
      <c r="O523" s="719">
        <v>45444</v>
      </c>
      <c r="P523" s="719">
        <v>0</v>
      </c>
      <c r="Q523" s="718">
        <v>9473</v>
      </c>
      <c r="R523" s="719">
        <f t="shared" si="8"/>
        <v>77678</v>
      </c>
      <c r="S523" s="718"/>
      <c r="T523" s="719">
        <v>37553</v>
      </c>
      <c r="U523" s="721">
        <v>-3665</v>
      </c>
      <c r="V523" s="721">
        <v>33888</v>
      </c>
    </row>
    <row r="524" spans="1:22" x14ac:dyDescent="0.25">
      <c r="A524" s="715">
        <v>95733</v>
      </c>
      <c r="B524" s="716" t="s">
        <v>3056</v>
      </c>
      <c r="C524" s="717">
        <v>1.56E-5</v>
      </c>
      <c r="D524" s="717">
        <v>1.63E-5</v>
      </c>
      <c r="E524" s="718">
        <v>6566</v>
      </c>
      <c r="F524" s="718">
        <v>7315</v>
      </c>
      <c r="G524" s="718">
        <v>33108</v>
      </c>
      <c r="H524" s="718"/>
      <c r="I524" s="719">
        <v>622</v>
      </c>
      <c r="J524" s="719">
        <v>29014</v>
      </c>
      <c r="K524" s="719">
        <v>2268</v>
      </c>
      <c r="L524" s="718">
        <v>926</v>
      </c>
      <c r="M524" s="718"/>
      <c r="N524" s="719">
        <v>1160</v>
      </c>
      <c r="O524" s="719">
        <v>10709</v>
      </c>
      <c r="P524" s="719">
        <v>0</v>
      </c>
      <c r="Q524" s="718">
        <v>259</v>
      </c>
      <c r="R524" s="719">
        <f t="shared" si="8"/>
        <v>18305</v>
      </c>
      <c r="S524" s="718"/>
      <c r="T524" s="719">
        <v>8849</v>
      </c>
      <c r="U524" s="721">
        <v>277</v>
      </c>
      <c r="V524" s="721">
        <v>9127</v>
      </c>
    </row>
    <row r="525" spans="1:22" x14ac:dyDescent="0.25">
      <c r="A525" s="715">
        <v>95801</v>
      </c>
      <c r="B525" s="716" t="s">
        <v>3057</v>
      </c>
      <c r="C525" s="717">
        <v>8.9349999999999998E-4</v>
      </c>
      <c r="D525" s="717">
        <v>9.1810000000000004E-4</v>
      </c>
      <c r="E525" s="718">
        <v>383793.67</v>
      </c>
      <c r="F525" s="718">
        <v>412038</v>
      </c>
      <c r="G525" s="718">
        <v>1896306</v>
      </c>
      <c r="H525" s="718"/>
      <c r="I525" s="719">
        <v>35628</v>
      </c>
      <c r="J525" s="719">
        <v>1661769</v>
      </c>
      <c r="K525" s="719">
        <v>129880</v>
      </c>
      <c r="L525" s="718">
        <v>14615</v>
      </c>
      <c r="M525" s="718"/>
      <c r="N525" s="719">
        <v>66449</v>
      </c>
      <c r="O525" s="719">
        <v>613350</v>
      </c>
      <c r="P525" s="719">
        <v>0</v>
      </c>
      <c r="Q525" s="718">
        <v>8079</v>
      </c>
      <c r="R525" s="719">
        <f t="shared" si="8"/>
        <v>1048419</v>
      </c>
      <c r="S525" s="718"/>
      <c r="T525" s="719">
        <v>506855</v>
      </c>
      <c r="U525" s="721">
        <v>1206</v>
      </c>
      <c r="V525" s="721">
        <v>508061</v>
      </c>
    </row>
    <row r="526" spans="1:22" x14ac:dyDescent="0.25">
      <c r="A526" s="715">
        <v>95802</v>
      </c>
      <c r="B526" s="716" t="s">
        <v>3058</v>
      </c>
      <c r="C526" s="717">
        <v>6.8000000000000001E-6</v>
      </c>
      <c r="D526" s="717">
        <v>6.8000000000000001E-6</v>
      </c>
      <c r="E526" s="718">
        <v>4626.88</v>
      </c>
      <c r="F526" s="718">
        <v>3052</v>
      </c>
      <c r="G526" s="718">
        <v>14432</v>
      </c>
      <c r="H526" s="718"/>
      <c r="I526" s="719">
        <v>271</v>
      </c>
      <c r="J526" s="719">
        <v>12647</v>
      </c>
      <c r="K526" s="719">
        <v>988</v>
      </c>
      <c r="L526" s="718">
        <v>2741</v>
      </c>
      <c r="M526" s="718"/>
      <c r="N526" s="719">
        <v>506</v>
      </c>
      <c r="O526" s="719">
        <v>4668</v>
      </c>
      <c r="P526" s="719">
        <v>0</v>
      </c>
      <c r="Q526" s="718">
        <v>2509</v>
      </c>
      <c r="R526" s="719">
        <f t="shared" si="8"/>
        <v>7979</v>
      </c>
      <c r="S526" s="718"/>
      <c r="T526" s="719">
        <v>3857</v>
      </c>
      <c r="U526" s="721">
        <v>-428</v>
      </c>
      <c r="V526" s="721">
        <v>3429</v>
      </c>
    </row>
    <row r="527" spans="1:22" x14ac:dyDescent="0.25">
      <c r="A527" s="715">
        <v>95804</v>
      </c>
      <c r="B527" s="716" t="s">
        <v>3059</v>
      </c>
      <c r="C527" s="717">
        <v>1.63E-5</v>
      </c>
      <c r="D527" s="717">
        <v>1.4399999999999999E-5</v>
      </c>
      <c r="E527" s="718">
        <v>6017.02</v>
      </c>
      <c r="F527" s="718">
        <v>6463</v>
      </c>
      <c r="G527" s="718">
        <v>34594</v>
      </c>
      <c r="H527" s="718"/>
      <c r="I527" s="719">
        <v>649.96249999999998</v>
      </c>
      <c r="J527" s="719">
        <v>30315</v>
      </c>
      <c r="K527" s="719">
        <v>2369</v>
      </c>
      <c r="L527" s="718">
        <v>3054</v>
      </c>
      <c r="M527" s="718"/>
      <c r="N527" s="719">
        <v>1212</v>
      </c>
      <c r="O527" s="719">
        <v>11189</v>
      </c>
      <c r="P527" s="719">
        <v>0</v>
      </c>
      <c r="Q527" s="718">
        <v>0</v>
      </c>
      <c r="R527" s="719">
        <f t="shared" si="8"/>
        <v>19126</v>
      </c>
      <c r="S527" s="718"/>
      <c r="T527" s="719">
        <v>9246</v>
      </c>
      <c r="U527" s="721">
        <v>1187</v>
      </c>
      <c r="V527" s="721">
        <v>10434</v>
      </c>
    </row>
    <row r="528" spans="1:22" x14ac:dyDescent="0.25">
      <c r="A528" s="715">
        <v>95811</v>
      </c>
      <c r="B528" s="716" t="s">
        <v>3060</v>
      </c>
      <c r="C528" s="717">
        <v>5.3410000000000003E-4</v>
      </c>
      <c r="D528" s="717">
        <v>5.2459999999999996E-4</v>
      </c>
      <c r="E528" s="718">
        <v>215302.64</v>
      </c>
      <c r="F528" s="718">
        <v>235437</v>
      </c>
      <c r="G528" s="718">
        <v>1133539</v>
      </c>
      <c r="H528" s="718"/>
      <c r="I528" s="719">
        <v>21297</v>
      </c>
      <c r="J528" s="719">
        <v>993342</v>
      </c>
      <c r="K528" s="719">
        <v>77637</v>
      </c>
      <c r="L528" s="718">
        <v>2541</v>
      </c>
      <c r="M528" s="718"/>
      <c r="N528" s="719">
        <v>39720</v>
      </c>
      <c r="O528" s="719">
        <v>366637</v>
      </c>
      <c r="P528" s="719">
        <v>0</v>
      </c>
      <c r="Q528" s="718">
        <v>5345</v>
      </c>
      <c r="R528" s="719">
        <f t="shared" si="8"/>
        <v>626705</v>
      </c>
      <c r="S528" s="718"/>
      <c r="T528" s="719">
        <v>302978</v>
      </c>
      <c r="U528" s="721">
        <v>-1032</v>
      </c>
      <c r="V528" s="721">
        <v>301947</v>
      </c>
    </row>
    <row r="529" spans="1:22" x14ac:dyDescent="0.25">
      <c r="A529" s="715">
        <v>95813</v>
      </c>
      <c r="B529" s="716" t="s">
        <v>3061</v>
      </c>
      <c r="C529" s="717">
        <v>4.4400000000000002E-5</v>
      </c>
      <c r="D529" s="717">
        <v>5.02E-5</v>
      </c>
      <c r="E529" s="718">
        <v>61209.42</v>
      </c>
      <c r="F529" s="718">
        <v>22529</v>
      </c>
      <c r="G529" s="718">
        <v>94232</v>
      </c>
      <c r="H529" s="718"/>
      <c r="I529" s="719">
        <v>1770.45</v>
      </c>
      <c r="J529" s="719">
        <v>82577</v>
      </c>
      <c r="K529" s="719">
        <v>6454</v>
      </c>
      <c r="L529" s="718">
        <v>51874</v>
      </c>
      <c r="M529" s="718"/>
      <c r="N529" s="719">
        <v>3302</v>
      </c>
      <c r="O529" s="719">
        <v>30479</v>
      </c>
      <c r="P529" s="719">
        <v>0</v>
      </c>
      <c r="Q529" s="718">
        <v>0</v>
      </c>
      <c r="R529" s="719">
        <f t="shared" si="8"/>
        <v>52098</v>
      </c>
      <c r="S529" s="718"/>
      <c r="T529" s="719">
        <v>25187</v>
      </c>
      <c r="U529" s="721">
        <v>15540</v>
      </c>
      <c r="V529" s="721">
        <v>40727</v>
      </c>
    </row>
    <row r="530" spans="1:22" x14ac:dyDescent="0.25">
      <c r="A530" s="715">
        <v>95821</v>
      </c>
      <c r="B530" s="716" t="s">
        <v>3062</v>
      </c>
      <c r="C530" s="717">
        <v>1.7E-6</v>
      </c>
      <c r="D530" s="717">
        <v>1.5999999999999999E-6</v>
      </c>
      <c r="E530" s="718">
        <v>1922</v>
      </c>
      <c r="F530" s="718">
        <v>718</v>
      </c>
      <c r="G530" s="718">
        <v>3608</v>
      </c>
      <c r="H530" s="718"/>
      <c r="I530" s="719">
        <v>68</v>
      </c>
      <c r="J530" s="719">
        <v>3162</v>
      </c>
      <c r="K530" s="719">
        <v>247</v>
      </c>
      <c r="L530" s="718">
        <v>1916</v>
      </c>
      <c r="M530" s="718"/>
      <c r="N530" s="719">
        <v>126</v>
      </c>
      <c r="O530" s="719">
        <v>1167</v>
      </c>
      <c r="P530" s="719">
        <v>0</v>
      </c>
      <c r="Q530" s="718">
        <v>0</v>
      </c>
      <c r="R530" s="719">
        <f t="shared" si="8"/>
        <v>1995</v>
      </c>
      <c r="S530" s="718"/>
      <c r="T530" s="719">
        <v>964</v>
      </c>
      <c r="U530" s="721">
        <v>623</v>
      </c>
      <c r="V530" s="721">
        <v>1587</v>
      </c>
    </row>
    <row r="531" spans="1:22" x14ac:dyDescent="0.25">
      <c r="A531" s="715">
        <v>95831</v>
      </c>
      <c r="B531" s="716" t="s">
        <v>3063</v>
      </c>
      <c r="C531" s="717">
        <v>1.36E-5</v>
      </c>
      <c r="D531" s="717">
        <v>1.9199999999999999E-5</v>
      </c>
      <c r="E531" s="718">
        <v>18920.61</v>
      </c>
      <c r="F531" s="718">
        <v>8617</v>
      </c>
      <c r="G531" s="718">
        <v>28864</v>
      </c>
      <c r="H531" s="718"/>
      <c r="I531" s="719">
        <v>542</v>
      </c>
      <c r="J531" s="719">
        <v>25294</v>
      </c>
      <c r="K531" s="719">
        <v>1977</v>
      </c>
      <c r="L531" s="718">
        <v>15027</v>
      </c>
      <c r="M531" s="718"/>
      <c r="N531" s="719">
        <v>1011</v>
      </c>
      <c r="O531" s="719">
        <v>9336</v>
      </c>
      <c r="P531" s="719">
        <v>0</v>
      </c>
      <c r="Q531" s="718">
        <v>0</v>
      </c>
      <c r="R531" s="719">
        <f t="shared" si="8"/>
        <v>15958</v>
      </c>
      <c r="S531" s="718"/>
      <c r="T531" s="719">
        <v>7715</v>
      </c>
      <c r="U531" s="721">
        <v>4667</v>
      </c>
      <c r="V531" s="721">
        <v>12382</v>
      </c>
    </row>
    <row r="532" spans="1:22" x14ac:dyDescent="0.25">
      <c r="A532" s="715">
        <v>95841</v>
      </c>
      <c r="B532" s="716" t="s">
        <v>3064</v>
      </c>
      <c r="C532" s="717">
        <v>2.1100000000000001E-5</v>
      </c>
      <c r="D532" s="717">
        <v>2.0699999999999998E-5</v>
      </c>
      <c r="E532" s="718">
        <v>9619.65</v>
      </c>
      <c r="F532" s="718">
        <v>9290</v>
      </c>
      <c r="G532" s="718">
        <v>44781</v>
      </c>
      <c r="H532" s="718"/>
      <c r="I532" s="719">
        <v>841</v>
      </c>
      <c r="J532" s="719">
        <v>39243</v>
      </c>
      <c r="K532" s="719">
        <v>3067</v>
      </c>
      <c r="L532" s="718">
        <v>1840</v>
      </c>
      <c r="M532" s="718"/>
      <c r="N532" s="719">
        <v>1569</v>
      </c>
      <c r="O532" s="719">
        <v>14484</v>
      </c>
      <c r="P532" s="719">
        <v>0</v>
      </c>
      <c r="Q532" s="718">
        <v>0</v>
      </c>
      <c r="R532" s="719">
        <f t="shared" si="8"/>
        <v>24759</v>
      </c>
      <c r="S532" s="718"/>
      <c r="T532" s="719">
        <v>11969</v>
      </c>
      <c r="U532" s="721">
        <v>601</v>
      </c>
      <c r="V532" s="721">
        <v>12570</v>
      </c>
    </row>
    <row r="533" spans="1:22" x14ac:dyDescent="0.25">
      <c r="A533" s="715">
        <v>95851</v>
      </c>
      <c r="B533" s="716" t="s">
        <v>3065</v>
      </c>
      <c r="C533" s="717">
        <v>1.3009999999999999E-4</v>
      </c>
      <c r="D533" s="717">
        <v>1.44E-4</v>
      </c>
      <c r="E533" s="718">
        <v>128218</v>
      </c>
      <c r="F533" s="718">
        <v>64626</v>
      </c>
      <c r="G533" s="718">
        <v>276116</v>
      </c>
      <c r="H533" s="718"/>
      <c r="I533" s="719">
        <v>5188</v>
      </c>
      <c r="J533" s="719">
        <v>241965</v>
      </c>
      <c r="K533" s="719">
        <v>18911</v>
      </c>
      <c r="L533" s="718">
        <v>90972</v>
      </c>
      <c r="M533" s="718"/>
      <c r="N533" s="719">
        <v>9675</v>
      </c>
      <c r="O533" s="719">
        <v>89308</v>
      </c>
      <c r="P533" s="719">
        <v>0</v>
      </c>
      <c r="Q533" s="718">
        <v>8402</v>
      </c>
      <c r="R533" s="719">
        <f t="shared" si="8"/>
        <v>152657</v>
      </c>
      <c r="S533" s="718"/>
      <c r="T533" s="719">
        <v>73802</v>
      </c>
      <c r="U533" s="721">
        <v>23087</v>
      </c>
      <c r="V533" s="721">
        <v>96889</v>
      </c>
    </row>
    <row r="534" spans="1:22" x14ac:dyDescent="0.25">
      <c r="A534" s="715">
        <v>95853</v>
      </c>
      <c r="B534" s="716" t="s">
        <v>3066</v>
      </c>
      <c r="C534" s="717">
        <v>2.4000000000000001E-5</v>
      </c>
      <c r="D534" s="717">
        <v>2.44E-5</v>
      </c>
      <c r="E534" s="718">
        <v>14930</v>
      </c>
      <c r="F534" s="718">
        <v>10951</v>
      </c>
      <c r="G534" s="718">
        <v>50936.04</v>
      </c>
      <c r="H534" s="718"/>
      <c r="I534" s="719">
        <v>957</v>
      </c>
      <c r="J534" s="719">
        <v>44636</v>
      </c>
      <c r="K534" s="719">
        <v>3489</v>
      </c>
      <c r="L534" s="718">
        <v>8043</v>
      </c>
      <c r="M534" s="718"/>
      <c r="N534" s="719">
        <v>1785</v>
      </c>
      <c r="O534" s="719">
        <v>16475</v>
      </c>
      <c r="P534" s="719">
        <v>0</v>
      </c>
      <c r="Q534" s="718">
        <v>0</v>
      </c>
      <c r="R534" s="719">
        <f t="shared" si="8"/>
        <v>28161</v>
      </c>
      <c r="S534" s="718"/>
      <c r="T534" s="719">
        <v>13614</v>
      </c>
      <c r="U534" s="721">
        <v>2790</v>
      </c>
      <c r="V534" s="721">
        <v>16405</v>
      </c>
    </row>
    <row r="535" spans="1:22" x14ac:dyDescent="0.25">
      <c r="A535" s="715">
        <v>95901</v>
      </c>
      <c r="B535" s="716" t="s">
        <v>3067</v>
      </c>
      <c r="C535" s="717">
        <v>1.8266999999999999E-3</v>
      </c>
      <c r="D535" s="717">
        <v>1.8056000000000001E-3</v>
      </c>
      <c r="E535" s="718">
        <v>722469.93</v>
      </c>
      <c r="F535" s="718">
        <v>810342</v>
      </c>
      <c r="G535" s="718">
        <v>3876869</v>
      </c>
      <c r="H535" s="718"/>
      <c r="I535" s="719">
        <v>72840</v>
      </c>
      <c r="J535" s="719">
        <v>3397373</v>
      </c>
      <c r="K535" s="719">
        <v>265531</v>
      </c>
      <c r="L535" s="718">
        <v>69258</v>
      </c>
      <c r="M535" s="718"/>
      <c r="N535" s="719">
        <v>135850</v>
      </c>
      <c r="O535" s="719">
        <v>1253953</v>
      </c>
      <c r="P535" s="719">
        <v>0</v>
      </c>
      <c r="Q535" s="718">
        <v>11402</v>
      </c>
      <c r="R535" s="719">
        <f t="shared" si="8"/>
        <v>2143420</v>
      </c>
      <c r="S535" s="718"/>
      <c r="T535" s="719">
        <v>1036230</v>
      </c>
      <c r="U535" s="721">
        <v>29652</v>
      </c>
      <c r="V535" s="721">
        <v>1065882</v>
      </c>
    </row>
    <row r="536" spans="1:22" x14ac:dyDescent="0.25">
      <c r="A536" s="715">
        <v>95908</v>
      </c>
      <c r="B536" s="716" t="s">
        <v>3068</v>
      </c>
      <c r="C536" s="717">
        <v>7.2000000000000002E-5</v>
      </c>
      <c r="D536" s="717">
        <v>6.6699999999999995E-5</v>
      </c>
      <c r="E536" s="718">
        <v>21165</v>
      </c>
      <c r="F536" s="718">
        <v>29935</v>
      </c>
      <c r="G536" s="718">
        <v>152808.12</v>
      </c>
      <c r="H536" s="718"/>
      <c r="I536" s="719">
        <v>2871</v>
      </c>
      <c r="J536" s="719">
        <v>133909</v>
      </c>
      <c r="K536" s="719">
        <v>10466</v>
      </c>
      <c r="L536" s="718">
        <v>0</v>
      </c>
      <c r="M536" s="718"/>
      <c r="N536" s="719">
        <v>5355</v>
      </c>
      <c r="O536" s="719">
        <v>49425</v>
      </c>
      <c r="P536" s="719">
        <v>0</v>
      </c>
      <c r="Q536" s="718">
        <v>24519</v>
      </c>
      <c r="R536" s="719">
        <f t="shared" si="8"/>
        <v>84484</v>
      </c>
      <c r="S536" s="718"/>
      <c r="T536" s="719">
        <v>40843</v>
      </c>
      <c r="U536" s="721">
        <v>-9060</v>
      </c>
      <c r="V536" s="721">
        <v>31784</v>
      </c>
    </row>
    <row r="537" spans="1:22" x14ac:dyDescent="0.25">
      <c r="A537" s="715">
        <v>95911</v>
      </c>
      <c r="B537" s="716" t="s">
        <v>3069</v>
      </c>
      <c r="C537" s="717">
        <v>5.6979999999999997E-4</v>
      </c>
      <c r="D537" s="717">
        <v>6.2100000000000002E-4</v>
      </c>
      <c r="E537" s="718">
        <v>226533</v>
      </c>
      <c r="F537" s="718">
        <v>278701</v>
      </c>
      <c r="G537" s="718">
        <v>1209306</v>
      </c>
      <c r="H537" s="718"/>
      <c r="I537" s="719">
        <v>22721</v>
      </c>
      <c r="J537" s="719">
        <v>1059738</v>
      </c>
      <c r="K537" s="719">
        <v>82827</v>
      </c>
      <c r="L537" s="718">
        <v>4490</v>
      </c>
      <c r="M537" s="718"/>
      <c r="N537" s="719">
        <v>42375</v>
      </c>
      <c r="O537" s="719">
        <v>391144</v>
      </c>
      <c r="P537" s="719">
        <v>0</v>
      </c>
      <c r="Q537" s="718">
        <v>41660</v>
      </c>
      <c r="R537" s="719">
        <f t="shared" si="8"/>
        <v>668594</v>
      </c>
      <c r="S537" s="718"/>
      <c r="T537" s="719">
        <v>323230</v>
      </c>
      <c r="U537" s="721">
        <v>-11084</v>
      </c>
      <c r="V537" s="721">
        <v>312146</v>
      </c>
    </row>
    <row r="538" spans="1:22" x14ac:dyDescent="0.25">
      <c r="A538" s="715">
        <v>95917</v>
      </c>
      <c r="B538" s="716" t="s">
        <v>3070</v>
      </c>
      <c r="C538" s="717">
        <v>2.2399999999999999E-5</v>
      </c>
      <c r="D538" s="717">
        <v>2.4499999999999999E-5</v>
      </c>
      <c r="E538" s="718">
        <v>9793</v>
      </c>
      <c r="F538" s="718">
        <v>10995</v>
      </c>
      <c r="G538" s="718">
        <v>47540</v>
      </c>
      <c r="H538" s="718"/>
      <c r="I538" s="719">
        <v>893</v>
      </c>
      <c r="J538" s="719">
        <v>41660</v>
      </c>
      <c r="K538" s="719">
        <v>3256</v>
      </c>
      <c r="L538" s="718">
        <v>4422</v>
      </c>
      <c r="M538" s="718"/>
      <c r="N538" s="719">
        <v>1666</v>
      </c>
      <c r="O538" s="719">
        <v>15377</v>
      </c>
      <c r="P538" s="719">
        <v>0</v>
      </c>
      <c r="Q538" s="718">
        <v>676</v>
      </c>
      <c r="R538" s="719">
        <f t="shared" si="8"/>
        <v>26283</v>
      </c>
      <c r="S538" s="718"/>
      <c r="T538" s="719">
        <v>12707</v>
      </c>
      <c r="U538" s="721">
        <v>1747</v>
      </c>
      <c r="V538" s="721">
        <v>14453</v>
      </c>
    </row>
    <row r="539" spans="1:22" x14ac:dyDescent="0.25">
      <c r="A539" s="715">
        <v>95921</v>
      </c>
      <c r="B539" s="716" t="s">
        <v>3071</v>
      </c>
      <c r="C539" s="717">
        <v>4.4700000000000002E-5</v>
      </c>
      <c r="D539" s="717">
        <v>3.4600000000000001E-5</v>
      </c>
      <c r="E539" s="718">
        <v>16579.87</v>
      </c>
      <c r="F539" s="718">
        <v>15528</v>
      </c>
      <c r="G539" s="718">
        <v>94868</v>
      </c>
      <c r="H539" s="718"/>
      <c r="I539" s="719">
        <v>1782</v>
      </c>
      <c r="J539" s="719">
        <v>83135</v>
      </c>
      <c r="K539" s="719">
        <v>6498</v>
      </c>
      <c r="L539" s="718">
        <v>5096</v>
      </c>
      <c r="M539" s="718"/>
      <c r="N539" s="719">
        <v>3324</v>
      </c>
      <c r="O539" s="719">
        <v>30685</v>
      </c>
      <c r="P539" s="719">
        <v>0</v>
      </c>
      <c r="Q539" s="718">
        <v>1906</v>
      </c>
      <c r="R539" s="719">
        <f t="shared" si="8"/>
        <v>52450</v>
      </c>
      <c r="S539" s="718"/>
      <c r="T539" s="719">
        <v>25357</v>
      </c>
      <c r="U539" s="721">
        <v>463</v>
      </c>
      <c r="V539" s="721">
        <v>25820</v>
      </c>
    </row>
    <row r="540" spans="1:22" x14ac:dyDescent="0.25">
      <c r="A540" s="715">
        <v>96001</v>
      </c>
      <c r="B540" s="716" t="s">
        <v>3072</v>
      </c>
      <c r="C540" s="717">
        <v>4.43519E-2</v>
      </c>
      <c r="D540" s="717">
        <v>4.41456E-2</v>
      </c>
      <c r="E540" s="718">
        <v>17742783</v>
      </c>
      <c r="F540" s="718">
        <v>19812280</v>
      </c>
      <c r="G540" s="718">
        <v>94129590</v>
      </c>
      <c r="H540" s="718"/>
      <c r="I540" s="719">
        <v>1768532</v>
      </c>
      <c r="J540" s="719">
        <v>82487526</v>
      </c>
      <c r="K540" s="719">
        <v>6447037</v>
      </c>
      <c r="L540" s="718">
        <v>2806449</v>
      </c>
      <c r="M540" s="718"/>
      <c r="N540" s="719">
        <v>3298406</v>
      </c>
      <c r="O540" s="719">
        <v>30445717</v>
      </c>
      <c r="P540" s="719">
        <v>0</v>
      </c>
      <c r="Q540" s="718">
        <v>282683</v>
      </c>
      <c r="R540" s="719">
        <f t="shared" si="8"/>
        <v>52041809</v>
      </c>
      <c r="S540" s="718"/>
      <c r="T540" s="719">
        <v>25159458</v>
      </c>
      <c r="U540" s="721">
        <v>1275874</v>
      </c>
      <c r="V540" s="721">
        <v>26435332</v>
      </c>
    </row>
    <row r="541" spans="1:22" x14ac:dyDescent="0.25">
      <c r="A541" s="715">
        <v>96003</v>
      </c>
      <c r="B541" s="716" t="s">
        <v>3073</v>
      </c>
      <c r="C541" s="717">
        <v>1.7309000000000001E-3</v>
      </c>
      <c r="D541" s="717">
        <v>1.7633E-3</v>
      </c>
      <c r="E541" s="718">
        <v>655848.02</v>
      </c>
      <c r="F541" s="718">
        <v>791358</v>
      </c>
      <c r="G541" s="718">
        <v>3673550</v>
      </c>
      <c r="H541" s="718"/>
      <c r="I541" s="719">
        <v>69020</v>
      </c>
      <c r="J541" s="719">
        <v>3219201</v>
      </c>
      <c r="K541" s="719">
        <v>251605</v>
      </c>
      <c r="L541" s="718">
        <v>4786</v>
      </c>
      <c r="M541" s="718"/>
      <c r="N541" s="719">
        <v>128725</v>
      </c>
      <c r="O541" s="719">
        <v>1188190</v>
      </c>
      <c r="P541" s="719">
        <v>0</v>
      </c>
      <c r="Q541" s="718">
        <v>112661</v>
      </c>
      <c r="R541" s="719">
        <f t="shared" si="8"/>
        <v>2031011</v>
      </c>
      <c r="S541" s="718"/>
      <c r="T541" s="719">
        <v>981886</v>
      </c>
      <c r="U541" s="721">
        <v>-39821</v>
      </c>
      <c r="V541" s="721">
        <v>942065</v>
      </c>
    </row>
    <row r="542" spans="1:22" x14ac:dyDescent="0.25">
      <c r="A542" s="715">
        <v>96004</v>
      </c>
      <c r="B542" s="716" t="s">
        <v>3074</v>
      </c>
      <c r="C542" s="717">
        <v>8.7699999999999996E-4</v>
      </c>
      <c r="D542" s="717">
        <v>8.208E-4</v>
      </c>
      <c r="E542" s="718">
        <v>400422.78</v>
      </c>
      <c r="F542" s="718">
        <v>368370</v>
      </c>
      <c r="G542" s="718">
        <v>1861288</v>
      </c>
      <c r="H542" s="718"/>
      <c r="I542" s="719">
        <v>34970.375</v>
      </c>
      <c r="J542" s="719">
        <v>1631081</v>
      </c>
      <c r="K542" s="719">
        <v>127482</v>
      </c>
      <c r="L542" s="718">
        <v>148722</v>
      </c>
      <c r="M542" s="718"/>
      <c r="N542" s="719">
        <v>65222</v>
      </c>
      <c r="O542" s="719">
        <v>602024</v>
      </c>
      <c r="P542" s="719">
        <v>0</v>
      </c>
      <c r="Q542" s="718">
        <v>0</v>
      </c>
      <c r="R542" s="719">
        <f t="shared" si="8"/>
        <v>1029057</v>
      </c>
      <c r="S542" s="718"/>
      <c r="T542" s="719">
        <v>497495</v>
      </c>
      <c r="U542" s="721">
        <v>52239</v>
      </c>
      <c r="V542" s="721">
        <v>549734</v>
      </c>
    </row>
    <row r="543" spans="1:22" x14ac:dyDescent="0.25">
      <c r="A543" s="715">
        <v>96005</v>
      </c>
      <c r="B543" s="716" t="s">
        <v>3075</v>
      </c>
      <c r="C543" s="717">
        <v>2.6457E-3</v>
      </c>
      <c r="D543" s="717">
        <v>2.6692E-3</v>
      </c>
      <c r="E543" s="718">
        <v>1120532</v>
      </c>
      <c r="F543" s="718">
        <v>1197921</v>
      </c>
      <c r="G543" s="718">
        <v>5615062</v>
      </c>
      <c r="H543" s="718"/>
      <c r="I543" s="719">
        <v>105497</v>
      </c>
      <c r="J543" s="719">
        <v>4920584</v>
      </c>
      <c r="K543" s="719">
        <v>384582</v>
      </c>
      <c r="L543" s="718">
        <v>345182</v>
      </c>
      <c r="M543" s="718"/>
      <c r="N543" s="719">
        <v>196758</v>
      </c>
      <c r="O543" s="719">
        <v>1816162</v>
      </c>
      <c r="P543" s="719">
        <v>0</v>
      </c>
      <c r="Q543" s="718">
        <v>0</v>
      </c>
      <c r="R543" s="719">
        <f t="shared" si="8"/>
        <v>3104422</v>
      </c>
      <c r="S543" s="718"/>
      <c r="T543" s="719">
        <v>1500824</v>
      </c>
      <c r="U543" s="721">
        <v>151849</v>
      </c>
      <c r="V543" s="721">
        <v>1652672</v>
      </c>
    </row>
    <row r="544" spans="1:22" x14ac:dyDescent="0.25">
      <c r="A544" s="715">
        <v>96008</v>
      </c>
      <c r="B544" s="716" t="s">
        <v>3076</v>
      </c>
      <c r="C544" s="717">
        <v>5.9388000000000002E-3</v>
      </c>
      <c r="D544" s="717">
        <v>5.4187000000000003E-3</v>
      </c>
      <c r="E544" s="718">
        <v>1816865.04</v>
      </c>
      <c r="F544" s="718">
        <v>2431880</v>
      </c>
      <c r="G544" s="718">
        <v>12604123</v>
      </c>
      <c r="H544" s="718"/>
      <c r="I544" s="719">
        <v>236809.65</v>
      </c>
      <c r="J544" s="719">
        <v>11045230</v>
      </c>
      <c r="K544" s="719">
        <v>863270</v>
      </c>
      <c r="L544" s="718">
        <v>0</v>
      </c>
      <c r="M544" s="718"/>
      <c r="N544" s="719">
        <v>441663</v>
      </c>
      <c r="O544" s="719">
        <v>4076737</v>
      </c>
      <c r="P544" s="719">
        <v>0</v>
      </c>
      <c r="Q544" s="718">
        <v>411808</v>
      </c>
      <c r="R544" s="719">
        <f t="shared" si="8"/>
        <v>6968493</v>
      </c>
      <c r="S544" s="718"/>
      <c r="T544" s="719">
        <v>3368897</v>
      </c>
      <c r="U544" s="721">
        <v>-148661</v>
      </c>
      <c r="V544" s="721">
        <v>3220236</v>
      </c>
    </row>
    <row r="545" spans="1:22" x14ac:dyDescent="0.25">
      <c r="A545" s="715">
        <v>96009</v>
      </c>
      <c r="B545" s="716" t="s">
        <v>3077</v>
      </c>
      <c r="C545" s="717">
        <v>3.5980000000000002E-4</v>
      </c>
      <c r="D545" s="717">
        <v>3.9110000000000002E-4</v>
      </c>
      <c r="E545" s="718">
        <v>164905</v>
      </c>
      <c r="F545" s="718">
        <v>175523</v>
      </c>
      <c r="G545" s="718">
        <v>763616</v>
      </c>
      <c r="H545" s="718"/>
      <c r="I545" s="719">
        <v>14347</v>
      </c>
      <c r="J545" s="719">
        <v>669171</v>
      </c>
      <c r="K545" s="719">
        <v>52301</v>
      </c>
      <c r="L545" s="718">
        <v>12534</v>
      </c>
      <c r="M545" s="718"/>
      <c r="N545" s="719">
        <v>26758</v>
      </c>
      <c r="O545" s="719">
        <v>246988</v>
      </c>
      <c r="P545" s="719">
        <v>0</v>
      </c>
      <c r="Q545" s="718">
        <v>3502</v>
      </c>
      <c r="R545" s="719">
        <f t="shared" si="8"/>
        <v>422183</v>
      </c>
      <c r="S545" s="718"/>
      <c r="T545" s="719">
        <v>204103</v>
      </c>
      <c r="U545" s="721">
        <v>4895</v>
      </c>
      <c r="V545" s="721">
        <v>208999</v>
      </c>
    </row>
    <row r="546" spans="1:22" x14ac:dyDescent="0.25">
      <c r="A546" s="715">
        <v>96011</v>
      </c>
      <c r="B546" s="716" t="s">
        <v>3078</v>
      </c>
      <c r="C546" s="717">
        <v>6.0489000000000001E-2</v>
      </c>
      <c r="D546" s="717">
        <v>5.8946100000000001E-2</v>
      </c>
      <c r="E546" s="718">
        <v>23738140</v>
      </c>
      <c r="F546" s="718">
        <v>26454656</v>
      </c>
      <c r="G546" s="718">
        <v>128377922</v>
      </c>
      <c r="H546" s="718"/>
      <c r="I546" s="719">
        <v>2411999</v>
      </c>
      <c r="J546" s="719">
        <v>112499983</v>
      </c>
      <c r="K546" s="719">
        <v>8792742</v>
      </c>
      <c r="L546" s="718">
        <v>167249</v>
      </c>
      <c r="M546" s="718"/>
      <c r="N546" s="719">
        <v>4498506</v>
      </c>
      <c r="O546" s="719">
        <v>41523158</v>
      </c>
      <c r="P546" s="719">
        <v>0</v>
      </c>
      <c r="Q546" s="718">
        <v>70330</v>
      </c>
      <c r="R546" s="719">
        <f t="shared" si="8"/>
        <v>70976825</v>
      </c>
      <c r="S546" s="718"/>
      <c r="T546" s="719">
        <v>34313535</v>
      </c>
      <c r="U546" s="721">
        <v>40438</v>
      </c>
      <c r="V546" s="721">
        <v>34353973</v>
      </c>
    </row>
    <row r="547" spans="1:22" x14ac:dyDescent="0.25">
      <c r="A547" s="715">
        <v>96012</v>
      </c>
      <c r="B547" s="716" t="s">
        <v>3079</v>
      </c>
      <c r="C547" s="717">
        <v>2.4095000000000002E-3</v>
      </c>
      <c r="D547" s="717">
        <v>2.1905000000000002E-3</v>
      </c>
      <c r="E547" s="718">
        <v>930120</v>
      </c>
      <c r="F547" s="718">
        <v>983083</v>
      </c>
      <c r="G547" s="718">
        <v>5113766</v>
      </c>
      <c r="H547" s="718"/>
      <c r="I547" s="719">
        <v>96079</v>
      </c>
      <c r="J547" s="719">
        <v>4481289</v>
      </c>
      <c r="K547" s="719">
        <v>350247</v>
      </c>
      <c r="L547" s="718">
        <v>112910</v>
      </c>
      <c r="M547" s="718"/>
      <c r="N547" s="719">
        <v>179192</v>
      </c>
      <c r="O547" s="719">
        <v>1654021</v>
      </c>
      <c r="P547" s="719">
        <v>0</v>
      </c>
      <c r="Q547" s="718">
        <v>0</v>
      </c>
      <c r="R547" s="719">
        <f t="shared" si="8"/>
        <v>2827268</v>
      </c>
      <c r="S547" s="718"/>
      <c r="T547" s="719">
        <v>1366835</v>
      </c>
      <c r="U547" s="721">
        <v>35829</v>
      </c>
      <c r="V547" s="721">
        <v>1402664</v>
      </c>
    </row>
    <row r="548" spans="1:22" x14ac:dyDescent="0.25">
      <c r="A548" s="715">
        <v>96018</v>
      </c>
      <c r="B548" s="716" t="s">
        <v>3080</v>
      </c>
      <c r="C548" s="717">
        <v>3.6199999999999999E-5</v>
      </c>
      <c r="D548" s="717">
        <v>3.3599999999999997E-5</v>
      </c>
      <c r="E548" s="718">
        <v>13499</v>
      </c>
      <c r="F548" s="718">
        <v>15079</v>
      </c>
      <c r="G548" s="718">
        <v>76829</v>
      </c>
      <c r="H548" s="718"/>
      <c r="I548" s="719">
        <v>1443.4749999999999</v>
      </c>
      <c r="J548" s="719">
        <v>67326</v>
      </c>
      <c r="K548" s="719">
        <v>5262</v>
      </c>
      <c r="L548" s="718">
        <v>11396</v>
      </c>
      <c r="M548" s="718"/>
      <c r="N548" s="719">
        <v>2692</v>
      </c>
      <c r="O548" s="719">
        <v>24850</v>
      </c>
      <c r="P548" s="719">
        <v>0</v>
      </c>
      <c r="Q548" s="718">
        <v>0</v>
      </c>
      <c r="R548" s="719">
        <f t="shared" si="8"/>
        <v>42476</v>
      </c>
      <c r="S548" s="718"/>
      <c r="T548" s="719">
        <v>20535</v>
      </c>
      <c r="U548" s="721">
        <v>5069</v>
      </c>
      <c r="V548" s="721">
        <v>25604</v>
      </c>
    </row>
    <row r="549" spans="1:22" x14ac:dyDescent="0.25">
      <c r="A549" s="715">
        <v>96021</v>
      </c>
      <c r="B549" s="716" t="s">
        <v>3081</v>
      </c>
      <c r="C549" s="717">
        <v>8.5829999999999999E-4</v>
      </c>
      <c r="D549" s="717">
        <v>8.8719999999999999E-4</v>
      </c>
      <c r="E549" s="718">
        <v>330918.43</v>
      </c>
      <c r="F549" s="718">
        <v>398170</v>
      </c>
      <c r="G549" s="718">
        <v>1821600</v>
      </c>
      <c r="H549" s="718"/>
      <c r="I549" s="719">
        <v>34225</v>
      </c>
      <c r="J549" s="719">
        <v>1596302</v>
      </c>
      <c r="K549" s="719">
        <v>124763</v>
      </c>
      <c r="L549" s="718">
        <v>50366</v>
      </c>
      <c r="M549" s="718"/>
      <c r="N549" s="719">
        <v>63831</v>
      </c>
      <c r="O549" s="719">
        <v>589187</v>
      </c>
      <c r="P549" s="719">
        <v>0</v>
      </c>
      <c r="Q549" s="718">
        <v>33170</v>
      </c>
      <c r="R549" s="719">
        <f t="shared" si="8"/>
        <v>1007115</v>
      </c>
      <c r="S549" s="718"/>
      <c r="T549" s="719">
        <v>486887</v>
      </c>
      <c r="U549" s="721">
        <v>9814</v>
      </c>
      <c r="V549" s="721">
        <v>496701</v>
      </c>
    </row>
    <row r="550" spans="1:22" x14ac:dyDescent="0.25">
      <c r="A550" s="715">
        <v>96031</v>
      </c>
      <c r="B550" s="716" t="s">
        <v>3082</v>
      </c>
      <c r="C550" s="717">
        <v>9.0189999999999997E-4</v>
      </c>
      <c r="D550" s="717">
        <v>8.116E-4</v>
      </c>
      <c r="E550" s="718">
        <v>268947</v>
      </c>
      <c r="F550" s="718">
        <v>364241</v>
      </c>
      <c r="G550" s="718">
        <v>1914134</v>
      </c>
      <c r="H550" s="718"/>
      <c r="I550" s="719">
        <v>35963</v>
      </c>
      <c r="J550" s="719">
        <v>1677391</v>
      </c>
      <c r="K550" s="719">
        <v>131101</v>
      </c>
      <c r="L550" s="718">
        <v>0</v>
      </c>
      <c r="M550" s="718"/>
      <c r="N550" s="719">
        <v>67073</v>
      </c>
      <c r="O550" s="719">
        <v>619116</v>
      </c>
      <c r="P550" s="719">
        <v>0</v>
      </c>
      <c r="Q550" s="718">
        <v>136310</v>
      </c>
      <c r="R550" s="719">
        <f t="shared" si="8"/>
        <v>1058275</v>
      </c>
      <c r="S550" s="718"/>
      <c r="T550" s="719">
        <v>511620</v>
      </c>
      <c r="U550" s="721">
        <v>-50978</v>
      </c>
      <c r="V550" s="721">
        <v>460642</v>
      </c>
    </row>
    <row r="551" spans="1:22" x14ac:dyDescent="0.25">
      <c r="A551" s="715">
        <v>96041</v>
      </c>
      <c r="B551" s="716" t="s">
        <v>3083</v>
      </c>
      <c r="C551" s="717">
        <v>1.7323E-3</v>
      </c>
      <c r="D551" s="717">
        <v>1.6793999999999999E-3</v>
      </c>
      <c r="E551" s="718">
        <v>616935</v>
      </c>
      <c r="F551" s="718">
        <v>753705</v>
      </c>
      <c r="G551" s="718">
        <v>3676521</v>
      </c>
      <c r="H551" s="718"/>
      <c r="I551" s="719">
        <v>69075</v>
      </c>
      <c r="J551" s="719">
        <v>3221804</v>
      </c>
      <c r="K551" s="719">
        <v>251809</v>
      </c>
      <c r="L551" s="718">
        <v>0</v>
      </c>
      <c r="M551" s="718"/>
      <c r="N551" s="719">
        <v>128829</v>
      </c>
      <c r="O551" s="719">
        <v>1189151</v>
      </c>
      <c r="P551" s="719">
        <v>0</v>
      </c>
      <c r="Q551" s="718">
        <v>127191</v>
      </c>
      <c r="R551" s="719">
        <f t="shared" si="8"/>
        <v>2032653</v>
      </c>
      <c r="S551" s="718"/>
      <c r="T551" s="719">
        <v>982680</v>
      </c>
      <c r="U551" s="721">
        <v>-45617</v>
      </c>
      <c r="V551" s="721">
        <v>937063</v>
      </c>
    </row>
    <row r="552" spans="1:22" x14ac:dyDescent="0.25">
      <c r="A552" s="715">
        <v>96051</v>
      </c>
      <c r="B552" s="716" t="s">
        <v>3084</v>
      </c>
      <c r="C552" s="717">
        <v>1.0258000000000001E-3</v>
      </c>
      <c r="D552" s="717">
        <v>1.0265999999999999E-3</v>
      </c>
      <c r="E552" s="718">
        <v>369762</v>
      </c>
      <c r="F552" s="718">
        <v>460732</v>
      </c>
      <c r="G552" s="718">
        <v>2177091</v>
      </c>
      <c r="H552" s="718"/>
      <c r="I552" s="719">
        <v>40904</v>
      </c>
      <c r="J552" s="719">
        <v>1907826</v>
      </c>
      <c r="K552" s="719">
        <v>149111</v>
      </c>
      <c r="L552" s="718">
        <v>0</v>
      </c>
      <c r="M552" s="718"/>
      <c r="N552" s="719">
        <v>76288</v>
      </c>
      <c r="O552" s="719">
        <v>704169</v>
      </c>
      <c r="P552" s="719">
        <v>0</v>
      </c>
      <c r="Q552" s="718">
        <v>94345</v>
      </c>
      <c r="R552" s="719">
        <f t="shared" si="8"/>
        <v>1203657</v>
      </c>
      <c r="S552" s="718"/>
      <c r="T552" s="719">
        <v>581905</v>
      </c>
      <c r="U552" s="721">
        <v>-32749</v>
      </c>
      <c r="V552" s="721">
        <v>549156</v>
      </c>
    </row>
    <row r="553" spans="1:22" x14ac:dyDescent="0.25">
      <c r="A553" s="715">
        <v>96061</v>
      </c>
      <c r="B553" s="716" t="s">
        <v>3085</v>
      </c>
      <c r="C553" s="717">
        <v>3.0800000000000001E-4</v>
      </c>
      <c r="D553" s="717">
        <v>3.1809999999999998E-4</v>
      </c>
      <c r="E553" s="718">
        <v>123610</v>
      </c>
      <c r="F553" s="718">
        <v>142761</v>
      </c>
      <c r="G553" s="718">
        <v>653679</v>
      </c>
      <c r="H553" s="718"/>
      <c r="I553" s="719">
        <v>12281.5</v>
      </c>
      <c r="J553" s="719">
        <v>572831</v>
      </c>
      <c r="K553" s="719">
        <v>44771</v>
      </c>
      <c r="L553" s="718">
        <v>2239</v>
      </c>
      <c r="M553" s="718"/>
      <c r="N553" s="719">
        <v>22906</v>
      </c>
      <c r="O553" s="719">
        <v>211429</v>
      </c>
      <c r="P553" s="719">
        <v>0</v>
      </c>
      <c r="Q553" s="718">
        <v>11106</v>
      </c>
      <c r="R553" s="719">
        <f t="shared" si="8"/>
        <v>361402</v>
      </c>
      <c r="S553" s="718"/>
      <c r="T553" s="719">
        <v>174719</v>
      </c>
      <c r="U553" s="721">
        <v>-2865</v>
      </c>
      <c r="V553" s="721">
        <v>171854</v>
      </c>
    </row>
    <row r="554" spans="1:22" x14ac:dyDescent="0.25">
      <c r="A554" s="715">
        <v>96071</v>
      </c>
      <c r="B554" s="716" t="s">
        <v>3086</v>
      </c>
      <c r="C554" s="717">
        <v>1.1280999999999999E-3</v>
      </c>
      <c r="D554" s="717">
        <v>1.2979000000000001E-3</v>
      </c>
      <c r="E554" s="718">
        <v>475581.26</v>
      </c>
      <c r="F554" s="718">
        <v>582490</v>
      </c>
      <c r="G554" s="718">
        <v>2394206</v>
      </c>
      <c r="H554" s="718"/>
      <c r="I554" s="719">
        <v>44983</v>
      </c>
      <c r="J554" s="719">
        <v>2098088</v>
      </c>
      <c r="K554" s="719">
        <v>163982</v>
      </c>
      <c r="L554" s="718">
        <v>64300</v>
      </c>
      <c r="M554" s="718"/>
      <c r="N554" s="719">
        <v>83896</v>
      </c>
      <c r="O554" s="719">
        <v>774393</v>
      </c>
      <c r="P554" s="719">
        <v>0</v>
      </c>
      <c r="Q554" s="718">
        <v>103673</v>
      </c>
      <c r="R554" s="719">
        <f t="shared" si="8"/>
        <v>1323695</v>
      </c>
      <c r="S554" s="718"/>
      <c r="T554" s="719">
        <v>639936</v>
      </c>
      <c r="U554" s="721">
        <v>-9157</v>
      </c>
      <c r="V554" s="721">
        <v>630779</v>
      </c>
    </row>
    <row r="555" spans="1:22" x14ac:dyDescent="0.25">
      <c r="A555" s="715">
        <v>96081</v>
      </c>
      <c r="B555" s="716" t="s">
        <v>3087</v>
      </c>
      <c r="C555" s="717">
        <v>4.7820000000000002E-4</v>
      </c>
      <c r="D555" s="717">
        <v>4.3820000000000003E-4</v>
      </c>
      <c r="E555" s="718">
        <v>172267</v>
      </c>
      <c r="F555" s="718">
        <v>196662</v>
      </c>
      <c r="G555" s="718">
        <v>1014901</v>
      </c>
      <c r="H555" s="718"/>
      <c r="I555" s="719">
        <v>19068</v>
      </c>
      <c r="J555" s="719">
        <v>889376</v>
      </c>
      <c r="K555" s="719">
        <v>69512</v>
      </c>
      <c r="L555" s="718">
        <v>14379</v>
      </c>
      <c r="M555" s="718"/>
      <c r="N555" s="719">
        <v>35563</v>
      </c>
      <c r="O555" s="719">
        <v>328264</v>
      </c>
      <c r="P555" s="719">
        <v>0</v>
      </c>
      <c r="Q555" s="718">
        <v>6375</v>
      </c>
      <c r="R555" s="719">
        <f t="shared" si="8"/>
        <v>561112</v>
      </c>
      <c r="S555" s="718"/>
      <c r="T555" s="719">
        <v>271268</v>
      </c>
      <c r="U555" s="721">
        <v>4406</v>
      </c>
      <c r="V555" s="721">
        <v>275674</v>
      </c>
    </row>
    <row r="556" spans="1:22" x14ac:dyDescent="0.25">
      <c r="A556" s="715">
        <v>96101</v>
      </c>
      <c r="B556" s="716" t="s">
        <v>3088</v>
      </c>
      <c r="C556" s="717">
        <v>7.5860000000000001E-4</v>
      </c>
      <c r="D556" s="717">
        <v>7.6990000000000001E-4</v>
      </c>
      <c r="E556" s="718">
        <v>313732</v>
      </c>
      <c r="F556" s="718">
        <v>345527</v>
      </c>
      <c r="G556" s="718">
        <v>1610003</v>
      </c>
      <c r="H556" s="718"/>
      <c r="I556" s="719">
        <v>30249</v>
      </c>
      <c r="J556" s="719">
        <v>1410876</v>
      </c>
      <c r="K556" s="719">
        <v>110271</v>
      </c>
      <c r="L556" s="718">
        <v>31021</v>
      </c>
      <c r="M556" s="718"/>
      <c r="N556" s="719">
        <v>56416</v>
      </c>
      <c r="O556" s="719">
        <v>520747</v>
      </c>
      <c r="P556" s="719">
        <v>0</v>
      </c>
      <c r="Q556" s="718">
        <v>4721</v>
      </c>
      <c r="R556" s="719">
        <f t="shared" si="8"/>
        <v>890129</v>
      </c>
      <c r="S556" s="718"/>
      <c r="T556" s="719">
        <v>430330</v>
      </c>
      <c r="U556" s="721">
        <v>11900</v>
      </c>
      <c r="V556" s="721">
        <v>442230</v>
      </c>
    </row>
    <row r="557" spans="1:22" x14ac:dyDescent="0.25">
      <c r="A557" s="715">
        <v>96102</v>
      </c>
      <c r="B557" s="716" t="s">
        <v>3089</v>
      </c>
      <c r="C557" s="717">
        <v>1.42E-5</v>
      </c>
      <c r="D557" s="717">
        <v>1.3699999999999999E-5</v>
      </c>
      <c r="E557" s="718">
        <v>4769.91</v>
      </c>
      <c r="F557" s="718">
        <v>6148</v>
      </c>
      <c r="G557" s="718">
        <v>30137</v>
      </c>
      <c r="H557" s="718"/>
      <c r="I557" s="719">
        <v>566.22500000000002</v>
      </c>
      <c r="J557" s="719">
        <v>26410</v>
      </c>
      <c r="K557" s="719">
        <v>2064</v>
      </c>
      <c r="L557" s="718">
        <v>0</v>
      </c>
      <c r="M557" s="718"/>
      <c r="N557" s="719">
        <v>1056</v>
      </c>
      <c r="O557" s="719">
        <v>9748</v>
      </c>
      <c r="P557" s="719">
        <v>0</v>
      </c>
      <c r="Q557" s="718">
        <v>2903</v>
      </c>
      <c r="R557" s="719">
        <f t="shared" si="8"/>
        <v>16662</v>
      </c>
      <c r="S557" s="718"/>
      <c r="T557" s="719">
        <v>8055</v>
      </c>
      <c r="U557" s="721">
        <v>-1101</v>
      </c>
      <c r="V557" s="721">
        <v>6954</v>
      </c>
    </row>
    <row r="558" spans="1:22" x14ac:dyDescent="0.25">
      <c r="A558" s="715">
        <v>96111</v>
      </c>
      <c r="B558" s="716" t="s">
        <v>3090</v>
      </c>
      <c r="C558" s="717">
        <v>1.6119999999999999E-4</v>
      </c>
      <c r="D558" s="717">
        <v>1.616E-4</v>
      </c>
      <c r="E558" s="718">
        <v>70991.37</v>
      </c>
      <c r="F558" s="718">
        <v>72525</v>
      </c>
      <c r="G558" s="718">
        <v>342120</v>
      </c>
      <c r="H558" s="718"/>
      <c r="I558" s="719">
        <v>6428</v>
      </c>
      <c r="J558" s="719">
        <v>299807</v>
      </c>
      <c r="K558" s="719">
        <v>23432</v>
      </c>
      <c r="L558" s="718">
        <v>16577</v>
      </c>
      <c r="M558" s="718"/>
      <c r="N558" s="719">
        <v>11988</v>
      </c>
      <c r="O558" s="719">
        <v>110657</v>
      </c>
      <c r="P558" s="719">
        <v>0</v>
      </c>
      <c r="Q558" s="718">
        <v>0</v>
      </c>
      <c r="R558" s="719">
        <f t="shared" si="8"/>
        <v>189150</v>
      </c>
      <c r="S558" s="718"/>
      <c r="T558" s="719">
        <v>91444</v>
      </c>
      <c r="U558" s="721">
        <v>7175</v>
      </c>
      <c r="V558" s="721">
        <v>98618</v>
      </c>
    </row>
    <row r="559" spans="1:22" x14ac:dyDescent="0.25">
      <c r="A559" s="715">
        <v>96121</v>
      </c>
      <c r="B559" s="716" t="s">
        <v>3091</v>
      </c>
      <c r="C559" s="717">
        <v>2.2099999999999998E-5</v>
      </c>
      <c r="D559" s="717">
        <v>1.9199999999999999E-5</v>
      </c>
      <c r="E559" s="718">
        <v>7784.73</v>
      </c>
      <c r="F559" s="718">
        <v>8617</v>
      </c>
      <c r="G559" s="718">
        <v>46904</v>
      </c>
      <c r="H559" s="718"/>
      <c r="I559" s="719">
        <v>881.23749999999995</v>
      </c>
      <c r="J559" s="719">
        <v>41103</v>
      </c>
      <c r="K559" s="719">
        <v>3212</v>
      </c>
      <c r="L559" s="718">
        <v>535</v>
      </c>
      <c r="M559" s="718"/>
      <c r="N559" s="719">
        <v>1644</v>
      </c>
      <c r="O559" s="719">
        <v>15171</v>
      </c>
      <c r="P559" s="719">
        <v>0</v>
      </c>
      <c r="Q559" s="718">
        <v>1907</v>
      </c>
      <c r="R559" s="719">
        <f t="shared" si="8"/>
        <v>25932</v>
      </c>
      <c r="S559" s="718"/>
      <c r="T559" s="719">
        <v>12537</v>
      </c>
      <c r="U559" s="721">
        <v>-758</v>
      </c>
      <c r="V559" s="721">
        <v>11779</v>
      </c>
    </row>
    <row r="560" spans="1:22" x14ac:dyDescent="0.25">
      <c r="A560" s="715">
        <v>96201</v>
      </c>
      <c r="B560" s="716" t="s">
        <v>3092</v>
      </c>
      <c r="C560" s="717">
        <v>1.2302999999999999E-3</v>
      </c>
      <c r="D560" s="717">
        <v>1.2474000000000001E-3</v>
      </c>
      <c r="E560" s="718">
        <v>481242.57</v>
      </c>
      <c r="F560" s="718">
        <v>559826</v>
      </c>
      <c r="G560" s="718">
        <v>2611109</v>
      </c>
      <c r="H560" s="718"/>
      <c r="I560" s="719">
        <v>49058</v>
      </c>
      <c r="J560" s="719">
        <v>2288164</v>
      </c>
      <c r="K560" s="719">
        <v>178838</v>
      </c>
      <c r="L560" s="718">
        <v>0</v>
      </c>
      <c r="M560" s="718"/>
      <c r="N560" s="719">
        <v>91496</v>
      </c>
      <c r="O560" s="719">
        <v>844549</v>
      </c>
      <c r="P560" s="719">
        <v>0</v>
      </c>
      <c r="Q560" s="718">
        <v>39692</v>
      </c>
      <c r="R560" s="719">
        <f t="shared" si="8"/>
        <v>1443615</v>
      </c>
      <c r="S560" s="718"/>
      <c r="T560" s="719">
        <v>697911</v>
      </c>
      <c r="U560" s="721">
        <v>-11921</v>
      </c>
      <c r="V560" s="721">
        <v>685990</v>
      </c>
    </row>
    <row r="561" spans="1:22" x14ac:dyDescent="0.25">
      <c r="A561" s="715">
        <v>96204</v>
      </c>
      <c r="B561" s="716" t="s">
        <v>3093</v>
      </c>
      <c r="C561" s="717">
        <v>1.5400000000000002E-5</v>
      </c>
      <c r="D561" s="717">
        <v>1.49E-5</v>
      </c>
      <c r="E561" s="718">
        <v>7656</v>
      </c>
      <c r="F561" s="718">
        <v>6687</v>
      </c>
      <c r="G561" s="718">
        <v>32684</v>
      </c>
      <c r="H561" s="718"/>
      <c r="I561" s="719">
        <v>614</v>
      </c>
      <c r="J561" s="719">
        <v>28642</v>
      </c>
      <c r="K561" s="719">
        <v>2239</v>
      </c>
      <c r="L561" s="718">
        <v>3853</v>
      </c>
      <c r="M561" s="718"/>
      <c r="N561" s="719">
        <v>1145</v>
      </c>
      <c r="O561" s="719">
        <v>10571</v>
      </c>
      <c r="P561" s="719">
        <v>0</v>
      </c>
      <c r="Q561" s="718">
        <v>0</v>
      </c>
      <c r="R561" s="719">
        <f t="shared" si="8"/>
        <v>18071</v>
      </c>
      <c r="S561" s="718"/>
      <c r="T561" s="719">
        <v>8736</v>
      </c>
      <c r="U561" s="721">
        <v>1392</v>
      </c>
      <c r="V561" s="721">
        <v>10127</v>
      </c>
    </row>
    <row r="562" spans="1:22" x14ac:dyDescent="0.25">
      <c r="A562" s="715">
        <v>96211</v>
      </c>
      <c r="B562" s="716" t="s">
        <v>3094</v>
      </c>
      <c r="C562" s="717">
        <v>3.0700000000000001E-5</v>
      </c>
      <c r="D562" s="717">
        <v>2.7399999999999999E-5</v>
      </c>
      <c r="E562" s="718">
        <v>14055.49</v>
      </c>
      <c r="F562" s="718">
        <v>12297</v>
      </c>
      <c r="G562" s="718">
        <v>65156</v>
      </c>
      <c r="H562" s="718"/>
      <c r="I562" s="719">
        <v>1224</v>
      </c>
      <c r="J562" s="719">
        <v>57097</v>
      </c>
      <c r="K562" s="719">
        <v>4463</v>
      </c>
      <c r="L562" s="718">
        <v>5441</v>
      </c>
      <c r="M562" s="718"/>
      <c r="N562" s="719">
        <v>2283</v>
      </c>
      <c r="O562" s="719">
        <v>21074</v>
      </c>
      <c r="P562" s="719">
        <v>0</v>
      </c>
      <c r="Q562" s="718">
        <v>8968.93</v>
      </c>
      <c r="R562" s="719">
        <f t="shared" si="8"/>
        <v>36023</v>
      </c>
      <c r="S562" s="718"/>
      <c r="T562" s="719">
        <v>17415</v>
      </c>
      <c r="U562" s="721">
        <v>-2857</v>
      </c>
      <c r="V562" s="721">
        <v>14558</v>
      </c>
    </row>
    <row r="563" spans="1:22" x14ac:dyDescent="0.25">
      <c r="A563" s="715">
        <v>96221</v>
      </c>
      <c r="B563" s="716" t="s">
        <v>3095</v>
      </c>
      <c r="C563" s="717">
        <v>2.287E-4</v>
      </c>
      <c r="D563" s="717">
        <v>2.3719999999999999E-4</v>
      </c>
      <c r="E563" s="718">
        <v>88753.9</v>
      </c>
      <c r="F563" s="718">
        <v>106454</v>
      </c>
      <c r="G563" s="718">
        <v>485378</v>
      </c>
      <c r="H563" s="718"/>
      <c r="I563" s="719">
        <v>9119</v>
      </c>
      <c r="J563" s="719">
        <v>425346</v>
      </c>
      <c r="K563" s="719">
        <v>33244</v>
      </c>
      <c r="L563" s="718">
        <v>4903</v>
      </c>
      <c r="M563" s="718"/>
      <c r="N563" s="719">
        <v>17008</v>
      </c>
      <c r="O563" s="719">
        <v>156993</v>
      </c>
      <c r="P563" s="719">
        <v>0</v>
      </c>
      <c r="Q563" s="718">
        <v>16105</v>
      </c>
      <c r="R563" s="719">
        <f t="shared" si="8"/>
        <v>268353</v>
      </c>
      <c r="S563" s="718"/>
      <c r="T563" s="719">
        <v>129734</v>
      </c>
      <c r="U563" s="721">
        <v>-2405</v>
      </c>
      <c r="V563" s="721">
        <v>127329</v>
      </c>
    </row>
    <row r="564" spans="1:22" x14ac:dyDescent="0.25">
      <c r="A564" s="715">
        <v>96231</v>
      </c>
      <c r="B564" s="716" t="s">
        <v>3096</v>
      </c>
      <c r="C564" s="717">
        <v>1.145E-4</v>
      </c>
      <c r="D564" s="717">
        <v>1.2420000000000001E-4</v>
      </c>
      <c r="E564" s="718">
        <v>40508</v>
      </c>
      <c r="F564" s="718">
        <v>55740</v>
      </c>
      <c r="G564" s="718">
        <v>243007</v>
      </c>
      <c r="H564" s="718"/>
      <c r="I564" s="719">
        <v>4565.6875</v>
      </c>
      <c r="J564" s="719">
        <v>212952</v>
      </c>
      <c r="K564" s="719">
        <v>16644</v>
      </c>
      <c r="L564" s="718">
        <v>0</v>
      </c>
      <c r="M564" s="718"/>
      <c r="N564" s="719">
        <v>8515</v>
      </c>
      <c r="O564" s="719">
        <v>78599</v>
      </c>
      <c r="P564" s="719">
        <v>0</v>
      </c>
      <c r="Q564" s="718">
        <v>22692</v>
      </c>
      <c r="R564" s="719">
        <f t="shared" si="8"/>
        <v>134353</v>
      </c>
      <c r="S564" s="718"/>
      <c r="T564" s="719">
        <v>64952</v>
      </c>
      <c r="U564" s="721">
        <v>-7733</v>
      </c>
      <c r="V564" s="721">
        <v>57219</v>
      </c>
    </row>
    <row r="565" spans="1:22" x14ac:dyDescent="0.25">
      <c r="A565" s="715">
        <v>96241</v>
      </c>
      <c r="B565" s="716" t="s">
        <v>3097</v>
      </c>
      <c r="C565" s="717">
        <v>4.6100000000000002E-5</v>
      </c>
      <c r="D565" s="717">
        <v>5.7000000000000003E-5</v>
      </c>
      <c r="E565" s="718">
        <v>18964.25</v>
      </c>
      <c r="F565" s="718">
        <v>25581</v>
      </c>
      <c r="G565" s="718">
        <v>97840</v>
      </c>
      <c r="H565" s="718"/>
      <c r="I565" s="719">
        <v>1838</v>
      </c>
      <c r="J565" s="719">
        <v>85739</v>
      </c>
      <c r="K565" s="719">
        <v>6701</v>
      </c>
      <c r="L565" s="718">
        <v>7866</v>
      </c>
      <c r="M565" s="718"/>
      <c r="N565" s="719">
        <v>3428</v>
      </c>
      <c r="O565" s="719">
        <v>31646</v>
      </c>
      <c r="P565" s="719">
        <v>0</v>
      </c>
      <c r="Q565" s="718">
        <v>5900</v>
      </c>
      <c r="R565" s="719">
        <f t="shared" si="8"/>
        <v>54093</v>
      </c>
      <c r="S565" s="718"/>
      <c r="T565" s="719">
        <v>26151</v>
      </c>
      <c r="U565" s="721">
        <v>2187</v>
      </c>
      <c r="V565" s="721">
        <v>28338</v>
      </c>
    </row>
    <row r="566" spans="1:22" x14ac:dyDescent="0.25">
      <c r="A566" s="715">
        <v>96251</v>
      </c>
      <c r="B566" s="716" t="s">
        <v>3098</v>
      </c>
      <c r="C566" s="717">
        <v>7.7100000000000004E-5</v>
      </c>
      <c r="D566" s="717">
        <v>9.0699999999999996E-5</v>
      </c>
      <c r="E566" s="718">
        <v>29404.75</v>
      </c>
      <c r="F566" s="718">
        <v>40706</v>
      </c>
      <c r="G566" s="718">
        <v>163632</v>
      </c>
      <c r="H566" s="718"/>
      <c r="I566" s="719">
        <v>3074</v>
      </c>
      <c r="J566" s="719">
        <v>143394</v>
      </c>
      <c r="K566" s="719">
        <v>11207</v>
      </c>
      <c r="L566" s="718">
        <v>0</v>
      </c>
      <c r="M566" s="718"/>
      <c r="N566" s="719">
        <v>5734</v>
      </c>
      <c r="O566" s="719">
        <v>52926</v>
      </c>
      <c r="P566" s="719">
        <v>0</v>
      </c>
      <c r="Q566" s="718">
        <v>25538</v>
      </c>
      <c r="R566" s="719">
        <f t="shared" si="8"/>
        <v>90468</v>
      </c>
      <c r="S566" s="718"/>
      <c r="T566" s="719">
        <v>43736</v>
      </c>
      <c r="U566" s="721">
        <v>-8652</v>
      </c>
      <c r="V566" s="721">
        <v>35085</v>
      </c>
    </row>
    <row r="567" spans="1:22" x14ac:dyDescent="0.25">
      <c r="A567" s="715">
        <v>96301</v>
      </c>
      <c r="B567" s="716" t="s">
        <v>3099</v>
      </c>
      <c r="C567" s="717">
        <v>4.3785999999999999E-3</v>
      </c>
      <c r="D567" s="717">
        <v>4.5367999999999997E-3</v>
      </c>
      <c r="E567" s="718">
        <v>1765529</v>
      </c>
      <c r="F567" s="718">
        <v>2036089</v>
      </c>
      <c r="G567" s="718">
        <v>9292856</v>
      </c>
      <c r="H567" s="718"/>
      <c r="I567" s="719">
        <v>174597</v>
      </c>
      <c r="J567" s="719">
        <v>8143504</v>
      </c>
      <c r="K567" s="719">
        <v>636478</v>
      </c>
      <c r="L567" s="718">
        <v>94185</v>
      </c>
      <c r="M567" s="718"/>
      <c r="N567" s="719">
        <v>325632</v>
      </c>
      <c r="O567" s="719">
        <v>3005725</v>
      </c>
      <c r="P567" s="719">
        <v>0</v>
      </c>
      <c r="Q567" s="718">
        <v>147101</v>
      </c>
      <c r="R567" s="719">
        <f t="shared" si="8"/>
        <v>5137779</v>
      </c>
      <c r="S567" s="718"/>
      <c r="T567" s="719">
        <v>2483844</v>
      </c>
      <c r="U567" s="721">
        <v>-12863</v>
      </c>
      <c r="V567" s="721">
        <v>2470981</v>
      </c>
    </row>
    <row r="568" spans="1:22" x14ac:dyDescent="0.25">
      <c r="A568" s="715">
        <v>96302</v>
      </c>
      <c r="B568" s="716" t="s">
        <v>3100</v>
      </c>
      <c r="C568" s="717">
        <v>1.9199999999999999E-5</v>
      </c>
      <c r="D568" s="717">
        <v>1.42E-5</v>
      </c>
      <c r="E568" s="718">
        <v>6636.09</v>
      </c>
      <c r="F568" s="718">
        <v>6373</v>
      </c>
      <c r="G568" s="718">
        <v>40749</v>
      </c>
      <c r="H568" s="718"/>
      <c r="I568" s="719">
        <v>766</v>
      </c>
      <c r="J568" s="719">
        <v>35709</v>
      </c>
      <c r="K568" s="719">
        <v>2791</v>
      </c>
      <c r="L568" s="718">
        <v>4449</v>
      </c>
      <c r="M568" s="718"/>
      <c r="N568" s="719">
        <v>1428</v>
      </c>
      <c r="O568" s="719">
        <v>13180</v>
      </c>
      <c r="P568" s="719">
        <v>0</v>
      </c>
      <c r="Q568" s="718">
        <v>0</v>
      </c>
      <c r="R568" s="719">
        <f t="shared" si="8"/>
        <v>22529</v>
      </c>
      <c r="S568" s="718"/>
      <c r="T568" s="719">
        <v>10892</v>
      </c>
      <c r="U568" s="721">
        <v>1514</v>
      </c>
      <c r="V568" s="721">
        <v>12406</v>
      </c>
    </row>
    <row r="569" spans="1:22" x14ac:dyDescent="0.25">
      <c r="A569" s="715">
        <v>96304</v>
      </c>
      <c r="B569" s="716" t="s">
        <v>3101</v>
      </c>
      <c r="C569" s="717">
        <v>5.4599999999999999E-5</v>
      </c>
      <c r="D569" s="717">
        <v>5.24E-5</v>
      </c>
      <c r="E569" s="718">
        <v>25715.360000000001</v>
      </c>
      <c r="F569" s="718">
        <v>23517</v>
      </c>
      <c r="G569" s="718">
        <v>115879</v>
      </c>
      <c r="H569" s="718"/>
      <c r="I569" s="719">
        <v>2177</v>
      </c>
      <c r="J569" s="719">
        <v>101547</v>
      </c>
      <c r="K569" s="719">
        <v>7937</v>
      </c>
      <c r="L569" s="718">
        <v>7913</v>
      </c>
      <c r="M569" s="718"/>
      <c r="N569" s="719">
        <v>4061</v>
      </c>
      <c r="O569" s="719">
        <v>37481</v>
      </c>
      <c r="P569" s="719">
        <v>0</v>
      </c>
      <c r="Q569" s="718">
        <v>231</v>
      </c>
      <c r="R569" s="719">
        <f t="shared" si="8"/>
        <v>64066</v>
      </c>
      <c r="S569" s="718"/>
      <c r="T569" s="719">
        <v>30973</v>
      </c>
      <c r="U569" s="721">
        <v>2329</v>
      </c>
      <c r="V569" s="721">
        <v>33302</v>
      </c>
    </row>
    <row r="570" spans="1:22" x14ac:dyDescent="0.25">
      <c r="A570" s="715">
        <v>96305</v>
      </c>
      <c r="B570" s="716" t="s">
        <v>3102</v>
      </c>
      <c r="C570" s="717">
        <v>4.8199999999999999E-5</v>
      </c>
      <c r="D570" s="717">
        <v>5.0399999999999999E-5</v>
      </c>
      <c r="E570" s="718">
        <v>28361</v>
      </c>
      <c r="F570" s="718">
        <v>22619</v>
      </c>
      <c r="G570" s="718">
        <v>102297</v>
      </c>
      <c r="H570" s="718"/>
      <c r="I570" s="719">
        <v>1921.9749999999999</v>
      </c>
      <c r="J570" s="719">
        <v>89644</v>
      </c>
      <c r="K570" s="719">
        <v>7006</v>
      </c>
      <c r="L570" s="718">
        <v>10711</v>
      </c>
      <c r="M570" s="718"/>
      <c r="N570" s="719">
        <v>3585</v>
      </c>
      <c r="O570" s="719">
        <v>33087</v>
      </c>
      <c r="P570" s="719">
        <v>0</v>
      </c>
      <c r="Q570" s="718">
        <v>0</v>
      </c>
      <c r="R570" s="719">
        <f t="shared" si="8"/>
        <v>56557</v>
      </c>
      <c r="S570" s="718"/>
      <c r="T570" s="719">
        <v>27342</v>
      </c>
      <c r="U570" s="721">
        <v>3278</v>
      </c>
      <c r="V570" s="721">
        <v>30620</v>
      </c>
    </row>
    <row r="571" spans="1:22" x14ac:dyDescent="0.25">
      <c r="A571" s="715">
        <v>96310</v>
      </c>
      <c r="B571" s="716" t="s">
        <v>3103</v>
      </c>
      <c r="C571" s="717">
        <v>4.88E-5</v>
      </c>
      <c r="D571" s="717">
        <v>6.1299999999999999E-5</v>
      </c>
      <c r="E571" s="718">
        <v>23403</v>
      </c>
      <c r="F571" s="718">
        <v>27511</v>
      </c>
      <c r="G571" s="718">
        <v>103570</v>
      </c>
      <c r="H571" s="718"/>
      <c r="I571" s="719">
        <v>1945.9</v>
      </c>
      <c r="J571" s="719">
        <v>90760</v>
      </c>
      <c r="K571" s="719">
        <v>7094</v>
      </c>
      <c r="L571" s="718">
        <v>6056</v>
      </c>
      <c r="M571" s="718"/>
      <c r="N571" s="719">
        <v>3629</v>
      </c>
      <c r="O571" s="719">
        <v>33499</v>
      </c>
      <c r="P571" s="719">
        <v>0</v>
      </c>
      <c r="Q571" s="718">
        <v>4123</v>
      </c>
      <c r="R571" s="719">
        <f t="shared" si="8"/>
        <v>57261</v>
      </c>
      <c r="S571" s="718"/>
      <c r="T571" s="719">
        <v>27683</v>
      </c>
      <c r="U571" s="721">
        <v>1701</v>
      </c>
      <c r="V571" s="721">
        <v>29384</v>
      </c>
    </row>
    <row r="572" spans="1:22" x14ac:dyDescent="0.25">
      <c r="A572" s="715">
        <v>96311</v>
      </c>
      <c r="B572" s="716" t="s">
        <v>3104</v>
      </c>
      <c r="C572" s="717">
        <v>1.4082999999999999E-3</v>
      </c>
      <c r="D572" s="717">
        <v>1.4383E-3</v>
      </c>
      <c r="E572" s="718">
        <v>512325.3</v>
      </c>
      <c r="F572" s="718">
        <v>645500</v>
      </c>
      <c r="G572" s="718">
        <v>2988884</v>
      </c>
      <c r="H572" s="718"/>
      <c r="I572" s="719">
        <v>56156</v>
      </c>
      <c r="J572" s="719">
        <v>2619215</v>
      </c>
      <c r="K572" s="719">
        <v>204712</v>
      </c>
      <c r="L572" s="718">
        <v>22194.47</v>
      </c>
      <c r="M572" s="718"/>
      <c r="N572" s="719">
        <v>104734</v>
      </c>
      <c r="O572" s="719">
        <v>966739</v>
      </c>
      <c r="P572" s="719">
        <v>0</v>
      </c>
      <c r="Q572" s="718">
        <v>96281</v>
      </c>
      <c r="R572" s="719">
        <f t="shared" si="8"/>
        <v>1652476</v>
      </c>
      <c r="S572" s="718"/>
      <c r="T572" s="719">
        <v>798885</v>
      </c>
      <c r="U572" s="721">
        <v>-16365</v>
      </c>
      <c r="V572" s="721">
        <v>782520</v>
      </c>
    </row>
    <row r="573" spans="1:22" x14ac:dyDescent="0.25">
      <c r="A573" s="715">
        <v>96312</v>
      </c>
      <c r="B573" s="716" t="s">
        <v>3105</v>
      </c>
      <c r="C573" s="717">
        <v>1.5999999999999999E-6</v>
      </c>
      <c r="D573" s="717">
        <v>4.7999999999999998E-6</v>
      </c>
      <c r="E573" s="718">
        <v>1992</v>
      </c>
      <c r="F573" s="718">
        <v>2154</v>
      </c>
      <c r="G573" s="718">
        <v>3396</v>
      </c>
      <c r="H573" s="718"/>
      <c r="I573" s="719">
        <v>63.8</v>
      </c>
      <c r="J573" s="719">
        <v>2976</v>
      </c>
      <c r="K573" s="719">
        <v>233</v>
      </c>
      <c r="L573" s="718">
        <v>51</v>
      </c>
      <c r="M573" s="718"/>
      <c r="N573" s="719">
        <v>119</v>
      </c>
      <c r="O573" s="719">
        <v>1098</v>
      </c>
      <c r="P573" s="719">
        <v>0</v>
      </c>
      <c r="Q573" s="718">
        <v>3416</v>
      </c>
      <c r="R573" s="719">
        <f t="shared" si="8"/>
        <v>1878</v>
      </c>
      <c r="S573" s="718"/>
      <c r="T573" s="719">
        <v>908</v>
      </c>
      <c r="U573" s="721">
        <v>-1534</v>
      </c>
      <c r="V573" s="721">
        <v>-627</v>
      </c>
    </row>
    <row r="574" spans="1:22" x14ac:dyDescent="0.25">
      <c r="A574" s="715">
        <v>96318</v>
      </c>
      <c r="B574" s="716" t="s">
        <v>3106</v>
      </c>
      <c r="C574" s="717">
        <v>1.7782E-3</v>
      </c>
      <c r="D574" s="717">
        <v>0</v>
      </c>
      <c r="E574" s="718">
        <v>12089019</v>
      </c>
      <c r="F574" s="718">
        <v>0</v>
      </c>
      <c r="G574" s="718">
        <v>3773936</v>
      </c>
      <c r="H574" s="718"/>
      <c r="I574" s="719">
        <v>70906</v>
      </c>
      <c r="J574" s="719">
        <v>3307171</v>
      </c>
      <c r="K574" s="719">
        <v>258481</v>
      </c>
      <c r="L574" s="718">
        <v>9984043</v>
      </c>
      <c r="M574" s="718"/>
      <c r="N574" s="719">
        <v>132243</v>
      </c>
      <c r="O574" s="719">
        <v>1220660</v>
      </c>
      <c r="P574" s="719">
        <v>0</v>
      </c>
      <c r="Q574" s="718">
        <v>0</v>
      </c>
      <c r="R574" s="719">
        <f t="shared" si="8"/>
        <v>2086511</v>
      </c>
      <c r="S574" s="718"/>
      <c r="T574" s="719">
        <v>1008718</v>
      </c>
      <c r="U574" s="721">
        <v>2586540</v>
      </c>
      <c r="V574" s="721">
        <v>3595257</v>
      </c>
    </row>
    <row r="575" spans="1:22" x14ac:dyDescent="0.25">
      <c r="A575" s="715">
        <v>96321</v>
      </c>
      <c r="B575" s="716" t="s">
        <v>3107</v>
      </c>
      <c r="C575" s="717">
        <v>3.7400000000000001E-5</v>
      </c>
      <c r="D575" s="717">
        <v>3.9700000000000003E-5</v>
      </c>
      <c r="E575" s="718">
        <v>13314.68</v>
      </c>
      <c r="F575" s="718">
        <v>17817</v>
      </c>
      <c r="G575" s="718">
        <v>79375</v>
      </c>
      <c r="H575" s="718"/>
      <c r="I575" s="719">
        <v>1491.325</v>
      </c>
      <c r="J575" s="719">
        <v>69558</v>
      </c>
      <c r="K575" s="719">
        <v>5437</v>
      </c>
      <c r="L575" s="718">
        <v>837</v>
      </c>
      <c r="M575" s="718"/>
      <c r="N575" s="719">
        <v>2781</v>
      </c>
      <c r="O575" s="719">
        <v>25674</v>
      </c>
      <c r="P575" s="719">
        <v>0</v>
      </c>
      <c r="Q575" s="718">
        <v>3510</v>
      </c>
      <c r="R575" s="719">
        <f t="shared" si="8"/>
        <v>43884</v>
      </c>
      <c r="S575" s="718"/>
      <c r="T575" s="719">
        <v>21216</v>
      </c>
      <c r="U575" s="721">
        <v>-764</v>
      </c>
      <c r="V575" s="721">
        <v>20452</v>
      </c>
    </row>
    <row r="576" spans="1:22" x14ac:dyDescent="0.25">
      <c r="A576" s="715">
        <v>96331</v>
      </c>
      <c r="B576" s="716" t="s">
        <v>3108</v>
      </c>
      <c r="C576" s="717">
        <v>7.1699999999999997E-4</v>
      </c>
      <c r="D576" s="717">
        <v>7.6110000000000001E-4</v>
      </c>
      <c r="E576" s="718">
        <v>265185</v>
      </c>
      <c r="F576" s="718">
        <v>341577</v>
      </c>
      <c r="G576" s="718">
        <v>1521714</v>
      </c>
      <c r="H576" s="718"/>
      <c r="I576" s="719">
        <v>28590.375</v>
      </c>
      <c r="J576" s="719">
        <v>1333507</v>
      </c>
      <c r="K576" s="719">
        <v>104224</v>
      </c>
      <c r="L576" s="718">
        <v>4814</v>
      </c>
      <c r="M576" s="718"/>
      <c r="N576" s="719">
        <v>53323</v>
      </c>
      <c r="O576" s="719">
        <v>492190</v>
      </c>
      <c r="P576" s="719">
        <v>0</v>
      </c>
      <c r="Q576" s="718">
        <v>66351</v>
      </c>
      <c r="R576" s="719">
        <f t="shared" si="8"/>
        <v>841317</v>
      </c>
      <c r="S576" s="718"/>
      <c r="T576" s="719">
        <v>406732</v>
      </c>
      <c r="U576" s="721">
        <v>-20081</v>
      </c>
      <c r="V576" s="721">
        <v>386651</v>
      </c>
    </row>
    <row r="577" spans="1:22" x14ac:dyDescent="0.25">
      <c r="A577" s="715">
        <v>96341</v>
      </c>
      <c r="B577" s="716" t="s">
        <v>3109</v>
      </c>
      <c r="C577" s="717">
        <v>9.1600000000000004E-5</v>
      </c>
      <c r="D577" s="717">
        <v>8.0799999999999999E-5</v>
      </c>
      <c r="E577" s="718">
        <v>32432</v>
      </c>
      <c r="F577" s="718">
        <v>36263</v>
      </c>
      <c r="G577" s="718">
        <v>194406</v>
      </c>
      <c r="H577" s="718"/>
      <c r="I577" s="719">
        <v>3652.55</v>
      </c>
      <c r="J577" s="719">
        <v>170362</v>
      </c>
      <c r="K577" s="719">
        <v>13315</v>
      </c>
      <c r="L577" s="718">
        <v>13221</v>
      </c>
      <c r="M577" s="718"/>
      <c r="N577" s="719">
        <v>6812</v>
      </c>
      <c r="O577" s="719">
        <v>62880</v>
      </c>
      <c r="P577" s="719">
        <v>0</v>
      </c>
      <c r="Q577" s="718">
        <v>11187.78</v>
      </c>
      <c r="R577" s="719">
        <f t="shared" si="8"/>
        <v>107482</v>
      </c>
      <c r="S577" s="718"/>
      <c r="T577" s="719">
        <v>51962</v>
      </c>
      <c r="U577" s="721">
        <v>-1095</v>
      </c>
      <c r="V577" s="721">
        <v>50867</v>
      </c>
    </row>
    <row r="578" spans="1:22" x14ac:dyDescent="0.25">
      <c r="A578" s="715">
        <v>96351</v>
      </c>
      <c r="B578" s="716" t="s">
        <v>3110</v>
      </c>
      <c r="C578" s="717">
        <v>1.0736000000000001E-3</v>
      </c>
      <c r="D578" s="717">
        <v>1.0939999999999999E-3</v>
      </c>
      <c r="E578" s="718">
        <v>419131</v>
      </c>
      <c r="F578" s="718">
        <v>490981</v>
      </c>
      <c r="G578" s="718">
        <v>2278539</v>
      </c>
      <c r="H578" s="718"/>
      <c r="I578" s="719">
        <v>42809.8</v>
      </c>
      <c r="J578" s="719">
        <v>1996726</v>
      </c>
      <c r="K578" s="719">
        <v>156060</v>
      </c>
      <c r="L578" s="718">
        <v>9467</v>
      </c>
      <c r="M578" s="718"/>
      <c r="N578" s="719">
        <v>79843</v>
      </c>
      <c r="O578" s="719">
        <v>736981</v>
      </c>
      <c r="P578" s="719">
        <v>0</v>
      </c>
      <c r="Q578" s="718">
        <v>28826</v>
      </c>
      <c r="R578" s="719">
        <f t="shared" si="8"/>
        <v>1259745</v>
      </c>
      <c r="S578" s="718"/>
      <c r="T578" s="719">
        <v>609020</v>
      </c>
      <c r="U578" s="721">
        <v>-3422</v>
      </c>
      <c r="V578" s="721">
        <v>605598</v>
      </c>
    </row>
    <row r="579" spans="1:22" x14ac:dyDescent="0.25">
      <c r="A579" s="715">
        <v>96361</v>
      </c>
      <c r="B579" s="716" t="s">
        <v>3111</v>
      </c>
      <c r="C579" s="717">
        <v>5.8900000000000002E-5</v>
      </c>
      <c r="D579" s="717">
        <v>4.8999999999999998E-5</v>
      </c>
      <c r="E579" s="718">
        <v>21511</v>
      </c>
      <c r="F579" s="718">
        <v>21991</v>
      </c>
      <c r="G579" s="718">
        <v>125006</v>
      </c>
      <c r="H579" s="718"/>
      <c r="I579" s="719">
        <v>2349</v>
      </c>
      <c r="J579" s="719">
        <v>109545</v>
      </c>
      <c r="K579" s="719">
        <v>8562</v>
      </c>
      <c r="L579" s="718">
        <v>5269</v>
      </c>
      <c r="M579" s="718"/>
      <c r="N579" s="719">
        <v>4380</v>
      </c>
      <c r="O579" s="719">
        <v>40432</v>
      </c>
      <c r="P579" s="719">
        <v>0</v>
      </c>
      <c r="Q579" s="718">
        <v>390</v>
      </c>
      <c r="R579" s="719">
        <f t="shared" si="8"/>
        <v>69113</v>
      </c>
      <c r="S579" s="718"/>
      <c r="T579" s="719">
        <v>33412</v>
      </c>
      <c r="U579" s="721">
        <v>1728</v>
      </c>
      <c r="V579" s="721">
        <v>35140</v>
      </c>
    </row>
    <row r="580" spans="1:22" x14ac:dyDescent="0.25">
      <c r="A580" s="715">
        <v>96371</v>
      </c>
      <c r="B580" s="716" t="s">
        <v>3112</v>
      </c>
      <c r="C580" s="717">
        <v>1.6359999999999999E-4</v>
      </c>
      <c r="D580" s="717">
        <v>1.6760000000000001E-4</v>
      </c>
      <c r="E580" s="718">
        <v>62917</v>
      </c>
      <c r="F580" s="718">
        <v>75218</v>
      </c>
      <c r="G580" s="718">
        <v>347214</v>
      </c>
      <c r="H580" s="718"/>
      <c r="I580" s="719">
        <v>6524</v>
      </c>
      <c r="J580" s="719">
        <v>304270</v>
      </c>
      <c r="K580" s="719">
        <v>23781</v>
      </c>
      <c r="L580" s="718">
        <v>2683</v>
      </c>
      <c r="M580" s="718"/>
      <c r="N580" s="719">
        <v>12167</v>
      </c>
      <c r="O580" s="719">
        <v>112305</v>
      </c>
      <c r="P580" s="719">
        <v>0</v>
      </c>
      <c r="Q580" s="718">
        <v>7435</v>
      </c>
      <c r="R580" s="719">
        <f t="shared" si="8"/>
        <v>191965</v>
      </c>
      <c r="S580" s="718"/>
      <c r="T580" s="719">
        <v>92805</v>
      </c>
      <c r="U580" s="721">
        <v>-750</v>
      </c>
      <c r="V580" s="721">
        <v>92055</v>
      </c>
    </row>
    <row r="581" spans="1:22" x14ac:dyDescent="0.25">
      <c r="A581" s="715">
        <v>96381</v>
      </c>
      <c r="B581" s="716" t="s">
        <v>3113</v>
      </c>
      <c r="C581" s="717">
        <v>3.26E-5</v>
      </c>
      <c r="D581" s="717">
        <v>2.9600000000000001E-5</v>
      </c>
      <c r="E581" s="718">
        <v>11485.45</v>
      </c>
      <c r="F581" s="718">
        <v>13284</v>
      </c>
      <c r="G581" s="718">
        <v>69188</v>
      </c>
      <c r="H581" s="718"/>
      <c r="I581" s="719">
        <v>1299.925</v>
      </c>
      <c r="J581" s="719">
        <v>60631</v>
      </c>
      <c r="K581" s="719">
        <v>4739</v>
      </c>
      <c r="L581" s="718">
        <v>99</v>
      </c>
      <c r="M581" s="718"/>
      <c r="N581" s="719">
        <v>2424</v>
      </c>
      <c r="O581" s="719">
        <v>22379</v>
      </c>
      <c r="P581" s="719">
        <v>0</v>
      </c>
      <c r="Q581" s="718">
        <v>3089</v>
      </c>
      <c r="R581" s="719">
        <f t="shared" si="8"/>
        <v>38252</v>
      </c>
      <c r="S581" s="718"/>
      <c r="T581" s="719">
        <v>18493</v>
      </c>
      <c r="U581" s="721">
        <v>-1205</v>
      </c>
      <c r="V581" s="721">
        <v>17288</v>
      </c>
    </row>
    <row r="582" spans="1:22" x14ac:dyDescent="0.25">
      <c r="A582" s="715">
        <v>96391</v>
      </c>
      <c r="B582" s="716" t="s">
        <v>3114</v>
      </c>
      <c r="C582" s="717">
        <v>1.807E-4</v>
      </c>
      <c r="D582" s="717">
        <v>1.9450000000000001E-4</v>
      </c>
      <c r="E582" s="718">
        <v>66063</v>
      </c>
      <c r="F582" s="718">
        <v>87290</v>
      </c>
      <c r="G582" s="718">
        <v>383506</v>
      </c>
      <c r="H582" s="718"/>
      <c r="I582" s="719">
        <v>7205</v>
      </c>
      <c r="J582" s="719">
        <v>336073</v>
      </c>
      <c r="K582" s="719">
        <v>26267</v>
      </c>
      <c r="L582" s="718">
        <v>19760.7</v>
      </c>
      <c r="M582" s="718"/>
      <c r="N582" s="719">
        <v>13438</v>
      </c>
      <c r="O582" s="719">
        <v>124043</v>
      </c>
      <c r="P582" s="719">
        <v>0</v>
      </c>
      <c r="Q582" s="718">
        <v>26107</v>
      </c>
      <c r="R582" s="719">
        <f t="shared" si="8"/>
        <v>212030</v>
      </c>
      <c r="S582" s="718"/>
      <c r="T582" s="719">
        <v>102506</v>
      </c>
      <c r="U582" s="721">
        <v>2012</v>
      </c>
      <c r="V582" s="721">
        <v>104518</v>
      </c>
    </row>
    <row r="583" spans="1:22" x14ac:dyDescent="0.25">
      <c r="A583" s="715">
        <v>96401</v>
      </c>
      <c r="B583" s="716" t="s">
        <v>3115</v>
      </c>
      <c r="C583" s="717">
        <v>4.5900000000000003E-3</v>
      </c>
      <c r="D583" s="717">
        <v>4.5434999999999998E-3</v>
      </c>
      <c r="E583" s="718">
        <v>1835552.26</v>
      </c>
      <c r="F583" s="718">
        <v>2039096</v>
      </c>
      <c r="G583" s="718">
        <v>9741518</v>
      </c>
      <c r="H583" s="718"/>
      <c r="I583" s="719">
        <v>183026.25</v>
      </c>
      <c r="J583" s="719">
        <v>8536675</v>
      </c>
      <c r="K583" s="719">
        <v>667206.99</v>
      </c>
      <c r="L583" s="718">
        <v>31898</v>
      </c>
      <c r="M583" s="718"/>
      <c r="N583" s="719">
        <v>341353.71</v>
      </c>
      <c r="O583" s="719">
        <v>3150842.22</v>
      </c>
      <c r="P583" s="719">
        <v>0</v>
      </c>
      <c r="Q583" s="718">
        <v>37434</v>
      </c>
      <c r="R583" s="719">
        <f t="shared" ref="R583:R646" si="9">IF(J583&gt;O583,J583-O583,O583-J583)</f>
        <v>5385833</v>
      </c>
      <c r="S583" s="718"/>
      <c r="T583" s="719">
        <v>2603764.71</v>
      </c>
      <c r="U583" s="721">
        <v>4298</v>
      </c>
      <c r="V583" s="721">
        <v>2608063</v>
      </c>
    </row>
    <row r="584" spans="1:22" x14ac:dyDescent="0.25">
      <c r="A584" s="715">
        <v>96404</v>
      </c>
      <c r="B584" s="716" t="s">
        <v>3116</v>
      </c>
      <c r="C584" s="717">
        <v>9.8800000000000003E-5</v>
      </c>
      <c r="D584" s="717">
        <v>8.92E-5</v>
      </c>
      <c r="E584" s="718">
        <v>49336.67</v>
      </c>
      <c r="F584" s="718">
        <v>40032</v>
      </c>
      <c r="G584" s="718">
        <v>209687</v>
      </c>
      <c r="H584" s="718"/>
      <c r="I584" s="719">
        <v>3939.65</v>
      </c>
      <c r="J584" s="719">
        <v>183752</v>
      </c>
      <c r="K584" s="719">
        <v>14362</v>
      </c>
      <c r="L584" s="718">
        <v>23586</v>
      </c>
      <c r="M584" s="718"/>
      <c r="N584" s="719">
        <v>7348</v>
      </c>
      <c r="O584" s="719">
        <v>67822</v>
      </c>
      <c r="P584" s="719">
        <v>0</v>
      </c>
      <c r="Q584" s="718">
        <v>0</v>
      </c>
      <c r="R584" s="719">
        <f t="shared" si="9"/>
        <v>115930</v>
      </c>
      <c r="S584" s="718"/>
      <c r="T584" s="719">
        <v>56046</v>
      </c>
      <c r="U584" s="721">
        <v>7753</v>
      </c>
      <c r="V584" s="721">
        <v>63799</v>
      </c>
    </row>
    <row r="585" spans="1:22" x14ac:dyDescent="0.25">
      <c r="A585" s="715">
        <v>96405</v>
      </c>
      <c r="B585" s="716" t="s">
        <v>3117</v>
      </c>
      <c r="C585" s="717">
        <v>1.7760000000000001E-4</v>
      </c>
      <c r="D585" s="717">
        <v>1.942E-4</v>
      </c>
      <c r="E585" s="718">
        <v>83528</v>
      </c>
      <c r="F585" s="718">
        <v>87156</v>
      </c>
      <c r="G585" s="718">
        <v>376927</v>
      </c>
      <c r="H585" s="718"/>
      <c r="I585" s="719">
        <v>7081.8</v>
      </c>
      <c r="J585" s="719">
        <v>330308</v>
      </c>
      <c r="K585" s="719">
        <v>25816</v>
      </c>
      <c r="L585" s="718">
        <v>15838</v>
      </c>
      <c r="M585" s="718"/>
      <c r="N585" s="719">
        <v>13208</v>
      </c>
      <c r="O585" s="719">
        <v>121915</v>
      </c>
      <c r="P585" s="719">
        <v>0</v>
      </c>
      <c r="Q585" s="718">
        <v>2411</v>
      </c>
      <c r="R585" s="719">
        <f t="shared" si="9"/>
        <v>208393</v>
      </c>
      <c r="S585" s="718"/>
      <c r="T585" s="719">
        <v>100747</v>
      </c>
      <c r="U585" s="721">
        <v>4565</v>
      </c>
      <c r="V585" s="721">
        <v>105312</v>
      </c>
    </row>
    <row r="586" spans="1:22" x14ac:dyDescent="0.25">
      <c r="A586" s="715">
        <v>96411</v>
      </c>
      <c r="B586" s="716" t="s">
        <v>3118</v>
      </c>
      <c r="C586" s="717">
        <v>5.66E-5</v>
      </c>
      <c r="D586" s="717">
        <v>6.6699999999999995E-5</v>
      </c>
      <c r="E586" s="718">
        <v>25222</v>
      </c>
      <c r="F586" s="718">
        <v>29935</v>
      </c>
      <c r="G586" s="718">
        <v>120124</v>
      </c>
      <c r="H586" s="718"/>
      <c r="I586" s="719">
        <v>2257</v>
      </c>
      <c r="J586" s="719">
        <v>105267</v>
      </c>
      <c r="K586" s="719">
        <v>8227</v>
      </c>
      <c r="L586" s="718">
        <v>8181</v>
      </c>
      <c r="M586" s="718"/>
      <c r="N586" s="719">
        <v>4209</v>
      </c>
      <c r="O586" s="719">
        <v>38854</v>
      </c>
      <c r="P586" s="719">
        <v>0</v>
      </c>
      <c r="Q586" s="718">
        <v>6127</v>
      </c>
      <c r="R586" s="719">
        <f t="shared" si="9"/>
        <v>66413</v>
      </c>
      <c r="S586" s="718"/>
      <c r="T586" s="719">
        <v>32107</v>
      </c>
      <c r="U586" s="721">
        <v>778</v>
      </c>
      <c r="V586" s="721">
        <v>32885</v>
      </c>
    </row>
    <row r="587" spans="1:22" x14ac:dyDescent="0.25">
      <c r="A587" s="715">
        <v>96421</v>
      </c>
      <c r="B587" s="716" t="s">
        <v>3119</v>
      </c>
      <c r="C587" s="717">
        <v>4.2860000000000001E-4</v>
      </c>
      <c r="D587" s="717">
        <v>4.6069999999999998E-4</v>
      </c>
      <c r="E587" s="718">
        <v>149902.97</v>
      </c>
      <c r="F587" s="718">
        <v>206759</v>
      </c>
      <c r="G587" s="718">
        <v>909633</v>
      </c>
      <c r="H587" s="718"/>
      <c r="I587" s="719">
        <v>17090</v>
      </c>
      <c r="J587" s="719">
        <v>797128</v>
      </c>
      <c r="K587" s="719">
        <v>62302</v>
      </c>
      <c r="L587" s="718">
        <v>0</v>
      </c>
      <c r="M587" s="718"/>
      <c r="N587" s="719">
        <v>31875</v>
      </c>
      <c r="O587" s="719">
        <v>294216</v>
      </c>
      <c r="P587" s="719">
        <v>0</v>
      </c>
      <c r="Q587" s="718">
        <v>86301</v>
      </c>
      <c r="R587" s="719">
        <f t="shared" si="9"/>
        <v>502912</v>
      </c>
      <c r="S587" s="718"/>
      <c r="T587" s="719">
        <v>243131</v>
      </c>
      <c r="U587" s="721">
        <v>-29627</v>
      </c>
      <c r="V587" s="721">
        <v>213504</v>
      </c>
    </row>
    <row r="588" spans="1:22" x14ac:dyDescent="0.25">
      <c r="A588" s="715">
        <v>96431</v>
      </c>
      <c r="B588" s="716" t="s">
        <v>3120</v>
      </c>
      <c r="C588" s="717">
        <v>5.6100000000000002E-5</v>
      </c>
      <c r="D588" s="717">
        <v>3.9400000000000002E-5</v>
      </c>
      <c r="E588" s="718">
        <v>22346.13</v>
      </c>
      <c r="F588" s="718">
        <v>17682</v>
      </c>
      <c r="G588" s="718">
        <v>119063</v>
      </c>
      <c r="H588" s="718"/>
      <c r="I588" s="719">
        <v>2237</v>
      </c>
      <c r="J588" s="719">
        <v>104337</v>
      </c>
      <c r="K588" s="719">
        <v>8155</v>
      </c>
      <c r="L588" s="718">
        <v>8471</v>
      </c>
      <c r="M588" s="718"/>
      <c r="N588" s="719">
        <v>4172</v>
      </c>
      <c r="O588" s="719">
        <v>38510</v>
      </c>
      <c r="P588" s="719">
        <v>0</v>
      </c>
      <c r="Q588" s="718">
        <v>4421</v>
      </c>
      <c r="R588" s="719">
        <f t="shared" si="9"/>
        <v>65827</v>
      </c>
      <c r="S588" s="718"/>
      <c r="T588" s="719">
        <v>31824</v>
      </c>
      <c r="U588" s="721">
        <v>305</v>
      </c>
      <c r="V588" s="721">
        <v>32128</v>
      </c>
    </row>
    <row r="589" spans="1:22" x14ac:dyDescent="0.25">
      <c r="A589" s="715">
        <v>96441</v>
      </c>
      <c r="B589" s="716" t="s">
        <v>3121</v>
      </c>
      <c r="C589" s="717">
        <v>3.1199999999999999E-5</v>
      </c>
      <c r="D589" s="717">
        <v>3.9100000000000002E-5</v>
      </c>
      <c r="E589" s="718">
        <v>18068.97</v>
      </c>
      <c r="F589" s="718">
        <v>17548</v>
      </c>
      <c r="G589" s="718">
        <v>66217</v>
      </c>
      <c r="H589" s="718"/>
      <c r="I589" s="719">
        <v>1244</v>
      </c>
      <c r="J589" s="719">
        <v>58027</v>
      </c>
      <c r="K589" s="719">
        <v>4535</v>
      </c>
      <c r="L589" s="718">
        <v>6875</v>
      </c>
      <c r="M589" s="718"/>
      <c r="N589" s="719">
        <v>2320</v>
      </c>
      <c r="O589" s="719">
        <v>21417</v>
      </c>
      <c r="P589" s="719">
        <v>0</v>
      </c>
      <c r="Q589" s="718">
        <v>826</v>
      </c>
      <c r="R589" s="719">
        <f t="shared" si="9"/>
        <v>36610</v>
      </c>
      <c r="S589" s="718"/>
      <c r="T589" s="719">
        <v>17699</v>
      </c>
      <c r="U589" s="721">
        <v>2052</v>
      </c>
      <c r="V589" s="721">
        <v>19751</v>
      </c>
    </row>
    <row r="590" spans="1:22" x14ac:dyDescent="0.25">
      <c r="A590" s="715">
        <v>96451</v>
      </c>
      <c r="B590" s="716" t="s">
        <v>3122</v>
      </c>
      <c r="C590" s="717">
        <v>1.38E-5</v>
      </c>
      <c r="D590" s="717">
        <v>8.8999999999999995E-6</v>
      </c>
      <c r="E590" s="718">
        <v>6880</v>
      </c>
      <c r="F590" s="718">
        <v>3994</v>
      </c>
      <c r="G590" s="718">
        <v>29288</v>
      </c>
      <c r="H590" s="718"/>
      <c r="I590" s="719">
        <v>550.27499999999998</v>
      </c>
      <c r="J590" s="719">
        <v>25666</v>
      </c>
      <c r="K590" s="719">
        <v>2006</v>
      </c>
      <c r="L590" s="718">
        <v>3611</v>
      </c>
      <c r="M590" s="718"/>
      <c r="N590" s="719">
        <v>1026</v>
      </c>
      <c r="O590" s="719">
        <v>9473</v>
      </c>
      <c r="P590" s="719">
        <v>0</v>
      </c>
      <c r="Q590" s="718">
        <v>2200</v>
      </c>
      <c r="R590" s="719">
        <f t="shared" si="9"/>
        <v>16193</v>
      </c>
      <c r="S590" s="718"/>
      <c r="T590" s="719">
        <v>7828</v>
      </c>
      <c r="U590" s="721">
        <v>55</v>
      </c>
      <c r="V590" s="721">
        <v>7883</v>
      </c>
    </row>
    <row r="591" spans="1:22" x14ac:dyDescent="0.25">
      <c r="A591" s="715">
        <v>96461</v>
      </c>
      <c r="B591" s="716" t="s">
        <v>3123</v>
      </c>
      <c r="C591" s="717">
        <v>1.3410000000000001E-4</v>
      </c>
      <c r="D591" s="717">
        <v>1.6129999999999999E-4</v>
      </c>
      <c r="E591" s="718">
        <v>60539</v>
      </c>
      <c r="F591" s="718">
        <v>72390</v>
      </c>
      <c r="G591" s="718">
        <v>284605</v>
      </c>
      <c r="H591" s="718"/>
      <c r="I591" s="719">
        <v>5347</v>
      </c>
      <c r="J591" s="719">
        <v>249405</v>
      </c>
      <c r="K591" s="719">
        <v>19493</v>
      </c>
      <c r="L591" s="718">
        <v>8046</v>
      </c>
      <c r="M591" s="718"/>
      <c r="N591" s="719">
        <v>9973</v>
      </c>
      <c r="O591" s="719">
        <v>92054</v>
      </c>
      <c r="P591" s="719">
        <v>0</v>
      </c>
      <c r="Q591" s="718">
        <v>27042</v>
      </c>
      <c r="R591" s="719">
        <f t="shared" si="9"/>
        <v>157351</v>
      </c>
      <c r="S591" s="718"/>
      <c r="T591" s="719">
        <v>76071</v>
      </c>
      <c r="U591" s="721">
        <v>-4548</v>
      </c>
      <c r="V591" s="721">
        <v>71523</v>
      </c>
    </row>
    <row r="592" spans="1:22" x14ac:dyDescent="0.25">
      <c r="A592" s="715">
        <v>96501</v>
      </c>
      <c r="B592" s="716" t="s">
        <v>3124</v>
      </c>
      <c r="C592" s="717">
        <v>1.4156999999999999E-2</v>
      </c>
      <c r="D592" s="717">
        <v>1.4844599999999999E-2</v>
      </c>
      <c r="E592" s="718">
        <v>5793175</v>
      </c>
      <c r="F592" s="718">
        <v>6662167</v>
      </c>
      <c r="G592" s="718">
        <v>30045897</v>
      </c>
      <c r="H592" s="718"/>
      <c r="I592" s="719">
        <v>564510</v>
      </c>
      <c r="J592" s="719">
        <v>26329783</v>
      </c>
      <c r="K592" s="719">
        <v>2057876</v>
      </c>
      <c r="L592" s="718">
        <v>597577</v>
      </c>
      <c r="M592" s="718"/>
      <c r="N592" s="719">
        <v>1052842</v>
      </c>
      <c r="O592" s="719">
        <v>9718186</v>
      </c>
      <c r="P592" s="719">
        <v>0</v>
      </c>
      <c r="Q592" s="718">
        <v>395352</v>
      </c>
      <c r="R592" s="719">
        <f t="shared" si="9"/>
        <v>16611597</v>
      </c>
      <c r="S592" s="718"/>
      <c r="T592" s="719">
        <v>8030827</v>
      </c>
      <c r="U592" s="721">
        <v>146416</v>
      </c>
      <c r="V592" s="721">
        <v>8177243</v>
      </c>
    </row>
    <row r="593" spans="1:22" x14ac:dyDescent="0.25">
      <c r="A593" s="715">
        <v>96502</v>
      </c>
      <c r="B593" s="716" t="s">
        <v>3125</v>
      </c>
      <c r="C593" s="717">
        <v>4.2309999999999998E-4</v>
      </c>
      <c r="D593" s="717">
        <v>3.9639999999999999E-4</v>
      </c>
      <c r="E593" s="718">
        <v>180923</v>
      </c>
      <c r="F593" s="718">
        <v>177902</v>
      </c>
      <c r="G593" s="718">
        <v>897960</v>
      </c>
      <c r="H593" s="718"/>
      <c r="I593" s="719">
        <v>16871</v>
      </c>
      <c r="J593" s="719">
        <v>786899</v>
      </c>
      <c r="K593" s="719">
        <v>61502</v>
      </c>
      <c r="L593" s="718">
        <v>58143</v>
      </c>
      <c r="M593" s="718"/>
      <c r="N593" s="719">
        <v>31466</v>
      </c>
      <c r="O593" s="719">
        <v>290440</v>
      </c>
      <c r="P593" s="719">
        <v>0</v>
      </c>
      <c r="Q593" s="718">
        <v>0</v>
      </c>
      <c r="R593" s="719">
        <f t="shared" si="9"/>
        <v>496459</v>
      </c>
      <c r="S593" s="718"/>
      <c r="T593" s="719">
        <v>240012</v>
      </c>
      <c r="U593" s="721">
        <v>22314</v>
      </c>
      <c r="V593" s="721">
        <v>262325</v>
      </c>
    </row>
    <row r="594" spans="1:22" x14ac:dyDescent="0.25">
      <c r="A594" s="715">
        <v>96503</v>
      </c>
      <c r="B594" s="716" t="s">
        <v>3126</v>
      </c>
      <c r="C594" s="717">
        <v>3.3700000000000001E-4</v>
      </c>
      <c r="D594" s="717">
        <v>3.746E-4</v>
      </c>
      <c r="E594" s="718">
        <v>297528.38</v>
      </c>
      <c r="F594" s="718">
        <v>168118</v>
      </c>
      <c r="G594" s="718">
        <v>715227</v>
      </c>
      <c r="H594" s="718"/>
      <c r="I594" s="719">
        <v>13437.875</v>
      </c>
      <c r="J594" s="719">
        <v>626767</v>
      </c>
      <c r="K594" s="719">
        <v>48987</v>
      </c>
      <c r="L594" s="718">
        <v>200924</v>
      </c>
      <c r="M594" s="718"/>
      <c r="N594" s="719">
        <v>25062</v>
      </c>
      <c r="O594" s="719">
        <v>231336</v>
      </c>
      <c r="P594" s="719">
        <v>0</v>
      </c>
      <c r="Q594" s="718">
        <v>29898</v>
      </c>
      <c r="R594" s="719">
        <f t="shared" si="9"/>
        <v>395431</v>
      </c>
      <c r="S594" s="718"/>
      <c r="T594" s="719">
        <v>191170</v>
      </c>
      <c r="U594" s="721">
        <v>46111</v>
      </c>
      <c r="V594" s="721">
        <v>237280</v>
      </c>
    </row>
    <row r="595" spans="1:22" x14ac:dyDescent="0.25">
      <c r="A595" s="715">
        <v>96504</v>
      </c>
      <c r="B595" s="716" t="s">
        <v>3127</v>
      </c>
      <c r="C595" s="717">
        <v>3.6039999999999998E-4</v>
      </c>
      <c r="D595" s="717">
        <v>3.7149999999999998E-4</v>
      </c>
      <c r="E595" s="718">
        <v>148639.46</v>
      </c>
      <c r="F595" s="718">
        <v>166727</v>
      </c>
      <c r="G595" s="718">
        <v>764890</v>
      </c>
      <c r="H595" s="718"/>
      <c r="I595" s="719">
        <v>14371</v>
      </c>
      <c r="J595" s="719">
        <v>670287</v>
      </c>
      <c r="K595" s="719">
        <v>52388</v>
      </c>
      <c r="L595" s="718">
        <v>11269</v>
      </c>
      <c r="M595" s="718"/>
      <c r="N595" s="719">
        <v>26803</v>
      </c>
      <c r="O595" s="719">
        <v>247399</v>
      </c>
      <c r="P595" s="719">
        <v>0</v>
      </c>
      <c r="Q595" s="718">
        <v>6125</v>
      </c>
      <c r="R595" s="719">
        <f t="shared" si="9"/>
        <v>422888</v>
      </c>
      <c r="S595" s="718"/>
      <c r="T595" s="719">
        <v>204444</v>
      </c>
      <c r="U595" s="721">
        <v>2299</v>
      </c>
      <c r="V595" s="721">
        <v>206743</v>
      </c>
    </row>
    <row r="596" spans="1:22" x14ac:dyDescent="0.25">
      <c r="A596" s="715">
        <v>96507</v>
      </c>
      <c r="B596" s="716" t="s">
        <v>3128</v>
      </c>
      <c r="C596" s="717">
        <v>2.2604999999999999E-3</v>
      </c>
      <c r="D596" s="717">
        <v>2.1895999999999999E-3</v>
      </c>
      <c r="E596" s="718">
        <v>971182</v>
      </c>
      <c r="F596" s="718">
        <v>982679</v>
      </c>
      <c r="G596" s="718">
        <v>4797538</v>
      </c>
      <c r="H596" s="718"/>
      <c r="I596" s="719">
        <v>90137</v>
      </c>
      <c r="J596" s="719">
        <v>4204173</v>
      </c>
      <c r="K596" s="719">
        <v>328589</v>
      </c>
      <c r="L596" s="718">
        <v>180324</v>
      </c>
      <c r="M596" s="718"/>
      <c r="N596" s="719">
        <v>168111</v>
      </c>
      <c r="O596" s="719">
        <v>1551738</v>
      </c>
      <c r="P596" s="719">
        <v>0</v>
      </c>
      <c r="Q596" s="718">
        <v>0</v>
      </c>
      <c r="R596" s="719">
        <f t="shared" si="9"/>
        <v>2652435</v>
      </c>
      <c r="S596" s="718"/>
      <c r="T596" s="719">
        <v>1282312</v>
      </c>
      <c r="U596" s="721">
        <v>64566</v>
      </c>
      <c r="V596" s="721">
        <v>1346877</v>
      </c>
    </row>
    <row r="597" spans="1:22" x14ac:dyDescent="0.25">
      <c r="A597" s="715">
        <v>96508</v>
      </c>
      <c r="B597" s="716" t="s">
        <v>3129</v>
      </c>
      <c r="C597" s="717">
        <v>9.7999999999999993E-6</v>
      </c>
      <c r="D597" s="717">
        <v>1.03E-5</v>
      </c>
      <c r="E597" s="718">
        <v>9949</v>
      </c>
      <c r="F597" s="718">
        <v>4623</v>
      </c>
      <c r="G597" s="718">
        <v>20799</v>
      </c>
      <c r="H597" s="718"/>
      <c r="I597" s="719">
        <v>390.77499999999998</v>
      </c>
      <c r="J597" s="719">
        <v>18226</v>
      </c>
      <c r="K597" s="719">
        <v>1425</v>
      </c>
      <c r="L597" s="718">
        <v>9383</v>
      </c>
      <c r="M597" s="718"/>
      <c r="N597" s="719">
        <v>729</v>
      </c>
      <c r="O597" s="719">
        <v>6727</v>
      </c>
      <c r="P597" s="719">
        <v>0</v>
      </c>
      <c r="Q597" s="718">
        <v>0</v>
      </c>
      <c r="R597" s="719">
        <f t="shared" si="9"/>
        <v>11499</v>
      </c>
      <c r="S597" s="718"/>
      <c r="T597" s="719">
        <v>5559</v>
      </c>
      <c r="U597" s="721">
        <v>3176</v>
      </c>
      <c r="V597" s="721">
        <v>8735</v>
      </c>
    </row>
    <row r="598" spans="1:22" x14ac:dyDescent="0.25">
      <c r="A598" s="715">
        <v>96511</v>
      </c>
      <c r="B598" s="716" t="s">
        <v>3130</v>
      </c>
      <c r="C598" s="717">
        <v>6.221E-4</v>
      </c>
      <c r="D598" s="717">
        <v>7.5080000000000004E-4</v>
      </c>
      <c r="E598" s="718">
        <v>244657.82</v>
      </c>
      <c r="F598" s="718">
        <v>336955</v>
      </c>
      <c r="G598" s="718">
        <v>1320305</v>
      </c>
      <c r="H598" s="718"/>
      <c r="I598" s="719">
        <v>24806</v>
      </c>
      <c r="J598" s="719">
        <v>1157008</v>
      </c>
      <c r="K598" s="719">
        <v>90429</v>
      </c>
      <c r="L598" s="718">
        <v>0</v>
      </c>
      <c r="M598" s="718"/>
      <c r="N598" s="719">
        <v>46265</v>
      </c>
      <c r="O598" s="719">
        <v>427046</v>
      </c>
      <c r="P598" s="719">
        <v>0</v>
      </c>
      <c r="Q598" s="718">
        <v>135169</v>
      </c>
      <c r="R598" s="719">
        <f t="shared" si="9"/>
        <v>729962</v>
      </c>
      <c r="S598" s="718"/>
      <c r="T598" s="719">
        <v>352898</v>
      </c>
      <c r="U598" s="721">
        <v>-47382</v>
      </c>
      <c r="V598" s="721">
        <v>305516</v>
      </c>
    </row>
    <row r="599" spans="1:22" x14ac:dyDescent="0.25">
      <c r="A599" s="715">
        <v>96512</v>
      </c>
      <c r="B599" s="716" t="s">
        <v>3131</v>
      </c>
      <c r="C599" s="717">
        <v>1.7000000000000001E-4</v>
      </c>
      <c r="D599" s="717">
        <v>1.5550000000000001E-4</v>
      </c>
      <c r="E599" s="718">
        <v>63901</v>
      </c>
      <c r="F599" s="718">
        <v>69787</v>
      </c>
      <c r="G599" s="718">
        <v>360796.95</v>
      </c>
      <c r="H599" s="718"/>
      <c r="I599" s="719">
        <v>6779</v>
      </c>
      <c r="J599" s="719">
        <v>316173.14</v>
      </c>
      <c r="K599" s="719">
        <v>24711</v>
      </c>
      <c r="L599" s="718">
        <v>8267</v>
      </c>
      <c r="M599" s="718"/>
      <c r="N599" s="719">
        <v>12643</v>
      </c>
      <c r="O599" s="719">
        <v>116698</v>
      </c>
      <c r="P599" s="719">
        <v>0</v>
      </c>
      <c r="Q599" s="718">
        <v>0</v>
      </c>
      <c r="R599" s="719">
        <f t="shared" si="9"/>
        <v>199475</v>
      </c>
      <c r="S599" s="718"/>
      <c r="T599" s="719">
        <v>96436</v>
      </c>
      <c r="U599" s="721">
        <v>2689</v>
      </c>
      <c r="V599" s="721">
        <v>99124</v>
      </c>
    </row>
    <row r="600" spans="1:22" x14ac:dyDescent="0.25">
      <c r="A600" s="715">
        <v>96519</v>
      </c>
      <c r="B600" s="716" t="s">
        <v>3132</v>
      </c>
      <c r="C600" s="717">
        <v>0</v>
      </c>
      <c r="D600" s="717">
        <v>1.7197E-3</v>
      </c>
      <c r="E600" s="718">
        <v>0</v>
      </c>
      <c r="F600" s="718">
        <v>771791</v>
      </c>
      <c r="G600" s="718">
        <v>0</v>
      </c>
      <c r="H600" s="718"/>
      <c r="I600" s="719">
        <v>0</v>
      </c>
      <c r="J600" s="719">
        <v>0</v>
      </c>
      <c r="K600" s="719">
        <v>0</v>
      </c>
      <c r="L600" s="718">
        <v>300924</v>
      </c>
      <c r="M600" s="718"/>
      <c r="N600" s="719">
        <v>0</v>
      </c>
      <c r="O600" s="719">
        <v>0</v>
      </c>
      <c r="P600" s="719">
        <v>0</v>
      </c>
      <c r="Q600" s="718">
        <v>931590</v>
      </c>
      <c r="R600" s="719">
        <f t="shared" si="9"/>
        <v>0</v>
      </c>
      <c r="S600" s="718"/>
      <c r="T600" s="719">
        <v>0</v>
      </c>
      <c r="U600" s="721">
        <v>-102954</v>
      </c>
      <c r="V600" s="721">
        <v>-102954</v>
      </c>
    </row>
    <row r="601" spans="1:22" x14ac:dyDescent="0.25">
      <c r="A601" s="715">
        <v>96521</v>
      </c>
      <c r="B601" s="716" t="s">
        <v>3133</v>
      </c>
      <c r="C601" s="717">
        <v>9.4240000000000003E-4</v>
      </c>
      <c r="D601" s="717">
        <v>9.0479999999999998E-4</v>
      </c>
      <c r="E601" s="718">
        <v>332666.64</v>
      </c>
      <c r="F601" s="718">
        <v>406069</v>
      </c>
      <c r="G601" s="718">
        <v>2000089</v>
      </c>
      <c r="H601" s="718"/>
      <c r="I601" s="719">
        <v>37578</v>
      </c>
      <c r="J601" s="719">
        <v>1752715</v>
      </c>
      <c r="K601" s="719">
        <v>136988</v>
      </c>
      <c r="L601" s="718">
        <v>46521</v>
      </c>
      <c r="M601" s="718"/>
      <c r="N601" s="719">
        <v>70085</v>
      </c>
      <c r="O601" s="719">
        <v>646918</v>
      </c>
      <c r="P601" s="719">
        <v>0</v>
      </c>
      <c r="Q601" s="718">
        <v>27885</v>
      </c>
      <c r="R601" s="719">
        <f t="shared" si="9"/>
        <v>1105797</v>
      </c>
      <c r="S601" s="718"/>
      <c r="T601" s="719">
        <v>534594</v>
      </c>
      <c r="U601" s="721">
        <v>8139</v>
      </c>
      <c r="V601" s="721">
        <v>542733</v>
      </c>
    </row>
    <row r="602" spans="1:22" x14ac:dyDescent="0.25">
      <c r="A602" s="715">
        <v>96531</v>
      </c>
      <c r="B602" s="716" t="s">
        <v>3134</v>
      </c>
      <c r="C602" s="717">
        <v>8.6088999999999992E-3</v>
      </c>
      <c r="D602" s="717">
        <v>9.1912000000000001E-3</v>
      </c>
      <c r="E602" s="718">
        <v>3504528.87</v>
      </c>
      <c r="F602" s="718">
        <v>4124955</v>
      </c>
      <c r="G602" s="718">
        <v>18270970</v>
      </c>
      <c r="H602" s="718"/>
      <c r="I602" s="719">
        <v>343280</v>
      </c>
      <c r="J602" s="719">
        <v>16011194</v>
      </c>
      <c r="K602" s="719">
        <v>1251398</v>
      </c>
      <c r="L602" s="718">
        <v>75559</v>
      </c>
      <c r="M602" s="718"/>
      <c r="N602" s="719">
        <v>640235</v>
      </c>
      <c r="O602" s="719">
        <v>5909648</v>
      </c>
      <c r="P602" s="719">
        <v>0</v>
      </c>
      <c r="Q602" s="718">
        <v>381680</v>
      </c>
      <c r="R602" s="719">
        <f t="shared" si="9"/>
        <v>10101546</v>
      </c>
      <c r="S602" s="718"/>
      <c r="T602" s="719">
        <v>4883562</v>
      </c>
      <c r="U602" s="721">
        <v>-81286</v>
      </c>
      <c r="V602" s="721">
        <v>4802276</v>
      </c>
    </row>
    <row r="603" spans="1:22" x14ac:dyDescent="0.25">
      <c r="A603" s="715">
        <v>96541</v>
      </c>
      <c r="B603" s="716" t="s">
        <v>3135</v>
      </c>
      <c r="C603" s="717">
        <v>3.3169999999999999E-4</v>
      </c>
      <c r="D603" s="717">
        <v>3.2759999999999999E-4</v>
      </c>
      <c r="E603" s="718">
        <v>136435.87</v>
      </c>
      <c r="F603" s="718">
        <v>147025</v>
      </c>
      <c r="G603" s="718">
        <v>703979</v>
      </c>
      <c r="H603" s="718"/>
      <c r="I603" s="719">
        <v>13227</v>
      </c>
      <c r="J603" s="719">
        <v>616910</v>
      </c>
      <c r="K603" s="719">
        <v>48216</v>
      </c>
      <c r="L603" s="718">
        <v>22779</v>
      </c>
      <c r="M603" s="718"/>
      <c r="N603" s="719">
        <v>24668</v>
      </c>
      <c r="O603" s="719">
        <v>227698</v>
      </c>
      <c r="P603" s="719">
        <v>0</v>
      </c>
      <c r="Q603" s="718">
        <v>0</v>
      </c>
      <c r="R603" s="719">
        <f t="shared" si="9"/>
        <v>389212</v>
      </c>
      <c r="S603" s="718"/>
      <c r="T603" s="719">
        <v>188163</v>
      </c>
      <c r="U603" s="721">
        <v>10018</v>
      </c>
      <c r="V603" s="721">
        <v>198181</v>
      </c>
    </row>
    <row r="604" spans="1:22" x14ac:dyDescent="0.25">
      <c r="A604" s="715">
        <v>96601</v>
      </c>
      <c r="B604" s="716" t="s">
        <v>3136</v>
      </c>
      <c r="C604" s="717">
        <v>1.8416000000000001E-3</v>
      </c>
      <c r="D604" s="717">
        <v>1.8462999999999999E-3</v>
      </c>
      <c r="E604" s="718">
        <v>769874.79</v>
      </c>
      <c r="F604" s="718">
        <v>828608</v>
      </c>
      <c r="G604" s="718">
        <v>3908492</v>
      </c>
      <c r="H604" s="718"/>
      <c r="I604" s="719">
        <v>73433.8</v>
      </c>
      <c r="J604" s="719">
        <v>3425085</v>
      </c>
      <c r="K604" s="719">
        <v>267697</v>
      </c>
      <c r="L604" s="718">
        <v>58499</v>
      </c>
      <c r="M604" s="718"/>
      <c r="N604" s="719">
        <v>136958</v>
      </c>
      <c r="O604" s="719">
        <v>1264181</v>
      </c>
      <c r="P604" s="719">
        <v>0</v>
      </c>
      <c r="Q604" s="718">
        <v>6413</v>
      </c>
      <c r="R604" s="719">
        <f t="shared" si="9"/>
        <v>2160904</v>
      </c>
      <c r="S604" s="718"/>
      <c r="T604" s="719">
        <v>1044683</v>
      </c>
      <c r="U604" s="721">
        <v>25319</v>
      </c>
      <c r="V604" s="721">
        <v>1070002</v>
      </c>
    </row>
    <row r="605" spans="1:22" x14ac:dyDescent="0.25">
      <c r="A605" s="715">
        <v>96604</v>
      </c>
      <c r="B605" s="716" t="s">
        <v>3137</v>
      </c>
      <c r="C605" s="717">
        <v>7.9000000000000006E-6</v>
      </c>
      <c r="D605" s="717">
        <v>7.9000000000000006E-6</v>
      </c>
      <c r="E605" s="718">
        <v>4375</v>
      </c>
      <c r="F605" s="718">
        <v>3545</v>
      </c>
      <c r="G605" s="718">
        <v>16766</v>
      </c>
      <c r="H605" s="718"/>
      <c r="I605" s="719">
        <v>315</v>
      </c>
      <c r="J605" s="719">
        <v>14693</v>
      </c>
      <c r="K605" s="719">
        <v>1148</v>
      </c>
      <c r="L605" s="718">
        <v>1595</v>
      </c>
      <c r="M605" s="718"/>
      <c r="N605" s="719">
        <v>588</v>
      </c>
      <c r="O605" s="719">
        <v>5423</v>
      </c>
      <c r="P605" s="719">
        <v>0</v>
      </c>
      <c r="Q605" s="718">
        <v>108</v>
      </c>
      <c r="R605" s="719">
        <f t="shared" si="9"/>
        <v>9270</v>
      </c>
      <c r="S605" s="718"/>
      <c r="T605" s="719">
        <v>4481</v>
      </c>
      <c r="U605" s="721">
        <v>545</v>
      </c>
      <c r="V605" s="721">
        <v>5027</v>
      </c>
    </row>
    <row r="606" spans="1:22" x14ac:dyDescent="0.25">
      <c r="A606" s="715">
        <v>96611</v>
      </c>
      <c r="B606" s="716" t="s">
        <v>3138</v>
      </c>
      <c r="C606" s="717">
        <v>3.29E-5</v>
      </c>
      <c r="D606" s="717">
        <v>2.9499999999999999E-5</v>
      </c>
      <c r="E606" s="718">
        <v>11899.8</v>
      </c>
      <c r="F606" s="718">
        <v>13239</v>
      </c>
      <c r="G606" s="718">
        <v>69825</v>
      </c>
      <c r="H606" s="718"/>
      <c r="I606" s="719">
        <v>1312</v>
      </c>
      <c r="J606" s="719">
        <v>61189</v>
      </c>
      <c r="K606" s="719">
        <v>4782</v>
      </c>
      <c r="L606" s="718">
        <v>2869</v>
      </c>
      <c r="M606" s="718"/>
      <c r="N606" s="719">
        <v>2447</v>
      </c>
      <c r="O606" s="719">
        <v>22584</v>
      </c>
      <c r="P606" s="719">
        <v>0</v>
      </c>
      <c r="Q606" s="718">
        <v>649</v>
      </c>
      <c r="R606" s="719">
        <f t="shared" si="9"/>
        <v>38605</v>
      </c>
      <c r="S606" s="718"/>
      <c r="T606" s="719">
        <v>18663</v>
      </c>
      <c r="U606" s="721">
        <v>1079</v>
      </c>
      <c r="V606" s="721">
        <v>19742</v>
      </c>
    </row>
    <row r="607" spans="1:22" x14ac:dyDescent="0.25">
      <c r="A607" s="715">
        <v>96612</v>
      </c>
      <c r="B607" s="716" t="s">
        <v>3139</v>
      </c>
      <c r="C607" s="717">
        <v>6.3899999999999995E-5</v>
      </c>
      <c r="D607" s="717">
        <v>6.4399999999999993E-5</v>
      </c>
      <c r="E607" s="718">
        <v>30974</v>
      </c>
      <c r="F607" s="718">
        <v>28902</v>
      </c>
      <c r="G607" s="718">
        <v>135617</v>
      </c>
      <c r="H607" s="718"/>
      <c r="I607" s="719">
        <v>2548</v>
      </c>
      <c r="J607" s="719">
        <v>118844</v>
      </c>
      <c r="K607" s="719">
        <v>9289</v>
      </c>
      <c r="L607" s="718">
        <v>7363</v>
      </c>
      <c r="M607" s="718"/>
      <c r="N607" s="719">
        <v>4752</v>
      </c>
      <c r="O607" s="719">
        <v>43865</v>
      </c>
      <c r="P607" s="719">
        <v>0</v>
      </c>
      <c r="Q607" s="718">
        <v>1323</v>
      </c>
      <c r="R607" s="719">
        <f t="shared" si="9"/>
        <v>74979</v>
      </c>
      <c r="S607" s="718"/>
      <c r="T607" s="719">
        <v>36248</v>
      </c>
      <c r="U607" s="721">
        <v>1615</v>
      </c>
      <c r="V607" s="721">
        <v>37864</v>
      </c>
    </row>
    <row r="608" spans="1:22" x14ac:dyDescent="0.25">
      <c r="A608" s="715">
        <v>96621</v>
      </c>
      <c r="B608" s="716" t="s">
        <v>3140</v>
      </c>
      <c r="C608" s="717">
        <v>2.65E-5</v>
      </c>
      <c r="D608" s="717">
        <v>3.6600000000000002E-5</v>
      </c>
      <c r="E608" s="718">
        <v>12593.01</v>
      </c>
      <c r="F608" s="718">
        <v>16426</v>
      </c>
      <c r="G608" s="718">
        <v>56242</v>
      </c>
      <c r="H608" s="718"/>
      <c r="I608" s="719">
        <v>1056.6875</v>
      </c>
      <c r="J608" s="719">
        <v>49286</v>
      </c>
      <c r="K608" s="719">
        <v>3852</v>
      </c>
      <c r="L608" s="718">
        <v>1133</v>
      </c>
      <c r="M608" s="718"/>
      <c r="N608" s="719">
        <v>1971</v>
      </c>
      <c r="O608" s="719">
        <v>18191</v>
      </c>
      <c r="P608" s="719">
        <v>0</v>
      </c>
      <c r="Q608" s="718">
        <v>7687</v>
      </c>
      <c r="R608" s="719">
        <f t="shared" si="9"/>
        <v>31095</v>
      </c>
      <c r="S608" s="718"/>
      <c r="T608" s="719">
        <v>15033</v>
      </c>
      <c r="U608" s="721">
        <v>-2457</v>
      </c>
      <c r="V608" s="721">
        <v>12576</v>
      </c>
    </row>
    <row r="609" spans="1:22" x14ac:dyDescent="0.25">
      <c r="A609" s="715">
        <v>96631</v>
      </c>
      <c r="B609" s="716" t="s">
        <v>3141</v>
      </c>
      <c r="C609" s="717">
        <v>2.5899999999999999E-5</v>
      </c>
      <c r="D609" s="717">
        <v>2.5599999999999999E-5</v>
      </c>
      <c r="E609" s="718">
        <v>10253</v>
      </c>
      <c r="F609" s="718">
        <v>11489</v>
      </c>
      <c r="G609" s="718">
        <v>54968</v>
      </c>
      <c r="H609" s="718"/>
      <c r="I609" s="719">
        <v>1032.7625</v>
      </c>
      <c r="J609" s="719">
        <v>48170</v>
      </c>
      <c r="K609" s="719">
        <v>3765</v>
      </c>
      <c r="L609" s="718">
        <v>5664</v>
      </c>
      <c r="M609" s="718"/>
      <c r="N609" s="719">
        <v>1926</v>
      </c>
      <c r="O609" s="719">
        <v>17779</v>
      </c>
      <c r="P609" s="719">
        <v>0</v>
      </c>
      <c r="Q609" s="718">
        <v>154</v>
      </c>
      <c r="R609" s="719">
        <f t="shared" si="9"/>
        <v>30391</v>
      </c>
      <c r="S609" s="718"/>
      <c r="T609" s="719">
        <v>14692</v>
      </c>
      <c r="U609" s="721">
        <v>2250</v>
      </c>
      <c r="V609" s="721">
        <v>16942</v>
      </c>
    </row>
    <row r="610" spans="1:22" x14ac:dyDescent="0.25">
      <c r="A610" s="715">
        <v>96641</v>
      </c>
      <c r="B610" s="716" t="s">
        <v>3142</v>
      </c>
      <c r="C610" s="717">
        <v>2.6999999999999999E-5</v>
      </c>
      <c r="D610" s="717">
        <v>2.7100000000000001E-5</v>
      </c>
      <c r="E610" s="718">
        <v>17201.89</v>
      </c>
      <c r="F610" s="718">
        <v>12162</v>
      </c>
      <c r="G610" s="718">
        <v>57303</v>
      </c>
      <c r="H610" s="718"/>
      <c r="I610" s="719">
        <v>1076.625</v>
      </c>
      <c r="J610" s="719">
        <v>50216</v>
      </c>
      <c r="K610" s="719">
        <v>3925</v>
      </c>
      <c r="L610" s="718">
        <v>10873</v>
      </c>
      <c r="M610" s="718"/>
      <c r="N610" s="719">
        <v>2008</v>
      </c>
      <c r="O610" s="719">
        <v>18534</v>
      </c>
      <c r="P610" s="719">
        <v>0</v>
      </c>
      <c r="Q610" s="718">
        <v>0</v>
      </c>
      <c r="R610" s="719">
        <f t="shared" si="9"/>
        <v>31682</v>
      </c>
      <c r="S610" s="718"/>
      <c r="T610" s="719">
        <v>15316</v>
      </c>
      <c r="U610" s="721">
        <v>3846</v>
      </c>
      <c r="V610" s="721">
        <v>19162</v>
      </c>
    </row>
    <row r="611" spans="1:22" x14ac:dyDescent="0.25">
      <c r="A611" s="715">
        <v>96651</v>
      </c>
      <c r="B611" s="716" t="s">
        <v>3143</v>
      </c>
      <c r="C611" s="717">
        <v>1.9400000000000001E-5</v>
      </c>
      <c r="D611" s="717">
        <v>1.9300000000000002E-5</v>
      </c>
      <c r="E611" s="718">
        <v>8893</v>
      </c>
      <c r="F611" s="718">
        <v>8662</v>
      </c>
      <c r="G611" s="718">
        <v>41173</v>
      </c>
      <c r="H611" s="718"/>
      <c r="I611" s="719">
        <v>773.57500000000005</v>
      </c>
      <c r="J611" s="719">
        <v>36081</v>
      </c>
      <c r="K611" s="719">
        <v>2820</v>
      </c>
      <c r="L611" s="718">
        <v>781</v>
      </c>
      <c r="M611" s="718"/>
      <c r="N611" s="719">
        <v>1443</v>
      </c>
      <c r="O611" s="719">
        <v>13317</v>
      </c>
      <c r="P611" s="719">
        <v>0</v>
      </c>
      <c r="Q611" s="718">
        <v>2222</v>
      </c>
      <c r="R611" s="719">
        <f t="shared" si="9"/>
        <v>22764</v>
      </c>
      <c r="S611" s="718"/>
      <c r="T611" s="719">
        <v>11005</v>
      </c>
      <c r="U611" s="721">
        <v>-715</v>
      </c>
      <c r="V611" s="721">
        <v>10290</v>
      </c>
    </row>
    <row r="612" spans="1:22" x14ac:dyDescent="0.25">
      <c r="A612" s="715">
        <v>96661</v>
      </c>
      <c r="B612" s="716" t="s">
        <v>3144</v>
      </c>
      <c r="C612" s="717">
        <v>1.9000000000000001E-5</v>
      </c>
      <c r="D612" s="717">
        <v>1.7200000000000001E-5</v>
      </c>
      <c r="E612" s="718">
        <v>9291.01</v>
      </c>
      <c r="F612" s="718">
        <v>7719</v>
      </c>
      <c r="G612" s="718">
        <v>40324</v>
      </c>
      <c r="H612" s="718"/>
      <c r="I612" s="719">
        <v>757.625</v>
      </c>
      <c r="J612" s="719">
        <v>35337</v>
      </c>
      <c r="K612" s="719">
        <v>2762</v>
      </c>
      <c r="L612" s="718">
        <v>6032</v>
      </c>
      <c r="M612" s="718"/>
      <c r="N612" s="719">
        <v>1413</v>
      </c>
      <c r="O612" s="719">
        <v>13043</v>
      </c>
      <c r="P612" s="719">
        <v>0</v>
      </c>
      <c r="Q612" s="718">
        <v>0</v>
      </c>
      <c r="R612" s="719">
        <f t="shared" si="9"/>
        <v>22294</v>
      </c>
      <c r="S612" s="718"/>
      <c r="T612" s="719">
        <v>10778</v>
      </c>
      <c r="U612" s="721">
        <v>2137</v>
      </c>
      <c r="V612" s="721">
        <v>12915</v>
      </c>
    </row>
    <row r="613" spans="1:22" x14ac:dyDescent="0.25">
      <c r="A613" s="715">
        <v>96671</v>
      </c>
      <c r="B613" s="716" t="s">
        <v>3145</v>
      </c>
      <c r="C613" s="717">
        <v>1.5500000000000001E-5</v>
      </c>
      <c r="D613" s="717">
        <v>1.56E-5</v>
      </c>
      <c r="E613" s="718">
        <v>11958</v>
      </c>
      <c r="F613" s="718">
        <v>7001</v>
      </c>
      <c r="G613" s="718">
        <v>32896</v>
      </c>
      <c r="H613" s="718"/>
      <c r="I613" s="719">
        <v>618.0625</v>
      </c>
      <c r="J613" s="719">
        <v>28828</v>
      </c>
      <c r="K613" s="719">
        <v>2253</v>
      </c>
      <c r="L613" s="718">
        <v>11385</v>
      </c>
      <c r="M613" s="718"/>
      <c r="N613" s="719">
        <v>1153</v>
      </c>
      <c r="O613" s="719">
        <v>10640</v>
      </c>
      <c r="P613" s="719">
        <v>0</v>
      </c>
      <c r="Q613" s="718">
        <v>418</v>
      </c>
      <c r="R613" s="719">
        <f t="shared" si="9"/>
        <v>18188</v>
      </c>
      <c r="S613" s="718"/>
      <c r="T613" s="719">
        <v>8793</v>
      </c>
      <c r="U613" s="721">
        <v>3409</v>
      </c>
      <c r="V613" s="721">
        <v>12201</v>
      </c>
    </row>
    <row r="614" spans="1:22" x14ac:dyDescent="0.25">
      <c r="A614" s="715">
        <v>96681</v>
      </c>
      <c r="B614" s="716" t="s">
        <v>3146</v>
      </c>
      <c r="C614" s="717">
        <v>3.4799999999999999E-5</v>
      </c>
      <c r="D614" s="717">
        <v>3.4700000000000003E-5</v>
      </c>
      <c r="E614" s="718">
        <v>22896</v>
      </c>
      <c r="F614" s="718">
        <v>15573</v>
      </c>
      <c r="G614" s="718">
        <v>73857</v>
      </c>
      <c r="H614" s="718"/>
      <c r="I614" s="719">
        <v>1388</v>
      </c>
      <c r="J614" s="719">
        <v>64723</v>
      </c>
      <c r="K614" s="719">
        <v>5059</v>
      </c>
      <c r="L614" s="718">
        <v>18633</v>
      </c>
      <c r="M614" s="718"/>
      <c r="N614" s="719">
        <v>2588</v>
      </c>
      <c r="O614" s="719">
        <v>23889</v>
      </c>
      <c r="P614" s="719">
        <v>0</v>
      </c>
      <c r="Q614" s="718">
        <v>1494</v>
      </c>
      <c r="R614" s="719">
        <f t="shared" si="9"/>
        <v>40834</v>
      </c>
      <c r="S614" s="718"/>
      <c r="T614" s="719">
        <v>19741</v>
      </c>
      <c r="U614" s="721">
        <v>5200</v>
      </c>
      <c r="V614" s="721">
        <v>24941</v>
      </c>
    </row>
    <row r="615" spans="1:22" x14ac:dyDescent="0.25">
      <c r="A615" s="715">
        <v>96701</v>
      </c>
      <c r="B615" s="716" t="s">
        <v>3147</v>
      </c>
      <c r="C615" s="717">
        <v>7.7850000000000003E-3</v>
      </c>
      <c r="D615" s="717">
        <v>7.7803999999999998E-3</v>
      </c>
      <c r="E615" s="718">
        <v>3136203</v>
      </c>
      <c r="F615" s="718">
        <v>3491797</v>
      </c>
      <c r="G615" s="718">
        <v>16522378</v>
      </c>
      <c r="H615" s="718"/>
      <c r="I615" s="719">
        <v>310427</v>
      </c>
      <c r="J615" s="719">
        <v>14478870</v>
      </c>
      <c r="K615" s="719">
        <v>1131635</v>
      </c>
      <c r="L615" s="718">
        <v>289202</v>
      </c>
      <c r="M615" s="718"/>
      <c r="N615" s="719">
        <v>578963</v>
      </c>
      <c r="O615" s="719">
        <v>5344075.53</v>
      </c>
      <c r="P615" s="719">
        <v>0</v>
      </c>
      <c r="Q615" s="718">
        <v>79279</v>
      </c>
      <c r="R615" s="719">
        <f t="shared" si="9"/>
        <v>9134794</v>
      </c>
      <c r="S615" s="718"/>
      <c r="T615" s="719">
        <v>4416189</v>
      </c>
      <c r="U615" s="721">
        <v>74739</v>
      </c>
      <c r="V615" s="721">
        <v>4490928</v>
      </c>
    </row>
    <row r="616" spans="1:22" x14ac:dyDescent="0.25">
      <c r="A616" s="715">
        <v>96704</v>
      </c>
      <c r="B616" s="716" t="s">
        <v>3148</v>
      </c>
      <c r="C616" s="717">
        <v>1.5330000000000001E-4</v>
      </c>
      <c r="D616" s="717">
        <v>1.5919999999999999E-4</v>
      </c>
      <c r="E616" s="718">
        <v>71376</v>
      </c>
      <c r="F616" s="718">
        <v>71448</v>
      </c>
      <c r="G616" s="718">
        <v>325354</v>
      </c>
      <c r="H616" s="718"/>
      <c r="I616" s="719">
        <v>6113</v>
      </c>
      <c r="J616" s="719">
        <v>285114</v>
      </c>
      <c r="K616" s="719">
        <v>22284</v>
      </c>
      <c r="L616" s="718">
        <v>9181</v>
      </c>
      <c r="M616" s="718"/>
      <c r="N616" s="719">
        <v>11401</v>
      </c>
      <c r="O616" s="719">
        <v>105234</v>
      </c>
      <c r="P616" s="719">
        <v>0</v>
      </c>
      <c r="Q616" s="718">
        <v>0</v>
      </c>
      <c r="R616" s="719">
        <f t="shared" si="9"/>
        <v>179880</v>
      </c>
      <c r="S616" s="718"/>
      <c r="T616" s="719">
        <v>86962</v>
      </c>
      <c r="U616" s="721">
        <v>3774</v>
      </c>
      <c r="V616" s="721">
        <v>90736</v>
      </c>
    </row>
    <row r="617" spans="1:22" x14ac:dyDescent="0.25">
      <c r="A617" s="715">
        <v>96708</v>
      </c>
      <c r="B617" s="716" t="s">
        <v>3149</v>
      </c>
      <c r="C617" s="717">
        <v>8.4590000000000002E-4</v>
      </c>
      <c r="D617" s="717">
        <v>9.8109999999999994E-4</v>
      </c>
      <c r="E617" s="718">
        <v>406277.09</v>
      </c>
      <c r="F617" s="718">
        <v>440312</v>
      </c>
      <c r="G617" s="718">
        <v>1795283</v>
      </c>
      <c r="H617" s="718"/>
      <c r="I617" s="719">
        <v>33730</v>
      </c>
      <c r="J617" s="719">
        <v>1573240</v>
      </c>
      <c r="K617" s="719">
        <v>122961</v>
      </c>
      <c r="L617" s="718">
        <v>54938</v>
      </c>
      <c r="M617" s="718"/>
      <c r="N617" s="719">
        <v>62909</v>
      </c>
      <c r="O617" s="719">
        <v>580675</v>
      </c>
      <c r="P617" s="719">
        <v>0</v>
      </c>
      <c r="Q617" s="718">
        <v>26851</v>
      </c>
      <c r="R617" s="719">
        <f t="shared" si="9"/>
        <v>992565</v>
      </c>
      <c r="S617" s="718"/>
      <c r="T617" s="719">
        <v>479853</v>
      </c>
      <c r="U617" s="721">
        <v>14104</v>
      </c>
      <c r="V617" s="721">
        <v>493957</v>
      </c>
    </row>
    <row r="618" spans="1:22" x14ac:dyDescent="0.25">
      <c r="A618" s="715">
        <v>96711</v>
      </c>
      <c r="B618" s="716" t="s">
        <v>3150</v>
      </c>
      <c r="C618" s="717">
        <v>4.4140000000000004E-3</v>
      </c>
      <c r="D618" s="717">
        <v>4.2459999999999998E-3</v>
      </c>
      <c r="E618" s="718">
        <v>1606505</v>
      </c>
      <c r="F618" s="718">
        <v>1905579</v>
      </c>
      <c r="G618" s="718">
        <v>9367987</v>
      </c>
      <c r="H618" s="718"/>
      <c r="I618" s="719">
        <v>176008</v>
      </c>
      <c r="J618" s="719">
        <v>8209343</v>
      </c>
      <c r="K618" s="719">
        <v>641623</v>
      </c>
      <c r="L618" s="718">
        <v>20750</v>
      </c>
      <c r="M618" s="718"/>
      <c r="N618" s="719">
        <v>328265</v>
      </c>
      <c r="O618" s="719">
        <v>3030026</v>
      </c>
      <c r="P618" s="719">
        <v>0</v>
      </c>
      <c r="Q618" s="718">
        <v>348266</v>
      </c>
      <c r="R618" s="719">
        <f t="shared" si="9"/>
        <v>5179317</v>
      </c>
      <c r="S618" s="718"/>
      <c r="T618" s="719">
        <v>2503925</v>
      </c>
      <c r="U618" s="721">
        <v>-105928</v>
      </c>
      <c r="V618" s="721">
        <v>2397997</v>
      </c>
    </row>
    <row r="619" spans="1:22" x14ac:dyDescent="0.25">
      <c r="A619" s="715">
        <v>96721</v>
      </c>
      <c r="B619" s="716" t="s">
        <v>3151</v>
      </c>
      <c r="C619" s="717">
        <v>1.9780000000000001E-4</v>
      </c>
      <c r="D619" s="717">
        <v>2.5119999999999998E-4</v>
      </c>
      <c r="E619" s="718">
        <v>74367</v>
      </c>
      <c r="F619" s="718">
        <v>112737</v>
      </c>
      <c r="G619" s="718">
        <v>419798</v>
      </c>
      <c r="H619" s="718"/>
      <c r="I619" s="719">
        <v>7887</v>
      </c>
      <c r="J619" s="719">
        <v>367877</v>
      </c>
      <c r="K619" s="719">
        <v>28752</v>
      </c>
      <c r="L619" s="718">
        <v>10855</v>
      </c>
      <c r="M619" s="718"/>
      <c r="N619" s="719">
        <v>14710</v>
      </c>
      <c r="O619" s="719">
        <v>135781</v>
      </c>
      <c r="P619" s="719">
        <v>0</v>
      </c>
      <c r="Q619" s="718">
        <v>34469</v>
      </c>
      <c r="R619" s="719">
        <f t="shared" si="9"/>
        <v>232096</v>
      </c>
      <c r="S619" s="718"/>
      <c r="T619" s="719">
        <v>112206</v>
      </c>
      <c r="U619" s="721">
        <v>-3553</v>
      </c>
      <c r="V619" s="721">
        <v>108653</v>
      </c>
    </row>
    <row r="620" spans="1:22" x14ac:dyDescent="0.25">
      <c r="A620" s="715">
        <v>96731</v>
      </c>
      <c r="B620" s="716" t="s">
        <v>3152</v>
      </c>
      <c r="C620" s="717">
        <v>1.5090000000000001E-4</v>
      </c>
      <c r="D620" s="717">
        <v>1.3420000000000001E-4</v>
      </c>
      <c r="E620" s="718">
        <v>65647</v>
      </c>
      <c r="F620" s="718">
        <v>60228</v>
      </c>
      <c r="G620" s="718">
        <v>320260</v>
      </c>
      <c r="H620" s="718"/>
      <c r="I620" s="719">
        <v>6017</v>
      </c>
      <c r="J620" s="719">
        <v>280650</v>
      </c>
      <c r="K620" s="719">
        <v>21935</v>
      </c>
      <c r="L620" s="718">
        <v>18052</v>
      </c>
      <c r="M620" s="718"/>
      <c r="N620" s="719">
        <v>11222</v>
      </c>
      <c r="O620" s="719">
        <v>103587</v>
      </c>
      <c r="P620" s="719">
        <v>0</v>
      </c>
      <c r="Q620" s="718">
        <v>12</v>
      </c>
      <c r="R620" s="719">
        <f t="shared" si="9"/>
        <v>177063</v>
      </c>
      <c r="S620" s="718"/>
      <c r="T620" s="719">
        <v>85601</v>
      </c>
      <c r="U620" s="721">
        <v>5259</v>
      </c>
      <c r="V620" s="721">
        <v>90859</v>
      </c>
    </row>
    <row r="621" spans="1:22" x14ac:dyDescent="0.25">
      <c r="A621" s="715">
        <v>96733</v>
      </c>
      <c r="B621" s="716" t="s">
        <v>3153</v>
      </c>
      <c r="C621" s="717">
        <v>9.2E-6</v>
      </c>
      <c r="D621" s="717">
        <v>4.1999999999999996E-6</v>
      </c>
      <c r="E621" s="718">
        <v>5389.79</v>
      </c>
      <c r="F621" s="718">
        <v>1885</v>
      </c>
      <c r="G621" s="718">
        <v>19525</v>
      </c>
      <c r="H621" s="718"/>
      <c r="I621" s="719">
        <v>366.85</v>
      </c>
      <c r="J621" s="719">
        <v>17111</v>
      </c>
      <c r="K621" s="719">
        <v>1337</v>
      </c>
      <c r="L621" s="718">
        <v>6066</v>
      </c>
      <c r="M621" s="718"/>
      <c r="N621" s="719">
        <v>684</v>
      </c>
      <c r="O621" s="719">
        <v>6315</v>
      </c>
      <c r="P621" s="719">
        <v>0</v>
      </c>
      <c r="Q621" s="718">
        <v>1048</v>
      </c>
      <c r="R621" s="719">
        <f t="shared" si="9"/>
        <v>10796</v>
      </c>
      <c r="S621" s="718"/>
      <c r="T621" s="719">
        <v>5219</v>
      </c>
      <c r="U621" s="721">
        <v>1707</v>
      </c>
      <c r="V621" s="721">
        <v>6925</v>
      </c>
    </row>
    <row r="622" spans="1:22" x14ac:dyDescent="0.25">
      <c r="A622" s="715">
        <v>96741</v>
      </c>
      <c r="B622" s="716" t="s">
        <v>3154</v>
      </c>
      <c r="C622" s="717">
        <v>9.2399999999999996E-5</v>
      </c>
      <c r="D622" s="717">
        <v>9.2899999999999995E-5</v>
      </c>
      <c r="E622" s="718">
        <v>36390</v>
      </c>
      <c r="F622" s="718">
        <v>41693</v>
      </c>
      <c r="G622" s="718">
        <v>196104</v>
      </c>
      <c r="H622" s="718"/>
      <c r="I622" s="719">
        <v>3684.45</v>
      </c>
      <c r="J622" s="719">
        <v>171849</v>
      </c>
      <c r="K622" s="719">
        <v>13431</v>
      </c>
      <c r="L622" s="718">
        <v>7135</v>
      </c>
      <c r="M622" s="718"/>
      <c r="N622" s="719">
        <v>6872</v>
      </c>
      <c r="O622" s="719">
        <v>63429</v>
      </c>
      <c r="P622" s="719">
        <v>0</v>
      </c>
      <c r="Q622" s="718">
        <v>1549</v>
      </c>
      <c r="R622" s="719">
        <f t="shared" si="9"/>
        <v>108420</v>
      </c>
      <c r="S622" s="718"/>
      <c r="T622" s="719">
        <v>52416</v>
      </c>
      <c r="U622" s="721">
        <v>2530</v>
      </c>
      <c r="V622" s="721">
        <v>54946</v>
      </c>
    </row>
    <row r="623" spans="1:22" x14ac:dyDescent="0.25">
      <c r="A623" s="715">
        <v>96751</v>
      </c>
      <c r="B623" s="716" t="s">
        <v>3155</v>
      </c>
      <c r="C623" s="717">
        <v>2.6120000000000001E-4</v>
      </c>
      <c r="D623" s="717">
        <v>3.0909999999999998E-4</v>
      </c>
      <c r="E623" s="718">
        <v>103641</v>
      </c>
      <c r="F623" s="718">
        <v>138722</v>
      </c>
      <c r="G623" s="718">
        <v>554354</v>
      </c>
      <c r="H623" s="718"/>
      <c r="I623" s="719">
        <v>10415.35</v>
      </c>
      <c r="J623" s="719">
        <v>485791</v>
      </c>
      <c r="K623" s="719">
        <v>37968</v>
      </c>
      <c r="L623" s="718">
        <v>21728.81</v>
      </c>
      <c r="M623" s="718"/>
      <c r="N623" s="719">
        <v>19425</v>
      </c>
      <c r="O623" s="719">
        <v>179303</v>
      </c>
      <c r="P623" s="719">
        <v>0</v>
      </c>
      <c r="Q623" s="718">
        <v>37607</v>
      </c>
      <c r="R623" s="719">
        <f t="shared" si="9"/>
        <v>306488</v>
      </c>
      <c r="S623" s="718"/>
      <c r="T623" s="719">
        <v>148171</v>
      </c>
      <c r="U623" s="721">
        <v>349</v>
      </c>
      <c r="V623" s="721">
        <v>148519</v>
      </c>
    </row>
    <row r="624" spans="1:22" x14ac:dyDescent="0.25">
      <c r="A624" s="715">
        <v>96801</v>
      </c>
      <c r="B624" s="716" t="s">
        <v>3156</v>
      </c>
      <c r="C624" s="717">
        <v>7.8463999999999999E-3</v>
      </c>
      <c r="D624" s="717">
        <v>7.0825000000000003E-3</v>
      </c>
      <c r="E624" s="718">
        <v>3035869.73</v>
      </c>
      <c r="F624" s="718">
        <v>3178584</v>
      </c>
      <c r="G624" s="718">
        <v>16652689</v>
      </c>
      <c r="H624" s="718"/>
      <c r="I624" s="719">
        <v>312875.2</v>
      </c>
      <c r="J624" s="719">
        <v>14593064</v>
      </c>
      <c r="K624" s="719">
        <v>1140561</v>
      </c>
      <c r="L624" s="718">
        <v>642631</v>
      </c>
      <c r="M624" s="718"/>
      <c r="N624" s="719">
        <v>583529</v>
      </c>
      <c r="O624" s="719">
        <v>5386224</v>
      </c>
      <c r="P624" s="719">
        <v>0</v>
      </c>
      <c r="Q624" s="718">
        <v>0</v>
      </c>
      <c r="R624" s="719">
        <f t="shared" si="9"/>
        <v>9206840</v>
      </c>
      <c r="S624" s="718"/>
      <c r="T624" s="719">
        <v>4451019</v>
      </c>
      <c r="U624" s="721">
        <v>235775</v>
      </c>
      <c r="V624" s="721">
        <v>4686794</v>
      </c>
    </row>
    <row r="625" spans="1:22" x14ac:dyDescent="0.25">
      <c r="A625" s="715">
        <v>96804</v>
      </c>
      <c r="B625" s="716" t="s">
        <v>3157</v>
      </c>
      <c r="C625" s="717">
        <v>2.4230000000000001E-4</v>
      </c>
      <c r="D625" s="717">
        <v>2.275E-4</v>
      </c>
      <c r="E625" s="718">
        <v>89702</v>
      </c>
      <c r="F625" s="718">
        <v>102101</v>
      </c>
      <c r="G625" s="718">
        <v>514242</v>
      </c>
      <c r="H625" s="718"/>
      <c r="I625" s="719">
        <v>9662</v>
      </c>
      <c r="J625" s="719">
        <v>450640</v>
      </c>
      <c r="K625" s="719">
        <v>35221</v>
      </c>
      <c r="L625" s="718">
        <v>4453</v>
      </c>
      <c r="M625" s="718"/>
      <c r="N625" s="719">
        <v>18020</v>
      </c>
      <c r="O625" s="719">
        <v>166329</v>
      </c>
      <c r="P625" s="719">
        <v>0</v>
      </c>
      <c r="Q625" s="718">
        <v>3167</v>
      </c>
      <c r="R625" s="719">
        <f t="shared" si="9"/>
        <v>284311</v>
      </c>
      <c r="S625" s="718"/>
      <c r="T625" s="719">
        <v>137449</v>
      </c>
      <c r="U625" s="721">
        <v>1085</v>
      </c>
      <c r="V625" s="721">
        <v>138535</v>
      </c>
    </row>
    <row r="626" spans="1:22" x14ac:dyDescent="0.25">
      <c r="A626" s="715">
        <v>96808</v>
      </c>
      <c r="B626" s="716" t="s">
        <v>3158</v>
      </c>
      <c r="C626" s="717">
        <v>1.2882E-3</v>
      </c>
      <c r="D626" s="717">
        <v>1.1995E-3</v>
      </c>
      <c r="E626" s="718">
        <v>505072.35</v>
      </c>
      <c r="F626" s="718">
        <v>538328</v>
      </c>
      <c r="G626" s="718">
        <v>2733992</v>
      </c>
      <c r="H626" s="718"/>
      <c r="I626" s="719">
        <v>51367</v>
      </c>
      <c r="J626" s="719">
        <v>2395848</v>
      </c>
      <c r="K626" s="719">
        <v>187254</v>
      </c>
      <c r="L626" s="718">
        <v>67087</v>
      </c>
      <c r="M626" s="718"/>
      <c r="N626" s="719">
        <v>95802</v>
      </c>
      <c r="O626" s="719">
        <v>884295</v>
      </c>
      <c r="P626" s="719">
        <v>0</v>
      </c>
      <c r="Q626" s="718">
        <v>0</v>
      </c>
      <c r="R626" s="719">
        <f t="shared" si="9"/>
        <v>1511553</v>
      </c>
      <c r="S626" s="718"/>
      <c r="T626" s="719">
        <v>730756</v>
      </c>
      <c r="U626" s="721">
        <v>24558</v>
      </c>
      <c r="V626" s="721">
        <v>755313</v>
      </c>
    </row>
    <row r="627" spans="1:22" x14ac:dyDescent="0.25">
      <c r="A627" s="715">
        <v>96811</v>
      </c>
      <c r="B627" s="716" t="s">
        <v>3159</v>
      </c>
      <c r="C627" s="717">
        <v>5.9861999999999997E-3</v>
      </c>
      <c r="D627" s="717">
        <v>6.0393000000000001E-3</v>
      </c>
      <c r="E627" s="718">
        <v>2443568.73</v>
      </c>
      <c r="F627" s="718">
        <v>2710402</v>
      </c>
      <c r="G627" s="718">
        <v>12704722</v>
      </c>
      <c r="H627" s="718"/>
      <c r="I627" s="719">
        <v>238700</v>
      </c>
      <c r="J627" s="719">
        <v>11133386</v>
      </c>
      <c r="K627" s="719">
        <v>870160</v>
      </c>
      <c r="L627" s="718">
        <v>0</v>
      </c>
      <c r="M627" s="718"/>
      <c r="N627" s="719">
        <v>445188</v>
      </c>
      <c r="O627" s="719">
        <v>4109275</v>
      </c>
      <c r="P627" s="719">
        <v>0</v>
      </c>
      <c r="Q627" s="718">
        <v>86222</v>
      </c>
      <c r="R627" s="719">
        <f t="shared" si="9"/>
        <v>7024111</v>
      </c>
      <c r="S627" s="718"/>
      <c r="T627" s="719">
        <v>3395786</v>
      </c>
      <c r="U627" s="721">
        <v>-32722</v>
      </c>
      <c r="V627" s="721">
        <v>3363064</v>
      </c>
    </row>
    <row r="628" spans="1:22" x14ac:dyDescent="0.25">
      <c r="A628" s="715">
        <v>96821</v>
      </c>
      <c r="B628" s="716" t="s">
        <v>3160</v>
      </c>
      <c r="C628" s="717">
        <v>1.3630999999999999E-3</v>
      </c>
      <c r="D628" s="717">
        <v>1.4808E-3</v>
      </c>
      <c r="E628" s="718">
        <v>518291.4</v>
      </c>
      <c r="F628" s="718">
        <v>664574</v>
      </c>
      <c r="G628" s="718">
        <v>2892955</v>
      </c>
      <c r="H628" s="718"/>
      <c r="I628" s="719">
        <v>54354</v>
      </c>
      <c r="J628" s="719">
        <v>2535151</v>
      </c>
      <c r="K628" s="719">
        <v>198142</v>
      </c>
      <c r="L628" s="718">
        <v>0</v>
      </c>
      <c r="M628" s="718"/>
      <c r="N628" s="719">
        <v>101372</v>
      </c>
      <c r="O628" s="719">
        <v>935711</v>
      </c>
      <c r="P628" s="719">
        <v>0</v>
      </c>
      <c r="Q628" s="718">
        <v>153131</v>
      </c>
      <c r="R628" s="719">
        <f t="shared" si="9"/>
        <v>1599440</v>
      </c>
      <c r="S628" s="718"/>
      <c r="T628" s="719">
        <v>773244</v>
      </c>
      <c r="U628" s="721">
        <v>-47603</v>
      </c>
      <c r="V628" s="721">
        <v>725641</v>
      </c>
    </row>
    <row r="629" spans="1:22" x14ac:dyDescent="0.25">
      <c r="A629" s="715">
        <v>96831</v>
      </c>
      <c r="B629" s="716" t="s">
        <v>3161</v>
      </c>
      <c r="C629" s="717">
        <v>9.2400000000000002E-4</v>
      </c>
      <c r="D629" s="717">
        <v>8.3830000000000005E-4</v>
      </c>
      <c r="E629" s="718">
        <v>353922</v>
      </c>
      <c r="F629" s="718">
        <v>376224</v>
      </c>
      <c r="G629" s="718">
        <v>1961037.54</v>
      </c>
      <c r="H629" s="718"/>
      <c r="I629" s="719">
        <v>36844.5</v>
      </c>
      <c r="J629" s="719">
        <v>1718494</v>
      </c>
      <c r="K629" s="719">
        <v>134314</v>
      </c>
      <c r="L629" s="718">
        <v>56487</v>
      </c>
      <c r="M629" s="718"/>
      <c r="N629" s="719">
        <v>68717</v>
      </c>
      <c r="O629" s="719">
        <v>634287</v>
      </c>
      <c r="P629" s="719">
        <v>0</v>
      </c>
      <c r="Q629" s="718">
        <v>0</v>
      </c>
      <c r="R629" s="719">
        <f t="shared" si="9"/>
        <v>1084207</v>
      </c>
      <c r="S629" s="718"/>
      <c r="T629" s="719">
        <v>524157</v>
      </c>
      <c r="U629" s="721">
        <v>19257</v>
      </c>
      <c r="V629" s="721">
        <v>543413</v>
      </c>
    </row>
    <row r="630" spans="1:22" x14ac:dyDescent="0.25">
      <c r="A630" s="715">
        <v>96901</v>
      </c>
      <c r="B630" s="716" t="s">
        <v>3162</v>
      </c>
      <c r="C630" s="717">
        <v>8.1610000000000005E-4</v>
      </c>
      <c r="D630" s="717">
        <v>7.6599999999999997E-4</v>
      </c>
      <c r="E630" s="718">
        <v>326581.33</v>
      </c>
      <c r="F630" s="718">
        <v>343776</v>
      </c>
      <c r="G630" s="718">
        <v>1732038</v>
      </c>
      <c r="H630" s="718"/>
      <c r="I630" s="719">
        <v>32542</v>
      </c>
      <c r="J630" s="719">
        <v>1517817</v>
      </c>
      <c r="K630" s="719">
        <v>118629</v>
      </c>
      <c r="L630" s="718">
        <v>46444</v>
      </c>
      <c r="M630" s="718"/>
      <c r="N630" s="719">
        <v>60693</v>
      </c>
      <c r="O630" s="719">
        <v>560218</v>
      </c>
      <c r="P630" s="719">
        <v>0</v>
      </c>
      <c r="Q630" s="718">
        <v>0</v>
      </c>
      <c r="R630" s="719">
        <f t="shared" si="9"/>
        <v>957599</v>
      </c>
      <c r="S630" s="718"/>
      <c r="T630" s="719">
        <v>462948</v>
      </c>
      <c r="U630" s="721">
        <v>15281</v>
      </c>
      <c r="V630" s="721">
        <v>478229</v>
      </c>
    </row>
    <row r="631" spans="1:22" x14ac:dyDescent="0.25">
      <c r="A631" s="715">
        <v>96911</v>
      </c>
      <c r="B631" s="716" t="s">
        <v>3163</v>
      </c>
      <c r="C631" s="717">
        <v>3.7000000000000002E-6</v>
      </c>
      <c r="D631" s="717">
        <v>1.15E-5</v>
      </c>
      <c r="E631" s="718">
        <v>2162.39</v>
      </c>
      <c r="F631" s="718">
        <v>5161</v>
      </c>
      <c r="G631" s="718">
        <v>7853</v>
      </c>
      <c r="H631" s="718"/>
      <c r="I631" s="719">
        <v>147.53749999999999</v>
      </c>
      <c r="J631" s="719">
        <v>6881</v>
      </c>
      <c r="K631" s="719">
        <v>538</v>
      </c>
      <c r="L631" s="718">
        <v>3997</v>
      </c>
      <c r="M631" s="718"/>
      <c r="N631" s="719">
        <v>275</v>
      </c>
      <c r="O631" s="719">
        <v>2540</v>
      </c>
      <c r="P631" s="719">
        <v>0</v>
      </c>
      <c r="Q631" s="718">
        <v>3716</v>
      </c>
      <c r="R631" s="719">
        <f t="shared" si="9"/>
        <v>4341</v>
      </c>
      <c r="S631" s="718"/>
      <c r="T631" s="719">
        <v>2099</v>
      </c>
      <c r="U631" s="721">
        <v>571</v>
      </c>
      <c r="V631" s="721">
        <v>2669</v>
      </c>
    </row>
    <row r="632" spans="1:22" x14ac:dyDescent="0.25">
      <c r="A632" s="715">
        <v>96912</v>
      </c>
      <c r="B632" s="716" t="s">
        <v>3164</v>
      </c>
      <c r="C632" s="717">
        <v>6.0999999999999999E-5</v>
      </c>
      <c r="D632" s="717">
        <v>5.5899999999999997E-5</v>
      </c>
      <c r="E632" s="718">
        <v>20331.63</v>
      </c>
      <c r="F632" s="718">
        <v>25088</v>
      </c>
      <c r="G632" s="718">
        <v>129462</v>
      </c>
      <c r="H632" s="718"/>
      <c r="I632" s="719">
        <v>2432.375</v>
      </c>
      <c r="J632" s="719">
        <v>113450</v>
      </c>
      <c r="K632" s="719">
        <v>8867</v>
      </c>
      <c r="L632" s="718">
        <v>7641</v>
      </c>
      <c r="M632" s="718"/>
      <c r="N632" s="719">
        <v>4537</v>
      </c>
      <c r="O632" s="719">
        <v>41874</v>
      </c>
      <c r="P632" s="719">
        <v>0</v>
      </c>
      <c r="Q632" s="718">
        <v>1013</v>
      </c>
      <c r="R632" s="719">
        <f t="shared" si="9"/>
        <v>71576</v>
      </c>
      <c r="S632" s="718"/>
      <c r="T632" s="719">
        <v>34603</v>
      </c>
      <c r="U632" s="721">
        <v>3054</v>
      </c>
      <c r="V632" s="721">
        <v>37657</v>
      </c>
    </row>
    <row r="633" spans="1:22" x14ac:dyDescent="0.25">
      <c r="A633" s="715">
        <v>96918</v>
      </c>
      <c r="B633" s="716" t="s">
        <v>3165</v>
      </c>
      <c r="C633" s="717">
        <v>4.0500000000000002E-5</v>
      </c>
      <c r="D633" s="717">
        <v>4.5099999999999998E-5</v>
      </c>
      <c r="E633" s="718">
        <v>18289.97</v>
      </c>
      <c r="F633" s="718">
        <v>20241</v>
      </c>
      <c r="G633" s="718">
        <v>85955</v>
      </c>
      <c r="H633" s="718"/>
      <c r="I633" s="719">
        <v>1614.9375</v>
      </c>
      <c r="J633" s="719">
        <v>75324</v>
      </c>
      <c r="K633" s="719">
        <v>5887</v>
      </c>
      <c r="L633" s="718">
        <v>12921</v>
      </c>
      <c r="M633" s="718"/>
      <c r="N633" s="719">
        <v>3012</v>
      </c>
      <c r="O633" s="719">
        <v>27802</v>
      </c>
      <c r="P633" s="719">
        <v>0</v>
      </c>
      <c r="Q633" s="718">
        <v>1194</v>
      </c>
      <c r="R633" s="719">
        <f t="shared" si="9"/>
        <v>47522</v>
      </c>
      <c r="S633" s="718"/>
      <c r="T633" s="719">
        <v>22974</v>
      </c>
      <c r="U633" s="721">
        <v>5498</v>
      </c>
      <c r="V633" s="721">
        <v>28472</v>
      </c>
    </row>
    <row r="634" spans="1:22" x14ac:dyDescent="0.25">
      <c r="A634" s="715">
        <v>97001</v>
      </c>
      <c r="B634" s="716" t="s">
        <v>3166</v>
      </c>
      <c r="C634" s="717">
        <v>1.3641E-3</v>
      </c>
      <c r="D634" s="717">
        <v>1.3221999999999999E-3</v>
      </c>
      <c r="E634" s="718">
        <v>636605</v>
      </c>
      <c r="F634" s="718">
        <v>593395</v>
      </c>
      <c r="G634" s="718">
        <v>2895077</v>
      </c>
      <c r="H634" s="718"/>
      <c r="I634" s="719">
        <v>54393</v>
      </c>
      <c r="J634" s="719">
        <v>2537010</v>
      </c>
      <c r="K634" s="719">
        <v>198287</v>
      </c>
      <c r="L634" s="718">
        <v>107093</v>
      </c>
      <c r="M634" s="718"/>
      <c r="N634" s="719">
        <v>101447</v>
      </c>
      <c r="O634" s="719">
        <v>936397</v>
      </c>
      <c r="P634" s="719">
        <v>0</v>
      </c>
      <c r="Q634" s="718">
        <v>23162</v>
      </c>
      <c r="R634" s="719">
        <f t="shared" si="9"/>
        <v>1600613</v>
      </c>
      <c r="S634" s="718"/>
      <c r="T634" s="719">
        <v>773812</v>
      </c>
      <c r="U634" s="721">
        <v>18430</v>
      </c>
      <c r="V634" s="721">
        <v>792241</v>
      </c>
    </row>
    <row r="635" spans="1:22" x14ac:dyDescent="0.25">
      <c r="A635" s="715">
        <v>97002</v>
      </c>
      <c r="B635" s="716" t="s">
        <v>3167</v>
      </c>
      <c r="C635" s="717">
        <v>4.6589999999999999E-4</v>
      </c>
      <c r="D635" s="717">
        <v>3.9229999999999999E-4</v>
      </c>
      <c r="E635" s="718">
        <v>151526.06</v>
      </c>
      <c r="F635" s="718">
        <v>176062</v>
      </c>
      <c r="G635" s="718">
        <v>988796</v>
      </c>
      <c r="H635" s="718"/>
      <c r="I635" s="719">
        <v>18578</v>
      </c>
      <c r="J635" s="719">
        <v>866500</v>
      </c>
      <c r="K635" s="719">
        <v>67724</v>
      </c>
      <c r="L635" s="718">
        <v>28607</v>
      </c>
      <c r="M635" s="718"/>
      <c r="N635" s="719">
        <v>34649</v>
      </c>
      <c r="O635" s="719">
        <v>319821</v>
      </c>
      <c r="P635" s="719">
        <v>0</v>
      </c>
      <c r="Q635" s="718">
        <v>0</v>
      </c>
      <c r="R635" s="719">
        <f t="shared" si="9"/>
        <v>546679</v>
      </c>
      <c r="S635" s="718"/>
      <c r="T635" s="719">
        <v>264291</v>
      </c>
      <c r="U635" s="721">
        <v>11776</v>
      </c>
      <c r="V635" s="721">
        <v>276066</v>
      </c>
    </row>
    <row r="636" spans="1:22" x14ac:dyDescent="0.25">
      <c r="A636" s="715">
        <v>97004</v>
      </c>
      <c r="B636" s="716" t="s">
        <v>3168</v>
      </c>
      <c r="C636" s="717">
        <v>1.0900000000000001E-5</v>
      </c>
      <c r="D636" s="717">
        <v>1.47E-5</v>
      </c>
      <c r="E636" s="718">
        <v>7359.36</v>
      </c>
      <c r="F636" s="718">
        <v>6597</v>
      </c>
      <c r="G636" s="718">
        <v>23133</v>
      </c>
      <c r="H636" s="718"/>
      <c r="I636" s="719">
        <v>435</v>
      </c>
      <c r="J636" s="719">
        <v>20272</v>
      </c>
      <c r="K636" s="719">
        <v>1584</v>
      </c>
      <c r="L636" s="718">
        <v>3251</v>
      </c>
      <c r="M636" s="718"/>
      <c r="N636" s="719">
        <v>811</v>
      </c>
      <c r="O636" s="719">
        <v>7482</v>
      </c>
      <c r="P636" s="719">
        <v>0</v>
      </c>
      <c r="Q636" s="718">
        <v>0</v>
      </c>
      <c r="R636" s="719">
        <f t="shared" si="9"/>
        <v>12790</v>
      </c>
      <c r="S636" s="718"/>
      <c r="T636" s="719">
        <v>6183</v>
      </c>
      <c r="U636" s="721">
        <v>1295</v>
      </c>
      <c r="V636" s="721">
        <v>7478</v>
      </c>
    </row>
    <row r="637" spans="1:22" x14ac:dyDescent="0.25">
      <c r="A637" s="715">
        <v>97005</v>
      </c>
      <c r="B637" s="716" t="s">
        <v>3169</v>
      </c>
      <c r="C637" s="717">
        <v>1.42E-5</v>
      </c>
      <c r="D637" s="717">
        <v>2.3799999999999999E-5</v>
      </c>
      <c r="E637" s="718">
        <v>10552.87</v>
      </c>
      <c r="F637" s="718">
        <v>10681</v>
      </c>
      <c r="G637" s="718">
        <v>30137</v>
      </c>
      <c r="H637" s="718"/>
      <c r="I637" s="719">
        <v>566.22500000000002</v>
      </c>
      <c r="J637" s="719">
        <v>26410</v>
      </c>
      <c r="K637" s="719">
        <v>2064</v>
      </c>
      <c r="L637" s="718">
        <v>3091</v>
      </c>
      <c r="M637" s="718"/>
      <c r="N637" s="719">
        <v>1056</v>
      </c>
      <c r="O637" s="719">
        <v>9748</v>
      </c>
      <c r="P637" s="719">
        <v>0</v>
      </c>
      <c r="Q637" s="718">
        <v>2036</v>
      </c>
      <c r="R637" s="719">
        <f t="shared" si="9"/>
        <v>16662</v>
      </c>
      <c r="S637" s="718"/>
      <c r="T637" s="719">
        <v>8055</v>
      </c>
      <c r="U637" s="721">
        <v>428</v>
      </c>
      <c r="V637" s="721">
        <v>8483</v>
      </c>
    </row>
    <row r="638" spans="1:22" x14ac:dyDescent="0.25">
      <c r="A638" s="715">
        <v>97008</v>
      </c>
      <c r="B638" s="716" t="s">
        <v>3170</v>
      </c>
      <c r="C638" s="717">
        <v>2.7530000000000002E-4</v>
      </c>
      <c r="D638" s="717">
        <v>2.6959999999999999E-4</v>
      </c>
      <c r="E638" s="718">
        <v>107270.37</v>
      </c>
      <c r="F638" s="718">
        <v>120995</v>
      </c>
      <c r="G638" s="718">
        <v>584279</v>
      </c>
      <c r="H638" s="718"/>
      <c r="I638" s="719">
        <v>10978</v>
      </c>
      <c r="J638" s="719">
        <v>512015</v>
      </c>
      <c r="K638" s="719">
        <v>40018</v>
      </c>
      <c r="L638" s="718">
        <v>14688</v>
      </c>
      <c r="M638" s="718"/>
      <c r="N638" s="719">
        <v>20474</v>
      </c>
      <c r="O638" s="719">
        <v>188982</v>
      </c>
      <c r="P638" s="719">
        <v>0</v>
      </c>
      <c r="Q638" s="718">
        <v>4604</v>
      </c>
      <c r="R638" s="719">
        <f t="shared" si="9"/>
        <v>323033</v>
      </c>
      <c r="S638" s="718"/>
      <c r="T638" s="719">
        <v>156169</v>
      </c>
      <c r="U638" s="721">
        <v>5904</v>
      </c>
      <c r="V638" s="721">
        <v>162074</v>
      </c>
    </row>
    <row r="639" spans="1:22" x14ac:dyDescent="0.25">
      <c r="A639" s="715">
        <v>97010</v>
      </c>
      <c r="B639" s="716" t="s">
        <v>3171</v>
      </c>
      <c r="C639" s="717">
        <v>0</v>
      </c>
      <c r="D639" s="717">
        <v>0</v>
      </c>
      <c r="E639" s="718">
        <v>0</v>
      </c>
      <c r="F639" s="718">
        <v>0</v>
      </c>
      <c r="G639" s="718">
        <v>0</v>
      </c>
      <c r="H639" s="718"/>
      <c r="I639" s="719">
        <v>0</v>
      </c>
      <c r="J639" s="719">
        <v>0</v>
      </c>
      <c r="K639" s="719">
        <v>0</v>
      </c>
      <c r="L639" s="718">
        <v>0</v>
      </c>
      <c r="M639" s="718"/>
      <c r="N639" s="719">
        <v>0</v>
      </c>
      <c r="O639" s="719">
        <v>0</v>
      </c>
      <c r="P639" s="719">
        <v>0</v>
      </c>
      <c r="Q639" s="718">
        <v>3339356</v>
      </c>
      <c r="R639" s="719">
        <f t="shared" si="9"/>
        <v>0</v>
      </c>
      <c r="S639" s="718"/>
      <c r="T639" s="719">
        <v>0</v>
      </c>
      <c r="U639" s="721">
        <v>-1282454</v>
      </c>
      <c r="V639" s="721">
        <v>-1282454</v>
      </c>
    </row>
    <row r="640" spans="1:22" x14ac:dyDescent="0.25">
      <c r="A640" s="715">
        <v>97011</v>
      </c>
      <c r="B640" s="716" t="s">
        <v>3172</v>
      </c>
      <c r="C640" s="717">
        <v>1.9522999999999999E-3</v>
      </c>
      <c r="D640" s="717">
        <v>2.0471E-3</v>
      </c>
      <c r="E640" s="718">
        <v>745774</v>
      </c>
      <c r="F640" s="718">
        <v>918726</v>
      </c>
      <c r="G640" s="718">
        <v>4143435</v>
      </c>
      <c r="H640" s="718"/>
      <c r="I640" s="719">
        <v>77848</v>
      </c>
      <c r="J640" s="719">
        <v>3630970</v>
      </c>
      <c r="K640" s="719">
        <v>283788</v>
      </c>
      <c r="L640" s="718">
        <v>0</v>
      </c>
      <c r="M640" s="718"/>
      <c r="N640" s="719">
        <v>145191</v>
      </c>
      <c r="O640" s="719">
        <v>1340172</v>
      </c>
      <c r="P640" s="719">
        <v>0</v>
      </c>
      <c r="Q640" s="718">
        <v>128959</v>
      </c>
      <c r="R640" s="719">
        <f t="shared" si="9"/>
        <v>2290798</v>
      </c>
      <c r="S640" s="718"/>
      <c r="T640" s="719">
        <v>1107479</v>
      </c>
      <c r="U640" s="721">
        <v>-38250</v>
      </c>
      <c r="V640" s="721">
        <v>1069229</v>
      </c>
    </row>
    <row r="641" spans="1:22" x14ac:dyDescent="0.25">
      <c r="A641" s="715">
        <v>97012</v>
      </c>
      <c r="B641" s="716" t="s">
        <v>3173</v>
      </c>
      <c r="C641" s="717">
        <v>2.4499999999999999E-5</v>
      </c>
      <c r="D641" s="717">
        <v>2.4199999999999999E-5</v>
      </c>
      <c r="E641" s="718">
        <v>14173.02</v>
      </c>
      <c r="F641" s="718">
        <v>10861</v>
      </c>
      <c r="G641" s="718">
        <v>51997</v>
      </c>
      <c r="H641" s="718"/>
      <c r="I641" s="719">
        <v>976.9375</v>
      </c>
      <c r="J641" s="719">
        <v>45566</v>
      </c>
      <c r="K641" s="719">
        <v>3561</v>
      </c>
      <c r="L641" s="718">
        <v>3417</v>
      </c>
      <c r="M641" s="718"/>
      <c r="N641" s="719">
        <v>1822</v>
      </c>
      <c r="O641" s="719">
        <v>16818</v>
      </c>
      <c r="P641" s="719">
        <v>0</v>
      </c>
      <c r="Q641" s="718">
        <v>1887</v>
      </c>
      <c r="R641" s="719">
        <f t="shared" si="9"/>
        <v>28748</v>
      </c>
      <c r="S641" s="718"/>
      <c r="T641" s="719">
        <v>13898</v>
      </c>
      <c r="U641" s="721">
        <v>148</v>
      </c>
      <c r="V641" s="721">
        <v>14046</v>
      </c>
    </row>
    <row r="642" spans="1:22" x14ac:dyDescent="0.25">
      <c r="A642" s="715">
        <v>97013</v>
      </c>
      <c r="B642" s="716" t="s">
        <v>3174</v>
      </c>
      <c r="C642" s="717">
        <v>2.0699999999999998E-5</v>
      </c>
      <c r="D642" s="717">
        <v>1.1399999999999999E-5</v>
      </c>
      <c r="E642" s="718">
        <v>8196.81</v>
      </c>
      <c r="F642" s="718">
        <v>5116</v>
      </c>
      <c r="G642" s="718">
        <v>43932</v>
      </c>
      <c r="H642" s="718"/>
      <c r="I642" s="719">
        <v>825</v>
      </c>
      <c r="J642" s="719">
        <v>38499</v>
      </c>
      <c r="K642" s="719">
        <v>3009</v>
      </c>
      <c r="L642" s="718">
        <v>7733</v>
      </c>
      <c r="M642" s="718"/>
      <c r="N642" s="719">
        <v>1539</v>
      </c>
      <c r="O642" s="719">
        <v>14210</v>
      </c>
      <c r="P642" s="719">
        <v>0</v>
      </c>
      <c r="Q642" s="718">
        <v>866</v>
      </c>
      <c r="R642" s="719">
        <f t="shared" si="9"/>
        <v>24289</v>
      </c>
      <c r="S642" s="718"/>
      <c r="T642" s="719">
        <v>11742</v>
      </c>
      <c r="U642" s="721">
        <v>1850</v>
      </c>
      <c r="V642" s="721">
        <v>13592</v>
      </c>
    </row>
    <row r="643" spans="1:22" x14ac:dyDescent="0.25">
      <c r="A643" s="715">
        <v>97015</v>
      </c>
      <c r="B643" s="716" t="s">
        <v>3175</v>
      </c>
      <c r="C643" s="717">
        <v>5.3699999999999997E-5</v>
      </c>
      <c r="D643" s="717">
        <v>4.7700000000000001E-5</v>
      </c>
      <c r="E643" s="718">
        <v>21900.080000000002</v>
      </c>
      <c r="F643" s="718">
        <v>21407</v>
      </c>
      <c r="G643" s="718">
        <v>113969</v>
      </c>
      <c r="H643" s="718"/>
      <c r="I643" s="719">
        <v>2141</v>
      </c>
      <c r="J643" s="719">
        <v>99874</v>
      </c>
      <c r="K643" s="719">
        <v>7806</v>
      </c>
      <c r="L643" s="718">
        <v>6681</v>
      </c>
      <c r="M643" s="718"/>
      <c r="N643" s="719">
        <v>3994</v>
      </c>
      <c r="O643" s="719">
        <v>36863</v>
      </c>
      <c r="P643" s="719">
        <v>0</v>
      </c>
      <c r="Q643" s="718">
        <v>1588</v>
      </c>
      <c r="R643" s="719">
        <f t="shared" si="9"/>
        <v>63011</v>
      </c>
      <c r="S643" s="718"/>
      <c r="T643" s="719">
        <v>30462</v>
      </c>
      <c r="U643" s="721">
        <v>1274</v>
      </c>
      <c r="V643" s="721">
        <v>31737</v>
      </c>
    </row>
    <row r="644" spans="1:22" x14ac:dyDescent="0.25">
      <c r="A644" s="715">
        <v>97018</v>
      </c>
      <c r="B644" s="716" t="s">
        <v>3176</v>
      </c>
      <c r="C644" s="717">
        <v>9.3999999999999998E-6</v>
      </c>
      <c r="D644" s="717">
        <v>9.5000000000000005E-6</v>
      </c>
      <c r="E644" s="718">
        <v>7336</v>
      </c>
      <c r="F644" s="718">
        <v>4264</v>
      </c>
      <c r="G644" s="718">
        <v>19950</v>
      </c>
      <c r="H644" s="718"/>
      <c r="I644" s="719">
        <v>374.82499999999999</v>
      </c>
      <c r="J644" s="719">
        <v>17483</v>
      </c>
      <c r="K644" s="719">
        <v>1366</v>
      </c>
      <c r="L644" s="718">
        <v>6124</v>
      </c>
      <c r="M644" s="718"/>
      <c r="N644" s="719">
        <v>699</v>
      </c>
      <c r="O644" s="719">
        <v>6453</v>
      </c>
      <c r="P644" s="719">
        <v>0</v>
      </c>
      <c r="Q644" s="718">
        <v>0</v>
      </c>
      <c r="R644" s="719">
        <f t="shared" si="9"/>
        <v>11030</v>
      </c>
      <c r="S644" s="718"/>
      <c r="T644" s="719">
        <v>5332</v>
      </c>
      <c r="U644" s="721">
        <v>2103</v>
      </c>
      <c r="V644" s="721">
        <v>7435</v>
      </c>
    </row>
    <row r="645" spans="1:22" x14ac:dyDescent="0.25">
      <c r="A645" s="715">
        <v>97101</v>
      </c>
      <c r="B645" s="716" t="s">
        <v>3177</v>
      </c>
      <c r="C645" s="717">
        <v>2.6029E-3</v>
      </c>
      <c r="D645" s="717">
        <v>2.5864999999999998E-3</v>
      </c>
      <c r="E645" s="718">
        <v>1065744</v>
      </c>
      <c r="F645" s="718">
        <v>1160806</v>
      </c>
      <c r="G645" s="718">
        <v>5524226</v>
      </c>
      <c r="H645" s="718"/>
      <c r="I645" s="719">
        <v>103791</v>
      </c>
      <c r="J645" s="719">
        <v>4840983</v>
      </c>
      <c r="K645" s="719">
        <v>378360</v>
      </c>
      <c r="L645" s="718">
        <v>28605</v>
      </c>
      <c r="M645" s="718"/>
      <c r="N645" s="719">
        <v>193575</v>
      </c>
      <c r="O645" s="719">
        <v>1786782</v>
      </c>
      <c r="P645" s="719">
        <v>0</v>
      </c>
      <c r="Q645" s="718">
        <v>13944</v>
      </c>
      <c r="R645" s="719">
        <f t="shared" si="9"/>
        <v>3054201</v>
      </c>
      <c r="S645" s="718"/>
      <c r="T645" s="719">
        <v>1476544</v>
      </c>
      <c r="U645" s="721">
        <v>2643</v>
      </c>
      <c r="V645" s="721">
        <v>1479187</v>
      </c>
    </row>
    <row r="646" spans="1:22" x14ac:dyDescent="0.25">
      <c r="A646" s="715">
        <v>97104</v>
      </c>
      <c r="B646" s="716" t="s">
        <v>3178</v>
      </c>
      <c r="C646" s="717">
        <v>5.6799999999999998E-5</v>
      </c>
      <c r="D646" s="717">
        <v>5.2099999999999999E-5</v>
      </c>
      <c r="E646" s="718">
        <v>26203</v>
      </c>
      <c r="F646" s="718">
        <v>23382</v>
      </c>
      <c r="G646" s="718">
        <v>120549</v>
      </c>
      <c r="H646" s="718"/>
      <c r="I646" s="719">
        <v>2264.9</v>
      </c>
      <c r="J646" s="719">
        <v>105639</v>
      </c>
      <c r="K646" s="719">
        <v>8257</v>
      </c>
      <c r="L646" s="718">
        <v>15710</v>
      </c>
      <c r="M646" s="718"/>
      <c r="N646" s="719">
        <v>4224</v>
      </c>
      <c r="O646" s="719">
        <v>38991</v>
      </c>
      <c r="P646" s="719">
        <v>0</v>
      </c>
      <c r="Q646" s="718">
        <v>0</v>
      </c>
      <c r="R646" s="719">
        <f t="shared" si="9"/>
        <v>66648</v>
      </c>
      <c r="S646" s="718"/>
      <c r="T646" s="719">
        <v>32221</v>
      </c>
      <c r="U646" s="721">
        <v>5708</v>
      </c>
      <c r="V646" s="721">
        <v>37929</v>
      </c>
    </row>
    <row r="647" spans="1:22" x14ac:dyDescent="0.25">
      <c r="A647" s="715">
        <v>97111</v>
      </c>
      <c r="B647" s="716" t="s">
        <v>3179</v>
      </c>
      <c r="C647" s="717">
        <v>2.7099999999999997E-4</v>
      </c>
      <c r="D647" s="717">
        <v>2.5099999999999998E-4</v>
      </c>
      <c r="E647" s="718">
        <v>99518.98</v>
      </c>
      <c r="F647" s="718">
        <v>112647</v>
      </c>
      <c r="G647" s="718">
        <v>575153</v>
      </c>
      <c r="H647" s="718"/>
      <c r="I647" s="719">
        <v>10806</v>
      </c>
      <c r="J647" s="719">
        <v>504017</v>
      </c>
      <c r="K647" s="719">
        <v>39393</v>
      </c>
      <c r="L647" s="718">
        <v>14654</v>
      </c>
      <c r="M647" s="718"/>
      <c r="N647" s="719">
        <v>20154</v>
      </c>
      <c r="O647" s="719">
        <v>186030</v>
      </c>
      <c r="P647" s="719">
        <v>0</v>
      </c>
      <c r="Q647" s="718">
        <v>17411</v>
      </c>
      <c r="R647" s="719">
        <f t="shared" ref="R647:R710" si="10">IF(J647&gt;O647,J647-O647,O647-J647)</f>
        <v>317987</v>
      </c>
      <c r="S647" s="718"/>
      <c r="T647" s="719">
        <v>153730</v>
      </c>
      <c r="U647" s="721">
        <v>858</v>
      </c>
      <c r="V647" s="721">
        <v>154588</v>
      </c>
    </row>
    <row r="648" spans="1:22" x14ac:dyDescent="0.25">
      <c r="A648" s="715">
        <v>97121</v>
      </c>
      <c r="B648" s="716" t="s">
        <v>3180</v>
      </c>
      <c r="C648" s="717">
        <v>1.2070000000000001E-4</v>
      </c>
      <c r="D648" s="717">
        <v>1.495E-4</v>
      </c>
      <c r="E648" s="718">
        <v>55081</v>
      </c>
      <c r="F648" s="718">
        <v>67095</v>
      </c>
      <c r="G648" s="718">
        <v>256166</v>
      </c>
      <c r="H648" s="718"/>
      <c r="I648" s="719">
        <v>4813</v>
      </c>
      <c r="J648" s="719">
        <v>224483</v>
      </c>
      <c r="K648" s="719">
        <v>17545</v>
      </c>
      <c r="L648" s="718">
        <v>0</v>
      </c>
      <c r="M648" s="718"/>
      <c r="N648" s="719">
        <v>8976</v>
      </c>
      <c r="O648" s="719">
        <v>82855</v>
      </c>
      <c r="P648" s="719">
        <v>0</v>
      </c>
      <c r="Q648" s="718">
        <v>14541</v>
      </c>
      <c r="R648" s="719">
        <f t="shared" si="10"/>
        <v>141628</v>
      </c>
      <c r="S648" s="718"/>
      <c r="T648" s="719">
        <v>68469</v>
      </c>
      <c r="U648" s="721">
        <v>-4515</v>
      </c>
      <c r="V648" s="721">
        <v>63954</v>
      </c>
    </row>
    <row r="649" spans="1:22" x14ac:dyDescent="0.25">
      <c r="A649" s="715">
        <v>97131</v>
      </c>
      <c r="B649" s="716" t="s">
        <v>3181</v>
      </c>
      <c r="C649" s="717">
        <v>6.2969999999999996E-4</v>
      </c>
      <c r="D649" s="717">
        <v>5.9650000000000002E-4</v>
      </c>
      <c r="E649" s="718">
        <v>232414</v>
      </c>
      <c r="F649" s="718">
        <v>267706</v>
      </c>
      <c r="G649" s="718">
        <v>1336434</v>
      </c>
      <c r="H649" s="718"/>
      <c r="I649" s="719">
        <v>25109</v>
      </c>
      <c r="J649" s="719">
        <v>1171143</v>
      </c>
      <c r="K649" s="719">
        <v>91534</v>
      </c>
      <c r="L649" s="718">
        <v>6841</v>
      </c>
      <c r="M649" s="718"/>
      <c r="N649" s="719">
        <v>46830</v>
      </c>
      <c r="O649" s="719">
        <v>432263</v>
      </c>
      <c r="P649" s="719">
        <v>0</v>
      </c>
      <c r="Q649" s="718">
        <v>3274</v>
      </c>
      <c r="R649" s="719">
        <f t="shared" si="10"/>
        <v>738880</v>
      </c>
      <c r="S649" s="718"/>
      <c r="T649" s="719">
        <v>357209</v>
      </c>
      <c r="U649" s="721">
        <v>1535</v>
      </c>
      <c r="V649" s="721">
        <v>358745</v>
      </c>
    </row>
    <row r="650" spans="1:22" x14ac:dyDescent="0.25">
      <c r="A650" s="715">
        <v>97201</v>
      </c>
      <c r="B650" s="716" t="s">
        <v>3182</v>
      </c>
      <c r="C650" s="717">
        <v>4.9439999999999998E-4</v>
      </c>
      <c r="D650" s="717">
        <v>4.7249999999999999E-4</v>
      </c>
      <c r="E650" s="718">
        <v>214121.60000000001</v>
      </c>
      <c r="F650" s="718">
        <v>212055</v>
      </c>
      <c r="G650" s="718">
        <v>1049282</v>
      </c>
      <c r="H650" s="718"/>
      <c r="I650" s="719">
        <v>19714.2</v>
      </c>
      <c r="J650" s="719">
        <v>919506</v>
      </c>
      <c r="K650" s="719">
        <v>71866</v>
      </c>
      <c r="L650" s="718">
        <v>22797</v>
      </c>
      <c r="M650" s="718"/>
      <c r="N650" s="719">
        <v>36768</v>
      </c>
      <c r="O650" s="719">
        <v>339385</v>
      </c>
      <c r="P650" s="719">
        <v>0</v>
      </c>
      <c r="Q650" s="718">
        <v>3773</v>
      </c>
      <c r="R650" s="719">
        <f t="shared" si="10"/>
        <v>580121</v>
      </c>
      <c r="S650" s="718"/>
      <c r="T650" s="719">
        <v>280458</v>
      </c>
      <c r="U650" s="721">
        <v>4235</v>
      </c>
      <c r="V650" s="721">
        <v>284693</v>
      </c>
    </row>
    <row r="651" spans="1:22" x14ac:dyDescent="0.25">
      <c r="A651" s="715">
        <v>97211</v>
      </c>
      <c r="B651" s="716" t="s">
        <v>3183</v>
      </c>
      <c r="C651" s="717">
        <v>1.4119999999999999E-4</v>
      </c>
      <c r="D651" s="717">
        <v>1.7689999999999999E-4</v>
      </c>
      <c r="E651" s="718">
        <v>62098</v>
      </c>
      <c r="F651" s="718">
        <v>79392</v>
      </c>
      <c r="G651" s="718">
        <v>299674</v>
      </c>
      <c r="H651" s="718"/>
      <c r="I651" s="719">
        <v>5630</v>
      </c>
      <c r="J651" s="719">
        <v>262610</v>
      </c>
      <c r="K651" s="719">
        <v>20525</v>
      </c>
      <c r="L651" s="718">
        <v>3573</v>
      </c>
      <c r="M651" s="718"/>
      <c r="N651" s="719">
        <v>10501</v>
      </c>
      <c r="O651" s="719">
        <v>96928</v>
      </c>
      <c r="P651" s="719">
        <v>0</v>
      </c>
      <c r="Q651" s="718">
        <v>16466</v>
      </c>
      <c r="R651" s="719">
        <f t="shared" si="10"/>
        <v>165682</v>
      </c>
      <c r="S651" s="718"/>
      <c r="T651" s="719">
        <v>80098</v>
      </c>
      <c r="U651" s="721">
        <v>-3079</v>
      </c>
      <c r="V651" s="721">
        <v>77020</v>
      </c>
    </row>
    <row r="652" spans="1:22" x14ac:dyDescent="0.25">
      <c r="A652" s="715">
        <v>97213</v>
      </c>
      <c r="B652" s="716" t="s">
        <v>3184</v>
      </c>
      <c r="C652" s="717">
        <v>3.8300000000000003E-5</v>
      </c>
      <c r="D652" s="717">
        <v>4.0800000000000002E-5</v>
      </c>
      <c r="E652" s="718">
        <v>16615</v>
      </c>
      <c r="F652" s="718">
        <v>18311</v>
      </c>
      <c r="G652" s="718">
        <v>81285</v>
      </c>
      <c r="H652" s="718"/>
      <c r="I652" s="719">
        <v>1527</v>
      </c>
      <c r="J652" s="719">
        <v>71232</v>
      </c>
      <c r="K652" s="719">
        <v>5567</v>
      </c>
      <c r="L652" s="718">
        <v>1545</v>
      </c>
      <c r="M652" s="718"/>
      <c r="N652" s="719">
        <v>2848</v>
      </c>
      <c r="O652" s="719">
        <v>26291</v>
      </c>
      <c r="P652" s="719">
        <v>0</v>
      </c>
      <c r="Q652" s="718">
        <v>668</v>
      </c>
      <c r="R652" s="719">
        <f t="shared" si="10"/>
        <v>44941</v>
      </c>
      <c r="S652" s="718"/>
      <c r="T652" s="719">
        <v>21726</v>
      </c>
      <c r="U652" s="721">
        <v>577</v>
      </c>
      <c r="V652" s="721">
        <v>22303</v>
      </c>
    </row>
    <row r="653" spans="1:22" x14ac:dyDescent="0.25">
      <c r="A653" s="715">
        <v>97217</v>
      </c>
      <c r="B653" s="716" t="s">
        <v>3185</v>
      </c>
      <c r="C653" s="717">
        <v>4.8999999999999997E-6</v>
      </c>
      <c r="D653" s="717">
        <v>5.0000000000000004E-6</v>
      </c>
      <c r="E653" s="718">
        <v>6185</v>
      </c>
      <c r="F653" s="718">
        <v>2244</v>
      </c>
      <c r="G653" s="718">
        <v>10399</v>
      </c>
      <c r="H653" s="718"/>
      <c r="I653" s="719">
        <v>195.38749999999999</v>
      </c>
      <c r="J653" s="719">
        <v>9113</v>
      </c>
      <c r="K653" s="719">
        <v>712</v>
      </c>
      <c r="L653" s="718">
        <v>6975</v>
      </c>
      <c r="M653" s="718"/>
      <c r="N653" s="719">
        <v>364</v>
      </c>
      <c r="O653" s="719">
        <v>3364</v>
      </c>
      <c r="P653" s="719">
        <v>0</v>
      </c>
      <c r="Q653" s="718">
        <v>0</v>
      </c>
      <c r="R653" s="719">
        <f t="shared" si="10"/>
        <v>5749</v>
      </c>
      <c r="S653" s="718"/>
      <c r="T653" s="719">
        <v>2780</v>
      </c>
      <c r="U653" s="721">
        <v>2381</v>
      </c>
      <c r="V653" s="721">
        <v>5160</v>
      </c>
    </row>
    <row r="654" spans="1:22" x14ac:dyDescent="0.25">
      <c r="A654" s="715">
        <v>97221</v>
      </c>
      <c r="B654" s="716" t="s">
        <v>3186</v>
      </c>
      <c r="C654" s="717">
        <v>6.1999999999999999E-6</v>
      </c>
      <c r="D654" s="717">
        <v>6.2999999999999998E-6</v>
      </c>
      <c r="E654" s="718">
        <v>6603.27</v>
      </c>
      <c r="F654" s="718">
        <v>2827</v>
      </c>
      <c r="G654" s="718">
        <v>13158</v>
      </c>
      <c r="H654" s="718"/>
      <c r="I654" s="719">
        <v>247.22499999999999</v>
      </c>
      <c r="J654" s="719">
        <v>11531</v>
      </c>
      <c r="K654" s="719">
        <v>901</v>
      </c>
      <c r="L654" s="718">
        <v>5895</v>
      </c>
      <c r="M654" s="718"/>
      <c r="N654" s="719">
        <v>461</v>
      </c>
      <c r="O654" s="719">
        <v>4256</v>
      </c>
      <c r="P654" s="719">
        <v>0</v>
      </c>
      <c r="Q654" s="718">
        <v>0</v>
      </c>
      <c r="R654" s="719">
        <f t="shared" si="10"/>
        <v>7275</v>
      </c>
      <c r="S654" s="718"/>
      <c r="T654" s="719">
        <v>3517</v>
      </c>
      <c r="U654" s="721">
        <v>2057</v>
      </c>
      <c r="V654" s="721">
        <v>5574</v>
      </c>
    </row>
    <row r="655" spans="1:22" x14ac:dyDescent="0.25">
      <c r="A655" s="715">
        <v>97301</v>
      </c>
      <c r="B655" s="716" t="s">
        <v>3187</v>
      </c>
      <c r="C655" s="717">
        <v>2.5742E-3</v>
      </c>
      <c r="D655" s="717">
        <v>2.6905000000000002E-3</v>
      </c>
      <c r="E655" s="718">
        <v>1080031</v>
      </c>
      <c r="F655" s="718">
        <v>1207480</v>
      </c>
      <c r="G655" s="718">
        <v>5463315</v>
      </c>
      <c r="H655" s="718"/>
      <c r="I655" s="719">
        <v>102646</v>
      </c>
      <c r="J655" s="719">
        <v>4787605</v>
      </c>
      <c r="K655" s="719">
        <v>374188</v>
      </c>
      <c r="L655" s="718">
        <v>36738</v>
      </c>
      <c r="M655" s="718"/>
      <c r="N655" s="719">
        <v>191441</v>
      </c>
      <c r="O655" s="719">
        <v>1767080</v>
      </c>
      <c r="P655" s="719">
        <v>0</v>
      </c>
      <c r="Q655" s="718">
        <v>62348</v>
      </c>
      <c r="R655" s="719">
        <f t="shared" si="10"/>
        <v>3020525</v>
      </c>
      <c r="S655" s="718"/>
      <c r="T655" s="719">
        <v>1460264</v>
      </c>
      <c r="U655" s="721">
        <v>-7105</v>
      </c>
      <c r="V655" s="721">
        <v>1453159</v>
      </c>
    </row>
    <row r="656" spans="1:22" x14ac:dyDescent="0.25">
      <c r="A656" s="715">
        <v>97304</v>
      </c>
      <c r="B656" s="716" t="s">
        <v>3188</v>
      </c>
      <c r="C656" s="717">
        <v>1.7600000000000001E-5</v>
      </c>
      <c r="D656" s="717">
        <v>1.8499999999999999E-5</v>
      </c>
      <c r="E656" s="718">
        <v>11928</v>
      </c>
      <c r="F656" s="718">
        <v>8303</v>
      </c>
      <c r="G656" s="718">
        <v>37353</v>
      </c>
      <c r="H656" s="718"/>
      <c r="I656" s="719">
        <v>702</v>
      </c>
      <c r="J656" s="719">
        <v>32733</v>
      </c>
      <c r="K656" s="719">
        <v>2558</v>
      </c>
      <c r="L656" s="718">
        <v>7244</v>
      </c>
      <c r="M656" s="718"/>
      <c r="N656" s="719">
        <v>1309</v>
      </c>
      <c r="O656" s="719">
        <v>12082</v>
      </c>
      <c r="P656" s="719">
        <v>0</v>
      </c>
      <c r="Q656" s="718">
        <v>0</v>
      </c>
      <c r="R656" s="719">
        <f t="shared" si="10"/>
        <v>20651</v>
      </c>
      <c r="S656" s="718"/>
      <c r="T656" s="719">
        <v>9984</v>
      </c>
      <c r="U656" s="721">
        <v>2504</v>
      </c>
      <c r="V656" s="721">
        <v>12488</v>
      </c>
    </row>
    <row r="657" spans="1:22" x14ac:dyDescent="0.25">
      <c r="A657" s="715">
        <v>97311</v>
      </c>
      <c r="B657" s="716" t="s">
        <v>3189</v>
      </c>
      <c r="C657" s="717">
        <v>9.5E-4</v>
      </c>
      <c r="D657" s="717">
        <v>1.0311000000000001E-3</v>
      </c>
      <c r="E657" s="718">
        <v>367318</v>
      </c>
      <c r="F657" s="718">
        <v>462751</v>
      </c>
      <c r="G657" s="718">
        <v>2016218.25</v>
      </c>
      <c r="H657" s="718"/>
      <c r="I657" s="719">
        <v>37881.25</v>
      </c>
      <c r="J657" s="719">
        <v>1766849.9</v>
      </c>
      <c r="K657" s="719">
        <v>138093</v>
      </c>
      <c r="L657" s="718">
        <v>0</v>
      </c>
      <c r="M657" s="718"/>
      <c r="N657" s="719">
        <v>70650.55</v>
      </c>
      <c r="O657" s="719">
        <v>652135.1</v>
      </c>
      <c r="P657" s="719">
        <v>0</v>
      </c>
      <c r="Q657" s="718">
        <v>97758</v>
      </c>
      <c r="R657" s="719">
        <f t="shared" si="10"/>
        <v>1114715</v>
      </c>
      <c r="S657" s="718"/>
      <c r="T657" s="719">
        <v>538906</v>
      </c>
      <c r="U657" s="721">
        <v>-33821</v>
      </c>
      <c r="V657" s="721">
        <v>505085</v>
      </c>
    </row>
    <row r="658" spans="1:22" x14ac:dyDescent="0.25">
      <c r="A658" s="715">
        <v>97401</v>
      </c>
      <c r="B658" s="716" t="s">
        <v>3190</v>
      </c>
      <c r="C658" s="717">
        <v>6.9633000000000004E-3</v>
      </c>
      <c r="D658" s="717">
        <v>6.9844E-3</v>
      </c>
      <c r="E658" s="718">
        <v>2848907</v>
      </c>
      <c r="F658" s="718">
        <v>3134557</v>
      </c>
      <c r="G658" s="718">
        <v>14778455</v>
      </c>
      <c r="H658" s="718"/>
      <c r="I658" s="719">
        <v>277662</v>
      </c>
      <c r="J658" s="719">
        <v>12950638</v>
      </c>
      <c r="K658" s="719">
        <v>1012192</v>
      </c>
      <c r="L658" s="718">
        <v>0</v>
      </c>
      <c r="M658" s="718"/>
      <c r="N658" s="719">
        <v>517854</v>
      </c>
      <c r="O658" s="719">
        <v>4780013</v>
      </c>
      <c r="P658" s="719">
        <v>0</v>
      </c>
      <c r="Q658" s="718">
        <v>142656</v>
      </c>
      <c r="R658" s="719">
        <f t="shared" si="10"/>
        <v>8170625</v>
      </c>
      <c r="S658" s="718"/>
      <c r="T658" s="719">
        <v>3950064</v>
      </c>
      <c r="U658" s="721">
        <v>-59462</v>
      </c>
      <c r="V658" s="721">
        <v>3890602</v>
      </c>
    </row>
    <row r="659" spans="1:22" x14ac:dyDescent="0.25">
      <c r="A659" s="715">
        <v>97402</v>
      </c>
      <c r="B659" s="716" t="s">
        <v>3191</v>
      </c>
      <c r="C659" s="717">
        <v>4.4700000000000002E-5</v>
      </c>
      <c r="D659" s="717">
        <v>2.3799999999999999E-5</v>
      </c>
      <c r="E659" s="718">
        <v>21076.7</v>
      </c>
      <c r="F659" s="718">
        <v>10681</v>
      </c>
      <c r="G659" s="718">
        <v>94868</v>
      </c>
      <c r="H659" s="718"/>
      <c r="I659" s="719">
        <v>1782</v>
      </c>
      <c r="J659" s="719">
        <v>83135</v>
      </c>
      <c r="K659" s="719">
        <v>6498</v>
      </c>
      <c r="L659" s="718">
        <v>15050</v>
      </c>
      <c r="M659" s="718"/>
      <c r="N659" s="719">
        <v>3324</v>
      </c>
      <c r="O659" s="719">
        <v>30685</v>
      </c>
      <c r="P659" s="719">
        <v>0</v>
      </c>
      <c r="Q659" s="718">
        <v>0</v>
      </c>
      <c r="R659" s="719">
        <f t="shared" si="10"/>
        <v>52450</v>
      </c>
      <c r="S659" s="718"/>
      <c r="T659" s="719">
        <v>25357</v>
      </c>
      <c r="U659" s="721">
        <v>4096</v>
      </c>
      <c r="V659" s="721">
        <v>29453</v>
      </c>
    </row>
    <row r="660" spans="1:22" x14ac:dyDescent="0.25">
      <c r="A660" s="715">
        <v>97404</v>
      </c>
      <c r="B660" s="716" t="s">
        <v>3192</v>
      </c>
      <c r="C660" s="717">
        <v>2.1049999999999999E-4</v>
      </c>
      <c r="D660" s="717">
        <v>2.1249999999999999E-4</v>
      </c>
      <c r="E660" s="718">
        <v>73915</v>
      </c>
      <c r="F660" s="718">
        <v>95369</v>
      </c>
      <c r="G660" s="718">
        <v>446752</v>
      </c>
      <c r="H660" s="718"/>
      <c r="I660" s="719">
        <v>8393.6875</v>
      </c>
      <c r="J660" s="719">
        <v>391497</v>
      </c>
      <c r="K660" s="719">
        <v>30598</v>
      </c>
      <c r="L660" s="718">
        <v>1976</v>
      </c>
      <c r="M660" s="718"/>
      <c r="N660" s="719">
        <v>15655</v>
      </c>
      <c r="O660" s="719">
        <v>144499</v>
      </c>
      <c r="P660" s="719">
        <v>0</v>
      </c>
      <c r="Q660" s="718">
        <v>16111</v>
      </c>
      <c r="R660" s="719">
        <f t="shared" si="10"/>
        <v>246998</v>
      </c>
      <c r="S660" s="718"/>
      <c r="T660" s="719">
        <v>119410</v>
      </c>
      <c r="U660" s="721">
        <v>-3656</v>
      </c>
      <c r="V660" s="721">
        <v>115754</v>
      </c>
    </row>
    <row r="661" spans="1:22" x14ac:dyDescent="0.25">
      <c r="A661" s="715">
        <v>97405</v>
      </c>
      <c r="B661" s="716" t="s">
        <v>3193</v>
      </c>
      <c r="C661" s="717">
        <v>1.087E-4</v>
      </c>
      <c r="D661" s="717">
        <v>1.081E-4</v>
      </c>
      <c r="E661" s="718">
        <v>55456</v>
      </c>
      <c r="F661" s="718">
        <v>48515</v>
      </c>
      <c r="G661" s="718">
        <v>230698</v>
      </c>
      <c r="H661" s="718"/>
      <c r="I661" s="719">
        <v>4334</v>
      </c>
      <c r="J661" s="719">
        <v>202165</v>
      </c>
      <c r="K661" s="719">
        <v>15801</v>
      </c>
      <c r="L661" s="718">
        <v>20704</v>
      </c>
      <c r="M661" s="718"/>
      <c r="N661" s="719">
        <v>8084</v>
      </c>
      <c r="O661" s="719">
        <v>74618</v>
      </c>
      <c r="P661" s="719">
        <v>0</v>
      </c>
      <c r="Q661" s="718">
        <v>9828.61</v>
      </c>
      <c r="R661" s="719">
        <f t="shared" si="10"/>
        <v>127547</v>
      </c>
      <c r="S661" s="718"/>
      <c r="T661" s="719">
        <v>61662</v>
      </c>
      <c r="U661" s="721">
        <v>1556</v>
      </c>
      <c r="V661" s="721">
        <v>63218</v>
      </c>
    </row>
    <row r="662" spans="1:22" x14ac:dyDescent="0.25">
      <c r="A662" s="715">
        <v>97408</v>
      </c>
      <c r="B662" s="716" t="s">
        <v>3194</v>
      </c>
      <c r="C662" s="717">
        <v>4.9299999999999999E-5</v>
      </c>
      <c r="D662" s="717">
        <v>5.1199999999999998E-5</v>
      </c>
      <c r="E662" s="718">
        <v>28028</v>
      </c>
      <c r="F662" s="718">
        <v>22978</v>
      </c>
      <c r="G662" s="718">
        <v>104631</v>
      </c>
      <c r="H662" s="718"/>
      <c r="I662" s="719">
        <v>1966</v>
      </c>
      <c r="J662" s="719">
        <v>91690</v>
      </c>
      <c r="K662" s="719">
        <v>7166</v>
      </c>
      <c r="L662" s="718">
        <v>7585</v>
      </c>
      <c r="M662" s="718"/>
      <c r="N662" s="719">
        <v>3666</v>
      </c>
      <c r="O662" s="719">
        <v>33842</v>
      </c>
      <c r="P662" s="719">
        <v>0</v>
      </c>
      <c r="Q662" s="718">
        <v>0</v>
      </c>
      <c r="R662" s="719">
        <f t="shared" si="10"/>
        <v>57848</v>
      </c>
      <c r="S662" s="718"/>
      <c r="T662" s="719">
        <v>27966</v>
      </c>
      <c r="U662" s="721">
        <v>2375</v>
      </c>
      <c r="V662" s="721">
        <v>30341</v>
      </c>
    </row>
    <row r="663" spans="1:22" x14ac:dyDescent="0.25">
      <c r="A663" s="715">
        <v>97411</v>
      </c>
      <c r="B663" s="716" t="s">
        <v>3195</v>
      </c>
      <c r="C663" s="717">
        <v>6.7269000000000001E-3</v>
      </c>
      <c r="D663" s="717">
        <v>7.0987000000000003E-3</v>
      </c>
      <c r="E663" s="718">
        <v>2531536.58</v>
      </c>
      <c r="F663" s="718">
        <v>3185854</v>
      </c>
      <c r="G663" s="718">
        <v>14276735</v>
      </c>
      <c r="H663" s="718"/>
      <c r="I663" s="719">
        <v>268235</v>
      </c>
      <c r="J663" s="719">
        <v>12510971</v>
      </c>
      <c r="K663" s="719">
        <v>977829</v>
      </c>
      <c r="L663" s="718">
        <v>0</v>
      </c>
      <c r="M663" s="718"/>
      <c r="N663" s="719">
        <v>500273</v>
      </c>
      <c r="O663" s="719">
        <v>4617734</v>
      </c>
      <c r="P663" s="719">
        <v>0</v>
      </c>
      <c r="Q663" s="718">
        <v>854591</v>
      </c>
      <c r="R663" s="719">
        <f t="shared" si="10"/>
        <v>7893237</v>
      </c>
      <c r="S663" s="718"/>
      <c r="T663" s="719">
        <v>3815962</v>
      </c>
      <c r="U663" s="721">
        <v>-289319</v>
      </c>
      <c r="V663" s="721">
        <v>3526643</v>
      </c>
    </row>
    <row r="664" spans="1:22" x14ac:dyDescent="0.25">
      <c r="A664" s="715">
        <v>97412</v>
      </c>
      <c r="B664" s="716" t="s">
        <v>3196</v>
      </c>
      <c r="C664" s="717">
        <v>4.424E-3</v>
      </c>
      <c r="D664" s="717">
        <v>4.1891999999999997E-3</v>
      </c>
      <c r="E664" s="718">
        <v>1763682</v>
      </c>
      <c r="F664" s="718">
        <v>1880088</v>
      </c>
      <c r="G664" s="718">
        <v>9389210</v>
      </c>
      <c r="H664" s="718"/>
      <c r="I664" s="719">
        <v>176407</v>
      </c>
      <c r="J664" s="719">
        <v>8227941</v>
      </c>
      <c r="K664" s="719">
        <v>643077</v>
      </c>
      <c r="L664" s="718">
        <v>158642</v>
      </c>
      <c r="M664" s="718"/>
      <c r="N664" s="719">
        <v>329008</v>
      </c>
      <c r="O664" s="719">
        <v>3036890</v>
      </c>
      <c r="P664" s="719">
        <v>0</v>
      </c>
      <c r="Q664" s="718">
        <v>0</v>
      </c>
      <c r="R664" s="719">
        <f t="shared" si="10"/>
        <v>5191051</v>
      </c>
      <c r="S664" s="718"/>
      <c r="T664" s="719">
        <v>2509598</v>
      </c>
      <c r="U664" s="721">
        <v>54211</v>
      </c>
      <c r="V664" s="721">
        <v>2563810</v>
      </c>
    </row>
    <row r="665" spans="1:22" x14ac:dyDescent="0.25">
      <c r="A665" s="715">
        <v>97413</v>
      </c>
      <c r="B665" s="716" t="s">
        <v>3197</v>
      </c>
      <c r="C665" s="717">
        <v>2.7910000000000001E-4</v>
      </c>
      <c r="D665" s="717">
        <v>2.9320000000000003E-4</v>
      </c>
      <c r="E665" s="718">
        <v>126701.6</v>
      </c>
      <c r="F665" s="718">
        <v>131586</v>
      </c>
      <c r="G665" s="718">
        <v>592344</v>
      </c>
      <c r="H665" s="718"/>
      <c r="I665" s="719">
        <v>11129</v>
      </c>
      <c r="J665" s="719">
        <v>519082</v>
      </c>
      <c r="K665" s="719">
        <v>40570</v>
      </c>
      <c r="L665" s="718">
        <v>1832</v>
      </c>
      <c r="M665" s="718"/>
      <c r="N665" s="719">
        <v>20756</v>
      </c>
      <c r="O665" s="719">
        <v>191590</v>
      </c>
      <c r="P665" s="719">
        <v>0</v>
      </c>
      <c r="Q665" s="718">
        <v>10212</v>
      </c>
      <c r="R665" s="719">
        <f t="shared" si="10"/>
        <v>327492</v>
      </c>
      <c r="S665" s="718"/>
      <c r="T665" s="719">
        <v>158325</v>
      </c>
      <c r="U665" s="721">
        <v>-4433</v>
      </c>
      <c r="V665" s="721">
        <v>153891</v>
      </c>
    </row>
    <row r="666" spans="1:22" x14ac:dyDescent="0.25">
      <c r="A666" s="715">
        <v>97421</v>
      </c>
      <c r="B666" s="716" t="s">
        <v>3198</v>
      </c>
      <c r="C666" s="717">
        <v>4.1120000000000002E-4</v>
      </c>
      <c r="D666" s="717">
        <v>4.1140000000000003E-4</v>
      </c>
      <c r="E666" s="718">
        <v>162265</v>
      </c>
      <c r="F666" s="718">
        <v>184634</v>
      </c>
      <c r="G666" s="718">
        <v>872704</v>
      </c>
      <c r="H666" s="718"/>
      <c r="I666" s="719">
        <v>16397</v>
      </c>
      <c r="J666" s="719">
        <v>764767</v>
      </c>
      <c r="K666" s="719">
        <v>59772</v>
      </c>
      <c r="L666" s="718">
        <v>0</v>
      </c>
      <c r="M666" s="718"/>
      <c r="N666" s="719">
        <v>30581</v>
      </c>
      <c r="O666" s="719">
        <v>282272</v>
      </c>
      <c r="P666" s="719">
        <v>0</v>
      </c>
      <c r="Q666" s="718">
        <v>40232</v>
      </c>
      <c r="R666" s="719">
        <f t="shared" si="10"/>
        <v>482495</v>
      </c>
      <c r="S666" s="718"/>
      <c r="T666" s="719">
        <v>233261</v>
      </c>
      <c r="U666" s="721">
        <v>-16104</v>
      </c>
      <c r="V666" s="721">
        <v>217157</v>
      </c>
    </row>
    <row r="667" spans="1:22" x14ac:dyDescent="0.25">
      <c r="A667" s="715">
        <v>97423</v>
      </c>
      <c r="B667" s="716" t="s">
        <v>3199</v>
      </c>
      <c r="C667" s="717">
        <v>4.5800000000000002E-5</v>
      </c>
      <c r="D667" s="717">
        <v>4.5300000000000003E-5</v>
      </c>
      <c r="E667" s="718">
        <v>37545</v>
      </c>
      <c r="F667" s="718">
        <v>20330</v>
      </c>
      <c r="G667" s="718">
        <v>97203</v>
      </c>
      <c r="H667" s="718"/>
      <c r="I667" s="719">
        <v>1826.2750000000001</v>
      </c>
      <c r="J667" s="719">
        <v>85181</v>
      </c>
      <c r="K667" s="719">
        <v>6658</v>
      </c>
      <c r="L667" s="718">
        <v>26530</v>
      </c>
      <c r="M667" s="718"/>
      <c r="N667" s="719">
        <v>3406</v>
      </c>
      <c r="O667" s="719">
        <v>31440</v>
      </c>
      <c r="P667" s="719">
        <v>0</v>
      </c>
      <c r="Q667" s="718">
        <v>0</v>
      </c>
      <c r="R667" s="719">
        <f t="shared" si="10"/>
        <v>53741</v>
      </c>
      <c r="S667" s="718"/>
      <c r="T667" s="719">
        <v>25981</v>
      </c>
      <c r="U667" s="721">
        <v>8002</v>
      </c>
      <c r="V667" s="721">
        <v>33982</v>
      </c>
    </row>
    <row r="668" spans="1:22" x14ac:dyDescent="0.25">
      <c r="A668" s="715">
        <v>97431</v>
      </c>
      <c r="B668" s="716" t="s">
        <v>3200</v>
      </c>
      <c r="C668" s="717">
        <v>8.5199999999999997E-5</v>
      </c>
      <c r="D668" s="717">
        <v>8.7700000000000004E-5</v>
      </c>
      <c r="E668" s="718">
        <v>38446.49</v>
      </c>
      <c r="F668" s="718">
        <v>39359</v>
      </c>
      <c r="G668" s="718">
        <v>180823</v>
      </c>
      <c r="H668" s="718"/>
      <c r="I668" s="719">
        <v>3397.35</v>
      </c>
      <c r="J668" s="719">
        <v>158459</v>
      </c>
      <c r="K668" s="719">
        <v>12385</v>
      </c>
      <c r="L668" s="718">
        <v>2882</v>
      </c>
      <c r="M668" s="718"/>
      <c r="N668" s="719">
        <v>6336</v>
      </c>
      <c r="O668" s="719">
        <v>58486</v>
      </c>
      <c r="P668" s="719">
        <v>0</v>
      </c>
      <c r="Q668" s="718">
        <v>0</v>
      </c>
      <c r="R668" s="719">
        <f t="shared" si="10"/>
        <v>99973</v>
      </c>
      <c r="S668" s="718"/>
      <c r="T668" s="719">
        <v>48331</v>
      </c>
      <c r="U668" s="721">
        <v>909</v>
      </c>
      <c r="V668" s="721">
        <v>49241</v>
      </c>
    </row>
    <row r="669" spans="1:22" x14ac:dyDescent="0.25">
      <c r="A669" s="715">
        <v>97441</v>
      </c>
      <c r="B669" s="716" t="s">
        <v>3201</v>
      </c>
      <c r="C669" s="717">
        <v>7.0500000000000006E-5</v>
      </c>
      <c r="D669" s="717">
        <v>6.8700000000000003E-5</v>
      </c>
      <c r="E669" s="718">
        <v>23079</v>
      </c>
      <c r="F669" s="718">
        <v>30832</v>
      </c>
      <c r="G669" s="718">
        <v>149625</v>
      </c>
      <c r="H669" s="718"/>
      <c r="I669" s="719">
        <v>2811</v>
      </c>
      <c r="J669" s="719">
        <v>131119</v>
      </c>
      <c r="K669" s="719">
        <v>10248</v>
      </c>
      <c r="L669" s="718">
        <v>406</v>
      </c>
      <c r="M669" s="718"/>
      <c r="N669" s="719">
        <v>5243</v>
      </c>
      <c r="O669" s="719">
        <v>48395</v>
      </c>
      <c r="P669" s="719">
        <v>0</v>
      </c>
      <c r="Q669" s="718">
        <v>4997</v>
      </c>
      <c r="R669" s="719">
        <f t="shared" si="10"/>
        <v>82724</v>
      </c>
      <c r="S669" s="718"/>
      <c r="T669" s="719">
        <v>39992</v>
      </c>
      <c r="U669" s="721">
        <v>-1212</v>
      </c>
      <c r="V669" s="721">
        <v>38780</v>
      </c>
    </row>
    <row r="670" spans="1:22" x14ac:dyDescent="0.25">
      <c r="A670" s="715">
        <v>97451</v>
      </c>
      <c r="B670" s="716" t="s">
        <v>3202</v>
      </c>
      <c r="C670" s="717">
        <v>6.1039999999999998E-4</v>
      </c>
      <c r="D670" s="717">
        <v>5.1670000000000004E-4</v>
      </c>
      <c r="E670" s="718">
        <v>212065</v>
      </c>
      <c r="F670" s="718">
        <v>231892</v>
      </c>
      <c r="G670" s="718">
        <v>1295473</v>
      </c>
      <c r="H670" s="718"/>
      <c r="I670" s="719">
        <v>24339.7</v>
      </c>
      <c r="J670" s="719">
        <v>1135248</v>
      </c>
      <c r="K670" s="719">
        <v>88728</v>
      </c>
      <c r="L670" s="718">
        <v>30041</v>
      </c>
      <c r="M670" s="718"/>
      <c r="N670" s="719">
        <v>45395</v>
      </c>
      <c r="O670" s="719">
        <v>419014</v>
      </c>
      <c r="P670" s="719">
        <v>0</v>
      </c>
      <c r="Q670" s="718">
        <v>5880</v>
      </c>
      <c r="R670" s="719">
        <f t="shared" si="10"/>
        <v>716234</v>
      </c>
      <c r="S670" s="718"/>
      <c r="T670" s="719">
        <v>346261</v>
      </c>
      <c r="U670" s="721">
        <v>8187</v>
      </c>
      <c r="V670" s="721">
        <v>354448</v>
      </c>
    </row>
    <row r="671" spans="1:22" x14ac:dyDescent="0.25">
      <c r="A671" s="715">
        <v>97461</v>
      </c>
      <c r="B671" s="716" t="s">
        <v>3203</v>
      </c>
      <c r="C671" s="717">
        <v>5.1869999999999998E-4</v>
      </c>
      <c r="D671" s="717">
        <v>5.3859999999999997E-4</v>
      </c>
      <c r="E671" s="718">
        <v>202230</v>
      </c>
      <c r="F671" s="718">
        <v>241720</v>
      </c>
      <c r="G671" s="718">
        <v>1100855</v>
      </c>
      <c r="H671" s="718"/>
      <c r="I671" s="719">
        <v>20683</v>
      </c>
      <c r="J671" s="719">
        <v>964700</v>
      </c>
      <c r="K671" s="719">
        <v>75399</v>
      </c>
      <c r="L671" s="718">
        <v>4454</v>
      </c>
      <c r="M671" s="718"/>
      <c r="N671" s="719">
        <v>38575</v>
      </c>
      <c r="O671" s="719">
        <v>356066</v>
      </c>
      <c r="P671" s="719">
        <v>0</v>
      </c>
      <c r="Q671" s="718">
        <v>46078</v>
      </c>
      <c r="R671" s="719">
        <f t="shared" si="10"/>
        <v>608634</v>
      </c>
      <c r="S671" s="718"/>
      <c r="T671" s="719">
        <v>294242</v>
      </c>
      <c r="U671" s="721">
        <v>-12231</v>
      </c>
      <c r="V671" s="721">
        <v>282012</v>
      </c>
    </row>
    <row r="672" spans="1:22" x14ac:dyDescent="0.25">
      <c r="A672" s="715">
        <v>97463</v>
      </c>
      <c r="B672" s="716" t="s">
        <v>3204</v>
      </c>
      <c r="C672" s="717">
        <v>5.0099999999999998E-5</v>
      </c>
      <c r="D672" s="717">
        <v>5.6400000000000002E-5</v>
      </c>
      <c r="E672" s="718">
        <v>17390</v>
      </c>
      <c r="F672" s="718">
        <v>25312</v>
      </c>
      <c r="G672" s="718">
        <v>106329</v>
      </c>
      <c r="H672" s="718"/>
      <c r="I672" s="719">
        <v>1998</v>
      </c>
      <c r="J672" s="719">
        <v>93178</v>
      </c>
      <c r="K672" s="719">
        <v>7283</v>
      </c>
      <c r="L672" s="718">
        <v>2539</v>
      </c>
      <c r="M672" s="718"/>
      <c r="N672" s="719">
        <v>3726</v>
      </c>
      <c r="O672" s="719">
        <v>34392</v>
      </c>
      <c r="P672" s="719">
        <v>0</v>
      </c>
      <c r="Q672" s="718">
        <v>5965</v>
      </c>
      <c r="R672" s="719">
        <f t="shared" si="10"/>
        <v>58786</v>
      </c>
      <c r="S672" s="718"/>
      <c r="T672" s="719">
        <v>28420</v>
      </c>
      <c r="U672" s="721">
        <v>-427</v>
      </c>
      <c r="V672" s="721">
        <v>27993</v>
      </c>
    </row>
    <row r="673" spans="1:22" x14ac:dyDescent="0.25">
      <c r="A673" s="715">
        <v>97471</v>
      </c>
      <c r="B673" s="716" t="s">
        <v>3205</v>
      </c>
      <c r="C673" s="717">
        <v>1.27E-5</v>
      </c>
      <c r="D673" s="717">
        <v>1.31E-5</v>
      </c>
      <c r="E673" s="718">
        <v>8483.43</v>
      </c>
      <c r="F673" s="718">
        <v>5879</v>
      </c>
      <c r="G673" s="718">
        <v>26954</v>
      </c>
      <c r="H673" s="718"/>
      <c r="I673" s="719">
        <v>506.41250000000002</v>
      </c>
      <c r="J673" s="719">
        <v>23620</v>
      </c>
      <c r="K673" s="719">
        <v>1846</v>
      </c>
      <c r="L673" s="718">
        <v>5163</v>
      </c>
      <c r="M673" s="718"/>
      <c r="N673" s="719">
        <v>944</v>
      </c>
      <c r="O673" s="719">
        <v>8718</v>
      </c>
      <c r="P673" s="719">
        <v>0</v>
      </c>
      <c r="Q673" s="718">
        <v>0</v>
      </c>
      <c r="R673" s="719">
        <f t="shared" si="10"/>
        <v>14902</v>
      </c>
      <c r="S673" s="718"/>
      <c r="T673" s="719">
        <v>7204</v>
      </c>
      <c r="U673" s="721">
        <v>1775</v>
      </c>
      <c r="V673" s="721">
        <v>8980</v>
      </c>
    </row>
    <row r="674" spans="1:22" x14ac:dyDescent="0.25">
      <c r="A674" s="715">
        <v>97481</v>
      </c>
      <c r="B674" s="716" t="s">
        <v>3206</v>
      </c>
      <c r="C674" s="717">
        <v>1.63E-5</v>
      </c>
      <c r="D674" s="717">
        <v>1.13E-5</v>
      </c>
      <c r="E674" s="718">
        <v>5817.26</v>
      </c>
      <c r="F674" s="718">
        <v>5071</v>
      </c>
      <c r="G674" s="718">
        <v>34594</v>
      </c>
      <c r="H674" s="718"/>
      <c r="I674" s="719">
        <v>649.96249999999998</v>
      </c>
      <c r="J674" s="719">
        <v>30315</v>
      </c>
      <c r="K674" s="719">
        <v>2369</v>
      </c>
      <c r="L674" s="718">
        <v>5965</v>
      </c>
      <c r="M674" s="718"/>
      <c r="N674" s="719">
        <v>1212</v>
      </c>
      <c r="O674" s="719">
        <v>11189</v>
      </c>
      <c r="P674" s="719">
        <v>0</v>
      </c>
      <c r="Q674" s="718">
        <v>0</v>
      </c>
      <c r="R674" s="719">
        <f t="shared" si="10"/>
        <v>19126</v>
      </c>
      <c r="S674" s="718"/>
      <c r="T674" s="719">
        <v>9246</v>
      </c>
      <c r="U674" s="721">
        <v>2373</v>
      </c>
      <c r="V674" s="721">
        <v>11619</v>
      </c>
    </row>
    <row r="675" spans="1:22" x14ac:dyDescent="0.25">
      <c r="A675" s="715">
        <v>97491</v>
      </c>
      <c r="B675" s="716" t="s">
        <v>3207</v>
      </c>
      <c r="C675" s="717">
        <v>0</v>
      </c>
      <c r="D675" s="717">
        <v>0</v>
      </c>
      <c r="E675" s="718">
        <v>0</v>
      </c>
      <c r="F675" s="718">
        <v>0</v>
      </c>
      <c r="G675" s="718">
        <v>0</v>
      </c>
      <c r="H675" s="718"/>
      <c r="I675" s="719">
        <v>0</v>
      </c>
      <c r="J675" s="719">
        <v>0</v>
      </c>
      <c r="K675" s="719">
        <v>0</v>
      </c>
      <c r="L675" s="718">
        <v>0</v>
      </c>
      <c r="M675" s="718"/>
      <c r="N675" s="719">
        <v>0</v>
      </c>
      <c r="O675" s="719">
        <v>0</v>
      </c>
      <c r="P675" s="719">
        <v>0</v>
      </c>
      <c r="Q675" s="718">
        <v>12790</v>
      </c>
      <c r="R675" s="719">
        <f t="shared" si="10"/>
        <v>0</v>
      </c>
      <c r="S675" s="718"/>
      <c r="T675" s="719">
        <v>0</v>
      </c>
      <c r="U675" s="721">
        <v>-4941</v>
      </c>
      <c r="V675" s="721">
        <v>-4941</v>
      </c>
    </row>
    <row r="676" spans="1:22" x14ac:dyDescent="0.25">
      <c r="A676" s="715">
        <v>97501</v>
      </c>
      <c r="B676" s="716" t="s">
        <v>3208</v>
      </c>
      <c r="C676" s="717">
        <v>9.6730000000000004E-4</v>
      </c>
      <c r="D676" s="717">
        <v>9.7659999999999999E-4</v>
      </c>
      <c r="E676" s="718">
        <v>413876.56</v>
      </c>
      <c r="F676" s="718">
        <v>438292</v>
      </c>
      <c r="G676" s="718">
        <v>2052935</v>
      </c>
      <c r="H676" s="718"/>
      <c r="I676" s="719">
        <v>38571</v>
      </c>
      <c r="J676" s="719">
        <v>1799025</v>
      </c>
      <c r="K676" s="719">
        <v>140608</v>
      </c>
      <c r="L676" s="718">
        <v>45898</v>
      </c>
      <c r="M676" s="718"/>
      <c r="N676" s="719">
        <v>71937</v>
      </c>
      <c r="O676" s="719">
        <v>664011</v>
      </c>
      <c r="P676" s="719">
        <v>0</v>
      </c>
      <c r="Q676" s="718">
        <v>0</v>
      </c>
      <c r="R676" s="719">
        <f t="shared" si="10"/>
        <v>1135014</v>
      </c>
      <c r="S676" s="718"/>
      <c r="T676" s="719">
        <v>548719</v>
      </c>
      <c r="U676" s="721">
        <v>19873</v>
      </c>
      <c r="V676" s="721">
        <v>568592</v>
      </c>
    </row>
    <row r="677" spans="1:22" x14ac:dyDescent="0.25">
      <c r="A677" s="715">
        <v>97511</v>
      </c>
      <c r="B677" s="716" t="s">
        <v>3209</v>
      </c>
      <c r="C677" s="717">
        <v>2.3220000000000001E-4</v>
      </c>
      <c r="D677" s="717">
        <v>2.1719999999999999E-4</v>
      </c>
      <c r="E677" s="718">
        <v>97777.06</v>
      </c>
      <c r="F677" s="718">
        <v>97478</v>
      </c>
      <c r="G677" s="718">
        <v>492806</v>
      </c>
      <c r="H677" s="718"/>
      <c r="I677" s="719">
        <v>9259</v>
      </c>
      <c r="J677" s="719">
        <v>431855</v>
      </c>
      <c r="K677" s="719">
        <v>33753</v>
      </c>
      <c r="L677" s="718">
        <v>10778</v>
      </c>
      <c r="M677" s="718"/>
      <c r="N677" s="719">
        <v>17268</v>
      </c>
      <c r="O677" s="719">
        <v>159396</v>
      </c>
      <c r="P677" s="719">
        <v>0</v>
      </c>
      <c r="Q677" s="718">
        <v>1307</v>
      </c>
      <c r="R677" s="719">
        <f t="shared" si="10"/>
        <v>272459</v>
      </c>
      <c r="S677" s="718"/>
      <c r="T677" s="719">
        <v>131720</v>
      </c>
      <c r="U677" s="721">
        <v>2532</v>
      </c>
      <c r="V677" s="721">
        <v>134252</v>
      </c>
    </row>
    <row r="678" spans="1:22" x14ac:dyDescent="0.25">
      <c r="A678" s="715">
        <v>97521</v>
      </c>
      <c r="B678" s="716" t="s">
        <v>3210</v>
      </c>
      <c r="C678" s="717">
        <v>1.293E-4</v>
      </c>
      <c r="D678" s="717">
        <v>1.404E-4</v>
      </c>
      <c r="E678" s="718">
        <v>48146.35</v>
      </c>
      <c r="F678" s="718">
        <v>63011</v>
      </c>
      <c r="G678" s="718">
        <v>274418</v>
      </c>
      <c r="H678" s="718"/>
      <c r="I678" s="719">
        <v>5156</v>
      </c>
      <c r="J678" s="719">
        <v>240478</v>
      </c>
      <c r="K678" s="719">
        <v>18795</v>
      </c>
      <c r="L678" s="718">
        <v>4401.88</v>
      </c>
      <c r="M678" s="718"/>
      <c r="N678" s="719">
        <v>9616</v>
      </c>
      <c r="O678" s="719">
        <v>88759</v>
      </c>
      <c r="P678" s="719">
        <v>0</v>
      </c>
      <c r="Q678" s="718">
        <v>17530</v>
      </c>
      <c r="R678" s="719">
        <f t="shared" si="10"/>
        <v>151719</v>
      </c>
      <c r="S678" s="718"/>
      <c r="T678" s="719">
        <v>73348</v>
      </c>
      <c r="U678" s="721">
        <v>-3048</v>
      </c>
      <c r="V678" s="721">
        <v>70299</v>
      </c>
    </row>
    <row r="679" spans="1:22" x14ac:dyDescent="0.25">
      <c r="A679" s="715">
        <v>97531</v>
      </c>
      <c r="B679" s="716" t="s">
        <v>3211</v>
      </c>
      <c r="C679" s="717">
        <v>3.6300000000000001E-5</v>
      </c>
      <c r="D679" s="717">
        <v>3.5099999999999999E-5</v>
      </c>
      <c r="E679" s="718">
        <v>18182</v>
      </c>
      <c r="F679" s="718">
        <v>15753</v>
      </c>
      <c r="G679" s="718">
        <v>77041</v>
      </c>
      <c r="H679" s="718"/>
      <c r="I679" s="719">
        <v>1447</v>
      </c>
      <c r="J679" s="719">
        <v>67512</v>
      </c>
      <c r="K679" s="719">
        <v>5277</v>
      </c>
      <c r="L679" s="718">
        <v>3234</v>
      </c>
      <c r="M679" s="718"/>
      <c r="N679" s="719">
        <v>2700</v>
      </c>
      <c r="O679" s="719">
        <v>24918</v>
      </c>
      <c r="P679" s="719">
        <v>0</v>
      </c>
      <c r="Q679" s="718">
        <v>14595</v>
      </c>
      <c r="R679" s="719">
        <f t="shared" si="10"/>
        <v>42594</v>
      </c>
      <c r="S679" s="718"/>
      <c r="T679" s="719">
        <v>20592</v>
      </c>
      <c r="U679" s="721">
        <v>-4705</v>
      </c>
      <c r="V679" s="721">
        <v>15887</v>
      </c>
    </row>
    <row r="680" spans="1:22" x14ac:dyDescent="0.25">
      <c r="A680" s="715">
        <v>97601</v>
      </c>
      <c r="B680" s="716" t="s">
        <v>3212</v>
      </c>
      <c r="C680" s="717">
        <v>4.7808E-3</v>
      </c>
      <c r="D680" s="717">
        <v>4.8238999999999999E-3</v>
      </c>
      <c r="E680" s="718">
        <v>1911818</v>
      </c>
      <c r="F680" s="718">
        <v>2164937</v>
      </c>
      <c r="G680" s="718">
        <v>10146459</v>
      </c>
      <c r="H680" s="718"/>
      <c r="I680" s="719">
        <v>190634.4</v>
      </c>
      <c r="J680" s="719">
        <v>8891533</v>
      </c>
      <c r="K680" s="719">
        <v>694942</v>
      </c>
      <c r="L680" s="718">
        <v>0</v>
      </c>
      <c r="M680" s="718"/>
      <c r="N680" s="719">
        <v>355543</v>
      </c>
      <c r="O680" s="719">
        <v>3281818</v>
      </c>
      <c r="P680" s="719">
        <v>0</v>
      </c>
      <c r="Q680" s="718">
        <v>137509</v>
      </c>
      <c r="R680" s="719">
        <f t="shared" si="10"/>
        <v>5609715</v>
      </c>
      <c r="S680" s="718"/>
      <c r="T680" s="719">
        <v>2712000</v>
      </c>
      <c r="U680" s="721">
        <v>-46067</v>
      </c>
      <c r="V680" s="721">
        <v>2665933</v>
      </c>
    </row>
    <row r="681" spans="1:22" x14ac:dyDescent="0.25">
      <c r="A681" s="715">
        <v>97607</v>
      </c>
      <c r="B681" s="716" t="s">
        <v>3213</v>
      </c>
      <c r="C681" s="717">
        <v>1.9199999999999999E-5</v>
      </c>
      <c r="D681" s="717">
        <v>2.27E-5</v>
      </c>
      <c r="E681" s="718">
        <v>13222.63</v>
      </c>
      <c r="F681" s="718">
        <v>10188</v>
      </c>
      <c r="G681" s="718">
        <v>40749</v>
      </c>
      <c r="H681" s="718"/>
      <c r="I681" s="719">
        <v>766</v>
      </c>
      <c r="J681" s="719">
        <v>35709</v>
      </c>
      <c r="K681" s="719">
        <v>2791</v>
      </c>
      <c r="L681" s="718">
        <v>8819</v>
      </c>
      <c r="M681" s="718"/>
      <c r="N681" s="719">
        <v>1428</v>
      </c>
      <c r="O681" s="719">
        <v>13180</v>
      </c>
      <c r="P681" s="719">
        <v>0</v>
      </c>
      <c r="Q681" s="718">
        <v>0</v>
      </c>
      <c r="R681" s="719">
        <f t="shared" si="10"/>
        <v>22529</v>
      </c>
      <c r="S681" s="718"/>
      <c r="T681" s="719">
        <v>10892</v>
      </c>
      <c r="U681" s="721">
        <v>3435</v>
      </c>
      <c r="V681" s="721">
        <v>14327</v>
      </c>
    </row>
    <row r="682" spans="1:22" x14ac:dyDescent="0.25">
      <c r="A682" s="715">
        <v>97611</v>
      </c>
      <c r="B682" s="716" t="s">
        <v>3214</v>
      </c>
      <c r="C682" s="717">
        <v>2.5750999999999999E-3</v>
      </c>
      <c r="D682" s="717">
        <v>2.7582000000000001E-3</v>
      </c>
      <c r="E682" s="718">
        <v>984035.03</v>
      </c>
      <c r="F682" s="718">
        <v>1237864</v>
      </c>
      <c r="G682" s="718">
        <v>5465225</v>
      </c>
      <c r="H682" s="718"/>
      <c r="I682" s="719">
        <v>102682</v>
      </c>
      <c r="J682" s="719">
        <v>4789279</v>
      </c>
      <c r="K682" s="719">
        <v>374319</v>
      </c>
      <c r="L682" s="718">
        <v>0</v>
      </c>
      <c r="M682" s="718"/>
      <c r="N682" s="719">
        <v>191508</v>
      </c>
      <c r="O682" s="719">
        <v>1767698</v>
      </c>
      <c r="P682" s="719">
        <v>0</v>
      </c>
      <c r="Q682" s="718">
        <v>281180</v>
      </c>
      <c r="R682" s="719">
        <f t="shared" si="10"/>
        <v>3021581</v>
      </c>
      <c r="S682" s="718"/>
      <c r="T682" s="719">
        <v>1460774</v>
      </c>
      <c r="U682" s="721">
        <v>-93860</v>
      </c>
      <c r="V682" s="721">
        <v>1366915</v>
      </c>
    </row>
    <row r="683" spans="1:22" x14ac:dyDescent="0.25">
      <c r="A683" s="715">
        <v>97613</v>
      </c>
      <c r="B683" s="716" t="s">
        <v>3215</v>
      </c>
      <c r="C683" s="717">
        <v>1.2459999999999999E-4</v>
      </c>
      <c r="D683" s="717">
        <v>1.21E-4</v>
      </c>
      <c r="E683" s="718">
        <v>55529.85</v>
      </c>
      <c r="F683" s="718">
        <v>54304</v>
      </c>
      <c r="G683" s="718">
        <v>264443</v>
      </c>
      <c r="H683" s="718"/>
      <c r="I683" s="719">
        <v>4968</v>
      </c>
      <c r="J683" s="719">
        <v>231736</v>
      </c>
      <c r="K683" s="719">
        <v>18112</v>
      </c>
      <c r="L683" s="718">
        <v>5357</v>
      </c>
      <c r="M683" s="718"/>
      <c r="N683" s="719">
        <v>9266</v>
      </c>
      <c r="O683" s="719">
        <v>85533</v>
      </c>
      <c r="P683" s="719">
        <v>0</v>
      </c>
      <c r="Q683" s="718">
        <v>5319</v>
      </c>
      <c r="R683" s="719">
        <f t="shared" si="10"/>
        <v>146203</v>
      </c>
      <c r="S683" s="718"/>
      <c r="T683" s="719">
        <v>70682</v>
      </c>
      <c r="U683" s="721">
        <v>-505</v>
      </c>
      <c r="V683" s="721">
        <v>70177</v>
      </c>
    </row>
    <row r="684" spans="1:22" x14ac:dyDescent="0.25">
      <c r="A684" s="715">
        <v>97621</v>
      </c>
      <c r="B684" s="716" t="s">
        <v>3216</v>
      </c>
      <c r="C684" s="717">
        <v>4.7429999999999998E-4</v>
      </c>
      <c r="D684" s="717">
        <v>5.1290000000000005E-4</v>
      </c>
      <c r="E684" s="718">
        <v>166598.32</v>
      </c>
      <c r="F684" s="718">
        <v>230186</v>
      </c>
      <c r="G684" s="718">
        <v>1006623</v>
      </c>
      <c r="H684" s="718"/>
      <c r="I684" s="719">
        <v>18913</v>
      </c>
      <c r="J684" s="719">
        <v>882123</v>
      </c>
      <c r="K684" s="719">
        <v>68945</v>
      </c>
      <c r="L684" s="718">
        <v>24561</v>
      </c>
      <c r="M684" s="718"/>
      <c r="N684" s="719">
        <v>35273</v>
      </c>
      <c r="O684" s="719">
        <v>325587</v>
      </c>
      <c r="P684" s="719">
        <v>0</v>
      </c>
      <c r="Q684" s="718">
        <v>43510</v>
      </c>
      <c r="R684" s="719">
        <f t="shared" si="10"/>
        <v>556536</v>
      </c>
      <c r="S684" s="718"/>
      <c r="T684" s="719">
        <v>269056</v>
      </c>
      <c r="U684" s="721">
        <v>-2547</v>
      </c>
      <c r="V684" s="721">
        <v>266509</v>
      </c>
    </row>
    <row r="685" spans="1:22" x14ac:dyDescent="0.25">
      <c r="A685" s="715">
        <v>97623</v>
      </c>
      <c r="B685" s="716" t="s">
        <v>3217</v>
      </c>
      <c r="C685" s="717">
        <v>2.9200000000000002E-5</v>
      </c>
      <c r="D685" s="717">
        <v>3.0000000000000001E-5</v>
      </c>
      <c r="E685" s="718">
        <v>14038</v>
      </c>
      <c r="F685" s="718">
        <v>13463.82</v>
      </c>
      <c r="G685" s="718">
        <v>61972</v>
      </c>
      <c r="H685" s="718"/>
      <c r="I685" s="719">
        <v>1164</v>
      </c>
      <c r="J685" s="719">
        <v>54307</v>
      </c>
      <c r="K685" s="719">
        <v>4245</v>
      </c>
      <c r="L685" s="718">
        <v>10193</v>
      </c>
      <c r="M685" s="718"/>
      <c r="N685" s="719">
        <v>2172</v>
      </c>
      <c r="O685" s="719">
        <v>20045</v>
      </c>
      <c r="P685" s="719">
        <v>0</v>
      </c>
      <c r="Q685" s="718">
        <v>0</v>
      </c>
      <c r="R685" s="719">
        <f t="shared" si="10"/>
        <v>34262</v>
      </c>
      <c r="S685" s="718"/>
      <c r="T685" s="719">
        <v>16564</v>
      </c>
      <c r="U685" s="721">
        <v>3688</v>
      </c>
      <c r="V685" s="721">
        <v>20252</v>
      </c>
    </row>
    <row r="686" spans="1:22" x14ac:dyDescent="0.25">
      <c r="A686" s="715">
        <v>97627</v>
      </c>
      <c r="B686" s="716" t="s">
        <v>3218</v>
      </c>
      <c r="C686" s="717">
        <v>1.0200000000000001E-5</v>
      </c>
      <c r="D686" s="717">
        <v>9.0999999999999993E-6</v>
      </c>
      <c r="E686" s="718">
        <v>4150</v>
      </c>
      <c r="F686" s="718">
        <v>4084</v>
      </c>
      <c r="G686" s="718">
        <v>21648</v>
      </c>
      <c r="H686" s="718"/>
      <c r="I686" s="719">
        <v>406.72500000000002</v>
      </c>
      <c r="J686" s="719">
        <v>18970</v>
      </c>
      <c r="K686" s="719">
        <v>1483</v>
      </c>
      <c r="L686" s="718">
        <v>942</v>
      </c>
      <c r="M686" s="718"/>
      <c r="N686" s="719">
        <v>759</v>
      </c>
      <c r="O686" s="719">
        <v>7002</v>
      </c>
      <c r="P686" s="719">
        <v>0</v>
      </c>
      <c r="Q686" s="718">
        <v>1562</v>
      </c>
      <c r="R686" s="719">
        <f t="shared" si="10"/>
        <v>11968</v>
      </c>
      <c r="S686" s="718"/>
      <c r="T686" s="719">
        <v>5786</v>
      </c>
      <c r="U686" s="721">
        <v>-217</v>
      </c>
      <c r="V686" s="721">
        <v>5570</v>
      </c>
    </row>
    <row r="687" spans="1:22" x14ac:dyDescent="0.25">
      <c r="A687" s="715">
        <v>97631</v>
      </c>
      <c r="B687" s="716" t="s">
        <v>3219</v>
      </c>
      <c r="C687" s="717">
        <v>2.009E-4</v>
      </c>
      <c r="D687" s="717">
        <v>1.7239999999999999E-4</v>
      </c>
      <c r="E687" s="718">
        <v>69843.56</v>
      </c>
      <c r="F687" s="718">
        <v>77372</v>
      </c>
      <c r="G687" s="718">
        <v>426377</v>
      </c>
      <c r="H687" s="718"/>
      <c r="I687" s="719">
        <v>8011</v>
      </c>
      <c r="J687" s="719">
        <v>373642</v>
      </c>
      <c r="K687" s="719">
        <v>29203</v>
      </c>
      <c r="L687" s="718">
        <v>14802</v>
      </c>
      <c r="M687" s="718"/>
      <c r="N687" s="719">
        <v>14941</v>
      </c>
      <c r="O687" s="719">
        <v>137909</v>
      </c>
      <c r="P687" s="719">
        <v>0</v>
      </c>
      <c r="Q687" s="718">
        <v>0</v>
      </c>
      <c r="R687" s="719">
        <f t="shared" si="10"/>
        <v>235733</v>
      </c>
      <c r="S687" s="718"/>
      <c r="T687" s="719">
        <v>113964</v>
      </c>
      <c r="U687" s="721">
        <v>5491</v>
      </c>
      <c r="V687" s="721">
        <v>119456</v>
      </c>
    </row>
    <row r="688" spans="1:22" x14ac:dyDescent="0.25">
      <c r="A688" s="715">
        <v>97637</v>
      </c>
      <c r="B688" s="716" t="s">
        <v>3220</v>
      </c>
      <c r="C688" s="717">
        <v>4.7999999999999998E-6</v>
      </c>
      <c r="D688" s="717">
        <v>6.1999999999999999E-6</v>
      </c>
      <c r="E688" s="718">
        <v>2878</v>
      </c>
      <c r="F688" s="718">
        <v>2783</v>
      </c>
      <c r="G688" s="718">
        <v>10187</v>
      </c>
      <c r="H688" s="718"/>
      <c r="I688" s="719">
        <v>191</v>
      </c>
      <c r="J688" s="719">
        <v>8927</v>
      </c>
      <c r="K688" s="719">
        <v>698</v>
      </c>
      <c r="L688" s="718">
        <v>655</v>
      </c>
      <c r="M688" s="718"/>
      <c r="N688" s="719">
        <v>357</v>
      </c>
      <c r="O688" s="719">
        <v>3295</v>
      </c>
      <c r="P688" s="719">
        <v>0</v>
      </c>
      <c r="Q688" s="718">
        <v>40</v>
      </c>
      <c r="R688" s="719">
        <f t="shared" si="10"/>
        <v>5632</v>
      </c>
      <c r="S688" s="718"/>
      <c r="T688" s="719">
        <v>2723</v>
      </c>
      <c r="U688" s="721">
        <v>244</v>
      </c>
      <c r="V688" s="721">
        <v>2967</v>
      </c>
    </row>
    <row r="689" spans="1:22" x14ac:dyDescent="0.25">
      <c r="A689" s="715">
        <v>97641</v>
      </c>
      <c r="B689" s="716" t="s">
        <v>3221</v>
      </c>
      <c r="C689" s="717">
        <v>6.9999999999999994E-5</v>
      </c>
      <c r="D689" s="717">
        <v>5.3900000000000002E-5</v>
      </c>
      <c r="E689" s="718">
        <v>31635</v>
      </c>
      <c r="F689" s="718">
        <v>24190</v>
      </c>
      <c r="G689" s="718">
        <v>148563</v>
      </c>
      <c r="H689" s="718"/>
      <c r="I689" s="719">
        <v>2791</v>
      </c>
      <c r="J689" s="719">
        <v>130189</v>
      </c>
      <c r="K689" s="719">
        <v>10175</v>
      </c>
      <c r="L689" s="718">
        <v>15548</v>
      </c>
      <c r="M689" s="718"/>
      <c r="N689" s="719">
        <v>5205.83</v>
      </c>
      <c r="O689" s="719">
        <v>48052.06</v>
      </c>
      <c r="P689" s="719">
        <v>0</v>
      </c>
      <c r="Q689" s="718">
        <v>5807</v>
      </c>
      <c r="R689" s="719">
        <f t="shared" si="10"/>
        <v>82137</v>
      </c>
      <c r="S689" s="718"/>
      <c r="T689" s="719">
        <v>39709</v>
      </c>
      <c r="U689" s="721">
        <v>1546</v>
      </c>
      <c r="V689" s="721">
        <v>41255</v>
      </c>
    </row>
    <row r="690" spans="1:22" x14ac:dyDescent="0.25">
      <c r="A690" s="715">
        <v>97651</v>
      </c>
      <c r="B690" s="716" t="s">
        <v>3222</v>
      </c>
      <c r="C690" s="717">
        <v>5.1579999999999996E-4</v>
      </c>
      <c r="D690" s="717">
        <v>5.4140000000000004E-4</v>
      </c>
      <c r="E690" s="718">
        <v>190593.37</v>
      </c>
      <c r="F690" s="718">
        <v>242977</v>
      </c>
      <c r="G690" s="718">
        <v>1094700</v>
      </c>
      <c r="H690" s="718"/>
      <c r="I690" s="719">
        <v>20568</v>
      </c>
      <c r="J690" s="719">
        <v>959307</v>
      </c>
      <c r="K690" s="719">
        <v>74977</v>
      </c>
      <c r="L690" s="718">
        <v>4062</v>
      </c>
      <c r="M690" s="718"/>
      <c r="N690" s="719">
        <v>38360</v>
      </c>
      <c r="O690" s="719">
        <v>354075</v>
      </c>
      <c r="P690" s="719">
        <v>0</v>
      </c>
      <c r="Q690" s="718">
        <v>51828</v>
      </c>
      <c r="R690" s="719">
        <f t="shared" si="10"/>
        <v>605232</v>
      </c>
      <c r="S690" s="718"/>
      <c r="T690" s="719">
        <v>292597</v>
      </c>
      <c r="U690" s="721">
        <v>-17066</v>
      </c>
      <c r="V690" s="721">
        <v>275532</v>
      </c>
    </row>
    <row r="691" spans="1:22" x14ac:dyDescent="0.25">
      <c r="A691" s="715">
        <v>97661</v>
      </c>
      <c r="B691" s="716" t="s">
        <v>3223</v>
      </c>
      <c r="C691" s="717">
        <v>4.3900000000000003E-5</v>
      </c>
      <c r="D691" s="717">
        <v>3.1999999999999999E-5</v>
      </c>
      <c r="E691" s="718">
        <v>18869</v>
      </c>
      <c r="F691" s="718">
        <v>14361</v>
      </c>
      <c r="G691" s="718">
        <v>93171</v>
      </c>
      <c r="H691" s="718"/>
      <c r="I691" s="719">
        <v>1751</v>
      </c>
      <c r="J691" s="719">
        <v>81647</v>
      </c>
      <c r="K691" s="719">
        <v>6381</v>
      </c>
      <c r="L691" s="718">
        <v>12364</v>
      </c>
      <c r="M691" s="718"/>
      <c r="N691" s="719">
        <v>3265</v>
      </c>
      <c r="O691" s="719">
        <v>30136</v>
      </c>
      <c r="P691" s="719">
        <v>0</v>
      </c>
      <c r="Q691" s="718">
        <v>2964</v>
      </c>
      <c r="R691" s="719">
        <f t="shared" si="10"/>
        <v>51511</v>
      </c>
      <c r="S691" s="718"/>
      <c r="T691" s="719">
        <v>24903</v>
      </c>
      <c r="U691" s="721">
        <v>3435</v>
      </c>
      <c r="V691" s="721">
        <v>28338</v>
      </c>
    </row>
    <row r="692" spans="1:22" x14ac:dyDescent="0.25">
      <c r="A692" s="715">
        <v>97701</v>
      </c>
      <c r="B692" s="716" t="s">
        <v>3224</v>
      </c>
      <c r="C692" s="717">
        <v>2.5081000000000001E-3</v>
      </c>
      <c r="D692" s="717">
        <v>2.4424999999999998E-3</v>
      </c>
      <c r="E692" s="718">
        <v>1011242</v>
      </c>
      <c r="F692" s="718">
        <v>1096179</v>
      </c>
      <c r="G692" s="718">
        <v>5323028</v>
      </c>
      <c r="H692" s="718"/>
      <c r="I692" s="719">
        <v>100010</v>
      </c>
      <c r="J692" s="719">
        <v>4664670</v>
      </c>
      <c r="K692" s="719">
        <v>364580</v>
      </c>
      <c r="L692" s="718">
        <v>31450</v>
      </c>
      <c r="M692" s="718"/>
      <c r="N692" s="719">
        <v>186525</v>
      </c>
      <c r="O692" s="719">
        <v>1721705</v>
      </c>
      <c r="P692" s="719">
        <v>0</v>
      </c>
      <c r="Q692" s="718">
        <v>17434</v>
      </c>
      <c r="R692" s="719">
        <f t="shared" si="10"/>
        <v>2942965</v>
      </c>
      <c r="S692" s="718"/>
      <c r="T692" s="719">
        <v>1422767</v>
      </c>
      <c r="U692" s="721">
        <v>529</v>
      </c>
      <c r="V692" s="721">
        <v>1423296</v>
      </c>
    </row>
    <row r="693" spans="1:22" x14ac:dyDescent="0.25">
      <c r="A693" s="715">
        <v>97705</v>
      </c>
      <c r="B693" s="716" t="s">
        <v>3225</v>
      </c>
      <c r="C693" s="717">
        <v>6.41E-5</v>
      </c>
      <c r="D693" s="717">
        <v>5.1700000000000003E-5</v>
      </c>
      <c r="E693" s="718">
        <v>21949.45</v>
      </c>
      <c r="F693" s="718">
        <v>23203</v>
      </c>
      <c r="G693" s="718">
        <v>136042</v>
      </c>
      <c r="H693" s="718"/>
      <c r="I693" s="719">
        <v>2556</v>
      </c>
      <c r="J693" s="719">
        <v>119216</v>
      </c>
      <c r="K693" s="719">
        <v>9318</v>
      </c>
      <c r="L693" s="718">
        <v>9600</v>
      </c>
      <c r="M693" s="718"/>
      <c r="N693" s="719">
        <v>4767</v>
      </c>
      <c r="O693" s="719">
        <v>44002</v>
      </c>
      <c r="P693" s="719">
        <v>0</v>
      </c>
      <c r="Q693" s="718">
        <v>3526</v>
      </c>
      <c r="R693" s="719">
        <f t="shared" si="10"/>
        <v>75214</v>
      </c>
      <c r="S693" s="718"/>
      <c r="T693" s="719">
        <v>36362</v>
      </c>
      <c r="U693" s="721">
        <v>2791</v>
      </c>
      <c r="V693" s="721">
        <v>39153</v>
      </c>
    </row>
    <row r="694" spans="1:22" x14ac:dyDescent="0.25">
      <c r="A694" s="715">
        <v>97711</v>
      </c>
      <c r="B694" s="716" t="s">
        <v>3226</v>
      </c>
      <c r="C694" s="717">
        <v>9.3789999999999998E-4</v>
      </c>
      <c r="D694" s="717">
        <v>9.6489999999999998E-4</v>
      </c>
      <c r="E694" s="718">
        <v>373399.85</v>
      </c>
      <c r="F694" s="718">
        <v>433041</v>
      </c>
      <c r="G694" s="718">
        <v>1990538</v>
      </c>
      <c r="H694" s="718"/>
      <c r="I694" s="719">
        <v>37399</v>
      </c>
      <c r="J694" s="719">
        <v>1744346</v>
      </c>
      <c r="K694" s="719">
        <v>136334</v>
      </c>
      <c r="L694" s="718">
        <v>18485</v>
      </c>
      <c r="M694" s="718"/>
      <c r="N694" s="719">
        <v>69751</v>
      </c>
      <c r="O694" s="719">
        <v>643829</v>
      </c>
      <c r="P694" s="719">
        <v>0</v>
      </c>
      <c r="Q694" s="718">
        <v>24399</v>
      </c>
      <c r="R694" s="719">
        <f t="shared" si="10"/>
        <v>1100517</v>
      </c>
      <c r="S694" s="718"/>
      <c r="T694" s="719">
        <v>532042</v>
      </c>
      <c r="U694" s="721">
        <v>2197</v>
      </c>
      <c r="V694" s="721">
        <v>534239</v>
      </c>
    </row>
    <row r="695" spans="1:22" x14ac:dyDescent="0.25">
      <c r="A695" s="715">
        <v>97713</v>
      </c>
      <c r="B695" s="716" t="s">
        <v>3227</v>
      </c>
      <c r="C695" s="717">
        <v>5.3699999999999997E-5</v>
      </c>
      <c r="D695" s="717">
        <v>5.5600000000000003E-5</v>
      </c>
      <c r="E695" s="718">
        <v>17632.46</v>
      </c>
      <c r="F695" s="718">
        <v>24953</v>
      </c>
      <c r="G695" s="718">
        <v>113969</v>
      </c>
      <c r="H695" s="718"/>
      <c r="I695" s="719">
        <v>2141</v>
      </c>
      <c r="J695" s="719">
        <v>99874</v>
      </c>
      <c r="K695" s="719">
        <v>7806</v>
      </c>
      <c r="L695" s="718">
        <v>1862.64</v>
      </c>
      <c r="M695" s="718"/>
      <c r="N695" s="719">
        <v>3994</v>
      </c>
      <c r="O695" s="719">
        <v>36863</v>
      </c>
      <c r="P695" s="719">
        <v>0</v>
      </c>
      <c r="Q695" s="718">
        <v>10607</v>
      </c>
      <c r="R695" s="719">
        <f t="shared" si="10"/>
        <v>63011</v>
      </c>
      <c r="S695" s="718"/>
      <c r="T695" s="719">
        <v>30462</v>
      </c>
      <c r="U695" s="721">
        <v>-2389</v>
      </c>
      <c r="V695" s="721">
        <v>28073</v>
      </c>
    </row>
    <row r="696" spans="1:22" x14ac:dyDescent="0.25">
      <c r="A696" s="715">
        <v>97717</v>
      </c>
      <c r="B696" s="716" t="s">
        <v>3228</v>
      </c>
      <c r="C696" s="717">
        <v>7.5000000000000002E-6</v>
      </c>
      <c r="D696" s="717">
        <v>6.6000000000000003E-6</v>
      </c>
      <c r="E696" s="718">
        <v>4301.63</v>
      </c>
      <c r="F696" s="718">
        <v>2962</v>
      </c>
      <c r="G696" s="718">
        <v>15918</v>
      </c>
      <c r="H696" s="718"/>
      <c r="I696" s="719">
        <v>299.0625</v>
      </c>
      <c r="J696" s="719">
        <v>13949</v>
      </c>
      <c r="K696" s="719">
        <v>1090.2075</v>
      </c>
      <c r="L696" s="718">
        <v>1454</v>
      </c>
      <c r="M696" s="718"/>
      <c r="N696" s="719">
        <v>558</v>
      </c>
      <c r="O696" s="719">
        <v>5148</v>
      </c>
      <c r="P696" s="719">
        <v>0</v>
      </c>
      <c r="Q696" s="718">
        <v>3295</v>
      </c>
      <c r="R696" s="719">
        <f t="shared" si="10"/>
        <v>8801</v>
      </c>
      <c r="S696" s="718"/>
      <c r="T696" s="719">
        <v>4255</v>
      </c>
      <c r="U696" s="721">
        <v>-1145</v>
      </c>
      <c r="V696" s="721">
        <v>3109</v>
      </c>
    </row>
    <row r="697" spans="1:22" x14ac:dyDescent="0.25">
      <c r="A697" s="715">
        <v>97721</v>
      </c>
      <c r="B697" s="716" t="s">
        <v>3229</v>
      </c>
      <c r="C697" s="717">
        <v>5.7249999999999998E-4</v>
      </c>
      <c r="D697" s="717">
        <v>5.2689999999999996E-4</v>
      </c>
      <c r="E697" s="718">
        <v>224528</v>
      </c>
      <c r="F697" s="718">
        <v>236470</v>
      </c>
      <c r="G697" s="718">
        <v>1215037</v>
      </c>
      <c r="H697" s="718"/>
      <c r="I697" s="719">
        <v>22828.4375</v>
      </c>
      <c r="J697" s="719">
        <v>1064760</v>
      </c>
      <c r="K697" s="719">
        <v>83219</v>
      </c>
      <c r="L697" s="718">
        <v>19505</v>
      </c>
      <c r="M697" s="718"/>
      <c r="N697" s="719">
        <v>42576</v>
      </c>
      <c r="O697" s="719">
        <v>392997</v>
      </c>
      <c r="P697" s="719">
        <v>0</v>
      </c>
      <c r="Q697" s="718">
        <v>36721</v>
      </c>
      <c r="R697" s="719">
        <f t="shared" si="10"/>
        <v>671763</v>
      </c>
      <c r="S697" s="718"/>
      <c r="T697" s="719">
        <v>324762</v>
      </c>
      <c r="U697" s="721">
        <v>-7125</v>
      </c>
      <c r="V697" s="721">
        <v>317637</v>
      </c>
    </row>
    <row r="698" spans="1:22" x14ac:dyDescent="0.25">
      <c r="A698" s="715">
        <v>97727</v>
      </c>
      <c r="B698" s="716" t="s">
        <v>3230</v>
      </c>
      <c r="C698" s="717">
        <v>2.37E-5</v>
      </c>
      <c r="D698" s="717">
        <v>2.5299999999999998E-5</v>
      </c>
      <c r="E698" s="718">
        <v>9369</v>
      </c>
      <c r="F698" s="718">
        <v>11354</v>
      </c>
      <c r="G698" s="718">
        <v>50299</v>
      </c>
      <c r="H698" s="718"/>
      <c r="I698" s="719">
        <v>945.03750000000002</v>
      </c>
      <c r="J698" s="719">
        <v>44078</v>
      </c>
      <c r="K698" s="719">
        <v>3445</v>
      </c>
      <c r="L698" s="718">
        <v>0</v>
      </c>
      <c r="M698" s="718"/>
      <c r="N698" s="719">
        <v>1763</v>
      </c>
      <c r="O698" s="719">
        <v>16269</v>
      </c>
      <c r="P698" s="719">
        <v>0</v>
      </c>
      <c r="Q698" s="718">
        <v>3253</v>
      </c>
      <c r="R698" s="719">
        <f t="shared" si="10"/>
        <v>27809</v>
      </c>
      <c r="S698" s="718"/>
      <c r="T698" s="719">
        <v>13444</v>
      </c>
      <c r="U698" s="721">
        <v>-1207</v>
      </c>
      <c r="V698" s="721">
        <v>12237</v>
      </c>
    </row>
    <row r="699" spans="1:22" x14ac:dyDescent="0.25">
      <c r="A699" s="715">
        <v>97731</v>
      </c>
      <c r="B699" s="716" t="s">
        <v>3231</v>
      </c>
      <c r="C699" s="717">
        <v>3.7100000000000001E-5</v>
      </c>
      <c r="D699" s="717">
        <v>3.3599999999999997E-5</v>
      </c>
      <c r="E699" s="718">
        <v>17225.91</v>
      </c>
      <c r="F699" s="718">
        <v>15079</v>
      </c>
      <c r="G699" s="718">
        <v>78739</v>
      </c>
      <c r="H699" s="718"/>
      <c r="I699" s="719">
        <v>1479</v>
      </c>
      <c r="J699" s="719">
        <v>69000</v>
      </c>
      <c r="K699" s="719">
        <v>5393</v>
      </c>
      <c r="L699" s="718">
        <v>8501</v>
      </c>
      <c r="M699" s="718"/>
      <c r="N699" s="719">
        <v>2759</v>
      </c>
      <c r="O699" s="719">
        <v>25468</v>
      </c>
      <c r="P699" s="719">
        <v>0</v>
      </c>
      <c r="Q699" s="718">
        <v>0</v>
      </c>
      <c r="R699" s="719">
        <f t="shared" si="10"/>
        <v>43532</v>
      </c>
      <c r="S699" s="718"/>
      <c r="T699" s="719">
        <v>21046</v>
      </c>
      <c r="U699" s="721">
        <v>2797</v>
      </c>
      <c r="V699" s="721">
        <v>23843</v>
      </c>
    </row>
    <row r="700" spans="1:22" x14ac:dyDescent="0.25">
      <c r="A700" s="715">
        <v>97801</v>
      </c>
      <c r="B700" s="716" t="s">
        <v>3232</v>
      </c>
      <c r="C700" s="717">
        <v>7.3343000000000002E-3</v>
      </c>
      <c r="D700" s="717">
        <v>7.4117999999999996E-3</v>
      </c>
      <c r="E700" s="718">
        <v>2930302</v>
      </c>
      <c r="F700" s="718">
        <v>3326371</v>
      </c>
      <c r="G700" s="718">
        <v>15565842</v>
      </c>
      <c r="H700" s="718"/>
      <c r="I700" s="719">
        <v>292455</v>
      </c>
      <c r="J700" s="719">
        <v>13640639</v>
      </c>
      <c r="K700" s="719">
        <v>1066121</v>
      </c>
      <c r="L700" s="718">
        <v>55808</v>
      </c>
      <c r="M700" s="718"/>
      <c r="N700" s="719">
        <v>545445</v>
      </c>
      <c r="O700" s="719">
        <v>5034689</v>
      </c>
      <c r="P700" s="719">
        <v>0</v>
      </c>
      <c r="Q700" s="718">
        <v>191858</v>
      </c>
      <c r="R700" s="719">
        <f t="shared" si="10"/>
        <v>8605950</v>
      </c>
      <c r="S700" s="718"/>
      <c r="T700" s="719">
        <v>4160521</v>
      </c>
      <c r="U700" s="721">
        <v>-29463</v>
      </c>
      <c r="V700" s="721">
        <v>4131058</v>
      </c>
    </row>
    <row r="701" spans="1:22" x14ac:dyDescent="0.25">
      <c r="A701" s="715">
        <v>97802</v>
      </c>
      <c r="B701" s="716" t="s">
        <v>3233</v>
      </c>
      <c r="C701" s="717">
        <v>1.8120000000000001E-4</v>
      </c>
      <c r="D701" s="717">
        <v>1.8599999999999999E-4</v>
      </c>
      <c r="E701" s="718">
        <v>74111</v>
      </c>
      <c r="F701" s="718">
        <v>83476</v>
      </c>
      <c r="G701" s="718">
        <v>384567</v>
      </c>
      <c r="H701" s="718"/>
      <c r="I701" s="719">
        <v>7225.35</v>
      </c>
      <c r="J701" s="719">
        <v>337003</v>
      </c>
      <c r="K701" s="719">
        <v>26339</v>
      </c>
      <c r="L701" s="718">
        <v>19490</v>
      </c>
      <c r="M701" s="718"/>
      <c r="N701" s="719">
        <v>13476</v>
      </c>
      <c r="O701" s="719">
        <v>124386</v>
      </c>
      <c r="P701" s="719">
        <v>0</v>
      </c>
      <c r="Q701" s="718">
        <v>22046</v>
      </c>
      <c r="R701" s="719">
        <f t="shared" si="10"/>
        <v>212617</v>
      </c>
      <c r="S701" s="718"/>
      <c r="T701" s="719">
        <v>102789</v>
      </c>
      <c r="U701" s="721">
        <v>2255</v>
      </c>
      <c r="V701" s="721">
        <v>105045</v>
      </c>
    </row>
    <row r="702" spans="1:22" x14ac:dyDescent="0.25">
      <c r="A702" s="715">
        <v>97803</v>
      </c>
      <c r="B702" s="716" t="s">
        <v>3234</v>
      </c>
      <c r="C702" s="717">
        <v>7.9099999999999998E-5</v>
      </c>
      <c r="D702" s="717">
        <v>7.6600000000000005E-5</v>
      </c>
      <c r="E702" s="718">
        <v>33622</v>
      </c>
      <c r="F702" s="718">
        <v>34378</v>
      </c>
      <c r="G702" s="718">
        <v>167877</v>
      </c>
      <c r="H702" s="718"/>
      <c r="I702" s="719">
        <v>3154</v>
      </c>
      <c r="J702" s="719">
        <v>147114</v>
      </c>
      <c r="K702" s="719">
        <v>11498</v>
      </c>
      <c r="L702" s="718">
        <v>9364</v>
      </c>
      <c r="M702" s="718"/>
      <c r="N702" s="719">
        <v>5883</v>
      </c>
      <c r="O702" s="719">
        <v>54299</v>
      </c>
      <c r="P702" s="719">
        <v>0</v>
      </c>
      <c r="Q702" s="718">
        <v>2358</v>
      </c>
      <c r="R702" s="719">
        <f t="shared" si="10"/>
        <v>92815</v>
      </c>
      <c r="S702" s="718"/>
      <c r="T702" s="719">
        <v>44871</v>
      </c>
      <c r="U702" s="721">
        <v>3329</v>
      </c>
      <c r="V702" s="721">
        <v>48200</v>
      </c>
    </row>
    <row r="703" spans="1:22" x14ac:dyDescent="0.25">
      <c r="A703" s="715">
        <v>97805</v>
      </c>
      <c r="B703" s="716" t="s">
        <v>3235</v>
      </c>
      <c r="C703" s="717">
        <v>8.2600000000000002E-5</v>
      </c>
      <c r="D703" s="717">
        <v>6.7700000000000006E-5</v>
      </c>
      <c r="E703" s="718">
        <v>34033</v>
      </c>
      <c r="F703" s="718">
        <v>30383</v>
      </c>
      <c r="G703" s="718">
        <v>175305</v>
      </c>
      <c r="H703" s="718"/>
      <c r="I703" s="719">
        <v>3294</v>
      </c>
      <c r="J703" s="719">
        <v>153623</v>
      </c>
      <c r="K703" s="719">
        <v>12007</v>
      </c>
      <c r="L703" s="718">
        <v>13426</v>
      </c>
      <c r="M703" s="718"/>
      <c r="N703" s="719">
        <v>6143</v>
      </c>
      <c r="O703" s="719">
        <v>56701</v>
      </c>
      <c r="P703" s="719">
        <v>0</v>
      </c>
      <c r="Q703" s="718">
        <v>453.72</v>
      </c>
      <c r="R703" s="719">
        <f t="shared" si="10"/>
        <v>96922</v>
      </c>
      <c r="S703" s="718"/>
      <c r="T703" s="719">
        <v>46856</v>
      </c>
      <c r="U703" s="721">
        <v>3757</v>
      </c>
      <c r="V703" s="721">
        <v>50613</v>
      </c>
    </row>
    <row r="704" spans="1:22" x14ac:dyDescent="0.25">
      <c r="A704" s="715">
        <v>97811</v>
      </c>
      <c r="B704" s="716" t="s">
        <v>3236</v>
      </c>
      <c r="C704" s="717">
        <v>2.4088E-3</v>
      </c>
      <c r="D704" s="717">
        <v>2.5788E-3</v>
      </c>
      <c r="E704" s="718">
        <v>950193</v>
      </c>
      <c r="F704" s="718">
        <v>1157350</v>
      </c>
      <c r="G704" s="718">
        <v>5112281</v>
      </c>
      <c r="H704" s="718"/>
      <c r="I704" s="719">
        <v>96050.9</v>
      </c>
      <c r="J704" s="719">
        <v>4479987</v>
      </c>
      <c r="K704" s="719">
        <v>350146</v>
      </c>
      <c r="L704" s="718">
        <v>0</v>
      </c>
      <c r="M704" s="718"/>
      <c r="N704" s="719">
        <v>179140</v>
      </c>
      <c r="O704" s="719">
        <v>1653540</v>
      </c>
      <c r="P704" s="719">
        <v>0</v>
      </c>
      <c r="Q704" s="718">
        <v>235946</v>
      </c>
      <c r="R704" s="719">
        <f t="shared" si="10"/>
        <v>2826447</v>
      </c>
      <c r="S704" s="718"/>
      <c r="T704" s="719">
        <v>1366438</v>
      </c>
      <c r="U704" s="721">
        <v>-72994</v>
      </c>
      <c r="V704" s="721">
        <v>1293444</v>
      </c>
    </row>
    <row r="705" spans="1:22" x14ac:dyDescent="0.25">
      <c r="A705" s="715">
        <v>97817</v>
      </c>
      <c r="B705" s="716" t="s">
        <v>3237</v>
      </c>
      <c r="C705" s="717">
        <v>3.9999999999999998E-6</v>
      </c>
      <c r="D705" s="717">
        <v>7.0999999999999998E-6</v>
      </c>
      <c r="E705" s="718">
        <v>7287</v>
      </c>
      <c r="F705" s="718">
        <v>3186</v>
      </c>
      <c r="G705" s="718">
        <v>8489.34</v>
      </c>
      <c r="H705" s="718"/>
      <c r="I705" s="719">
        <v>159.5</v>
      </c>
      <c r="J705" s="719">
        <v>7439</v>
      </c>
      <c r="K705" s="719">
        <v>581</v>
      </c>
      <c r="L705" s="718">
        <v>4157</v>
      </c>
      <c r="M705" s="718"/>
      <c r="N705" s="719">
        <v>297</v>
      </c>
      <c r="O705" s="719">
        <v>2746</v>
      </c>
      <c r="P705" s="719">
        <v>0</v>
      </c>
      <c r="Q705" s="718">
        <v>3747</v>
      </c>
      <c r="R705" s="719">
        <f t="shared" si="10"/>
        <v>4693</v>
      </c>
      <c r="S705" s="718"/>
      <c r="T705" s="719">
        <v>2269</v>
      </c>
      <c r="U705" s="721">
        <v>78</v>
      </c>
      <c r="V705" s="721">
        <v>2347</v>
      </c>
    </row>
    <row r="706" spans="1:22" x14ac:dyDescent="0.25">
      <c r="A706" s="715">
        <v>97818</v>
      </c>
      <c r="B706" s="716" t="s">
        <v>3238</v>
      </c>
      <c r="C706" s="717">
        <v>2.12E-5</v>
      </c>
      <c r="D706" s="717">
        <v>8.3999999999999992E-6</v>
      </c>
      <c r="E706" s="718">
        <v>8690</v>
      </c>
      <c r="F706" s="718">
        <v>3770</v>
      </c>
      <c r="G706" s="718">
        <v>44994</v>
      </c>
      <c r="H706" s="718"/>
      <c r="I706" s="719">
        <v>845.35</v>
      </c>
      <c r="J706" s="719">
        <v>39429</v>
      </c>
      <c r="K706" s="719">
        <v>3082</v>
      </c>
      <c r="L706" s="718">
        <v>8112</v>
      </c>
      <c r="M706" s="718"/>
      <c r="N706" s="719">
        <v>1577</v>
      </c>
      <c r="O706" s="719">
        <v>14553</v>
      </c>
      <c r="P706" s="719">
        <v>0</v>
      </c>
      <c r="Q706" s="718">
        <v>4294.42</v>
      </c>
      <c r="R706" s="719">
        <f t="shared" si="10"/>
        <v>24876</v>
      </c>
      <c r="S706" s="718"/>
      <c r="T706" s="719">
        <v>12026</v>
      </c>
      <c r="U706" s="721">
        <v>58</v>
      </c>
      <c r="V706" s="721">
        <v>12084</v>
      </c>
    </row>
    <row r="707" spans="1:22" x14ac:dyDescent="0.25">
      <c r="A707" s="715">
        <v>97821</v>
      </c>
      <c r="B707" s="716" t="s">
        <v>3239</v>
      </c>
      <c r="C707" s="717">
        <v>1.1620000000000001E-4</v>
      </c>
      <c r="D707" s="717">
        <v>1.3329999999999999E-4</v>
      </c>
      <c r="E707" s="718">
        <v>52013.57</v>
      </c>
      <c r="F707" s="718">
        <v>59824</v>
      </c>
      <c r="G707" s="718">
        <v>246615</v>
      </c>
      <c r="H707" s="718"/>
      <c r="I707" s="719">
        <v>4633</v>
      </c>
      <c r="J707" s="719">
        <v>216114</v>
      </c>
      <c r="K707" s="719">
        <v>16891</v>
      </c>
      <c r="L707" s="718">
        <v>0</v>
      </c>
      <c r="M707" s="718"/>
      <c r="N707" s="719">
        <v>8642</v>
      </c>
      <c r="O707" s="719">
        <v>79766</v>
      </c>
      <c r="P707" s="719">
        <v>0</v>
      </c>
      <c r="Q707" s="718">
        <v>26909</v>
      </c>
      <c r="R707" s="719">
        <f t="shared" si="10"/>
        <v>136348</v>
      </c>
      <c r="S707" s="718"/>
      <c r="T707" s="719">
        <v>65917</v>
      </c>
      <c r="U707" s="721">
        <v>-10681</v>
      </c>
      <c r="V707" s="721">
        <v>55236</v>
      </c>
    </row>
    <row r="708" spans="1:22" x14ac:dyDescent="0.25">
      <c r="A708" s="715">
        <v>97823</v>
      </c>
      <c r="B708" s="716" t="s">
        <v>3240</v>
      </c>
      <c r="C708" s="717">
        <v>2.4600000000000002E-5</v>
      </c>
      <c r="D708" s="717">
        <v>2.58E-5</v>
      </c>
      <c r="E708" s="718">
        <v>11852</v>
      </c>
      <c r="F708" s="718">
        <v>11579</v>
      </c>
      <c r="G708" s="718">
        <v>52209</v>
      </c>
      <c r="H708" s="718"/>
      <c r="I708" s="719">
        <v>981</v>
      </c>
      <c r="J708" s="719">
        <v>45752</v>
      </c>
      <c r="K708" s="719">
        <v>3576</v>
      </c>
      <c r="L708" s="718">
        <v>926</v>
      </c>
      <c r="M708" s="718"/>
      <c r="N708" s="719">
        <v>1829</v>
      </c>
      <c r="O708" s="719">
        <v>16887</v>
      </c>
      <c r="P708" s="719">
        <v>0</v>
      </c>
      <c r="Q708" s="718">
        <v>1188</v>
      </c>
      <c r="R708" s="719">
        <f t="shared" si="10"/>
        <v>28865</v>
      </c>
      <c r="S708" s="718"/>
      <c r="T708" s="719">
        <v>13955</v>
      </c>
      <c r="U708" s="721">
        <v>-338</v>
      </c>
      <c r="V708" s="721">
        <v>13616</v>
      </c>
    </row>
    <row r="709" spans="1:22" x14ac:dyDescent="0.25">
      <c r="A709" s="715">
        <v>97831</v>
      </c>
      <c r="B709" s="716" t="s">
        <v>3241</v>
      </c>
      <c r="C709" s="717">
        <v>1.482E-4</v>
      </c>
      <c r="D709" s="717">
        <v>1.5860000000000001E-4</v>
      </c>
      <c r="E709" s="718">
        <v>66463</v>
      </c>
      <c r="F709" s="718">
        <v>71179</v>
      </c>
      <c r="G709" s="718">
        <v>314530</v>
      </c>
      <c r="H709" s="718"/>
      <c r="I709" s="719">
        <v>5909</v>
      </c>
      <c r="J709" s="719">
        <v>275629</v>
      </c>
      <c r="K709" s="719">
        <v>21543</v>
      </c>
      <c r="L709" s="718">
        <v>0</v>
      </c>
      <c r="M709" s="718"/>
      <c r="N709" s="719">
        <v>11021</v>
      </c>
      <c r="O709" s="719">
        <v>101733</v>
      </c>
      <c r="P709" s="719">
        <v>0</v>
      </c>
      <c r="Q709" s="718">
        <v>14308</v>
      </c>
      <c r="R709" s="719">
        <f t="shared" si="10"/>
        <v>173896</v>
      </c>
      <c r="S709" s="718"/>
      <c r="T709" s="719">
        <v>84069</v>
      </c>
      <c r="U709" s="721">
        <v>-5891</v>
      </c>
      <c r="V709" s="721">
        <v>78179</v>
      </c>
    </row>
    <row r="710" spans="1:22" x14ac:dyDescent="0.25">
      <c r="A710" s="715">
        <v>97837</v>
      </c>
      <c r="B710" s="716" t="s">
        <v>3242</v>
      </c>
      <c r="C710" s="717">
        <v>8.8000000000000004E-6</v>
      </c>
      <c r="D710" s="717">
        <v>1.3699999999999999E-5</v>
      </c>
      <c r="E710" s="718">
        <v>6597.01</v>
      </c>
      <c r="F710" s="718">
        <v>6148</v>
      </c>
      <c r="G710" s="718">
        <v>18677</v>
      </c>
      <c r="H710" s="718"/>
      <c r="I710" s="719">
        <v>351</v>
      </c>
      <c r="J710" s="719">
        <v>16367</v>
      </c>
      <c r="K710" s="719">
        <v>1279</v>
      </c>
      <c r="L710" s="718">
        <v>2093</v>
      </c>
      <c r="M710" s="718"/>
      <c r="N710" s="719">
        <v>654</v>
      </c>
      <c r="O710" s="719">
        <v>6041</v>
      </c>
      <c r="P710" s="719">
        <v>0</v>
      </c>
      <c r="Q710" s="718">
        <v>289</v>
      </c>
      <c r="R710" s="719">
        <f t="shared" si="10"/>
        <v>10326</v>
      </c>
      <c r="S710" s="718"/>
      <c r="T710" s="719">
        <v>4992</v>
      </c>
      <c r="U710" s="721">
        <v>751</v>
      </c>
      <c r="V710" s="721">
        <v>5743</v>
      </c>
    </row>
    <row r="711" spans="1:22" x14ac:dyDescent="0.25">
      <c r="A711" s="715">
        <v>97840</v>
      </c>
      <c r="B711" s="716" t="s">
        <v>3243</v>
      </c>
      <c r="C711" s="717">
        <v>1.403E-4</v>
      </c>
      <c r="D711" s="717">
        <v>1.4799999999999999E-4</v>
      </c>
      <c r="E711" s="718">
        <v>98734.69</v>
      </c>
      <c r="F711" s="718">
        <v>66422</v>
      </c>
      <c r="G711" s="718">
        <v>297764</v>
      </c>
      <c r="H711" s="718"/>
      <c r="I711" s="719">
        <v>5594</v>
      </c>
      <c r="J711" s="719">
        <v>260936</v>
      </c>
      <c r="K711" s="719">
        <v>20394</v>
      </c>
      <c r="L711" s="718">
        <v>64083</v>
      </c>
      <c r="M711" s="718"/>
      <c r="N711" s="719">
        <v>10434</v>
      </c>
      <c r="O711" s="719">
        <v>96310</v>
      </c>
      <c r="P711" s="719">
        <v>0</v>
      </c>
      <c r="Q711" s="718">
        <v>1938</v>
      </c>
      <c r="R711" s="719">
        <f t="shared" ref="R711:R774" si="11">IF(J711&gt;O711,J711-O711,O711-J711)</f>
        <v>164626</v>
      </c>
      <c r="S711" s="718"/>
      <c r="T711" s="719">
        <v>79588</v>
      </c>
      <c r="U711" s="721">
        <v>19035</v>
      </c>
      <c r="V711" s="721">
        <v>98623</v>
      </c>
    </row>
    <row r="712" spans="1:22" x14ac:dyDescent="0.25">
      <c r="A712" s="715">
        <v>97841</v>
      </c>
      <c r="B712" s="716" t="s">
        <v>3244</v>
      </c>
      <c r="C712" s="717">
        <v>1.45E-5</v>
      </c>
      <c r="D712" s="717">
        <v>1.5699999999999999E-5</v>
      </c>
      <c r="E712" s="718">
        <v>6090.83</v>
      </c>
      <c r="F712" s="718">
        <v>7046</v>
      </c>
      <c r="G712" s="718">
        <v>30774</v>
      </c>
      <c r="H712" s="718"/>
      <c r="I712" s="719">
        <v>578.1875</v>
      </c>
      <c r="J712" s="719">
        <v>26968</v>
      </c>
      <c r="K712" s="719">
        <v>2108</v>
      </c>
      <c r="L712" s="718">
        <v>636</v>
      </c>
      <c r="M712" s="718"/>
      <c r="N712" s="719">
        <v>1078</v>
      </c>
      <c r="O712" s="719">
        <v>9954</v>
      </c>
      <c r="P712" s="719">
        <v>0</v>
      </c>
      <c r="Q712" s="718">
        <v>8091</v>
      </c>
      <c r="R712" s="719">
        <f t="shared" si="11"/>
        <v>17014</v>
      </c>
      <c r="S712" s="718"/>
      <c r="T712" s="719">
        <v>8225</v>
      </c>
      <c r="U712" s="721">
        <v>-3707</v>
      </c>
      <c r="V712" s="721">
        <v>4519</v>
      </c>
    </row>
    <row r="713" spans="1:22" x14ac:dyDescent="0.25">
      <c r="A713" s="715">
        <v>97847</v>
      </c>
      <c r="B713" s="716" t="s">
        <v>3245</v>
      </c>
      <c r="C713" s="717">
        <v>2.2000000000000001E-6</v>
      </c>
      <c r="D713" s="717">
        <v>2.7E-6</v>
      </c>
      <c r="E713" s="718">
        <v>1834</v>
      </c>
      <c r="F713" s="718">
        <v>1212</v>
      </c>
      <c r="G713" s="718">
        <v>4669</v>
      </c>
      <c r="H713" s="718"/>
      <c r="I713" s="719">
        <v>88</v>
      </c>
      <c r="J713" s="719">
        <v>4092</v>
      </c>
      <c r="K713" s="719">
        <v>320</v>
      </c>
      <c r="L713" s="718">
        <v>650</v>
      </c>
      <c r="M713" s="718"/>
      <c r="N713" s="719">
        <v>164</v>
      </c>
      <c r="O713" s="719">
        <v>1510</v>
      </c>
      <c r="P713" s="719">
        <v>0</v>
      </c>
      <c r="Q713" s="718">
        <v>145</v>
      </c>
      <c r="R713" s="719">
        <f t="shared" si="11"/>
        <v>2582</v>
      </c>
      <c r="S713" s="718"/>
      <c r="T713" s="719">
        <v>1248</v>
      </c>
      <c r="U713" s="721">
        <v>113</v>
      </c>
      <c r="V713" s="721">
        <v>1361</v>
      </c>
    </row>
    <row r="714" spans="1:22" x14ac:dyDescent="0.25">
      <c r="A714" s="715">
        <v>97851</v>
      </c>
      <c r="B714" s="716" t="s">
        <v>3246</v>
      </c>
      <c r="C714" s="717">
        <v>2.7460000000000001E-4</v>
      </c>
      <c r="D714" s="717">
        <v>2.7E-4</v>
      </c>
      <c r="E714" s="718">
        <v>101247</v>
      </c>
      <c r="F714" s="718">
        <v>121174.38</v>
      </c>
      <c r="G714" s="718">
        <v>582793</v>
      </c>
      <c r="H714" s="718"/>
      <c r="I714" s="719">
        <v>10950</v>
      </c>
      <c r="J714" s="719">
        <v>510713</v>
      </c>
      <c r="K714" s="719">
        <v>39916</v>
      </c>
      <c r="L714" s="718">
        <v>2911</v>
      </c>
      <c r="M714" s="718"/>
      <c r="N714" s="719">
        <v>20422</v>
      </c>
      <c r="O714" s="719">
        <v>188501</v>
      </c>
      <c r="P714" s="719">
        <v>0</v>
      </c>
      <c r="Q714" s="718">
        <v>8317</v>
      </c>
      <c r="R714" s="719">
        <f t="shared" si="11"/>
        <v>322212</v>
      </c>
      <c r="S714" s="718"/>
      <c r="T714" s="719">
        <v>155772</v>
      </c>
      <c r="U714" s="721">
        <v>-838</v>
      </c>
      <c r="V714" s="721">
        <v>154934</v>
      </c>
    </row>
    <row r="715" spans="1:22" x14ac:dyDescent="0.25">
      <c r="A715" s="715">
        <v>97853</v>
      </c>
      <c r="B715" s="716" t="s">
        <v>3247</v>
      </c>
      <c r="C715" s="717">
        <v>9.1600000000000004E-5</v>
      </c>
      <c r="D715" s="717">
        <v>1.114E-4</v>
      </c>
      <c r="E715" s="718">
        <v>34607</v>
      </c>
      <c r="F715" s="718">
        <v>49996</v>
      </c>
      <c r="G715" s="718">
        <v>194406</v>
      </c>
      <c r="H715" s="718"/>
      <c r="I715" s="719">
        <v>3652.55</v>
      </c>
      <c r="J715" s="719">
        <v>170362</v>
      </c>
      <c r="K715" s="719">
        <v>13315</v>
      </c>
      <c r="L715" s="718">
        <v>6323</v>
      </c>
      <c r="M715" s="718"/>
      <c r="N715" s="719">
        <v>6812</v>
      </c>
      <c r="O715" s="719">
        <v>62880</v>
      </c>
      <c r="P715" s="719">
        <v>0</v>
      </c>
      <c r="Q715" s="718">
        <v>13159</v>
      </c>
      <c r="R715" s="719">
        <f t="shared" si="11"/>
        <v>107482</v>
      </c>
      <c r="S715" s="718"/>
      <c r="T715" s="719">
        <v>51962</v>
      </c>
      <c r="U715" s="721">
        <v>-826</v>
      </c>
      <c r="V715" s="721">
        <v>51136</v>
      </c>
    </row>
    <row r="716" spans="1:22" x14ac:dyDescent="0.25">
      <c r="A716" s="715">
        <v>97861</v>
      </c>
      <c r="B716" s="716" t="s">
        <v>3248</v>
      </c>
      <c r="C716" s="717">
        <v>6.8499999999999998E-5</v>
      </c>
      <c r="D716" s="717">
        <v>6.6799999999999997E-5</v>
      </c>
      <c r="E716" s="718">
        <v>25466</v>
      </c>
      <c r="F716" s="718">
        <v>29979</v>
      </c>
      <c r="G716" s="718">
        <v>145380</v>
      </c>
      <c r="H716" s="718"/>
      <c r="I716" s="719">
        <v>2731.4375</v>
      </c>
      <c r="J716" s="719">
        <v>127399</v>
      </c>
      <c r="K716" s="719">
        <v>9957</v>
      </c>
      <c r="L716" s="718">
        <v>2745</v>
      </c>
      <c r="M716" s="718"/>
      <c r="N716" s="719">
        <v>5094</v>
      </c>
      <c r="O716" s="719">
        <v>47022</v>
      </c>
      <c r="P716" s="719">
        <v>0</v>
      </c>
      <c r="Q716" s="718">
        <v>8154</v>
      </c>
      <c r="R716" s="719">
        <f t="shared" si="11"/>
        <v>80377</v>
      </c>
      <c r="S716" s="718"/>
      <c r="T716" s="719">
        <v>38858</v>
      </c>
      <c r="U716" s="721">
        <v>-2826</v>
      </c>
      <c r="V716" s="721">
        <v>36032</v>
      </c>
    </row>
    <row r="717" spans="1:22" x14ac:dyDescent="0.25">
      <c r="A717" s="715">
        <v>97871</v>
      </c>
      <c r="B717" s="716" t="s">
        <v>3249</v>
      </c>
      <c r="C717" s="717">
        <v>3.1500000000000001E-4</v>
      </c>
      <c r="D717" s="717">
        <v>3.1530000000000002E-4</v>
      </c>
      <c r="E717" s="718">
        <v>247766</v>
      </c>
      <c r="F717" s="718">
        <v>141505</v>
      </c>
      <c r="G717" s="718">
        <v>668536</v>
      </c>
      <c r="H717" s="718"/>
      <c r="I717" s="719">
        <v>12560.625</v>
      </c>
      <c r="J717" s="719">
        <v>585850.23</v>
      </c>
      <c r="K717" s="719">
        <v>45789</v>
      </c>
      <c r="L717" s="718">
        <v>173467</v>
      </c>
      <c r="M717" s="718"/>
      <c r="N717" s="719">
        <v>23426</v>
      </c>
      <c r="O717" s="719">
        <v>216234</v>
      </c>
      <c r="P717" s="719">
        <v>0</v>
      </c>
      <c r="Q717" s="718">
        <v>0</v>
      </c>
      <c r="R717" s="719">
        <f t="shared" si="11"/>
        <v>369616</v>
      </c>
      <c r="S717" s="718"/>
      <c r="T717" s="719">
        <v>178690</v>
      </c>
      <c r="U717" s="721">
        <v>54798</v>
      </c>
      <c r="V717" s="721">
        <v>233488</v>
      </c>
    </row>
    <row r="718" spans="1:22" x14ac:dyDescent="0.25">
      <c r="A718" s="715">
        <v>97877</v>
      </c>
      <c r="B718" s="716" t="s">
        <v>3250</v>
      </c>
      <c r="C718" s="717">
        <v>2.2000000000000001E-6</v>
      </c>
      <c r="D718" s="717">
        <v>2.6000000000000001E-6</v>
      </c>
      <c r="E718" s="718">
        <v>1917</v>
      </c>
      <c r="F718" s="718">
        <v>1167</v>
      </c>
      <c r="G718" s="718">
        <v>4669</v>
      </c>
      <c r="H718" s="718"/>
      <c r="I718" s="719">
        <v>88</v>
      </c>
      <c r="J718" s="719">
        <v>4092</v>
      </c>
      <c r="K718" s="719">
        <v>320</v>
      </c>
      <c r="L718" s="718">
        <v>1306</v>
      </c>
      <c r="M718" s="718"/>
      <c r="N718" s="719">
        <v>164</v>
      </c>
      <c r="O718" s="719">
        <v>1510</v>
      </c>
      <c r="P718" s="719">
        <v>0</v>
      </c>
      <c r="Q718" s="718">
        <v>0</v>
      </c>
      <c r="R718" s="719">
        <f t="shared" si="11"/>
        <v>2582</v>
      </c>
      <c r="S718" s="718"/>
      <c r="T718" s="719">
        <v>1248</v>
      </c>
      <c r="U718" s="721">
        <v>452</v>
      </c>
      <c r="V718" s="721">
        <v>1700</v>
      </c>
    </row>
    <row r="719" spans="1:22" x14ac:dyDescent="0.25">
      <c r="A719" s="715">
        <v>97901</v>
      </c>
      <c r="B719" s="716" t="s">
        <v>3251</v>
      </c>
      <c r="C719" s="717">
        <v>4.3616999999999996E-3</v>
      </c>
      <c r="D719" s="717">
        <v>4.2928000000000003E-3</v>
      </c>
      <c r="E719" s="718">
        <v>1721465.11</v>
      </c>
      <c r="F719" s="718">
        <v>1926583</v>
      </c>
      <c r="G719" s="718">
        <v>9256989</v>
      </c>
      <c r="H719" s="718"/>
      <c r="I719" s="719">
        <v>173923</v>
      </c>
      <c r="J719" s="719">
        <v>8112073</v>
      </c>
      <c r="K719" s="719">
        <v>634021</v>
      </c>
      <c r="L719" s="718">
        <v>76379</v>
      </c>
      <c r="M719" s="718"/>
      <c r="N719" s="719">
        <v>324375</v>
      </c>
      <c r="O719" s="719">
        <v>2994124</v>
      </c>
      <c r="P719" s="719">
        <v>0</v>
      </c>
      <c r="Q719" s="718">
        <v>20062</v>
      </c>
      <c r="R719" s="719">
        <f t="shared" si="11"/>
        <v>5117949</v>
      </c>
      <c r="S719" s="718"/>
      <c r="T719" s="719">
        <v>2474257</v>
      </c>
      <c r="U719" s="721">
        <v>24654</v>
      </c>
      <c r="V719" s="721">
        <v>2498911</v>
      </c>
    </row>
    <row r="720" spans="1:22" x14ac:dyDescent="0.25">
      <c r="A720" s="715">
        <v>97911</v>
      </c>
      <c r="B720" s="716" t="s">
        <v>3252</v>
      </c>
      <c r="C720" s="717">
        <v>1.3190000000000001E-3</v>
      </c>
      <c r="D720" s="717">
        <v>1.4008E-3</v>
      </c>
      <c r="E720" s="718">
        <v>549902</v>
      </c>
      <c r="F720" s="718">
        <v>628671</v>
      </c>
      <c r="G720" s="718">
        <v>2799360</v>
      </c>
      <c r="H720" s="718"/>
      <c r="I720" s="719">
        <v>52595.125</v>
      </c>
      <c r="J720" s="719">
        <v>2453132</v>
      </c>
      <c r="K720" s="719">
        <v>191731</v>
      </c>
      <c r="L720" s="718">
        <v>50935</v>
      </c>
      <c r="M720" s="718"/>
      <c r="N720" s="719">
        <v>98093</v>
      </c>
      <c r="O720" s="719">
        <v>905438</v>
      </c>
      <c r="P720" s="719">
        <v>0</v>
      </c>
      <c r="Q720" s="718">
        <v>38377</v>
      </c>
      <c r="R720" s="719">
        <f t="shared" si="11"/>
        <v>1547694</v>
      </c>
      <c r="S720" s="718"/>
      <c r="T720" s="719">
        <v>748228</v>
      </c>
      <c r="U720" s="721">
        <v>10404</v>
      </c>
      <c r="V720" s="721">
        <v>758632</v>
      </c>
    </row>
    <row r="721" spans="1:22" x14ac:dyDescent="0.25">
      <c r="A721" s="715">
        <v>97913</v>
      </c>
      <c r="B721" s="716" t="s">
        <v>3253</v>
      </c>
      <c r="C721" s="717">
        <v>3.7400000000000001E-5</v>
      </c>
      <c r="D721" s="717">
        <v>3.7700000000000002E-5</v>
      </c>
      <c r="E721" s="718">
        <v>23994.67</v>
      </c>
      <c r="F721" s="718">
        <v>16920</v>
      </c>
      <c r="G721" s="718">
        <v>79375</v>
      </c>
      <c r="H721" s="718"/>
      <c r="I721" s="719">
        <v>1491.325</v>
      </c>
      <c r="J721" s="719">
        <v>69558</v>
      </c>
      <c r="K721" s="719">
        <v>5437</v>
      </c>
      <c r="L721" s="718">
        <v>11163</v>
      </c>
      <c r="M721" s="718"/>
      <c r="N721" s="719">
        <v>2781</v>
      </c>
      <c r="O721" s="719">
        <v>25674</v>
      </c>
      <c r="P721" s="719">
        <v>0</v>
      </c>
      <c r="Q721" s="718">
        <v>0</v>
      </c>
      <c r="R721" s="719">
        <f t="shared" si="11"/>
        <v>43884</v>
      </c>
      <c r="S721" s="718"/>
      <c r="T721" s="719">
        <v>21216</v>
      </c>
      <c r="U721" s="721">
        <v>3404</v>
      </c>
      <c r="V721" s="721">
        <v>24620</v>
      </c>
    </row>
    <row r="722" spans="1:22" x14ac:dyDescent="0.25">
      <c r="A722" s="715">
        <v>97917</v>
      </c>
      <c r="B722" s="716" t="s">
        <v>3254</v>
      </c>
      <c r="C722" s="717">
        <v>1.98E-5</v>
      </c>
      <c r="D722" s="717">
        <v>2.0599999999999999E-5</v>
      </c>
      <c r="E722" s="718">
        <v>11950</v>
      </c>
      <c r="F722" s="718">
        <v>9245</v>
      </c>
      <c r="G722" s="718">
        <v>42022</v>
      </c>
      <c r="H722" s="718"/>
      <c r="I722" s="719">
        <v>789.52499999999998</v>
      </c>
      <c r="J722" s="719">
        <v>36825</v>
      </c>
      <c r="K722" s="719">
        <v>2878</v>
      </c>
      <c r="L722" s="718">
        <v>6195</v>
      </c>
      <c r="M722" s="718"/>
      <c r="N722" s="719">
        <v>1473</v>
      </c>
      <c r="O722" s="719">
        <v>13592</v>
      </c>
      <c r="P722" s="719">
        <v>0</v>
      </c>
      <c r="Q722" s="718">
        <v>0</v>
      </c>
      <c r="R722" s="719">
        <f t="shared" si="11"/>
        <v>23233</v>
      </c>
      <c r="S722" s="718"/>
      <c r="T722" s="719">
        <v>11232</v>
      </c>
      <c r="U722" s="721">
        <v>2211</v>
      </c>
      <c r="V722" s="721">
        <v>13443</v>
      </c>
    </row>
    <row r="723" spans="1:22" x14ac:dyDescent="0.25">
      <c r="A723" s="715">
        <v>97921</v>
      </c>
      <c r="B723" s="716" t="s">
        <v>3255</v>
      </c>
      <c r="C723" s="717">
        <v>2.2169999999999999E-4</v>
      </c>
      <c r="D723" s="717">
        <v>2.3599999999999999E-4</v>
      </c>
      <c r="E723" s="718">
        <v>93980.13</v>
      </c>
      <c r="F723" s="718">
        <v>105915</v>
      </c>
      <c r="G723" s="718">
        <v>470522</v>
      </c>
      <c r="H723" s="718"/>
      <c r="I723" s="719">
        <v>8840</v>
      </c>
      <c r="J723" s="719">
        <v>412327</v>
      </c>
      <c r="K723" s="719">
        <v>32227</v>
      </c>
      <c r="L723" s="718">
        <v>17914</v>
      </c>
      <c r="M723" s="718"/>
      <c r="N723" s="719">
        <v>16488</v>
      </c>
      <c r="O723" s="719">
        <v>152188</v>
      </c>
      <c r="P723" s="719">
        <v>0</v>
      </c>
      <c r="Q723" s="718">
        <v>8707</v>
      </c>
      <c r="R723" s="719">
        <f t="shared" si="11"/>
        <v>260139</v>
      </c>
      <c r="S723" s="718"/>
      <c r="T723" s="719">
        <v>125764</v>
      </c>
      <c r="U723" s="721">
        <v>3320</v>
      </c>
      <c r="V723" s="721">
        <v>129084</v>
      </c>
    </row>
    <row r="724" spans="1:22" x14ac:dyDescent="0.25">
      <c r="A724" s="715">
        <v>97931</v>
      </c>
      <c r="B724" s="716" t="s">
        <v>3256</v>
      </c>
      <c r="C724" s="717">
        <v>6.1600000000000007E-5</v>
      </c>
      <c r="D724" s="717">
        <v>6.7999999999999999E-5</v>
      </c>
      <c r="E724" s="718">
        <v>26190.6</v>
      </c>
      <c r="F724" s="718">
        <v>30518</v>
      </c>
      <c r="G724" s="718">
        <v>130736</v>
      </c>
      <c r="H724" s="718"/>
      <c r="I724" s="719">
        <v>2456</v>
      </c>
      <c r="J724" s="719">
        <v>114566</v>
      </c>
      <c r="K724" s="719">
        <v>8954</v>
      </c>
      <c r="L724" s="718">
        <v>19564</v>
      </c>
      <c r="M724" s="718"/>
      <c r="N724" s="719">
        <v>4581</v>
      </c>
      <c r="O724" s="719">
        <v>42286</v>
      </c>
      <c r="P724" s="719">
        <v>0</v>
      </c>
      <c r="Q724" s="718">
        <v>13697</v>
      </c>
      <c r="R724" s="719">
        <f t="shared" si="11"/>
        <v>72280</v>
      </c>
      <c r="S724" s="718"/>
      <c r="T724" s="719">
        <v>34944</v>
      </c>
      <c r="U724" s="721">
        <v>733</v>
      </c>
      <c r="V724" s="721">
        <v>35677</v>
      </c>
    </row>
    <row r="725" spans="1:22" x14ac:dyDescent="0.25">
      <c r="A725" s="715">
        <v>97941</v>
      </c>
      <c r="B725" s="716" t="s">
        <v>3257</v>
      </c>
      <c r="C725" s="717">
        <v>2.3330000000000001E-4</v>
      </c>
      <c r="D725" s="717">
        <v>2.3120000000000001E-4</v>
      </c>
      <c r="E725" s="718">
        <v>99201.06</v>
      </c>
      <c r="F725" s="718">
        <v>103761</v>
      </c>
      <c r="G725" s="718">
        <v>495141</v>
      </c>
      <c r="H725" s="718"/>
      <c r="I725" s="719">
        <v>9303</v>
      </c>
      <c r="J725" s="719">
        <v>433901</v>
      </c>
      <c r="K725" s="719">
        <v>33913</v>
      </c>
      <c r="L725" s="718">
        <v>27337</v>
      </c>
      <c r="M725" s="718"/>
      <c r="N725" s="719">
        <v>17350</v>
      </c>
      <c r="O725" s="719">
        <v>160151</v>
      </c>
      <c r="P725" s="719">
        <v>0</v>
      </c>
      <c r="Q725" s="718">
        <v>299</v>
      </c>
      <c r="R725" s="719">
        <f t="shared" si="11"/>
        <v>273750</v>
      </c>
      <c r="S725" s="718"/>
      <c r="T725" s="719">
        <v>132344</v>
      </c>
      <c r="U725" s="721">
        <v>9188</v>
      </c>
      <c r="V725" s="721">
        <v>141532</v>
      </c>
    </row>
    <row r="726" spans="1:22" x14ac:dyDescent="0.25">
      <c r="A726" s="715">
        <v>97947</v>
      </c>
      <c r="B726" s="716" t="s">
        <v>3258</v>
      </c>
      <c r="C726" s="717">
        <v>1.5500000000000001E-5</v>
      </c>
      <c r="D726" s="717">
        <v>1.1199999999999999E-5</v>
      </c>
      <c r="E726" s="718">
        <v>11155</v>
      </c>
      <c r="F726" s="718">
        <v>5026</v>
      </c>
      <c r="G726" s="718">
        <v>32896</v>
      </c>
      <c r="H726" s="718"/>
      <c r="I726" s="719">
        <v>618.0625</v>
      </c>
      <c r="J726" s="719">
        <v>28828</v>
      </c>
      <c r="K726" s="719">
        <v>2253</v>
      </c>
      <c r="L726" s="718">
        <v>9195</v>
      </c>
      <c r="M726" s="718"/>
      <c r="N726" s="719">
        <v>1153</v>
      </c>
      <c r="O726" s="719">
        <v>10640</v>
      </c>
      <c r="P726" s="719">
        <v>0</v>
      </c>
      <c r="Q726" s="718">
        <v>615</v>
      </c>
      <c r="R726" s="719">
        <f t="shared" si="11"/>
        <v>18188</v>
      </c>
      <c r="S726" s="718"/>
      <c r="T726" s="719">
        <v>8793</v>
      </c>
      <c r="U726" s="721">
        <v>2366</v>
      </c>
      <c r="V726" s="721">
        <v>11159</v>
      </c>
    </row>
    <row r="727" spans="1:22" x14ac:dyDescent="0.25">
      <c r="A727" s="715">
        <v>97948</v>
      </c>
      <c r="B727" s="716" t="s">
        <v>3259</v>
      </c>
      <c r="C727" s="717">
        <v>3.5200000000000002E-5</v>
      </c>
      <c r="D727" s="717">
        <v>3.43E-5</v>
      </c>
      <c r="E727" s="718">
        <v>13688</v>
      </c>
      <c r="F727" s="718">
        <v>15394</v>
      </c>
      <c r="G727" s="718">
        <v>74706</v>
      </c>
      <c r="H727" s="718"/>
      <c r="I727" s="719">
        <v>1404</v>
      </c>
      <c r="J727" s="719">
        <v>65466</v>
      </c>
      <c r="K727" s="719">
        <v>5117</v>
      </c>
      <c r="L727" s="718">
        <v>3029</v>
      </c>
      <c r="M727" s="718"/>
      <c r="N727" s="719">
        <v>2618</v>
      </c>
      <c r="O727" s="719">
        <v>24163</v>
      </c>
      <c r="P727" s="719">
        <v>0</v>
      </c>
      <c r="Q727" s="718">
        <v>138</v>
      </c>
      <c r="R727" s="719">
        <f t="shared" si="11"/>
        <v>41303</v>
      </c>
      <c r="S727" s="718"/>
      <c r="T727" s="719">
        <v>19968</v>
      </c>
      <c r="U727" s="721">
        <v>1084</v>
      </c>
      <c r="V727" s="721">
        <v>21052</v>
      </c>
    </row>
    <row r="728" spans="1:22" x14ac:dyDescent="0.25">
      <c r="A728" s="715">
        <v>97951</v>
      </c>
      <c r="B728" s="716" t="s">
        <v>3260</v>
      </c>
      <c r="C728" s="717">
        <v>1.2497000000000001E-3</v>
      </c>
      <c r="D728" s="717">
        <v>1.2842000000000001E-3</v>
      </c>
      <c r="E728" s="718">
        <v>544314.75</v>
      </c>
      <c r="F728" s="718">
        <v>576341</v>
      </c>
      <c r="G728" s="718">
        <v>2652282</v>
      </c>
      <c r="H728" s="718"/>
      <c r="I728" s="719">
        <v>49832</v>
      </c>
      <c r="J728" s="719">
        <v>2324245</v>
      </c>
      <c r="K728" s="719">
        <v>181658</v>
      </c>
      <c r="L728" s="718">
        <v>21304</v>
      </c>
      <c r="M728" s="718"/>
      <c r="N728" s="719">
        <v>92939</v>
      </c>
      <c r="O728" s="719">
        <v>857867</v>
      </c>
      <c r="P728" s="719">
        <v>0</v>
      </c>
      <c r="Q728" s="718">
        <v>14204.62</v>
      </c>
      <c r="R728" s="719">
        <f t="shared" si="11"/>
        <v>1466378</v>
      </c>
      <c r="S728" s="718"/>
      <c r="T728" s="719">
        <v>708916</v>
      </c>
      <c r="U728" s="721">
        <v>-103</v>
      </c>
      <c r="V728" s="721">
        <v>708813</v>
      </c>
    </row>
    <row r="729" spans="1:22" x14ac:dyDescent="0.25">
      <c r="A729" s="715">
        <v>97957</v>
      </c>
      <c r="B729" s="716" t="s">
        <v>3261</v>
      </c>
      <c r="C729" s="717">
        <v>1.9599999999999999E-5</v>
      </c>
      <c r="D729" s="717">
        <v>1.9899999999999999E-5</v>
      </c>
      <c r="E729" s="718">
        <v>11054</v>
      </c>
      <c r="F729" s="718">
        <v>8931</v>
      </c>
      <c r="G729" s="718">
        <v>41598</v>
      </c>
      <c r="H729" s="718"/>
      <c r="I729" s="719">
        <v>781.55</v>
      </c>
      <c r="J729" s="719">
        <v>36453</v>
      </c>
      <c r="K729" s="719">
        <v>2849</v>
      </c>
      <c r="L729" s="718">
        <v>2215</v>
      </c>
      <c r="M729" s="718"/>
      <c r="N729" s="719">
        <v>1458</v>
      </c>
      <c r="O729" s="719">
        <v>13455</v>
      </c>
      <c r="P729" s="719">
        <v>0</v>
      </c>
      <c r="Q729" s="718">
        <v>1781</v>
      </c>
      <c r="R729" s="719">
        <f t="shared" si="11"/>
        <v>22998</v>
      </c>
      <c r="S729" s="718"/>
      <c r="T729" s="719">
        <v>11118</v>
      </c>
      <c r="U729" s="721">
        <v>-84</v>
      </c>
      <c r="V729" s="721">
        <v>11035</v>
      </c>
    </row>
    <row r="730" spans="1:22" x14ac:dyDescent="0.25">
      <c r="A730" s="715">
        <v>98001</v>
      </c>
      <c r="B730" s="716" t="s">
        <v>3262</v>
      </c>
      <c r="C730" s="717">
        <v>4.9659999999999999E-3</v>
      </c>
      <c r="D730" s="717">
        <v>4.9379999999999997E-3</v>
      </c>
      <c r="E730" s="718">
        <v>2027252.35</v>
      </c>
      <c r="F730" s="718">
        <v>2216145</v>
      </c>
      <c r="G730" s="718">
        <v>10539516</v>
      </c>
      <c r="H730" s="718"/>
      <c r="I730" s="719">
        <v>198019.25</v>
      </c>
      <c r="J730" s="719">
        <v>9235975</v>
      </c>
      <c r="K730" s="719">
        <v>721863</v>
      </c>
      <c r="L730" s="718">
        <v>119593</v>
      </c>
      <c r="M730" s="718"/>
      <c r="N730" s="719">
        <v>369316</v>
      </c>
      <c r="O730" s="719">
        <v>3408950</v>
      </c>
      <c r="P730" s="719">
        <v>0</v>
      </c>
      <c r="Q730" s="718">
        <v>0</v>
      </c>
      <c r="R730" s="719">
        <f t="shared" si="11"/>
        <v>5827025</v>
      </c>
      <c r="S730" s="718"/>
      <c r="T730" s="719">
        <v>2817058</v>
      </c>
      <c r="U730" s="721">
        <v>52585</v>
      </c>
      <c r="V730" s="721">
        <v>2869642</v>
      </c>
    </row>
    <row r="731" spans="1:22" x14ac:dyDescent="0.25">
      <c r="A731" s="715">
        <v>98002</v>
      </c>
      <c r="B731" s="716" t="s">
        <v>3263</v>
      </c>
      <c r="C731" s="717">
        <v>7.3000000000000004E-6</v>
      </c>
      <c r="D731" s="717">
        <v>7.1999999999999997E-6</v>
      </c>
      <c r="E731" s="718">
        <v>3645</v>
      </c>
      <c r="F731" s="718">
        <v>3231</v>
      </c>
      <c r="G731" s="718">
        <v>15493</v>
      </c>
      <c r="H731" s="718"/>
      <c r="I731" s="719">
        <v>291</v>
      </c>
      <c r="J731" s="719">
        <v>13577</v>
      </c>
      <c r="K731" s="719">
        <v>1061</v>
      </c>
      <c r="L731" s="718">
        <v>799</v>
      </c>
      <c r="M731" s="718"/>
      <c r="N731" s="719">
        <v>543</v>
      </c>
      <c r="O731" s="719">
        <v>5011</v>
      </c>
      <c r="P731" s="719">
        <v>0</v>
      </c>
      <c r="Q731" s="718">
        <v>13050</v>
      </c>
      <c r="R731" s="719">
        <f t="shared" si="11"/>
        <v>8566</v>
      </c>
      <c r="S731" s="718"/>
      <c r="T731" s="719">
        <v>4141</v>
      </c>
      <c r="U731" s="721">
        <v>-6329</v>
      </c>
      <c r="V731" s="721">
        <v>-2188</v>
      </c>
    </row>
    <row r="732" spans="1:22" x14ac:dyDescent="0.25">
      <c r="A732" s="715">
        <v>98003</v>
      </c>
      <c r="B732" s="716" t="s">
        <v>3264</v>
      </c>
      <c r="C732" s="717">
        <v>8.1600000000000005E-5</v>
      </c>
      <c r="D732" s="717">
        <v>6.8100000000000002E-5</v>
      </c>
      <c r="E732" s="718">
        <v>60648.32</v>
      </c>
      <c r="F732" s="718">
        <v>30563</v>
      </c>
      <c r="G732" s="718">
        <v>173183</v>
      </c>
      <c r="H732" s="718"/>
      <c r="I732" s="719">
        <v>3253.8</v>
      </c>
      <c r="J732" s="719">
        <v>151763</v>
      </c>
      <c r="K732" s="719">
        <v>11861</v>
      </c>
      <c r="L732" s="718">
        <v>41565</v>
      </c>
      <c r="M732" s="718"/>
      <c r="N732" s="719">
        <v>6069</v>
      </c>
      <c r="O732" s="719">
        <v>56015</v>
      </c>
      <c r="P732" s="719">
        <v>0</v>
      </c>
      <c r="Q732" s="718">
        <v>0</v>
      </c>
      <c r="R732" s="719">
        <f t="shared" si="11"/>
        <v>95748</v>
      </c>
      <c r="S732" s="718"/>
      <c r="T732" s="719">
        <v>46289</v>
      </c>
      <c r="U732" s="721">
        <v>12223</v>
      </c>
      <c r="V732" s="721">
        <v>58512</v>
      </c>
    </row>
    <row r="733" spans="1:22" x14ac:dyDescent="0.25">
      <c r="A733" s="715">
        <v>98004</v>
      </c>
      <c r="B733" s="716" t="s">
        <v>3265</v>
      </c>
      <c r="C733" s="717">
        <v>1.209E-4</v>
      </c>
      <c r="D733" s="717">
        <v>1.2630000000000001E-4</v>
      </c>
      <c r="E733" s="718">
        <v>71693</v>
      </c>
      <c r="F733" s="718">
        <v>56683</v>
      </c>
      <c r="G733" s="718">
        <v>256590</v>
      </c>
      <c r="H733" s="718"/>
      <c r="I733" s="719">
        <v>4821</v>
      </c>
      <c r="J733" s="719">
        <v>224855</v>
      </c>
      <c r="K733" s="719">
        <v>17574</v>
      </c>
      <c r="L733" s="718">
        <v>29242</v>
      </c>
      <c r="M733" s="718"/>
      <c r="N733" s="719">
        <v>8991</v>
      </c>
      <c r="O733" s="719">
        <v>82993</v>
      </c>
      <c r="P733" s="719">
        <v>0</v>
      </c>
      <c r="Q733" s="718">
        <v>0</v>
      </c>
      <c r="R733" s="719">
        <f t="shared" si="11"/>
        <v>141862</v>
      </c>
      <c r="S733" s="718"/>
      <c r="T733" s="719">
        <v>68583</v>
      </c>
      <c r="U733" s="721">
        <v>9885</v>
      </c>
      <c r="V733" s="721">
        <v>78468</v>
      </c>
    </row>
    <row r="734" spans="1:22" x14ac:dyDescent="0.25">
      <c r="A734" s="715">
        <v>98008</v>
      </c>
      <c r="B734" s="716" t="s">
        <v>3266</v>
      </c>
      <c r="C734" s="717">
        <v>7.7999999999999999E-6</v>
      </c>
      <c r="D734" s="717">
        <v>8.3000000000000002E-6</v>
      </c>
      <c r="E734" s="718">
        <v>3014</v>
      </c>
      <c r="F734" s="718">
        <v>3725</v>
      </c>
      <c r="G734" s="718">
        <v>16554</v>
      </c>
      <c r="H734" s="718"/>
      <c r="I734" s="719">
        <v>311</v>
      </c>
      <c r="J734" s="719">
        <v>14507</v>
      </c>
      <c r="K734" s="719">
        <v>1134</v>
      </c>
      <c r="L734" s="718">
        <v>0</v>
      </c>
      <c r="M734" s="718"/>
      <c r="N734" s="719">
        <v>580</v>
      </c>
      <c r="O734" s="719">
        <v>5354</v>
      </c>
      <c r="P734" s="719">
        <v>0</v>
      </c>
      <c r="Q734" s="718">
        <v>1300</v>
      </c>
      <c r="R734" s="719">
        <f t="shared" si="11"/>
        <v>9153</v>
      </c>
      <c r="S734" s="718"/>
      <c r="T734" s="719">
        <v>4425</v>
      </c>
      <c r="U734" s="721">
        <v>-496</v>
      </c>
      <c r="V734" s="721">
        <v>3929</v>
      </c>
    </row>
    <row r="735" spans="1:22" x14ac:dyDescent="0.25">
      <c r="A735" s="715">
        <v>98011</v>
      </c>
      <c r="B735" s="716" t="s">
        <v>3267</v>
      </c>
      <c r="C735" s="717">
        <v>3.1795E-3</v>
      </c>
      <c r="D735" s="717">
        <v>3.5899E-3</v>
      </c>
      <c r="E735" s="718">
        <v>1249396</v>
      </c>
      <c r="F735" s="718">
        <v>1611126</v>
      </c>
      <c r="G735" s="718">
        <v>6747964</v>
      </c>
      <c r="H735" s="718"/>
      <c r="I735" s="719">
        <v>126783</v>
      </c>
      <c r="J735" s="719">
        <v>5913368</v>
      </c>
      <c r="K735" s="719">
        <v>462175</v>
      </c>
      <c r="L735" s="718">
        <v>0</v>
      </c>
      <c r="M735" s="718"/>
      <c r="N735" s="719">
        <v>236456</v>
      </c>
      <c r="O735" s="719">
        <v>2182593</v>
      </c>
      <c r="P735" s="719">
        <v>0</v>
      </c>
      <c r="Q735" s="718">
        <v>424125</v>
      </c>
      <c r="R735" s="719">
        <f t="shared" si="11"/>
        <v>3730775</v>
      </c>
      <c r="S735" s="718"/>
      <c r="T735" s="719">
        <v>1803632</v>
      </c>
      <c r="U735" s="721">
        <v>-139309</v>
      </c>
      <c r="V735" s="721">
        <v>1664322</v>
      </c>
    </row>
    <row r="736" spans="1:22" x14ac:dyDescent="0.25">
      <c r="A736" s="715">
        <v>98013</v>
      </c>
      <c r="B736" s="716" t="s">
        <v>3268</v>
      </c>
      <c r="C736" s="717">
        <v>1.426E-4</v>
      </c>
      <c r="D736" s="717">
        <v>1.427E-4</v>
      </c>
      <c r="E736" s="718">
        <v>126822.16</v>
      </c>
      <c r="F736" s="718">
        <v>64043</v>
      </c>
      <c r="G736" s="718">
        <v>302645</v>
      </c>
      <c r="H736" s="718"/>
      <c r="I736" s="719">
        <v>5686</v>
      </c>
      <c r="J736" s="719">
        <v>265213</v>
      </c>
      <c r="K736" s="719">
        <v>20728</v>
      </c>
      <c r="L736" s="718">
        <v>97343</v>
      </c>
      <c r="M736" s="718"/>
      <c r="N736" s="719">
        <v>10605</v>
      </c>
      <c r="O736" s="719">
        <v>97889</v>
      </c>
      <c r="P736" s="719">
        <v>0</v>
      </c>
      <c r="Q736" s="718">
        <v>4167</v>
      </c>
      <c r="R736" s="719">
        <f t="shared" si="11"/>
        <v>167324</v>
      </c>
      <c r="S736" s="718"/>
      <c r="T736" s="719">
        <v>80893</v>
      </c>
      <c r="U736" s="721">
        <v>27256</v>
      </c>
      <c r="V736" s="721">
        <v>108149</v>
      </c>
    </row>
    <row r="737" spans="1:22" x14ac:dyDescent="0.25">
      <c r="A737" s="715">
        <v>98021</v>
      </c>
      <c r="B737" s="716" t="s">
        <v>3269</v>
      </c>
      <c r="C737" s="717">
        <v>7.5099999999999996E-5</v>
      </c>
      <c r="D737" s="717">
        <v>7.4099999999999999E-5</v>
      </c>
      <c r="E737" s="718">
        <v>28245.75</v>
      </c>
      <c r="F737" s="718">
        <v>33256</v>
      </c>
      <c r="G737" s="718">
        <v>159387</v>
      </c>
      <c r="H737" s="718"/>
      <c r="I737" s="719">
        <v>2995</v>
      </c>
      <c r="J737" s="719">
        <v>139674</v>
      </c>
      <c r="K737" s="719">
        <v>10917</v>
      </c>
      <c r="L737" s="718">
        <v>20868</v>
      </c>
      <c r="M737" s="718"/>
      <c r="N737" s="719">
        <v>5585</v>
      </c>
      <c r="O737" s="719">
        <v>51553</v>
      </c>
      <c r="P737" s="719">
        <v>0</v>
      </c>
      <c r="Q737" s="718">
        <v>1894</v>
      </c>
      <c r="R737" s="719">
        <f t="shared" si="11"/>
        <v>88121</v>
      </c>
      <c r="S737" s="718"/>
      <c r="T737" s="719">
        <v>42602</v>
      </c>
      <c r="U737" s="721">
        <v>6826</v>
      </c>
      <c r="V737" s="721">
        <v>49428</v>
      </c>
    </row>
    <row r="738" spans="1:22" x14ac:dyDescent="0.25">
      <c r="A738" s="715">
        <v>98023</v>
      </c>
      <c r="B738" s="716" t="s">
        <v>3270</v>
      </c>
      <c r="C738" s="717">
        <v>1.45E-5</v>
      </c>
      <c r="D738" s="717">
        <v>2.1500000000000001E-5</v>
      </c>
      <c r="E738" s="718">
        <v>6210.57</v>
      </c>
      <c r="F738" s="718">
        <v>9649</v>
      </c>
      <c r="G738" s="718">
        <v>30774</v>
      </c>
      <c r="H738" s="718"/>
      <c r="I738" s="719">
        <v>578.1875</v>
      </c>
      <c r="J738" s="719">
        <v>26968</v>
      </c>
      <c r="K738" s="719">
        <v>2108</v>
      </c>
      <c r="L738" s="718">
        <v>0</v>
      </c>
      <c r="M738" s="718"/>
      <c r="N738" s="719">
        <v>1078</v>
      </c>
      <c r="O738" s="719">
        <v>9954</v>
      </c>
      <c r="P738" s="719">
        <v>0</v>
      </c>
      <c r="Q738" s="718">
        <v>7858</v>
      </c>
      <c r="R738" s="719">
        <f t="shared" si="11"/>
        <v>17014</v>
      </c>
      <c r="S738" s="718"/>
      <c r="T738" s="719">
        <v>8225</v>
      </c>
      <c r="U738" s="721">
        <v>-2638</v>
      </c>
      <c r="V738" s="721">
        <v>5587</v>
      </c>
    </row>
    <row r="739" spans="1:22" x14ac:dyDescent="0.25">
      <c r="A739" s="715">
        <v>98031</v>
      </c>
      <c r="B739" s="716" t="s">
        <v>3271</v>
      </c>
      <c r="C739" s="717">
        <v>1.5530000000000001E-4</v>
      </c>
      <c r="D739" s="717">
        <v>1.7009999999999999E-4</v>
      </c>
      <c r="E739" s="718">
        <v>66785.13</v>
      </c>
      <c r="F739" s="718">
        <v>76340</v>
      </c>
      <c r="G739" s="718">
        <v>329599</v>
      </c>
      <c r="H739" s="718"/>
      <c r="I739" s="719">
        <v>6193</v>
      </c>
      <c r="J739" s="719">
        <v>288833</v>
      </c>
      <c r="K739" s="719">
        <v>22575</v>
      </c>
      <c r="L739" s="718">
        <v>7207</v>
      </c>
      <c r="M739" s="718"/>
      <c r="N739" s="719">
        <v>11550</v>
      </c>
      <c r="O739" s="719">
        <v>106607</v>
      </c>
      <c r="P739" s="719">
        <v>0</v>
      </c>
      <c r="Q739" s="718">
        <v>8978</v>
      </c>
      <c r="R739" s="719">
        <f t="shared" si="11"/>
        <v>182226</v>
      </c>
      <c r="S739" s="718"/>
      <c r="T739" s="719">
        <v>88097</v>
      </c>
      <c r="U739" s="721">
        <v>-569</v>
      </c>
      <c r="V739" s="721">
        <v>87528</v>
      </c>
    </row>
    <row r="740" spans="1:22" x14ac:dyDescent="0.25">
      <c r="A740" s="715">
        <v>98041</v>
      </c>
      <c r="B740" s="716" t="s">
        <v>3272</v>
      </c>
      <c r="C740" s="717">
        <v>1.6559999999999999E-4</v>
      </c>
      <c r="D740" s="717">
        <v>1.438E-4</v>
      </c>
      <c r="E740" s="718">
        <v>62577.35</v>
      </c>
      <c r="F740" s="718">
        <v>64537</v>
      </c>
      <c r="G740" s="718">
        <v>351459</v>
      </c>
      <c r="H740" s="718"/>
      <c r="I740" s="719">
        <v>6603</v>
      </c>
      <c r="J740" s="719">
        <v>307990</v>
      </c>
      <c r="K740" s="719">
        <v>24072</v>
      </c>
      <c r="L740" s="718">
        <v>7422</v>
      </c>
      <c r="M740" s="718"/>
      <c r="N740" s="719">
        <v>12316</v>
      </c>
      <c r="O740" s="719">
        <v>113677</v>
      </c>
      <c r="P740" s="719">
        <v>0</v>
      </c>
      <c r="Q740" s="718">
        <v>9673</v>
      </c>
      <c r="R740" s="719">
        <f t="shared" si="11"/>
        <v>194313</v>
      </c>
      <c r="S740" s="718"/>
      <c r="T740" s="719">
        <v>93940</v>
      </c>
      <c r="U740" s="721">
        <v>-1971</v>
      </c>
      <c r="V740" s="721">
        <v>91969</v>
      </c>
    </row>
    <row r="741" spans="1:22" x14ac:dyDescent="0.25">
      <c r="A741" s="715">
        <v>98051</v>
      </c>
      <c r="B741" s="716" t="s">
        <v>3273</v>
      </c>
      <c r="C741" s="717">
        <v>3.0019999999999998E-4</v>
      </c>
      <c r="D741" s="717">
        <v>2.699E-4</v>
      </c>
      <c r="E741" s="718">
        <v>123086</v>
      </c>
      <c r="F741" s="718">
        <v>121130</v>
      </c>
      <c r="G741" s="718">
        <v>637125</v>
      </c>
      <c r="H741" s="718"/>
      <c r="I741" s="719">
        <v>11970</v>
      </c>
      <c r="J741" s="719">
        <v>558325</v>
      </c>
      <c r="K741" s="719">
        <v>43637</v>
      </c>
      <c r="L741" s="718">
        <v>31222</v>
      </c>
      <c r="M741" s="718"/>
      <c r="N741" s="719">
        <v>22326</v>
      </c>
      <c r="O741" s="719">
        <v>206075</v>
      </c>
      <c r="P741" s="719">
        <v>0</v>
      </c>
      <c r="Q741" s="718">
        <v>229</v>
      </c>
      <c r="R741" s="719">
        <f t="shared" si="11"/>
        <v>352250</v>
      </c>
      <c r="S741" s="718"/>
      <c r="T741" s="719">
        <v>170294</v>
      </c>
      <c r="U741" s="721">
        <v>9416</v>
      </c>
      <c r="V741" s="721">
        <v>179711</v>
      </c>
    </row>
    <row r="742" spans="1:22" x14ac:dyDescent="0.25">
      <c r="A742" s="715">
        <v>98061</v>
      </c>
      <c r="B742" s="716" t="s">
        <v>3274</v>
      </c>
      <c r="C742" s="717">
        <v>9.9099999999999996E-5</v>
      </c>
      <c r="D742" s="717">
        <v>1.3410000000000001E-4</v>
      </c>
      <c r="E742" s="718">
        <v>42535.31</v>
      </c>
      <c r="F742" s="718">
        <v>60183</v>
      </c>
      <c r="G742" s="718">
        <v>210323</v>
      </c>
      <c r="H742" s="718"/>
      <c r="I742" s="719">
        <v>3952</v>
      </c>
      <c r="J742" s="719">
        <v>184310</v>
      </c>
      <c r="K742" s="719">
        <v>14405</v>
      </c>
      <c r="L742" s="718">
        <v>0</v>
      </c>
      <c r="M742" s="718"/>
      <c r="N742" s="719">
        <v>7370</v>
      </c>
      <c r="O742" s="719">
        <v>68028</v>
      </c>
      <c r="P742" s="719">
        <v>0</v>
      </c>
      <c r="Q742" s="718">
        <v>24647</v>
      </c>
      <c r="R742" s="719">
        <f t="shared" si="11"/>
        <v>116282</v>
      </c>
      <c r="S742" s="718"/>
      <c r="T742" s="719">
        <v>56216</v>
      </c>
      <c r="U742" s="721">
        <v>-7215</v>
      </c>
      <c r="V742" s="721">
        <v>49002</v>
      </c>
    </row>
    <row r="743" spans="1:22" x14ac:dyDescent="0.25">
      <c r="A743" s="715">
        <v>98071</v>
      </c>
      <c r="B743" s="716" t="s">
        <v>3275</v>
      </c>
      <c r="C743" s="717">
        <v>3.4400000000000003E-5</v>
      </c>
      <c r="D743" s="717">
        <v>3.2299999999999999E-5</v>
      </c>
      <c r="E743" s="718">
        <v>24294.65</v>
      </c>
      <c r="F743" s="718">
        <v>14496</v>
      </c>
      <c r="G743" s="718">
        <v>73008</v>
      </c>
      <c r="H743" s="718"/>
      <c r="I743" s="719">
        <v>1371.7</v>
      </c>
      <c r="J743" s="719">
        <v>63979</v>
      </c>
      <c r="K743" s="719">
        <v>5000</v>
      </c>
      <c r="L743" s="718">
        <v>9217</v>
      </c>
      <c r="M743" s="718"/>
      <c r="N743" s="719">
        <v>2558</v>
      </c>
      <c r="O743" s="719">
        <v>23614</v>
      </c>
      <c r="P743" s="719">
        <v>0</v>
      </c>
      <c r="Q743" s="718">
        <v>1859</v>
      </c>
      <c r="R743" s="719">
        <f t="shared" si="11"/>
        <v>40365</v>
      </c>
      <c r="S743" s="718"/>
      <c r="T743" s="719">
        <v>19514</v>
      </c>
      <c r="U743" s="721">
        <v>1734</v>
      </c>
      <c r="V743" s="721">
        <v>21248</v>
      </c>
    </row>
    <row r="744" spans="1:22" x14ac:dyDescent="0.25">
      <c r="A744" s="715">
        <v>98081</v>
      </c>
      <c r="B744" s="716" t="s">
        <v>3276</v>
      </c>
      <c r="C744" s="717">
        <v>1.9400000000000001E-5</v>
      </c>
      <c r="D744" s="717">
        <v>2.0999999999999999E-5</v>
      </c>
      <c r="E744" s="718">
        <v>6798</v>
      </c>
      <c r="F744" s="718">
        <v>9425</v>
      </c>
      <c r="G744" s="718">
        <v>41173</v>
      </c>
      <c r="H744" s="718"/>
      <c r="I744" s="719">
        <v>773.57500000000005</v>
      </c>
      <c r="J744" s="719">
        <v>36081</v>
      </c>
      <c r="K744" s="719">
        <v>2820</v>
      </c>
      <c r="L744" s="718">
        <v>0</v>
      </c>
      <c r="M744" s="718"/>
      <c r="N744" s="719">
        <v>1443</v>
      </c>
      <c r="O744" s="719">
        <v>13317</v>
      </c>
      <c r="P744" s="719">
        <v>0</v>
      </c>
      <c r="Q744" s="718">
        <v>4336</v>
      </c>
      <c r="R744" s="719">
        <f t="shared" si="11"/>
        <v>22764</v>
      </c>
      <c r="S744" s="718"/>
      <c r="T744" s="719">
        <v>11005</v>
      </c>
      <c r="U744" s="721">
        <v>-1542</v>
      </c>
      <c r="V744" s="721">
        <v>9463</v>
      </c>
    </row>
    <row r="745" spans="1:22" x14ac:dyDescent="0.25">
      <c r="A745" s="715">
        <v>98091</v>
      </c>
      <c r="B745" s="716" t="s">
        <v>3277</v>
      </c>
      <c r="C745" s="717">
        <v>5.0899999999999997E-5</v>
      </c>
      <c r="D745" s="717">
        <v>5.49E-5</v>
      </c>
      <c r="E745" s="718">
        <v>23937.15</v>
      </c>
      <c r="F745" s="718">
        <v>24639</v>
      </c>
      <c r="G745" s="718">
        <v>108027</v>
      </c>
      <c r="H745" s="718"/>
      <c r="I745" s="719">
        <v>2030</v>
      </c>
      <c r="J745" s="719">
        <v>94666</v>
      </c>
      <c r="K745" s="719">
        <v>7399</v>
      </c>
      <c r="L745" s="718">
        <v>1196</v>
      </c>
      <c r="M745" s="718"/>
      <c r="N745" s="719">
        <v>3785</v>
      </c>
      <c r="O745" s="719">
        <v>34941</v>
      </c>
      <c r="P745" s="719">
        <v>0</v>
      </c>
      <c r="Q745" s="718">
        <v>1622</v>
      </c>
      <c r="R745" s="719">
        <f t="shared" si="11"/>
        <v>59725</v>
      </c>
      <c r="S745" s="718"/>
      <c r="T745" s="719">
        <v>28874</v>
      </c>
      <c r="U745" s="721">
        <v>-412</v>
      </c>
      <c r="V745" s="721">
        <v>28462</v>
      </c>
    </row>
    <row r="746" spans="1:22" x14ac:dyDescent="0.25">
      <c r="A746" s="715">
        <v>98101</v>
      </c>
      <c r="B746" s="716" t="s">
        <v>3278</v>
      </c>
      <c r="C746" s="717">
        <v>2.7642999999999999E-3</v>
      </c>
      <c r="D746" s="717">
        <v>2.7445E-3</v>
      </c>
      <c r="E746" s="718">
        <v>1093303.25</v>
      </c>
      <c r="F746" s="718">
        <v>1231715</v>
      </c>
      <c r="G746" s="718">
        <v>5866771</v>
      </c>
      <c r="H746" s="718"/>
      <c r="I746" s="719">
        <v>110226</v>
      </c>
      <c r="J746" s="719">
        <v>5141161</v>
      </c>
      <c r="K746" s="719">
        <v>401821</v>
      </c>
      <c r="L746" s="718">
        <v>61462</v>
      </c>
      <c r="M746" s="718"/>
      <c r="N746" s="719">
        <v>205578</v>
      </c>
      <c r="O746" s="719">
        <v>1897576</v>
      </c>
      <c r="P746" s="719">
        <v>0</v>
      </c>
      <c r="Q746" s="718">
        <v>23820</v>
      </c>
      <c r="R746" s="719">
        <f t="shared" si="11"/>
        <v>3243585</v>
      </c>
      <c r="S746" s="718"/>
      <c r="T746" s="719">
        <v>1568102</v>
      </c>
      <c r="U746" s="721">
        <v>17983</v>
      </c>
      <c r="V746" s="721">
        <v>1586085</v>
      </c>
    </row>
    <row r="747" spans="1:22" x14ac:dyDescent="0.25">
      <c r="A747" s="715">
        <v>98102</v>
      </c>
      <c r="B747" s="716" t="s">
        <v>3279</v>
      </c>
      <c r="C747" s="717">
        <v>1.683E-4</v>
      </c>
      <c r="D747" s="717">
        <v>1.7259999999999999E-4</v>
      </c>
      <c r="E747" s="718">
        <v>69015</v>
      </c>
      <c r="F747" s="718">
        <v>77462</v>
      </c>
      <c r="G747" s="718">
        <v>357189</v>
      </c>
      <c r="H747" s="718"/>
      <c r="I747" s="719">
        <v>6711</v>
      </c>
      <c r="J747" s="719">
        <v>313011</v>
      </c>
      <c r="K747" s="719">
        <v>24464</v>
      </c>
      <c r="L747" s="718">
        <v>0</v>
      </c>
      <c r="M747" s="718"/>
      <c r="N747" s="719">
        <v>12516</v>
      </c>
      <c r="O747" s="719">
        <v>115531</v>
      </c>
      <c r="P747" s="719">
        <v>0</v>
      </c>
      <c r="Q747" s="718">
        <v>10404</v>
      </c>
      <c r="R747" s="719">
        <f t="shared" si="11"/>
        <v>197480</v>
      </c>
      <c r="S747" s="718"/>
      <c r="T747" s="719">
        <v>95471</v>
      </c>
      <c r="U747" s="721">
        <v>-3682</v>
      </c>
      <c r="V747" s="721">
        <v>91789</v>
      </c>
    </row>
    <row r="748" spans="1:22" x14ac:dyDescent="0.25">
      <c r="A748" s="715">
        <v>98103</v>
      </c>
      <c r="B748" s="716" t="s">
        <v>3280</v>
      </c>
      <c r="C748" s="717">
        <v>5.3600000000000002E-4</v>
      </c>
      <c r="D748" s="717">
        <v>5.7140000000000001E-4</v>
      </c>
      <c r="E748" s="718">
        <v>233081</v>
      </c>
      <c r="F748" s="718">
        <v>256441</v>
      </c>
      <c r="G748" s="718">
        <v>1137571.56</v>
      </c>
      <c r="H748" s="718"/>
      <c r="I748" s="719">
        <v>21373</v>
      </c>
      <c r="J748" s="719">
        <v>996875</v>
      </c>
      <c r="K748" s="719">
        <v>77913</v>
      </c>
      <c r="L748" s="718">
        <v>0</v>
      </c>
      <c r="M748" s="718"/>
      <c r="N748" s="719">
        <v>39862</v>
      </c>
      <c r="O748" s="719">
        <v>367941</v>
      </c>
      <c r="P748" s="719">
        <v>0</v>
      </c>
      <c r="Q748" s="718">
        <v>46538</v>
      </c>
      <c r="R748" s="719">
        <f t="shared" si="11"/>
        <v>628934</v>
      </c>
      <c r="S748" s="718"/>
      <c r="T748" s="719">
        <v>304056</v>
      </c>
      <c r="U748" s="721">
        <v>-19483</v>
      </c>
      <c r="V748" s="721">
        <v>284573</v>
      </c>
    </row>
    <row r="749" spans="1:22" x14ac:dyDescent="0.25">
      <c r="A749" s="715">
        <v>98107</v>
      </c>
      <c r="B749" s="716" t="s">
        <v>3281</v>
      </c>
      <c r="C749" s="717">
        <v>1.08E-5</v>
      </c>
      <c r="D749" s="717">
        <v>1.15E-5</v>
      </c>
      <c r="E749" s="718">
        <v>8652</v>
      </c>
      <c r="F749" s="718">
        <v>5161</v>
      </c>
      <c r="G749" s="718">
        <v>22921</v>
      </c>
      <c r="H749" s="718"/>
      <c r="I749" s="719">
        <v>430.65</v>
      </c>
      <c r="J749" s="719">
        <v>20086</v>
      </c>
      <c r="K749" s="719">
        <v>1570</v>
      </c>
      <c r="L749" s="718">
        <v>7420</v>
      </c>
      <c r="M749" s="718"/>
      <c r="N749" s="719">
        <v>803</v>
      </c>
      <c r="O749" s="719">
        <v>7414</v>
      </c>
      <c r="P749" s="719">
        <v>0</v>
      </c>
      <c r="Q749" s="718">
        <v>0</v>
      </c>
      <c r="R749" s="719">
        <f t="shared" si="11"/>
        <v>12672</v>
      </c>
      <c r="S749" s="718"/>
      <c r="T749" s="719">
        <v>6127</v>
      </c>
      <c r="U749" s="721">
        <v>2610</v>
      </c>
      <c r="V749" s="721">
        <v>8737</v>
      </c>
    </row>
    <row r="750" spans="1:22" x14ac:dyDescent="0.25">
      <c r="A750" s="715">
        <v>98109</v>
      </c>
      <c r="B750" s="716" t="s">
        <v>3282</v>
      </c>
      <c r="C750" s="717">
        <v>1.4660000000000001E-4</v>
      </c>
      <c r="D750" s="717">
        <v>2.0680000000000001E-4</v>
      </c>
      <c r="E750" s="718">
        <v>66395.14</v>
      </c>
      <c r="F750" s="718">
        <v>92811</v>
      </c>
      <c r="G750" s="718">
        <v>311134</v>
      </c>
      <c r="H750" s="718"/>
      <c r="I750" s="719">
        <v>5846</v>
      </c>
      <c r="J750" s="719">
        <v>272653</v>
      </c>
      <c r="K750" s="719">
        <v>21310</v>
      </c>
      <c r="L750" s="718">
        <v>3018</v>
      </c>
      <c r="M750" s="718"/>
      <c r="N750" s="719">
        <v>10902</v>
      </c>
      <c r="O750" s="719">
        <v>100635</v>
      </c>
      <c r="P750" s="719">
        <v>0</v>
      </c>
      <c r="Q750" s="718">
        <v>35765</v>
      </c>
      <c r="R750" s="719">
        <f t="shared" si="11"/>
        <v>172018</v>
      </c>
      <c r="S750" s="718"/>
      <c r="T750" s="719">
        <v>83162</v>
      </c>
      <c r="U750" s="721">
        <v>-10144</v>
      </c>
      <c r="V750" s="721">
        <v>73018</v>
      </c>
    </row>
    <row r="751" spans="1:22" x14ac:dyDescent="0.25">
      <c r="A751" s="715">
        <v>98111</v>
      </c>
      <c r="B751" s="716" t="s">
        <v>3283</v>
      </c>
      <c r="C751" s="717">
        <v>1.0191E-3</v>
      </c>
      <c r="D751" s="717">
        <v>1.0443E-3</v>
      </c>
      <c r="E751" s="718">
        <v>380231</v>
      </c>
      <c r="F751" s="718">
        <v>468676</v>
      </c>
      <c r="G751" s="718">
        <v>2162872</v>
      </c>
      <c r="H751" s="718"/>
      <c r="I751" s="719">
        <v>40637</v>
      </c>
      <c r="J751" s="719">
        <v>1895365</v>
      </c>
      <c r="K751" s="719">
        <v>148137</v>
      </c>
      <c r="L751" s="718">
        <v>0</v>
      </c>
      <c r="M751" s="718"/>
      <c r="N751" s="719">
        <v>75789</v>
      </c>
      <c r="O751" s="719">
        <v>699569</v>
      </c>
      <c r="P751" s="719">
        <v>0</v>
      </c>
      <c r="Q751" s="718">
        <v>50975</v>
      </c>
      <c r="R751" s="719">
        <f t="shared" si="11"/>
        <v>1195796</v>
      </c>
      <c r="S751" s="718"/>
      <c r="T751" s="719">
        <v>578104</v>
      </c>
      <c r="U751" s="721">
        <v>-14078</v>
      </c>
      <c r="V751" s="721">
        <v>564026</v>
      </c>
    </row>
    <row r="752" spans="1:22" x14ac:dyDescent="0.25">
      <c r="A752" s="715">
        <v>98113</v>
      </c>
      <c r="B752" s="716" t="s">
        <v>3284</v>
      </c>
      <c r="C752" s="717">
        <v>3.8999999999999999E-5</v>
      </c>
      <c r="D752" s="717">
        <v>4.1399999999999997E-5</v>
      </c>
      <c r="E752" s="718">
        <v>20070.23</v>
      </c>
      <c r="F752" s="718">
        <v>18580</v>
      </c>
      <c r="G752" s="718">
        <v>82771</v>
      </c>
      <c r="H752" s="718"/>
      <c r="I752" s="719">
        <v>1555.125</v>
      </c>
      <c r="J752" s="719">
        <v>72534</v>
      </c>
      <c r="K752" s="719">
        <v>5669</v>
      </c>
      <c r="L752" s="718">
        <v>8069</v>
      </c>
      <c r="M752" s="718"/>
      <c r="N752" s="719">
        <v>2900</v>
      </c>
      <c r="O752" s="719">
        <v>26772</v>
      </c>
      <c r="P752" s="719">
        <v>0</v>
      </c>
      <c r="Q752" s="718">
        <v>0</v>
      </c>
      <c r="R752" s="719">
        <f t="shared" si="11"/>
        <v>45762</v>
      </c>
      <c r="S752" s="718"/>
      <c r="T752" s="719">
        <v>22123</v>
      </c>
      <c r="U752" s="721">
        <v>2983</v>
      </c>
      <c r="V752" s="721">
        <v>25107</v>
      </c>
    </row>
    <row r="753" spans="1:22" x14ac:dyDescent="0.25">
      <c r="A753" s="715">
        <v>98121</v>
      </c>
      <c r="B753" s="716" t="s">
        <v>3285</v>
      </c>
      <c r="C753" s="717">
        <v>2.2910000000000001E-4</v>
      </c>
      <c r="D753" s="717">
        <v>2.0689999999999999E-4</v>
      </c>
      <c r="E753" s="718">
        <v>79942.31</v>
      </c>
      <c r="F753" s="718">
        <v>92855</v>
      </c>
      <c r="G753" s="718">
        <v>486227</v>
      </c>
      <c r="H753" s="718"/>
      <c r="I753" s="719">
        <v>9135</v>
      </c>
      <c r="J753" s="719">
        <v>426090</v>
      </c>
      <c r="K753" s="719">
        <v>33302</v>
      </c>
      <c r="L753" s="718">
        <v>3951</v>
      </c>
      <c r="M753" s="718"/>
      <c r="N753" s="719">
        <v>17038</v>
      </c>
      <c r="O753" s="719">
        <v>157268</v>
      </c>
      <c r="P753" s="719">
        <v>0</v>
      </c>
      <c r="Q753" s="718">
        <v>6313</v>
      </c>
      <c r="R753" s="719">
        <f t="shared" si="11"/>
        <v>268822</v>
      </c>
      <c r="S753" s="718"/>
      <c r="T753" s="719">
        <v>129961</v>
      </c>
      <c r="U753" s="721">
        <v>-421</v>
      </c>
      <c r="V753" s="721">
        <v>129540</v>
      </c>
    </row>
    <row r="754" spans="1:22" x14ac:dyDescent="0.25">
      <c r="A754" s="715">
        <v>98131</v>
      </c>
      <c r="B754" s="716" t="s">
        <v>3286</v>
      </c>
      <c r="C754" s="717">
        <v>2.9569999999999998E-4</v>
      </c>
      <c r="D754" s="717">
        <v>3.0610000000000001E-4</v>
      </c>
      <c r="E754" s="718">
        <v>112056</v>
      </c>
      <c r="F754" s="718">
        <v>137376</v>
      </c>
      <c r="G754" s="718">
        <v>627574</v>
      </c>
      <c r="H754" s="718"/>
      <c r="I754" s="719">
        <v>11791</v>
      </c>
      <c r="J754" s="719">
        <v>549955</v>
      </c>
      <c r="K754" s="719">
        <v>42983</v>
      </c>
      <c r="L754" s="718">
        <v>0</v>
      </c>
      <c r="M754" s="718"/>
      <c r="N754" s="719">
        <v>21991</v>
      </c>
      <c r="O754" s="719">
        <v>202986</v>
      </c>
      <c r="P754" s="719">
        <v>0</v>
      </c>
      <c r="Q754" s="718">
        <v>44899</v>
      </c>
      <c r="R754" s="719">
        <f t="shared" si="11"/>
        <v>346969</v>
      </c>
      <c r="S754" s="718"/>
      <c r="T754" s="719">
        <v>167741</v>
      </c>
      <c r="U754" s="721">
        <v>-17153</v>
      </c>
      <c r="V754" s="721">
        <v>150589</v>
      </c>
    </row>
    <row r="755" spans="1:22" x14ac:dyDescent="0.25">
      <c r="A755" s="715">
        <v>98141</v>
      </c>
      <c r="B755" s="716" t="s">
        <v>3287</v>
      </c>
      <c r="C755" s="717">
        <v>2.9030000000000001E-4</v>
      </c>
      <c r="D755" s="717">
        <v>3.033E-4</v>
      </c>
      <c r="E755" s="718">
        <v>104128</v>
      </c>
      <c r="F755" s="718">
        <v>136119</v>
      </c>
      <c r="G755" s="718">
        <v>616114</v>
      </c>
      <c r="H755" s="718"/>
      <c r="I755" s="719">
        <v>11576</v>
      </c>
      <c r="J755" s="719">
        <v>539912</v>
      </c>
      <c r="K755" s="719">
        <v>42198</v>
      </c>
      <c r="L755" s="718">
        <v>1495</v>
      </c>
      <c r="M755" s="718"/>
      <c r="N755" s="719">
        <v>21589</v>
      </c>
      <c r="O755" s="719">
        <v>199279</v>
      </c>
      <c r="P755" s="719">
        <v>0</v>
      </c>
      <c r="Q755" s="718">
        <v>35601</v>
      </c>
      <c r="R755" s="719">
        <f t="shared" si="11"/>
        <v>340633</v>
      </c>
      <c r="S755" s="718"/>
      <c r="T755" s="719">
        <v>164678</v>
      </c>
      <c r="U755" s="721">
        <v>-12695</v>
      </c>
      <c r="V755" s="721">
        <v>151983</v>
      </c>
    </row>
    <row r="756" spans="1:22" x14ac:dyDescent="0.25">
      <c r="A756" s="715">
        <v>98147</v>
      </c>
      <c r="B756" s="716" t="s">
        <v>3288</v>
      </c>
      <c r="C756" s="717">
        <v>1.29E-5</v>
      </c>
      <c r="D756" s="717">
        <v>1.03E-5</v>
      </c>
      <c r="E756" s="718">
        <v>8826</v>
      </c>
      <c r="F756" s="718">
        <v>4623</v>
      </c>
      <c r="G756" s="718">
        <v>27378</v>
      </c>
      <c r="H756" s="718"/>
      <c r="I756" s="719">
        <v>514</v>
      </c>
      <c r="J756" s="719">
        <v>23992</v>
      </c>
      <c r="K756" s="719">
        <v>1875</v>
      </c>
      <c r="L756" s="718">
        <v>7556</v>
      </c>
      <c r="M756" s="718"/>
      <c r="N756" s="719">
        <v>959</v>
      </c>
      <c r="O756" s="719">
        <v>8855</v>
      </c>
      <c r="P756" s="719">
        <v>0</v>
      </c>
      <c r="Q756" s="718">
        <v>0</v>
      </c>
      <c r="R756" s="719">
        <f t="shared" si="11"/>
        <v>15137</v>
      </c>
      <c r="S756" s="718"/>
      <c r="T756" s="719">
        <v>7318</v>
      </c>
      <c r="U756" s="721">
        <v>2501</v>
      </c>
      <c r="V756" s="721">
        <v>9819</v>
      </c>
    </row>
    <row r="757" spans="1:22" x14ac:dyDescent="0.25">
      <c r="A757" s="715">
        <v>98161</v>
      </c>
      <c r="B757" s="716" t="s">
        <v>3289</v>
      </c>
      <c r="C757" s="717">
        <v>7.4000000000000003E-6</v>
      </c>
      <c r="D757" s="717">
        <v>7.6000000000000001E-6</v>
      </c>
      <c r="E757" s="718">
        <v>4425</v>
      </c>
      <c r="F757" s="718">
        <v>3411</v>
      </c>
      <c r="G757" s="718">
        <v>15705</v>
      </c>
      <c r="H757" s="718"/>
      <c r="I757" s="719">
        <v>295.07499999999999</v>
      </c>
      <c r="J757" s="719">
        <v>13763</v>
      </c>
      <c r="K757" s="719">
        <v>1076</v>
      </c>
      <c r="L757" s="718">
        <v>2152</v>
      </c>
      <c r="M757" s="718"/>
      <c r="N757" s="719">
        <v>550</v>
      </c>
      <c r="O757" s="719">
        <v>5080</v>
      </c>
      <c r="P757" s="719">
        <v>0</v>
      </c>
      <c r="Q757" s="718">
        <v>0</v>
      </c>
      <c r="R757" s="719">
        <f t="shared" si="11"/>
        <v>8683</v>
      </c>
      <c r="S757" s="718"/>
      <c r="T757" s="719">
        <v>4198</v>
      </c>
      <c r="U757" s="721">
        <v>752</v>
      </c>
      <c r="V757" s="721">
        <v>4950</v>
      </c>
    </row>
    <row r="758" spans="1:22" x14ac:dyDescent="0.25">
      <c r="A758" s="715">
        <v>98201</v>
      </c>
      <c r="B758" s="716" t="s">
        <v>3290</v>
      </c>
      <c r="C758" s="717">
        <v>3.0368999999999999E-3</v>
      </c>
      <c r="D758" s="717">
        <v>3.0019999999999999E-3</v>
      </c>
      <c r="E758" s="718">
        <v>1202574.5</v>
      </c>
      <c r="F758" s="718">
        <v>1347280</v>
      </c>
      <c r="G758" s="718">
        <v>6445319</v>
      </c>
      <c r="H758" s="718"/>
      <c r="I758" s="719">
        <v>121096</v>
      </c>
      <c r="J758" s="719">
        <v>5648154</v>
      </c>
      <c r="K758" s="719">
        <v>441447</v>
      </c>
      <c r="L758" s="718">
        <v>0</v>
      </c>
      <c r="M758" s="718"/>
      <c r="N758" s="719">
        <v>225851</v>
      </c>
      <c r="O758" s="719">
        <v>2084704</v>
      </c>
      <c r="P758" s="719">
        <v>0</v>
      </c>
      <c r="Q758" s="718">
        <v>60876</v>
      </c>
      <c r="R758" s="719">
        <f t="shared" si="11"/>
        <v>3563450</v>
      </c>
      <c r="S758" s="718"/>
      <c r="T758" s="719">
        <v>1722739</v>
      </c>
      <c r="U758" s="721">
        <v>-21268</v>
      </c>
      <c r="V758" s="721">
        <v>1701471</v>
      </c>
    </row>
    <row r="759" spans="1:22" x14ac:dyDescent="0.25">
      <c r="A759" s="715">
        <v>98205</v>
      </c>
      <c r="B759" s="716" t="s">
        <v>3291</v>
      </c>
      <c r="C759" s="717">
        <v>5.13E-5</v>
      </c>
      <c r="D759" s="717">
        <v>5.02E-5</v>
      </c>
      <c r="E759" s="718">
        <v>23400</v>
      </c>
      <c r="F759" s="718">
        <v>22529</v>
      </c>
      <c r="G759" s="718">
        <v>108876</v>
      </c>
      <c r="H759" s="718"/>
      <c r="I759" s="719">
        <v>2046</v>
      </c>
      <c r="J759" s="719">
        <v>95410</v>
      </c>
      <c r="K759" s="719">
        <v>7457</v>
      </c>
      <c r="L759" s="718">
        <v>2803</v>
      </c>
      <c r="M759" s="718"/>
      <c r="N759" s="719">
        <v>3815</v>
      </c>
      <c r="O759" s="719">
        <v>35215</v>
      </c>
      <c r="P759" s="719">
        <v>0</v>
      </c>
      <c r="Q759" s="718">
        <v>1718</v>
      </c>
      <c r="R759" s="719">
        <f t="shared" si="11"/>
        <v>60195</v>
      </c>
      <c r="S759" s="718"/>
      <c r="T759" s="719">
        <v>29101</v>
      </c>
      <c r="U759" s="721">
        <v>209</v>
      </c>
      <c r="V759" s="721">
        <v>29310</v>
      </c>
    </row>
    <row r="760" spans="1:22" x14ac:dyDescent="0.25">
      <c r="A760" s="715">
        <v>98211</v>
      </c>
      <c r="B760" s="716" t="s">
        <v>3292</v>
      </c>
      <c r="C760" s="717">
        <v>9.1609999999999999E-4</v>
      </c>
      <c r="D760" s="717">
        <v>9.4729999999999999E-4</v>
      </c>
      <c r="E760" s="718">
        <v>316266.55</v>
      </c>
      <c r="F760" s="718">
        <v>425143</v>
      </c>
      <c r="G760" s="718">
        <v>1944271</v>
      </c>
      <c r="H760" s="718"/>
      <c r="I760" s="719">
        <v>36529</v>
      </c>
      <c r="J760" s="719">
        <v>1703801</v>
      </c>
      <c r="K760" s="719">
        <v>133165</v>
      </c>
      <c r="L760" s="718">
        <v>0</v>
      </c>
      <c r="M760" s="718"/>
      <c r="N760" s="719">
        <v>68129</v>
      </c>
      <c r="O760" s="719">
        <v>628864</v>
      </c>
      <c r="P760" s="719">
        <v>0</v>
      </c>
      <c r="Q760" s="718">
        <v>112970</v>
      </c>
      <c r="R760" s="719">
        <f t="shared" si="11"/>
        <v>1074937</v>
      </c>
      <c r="S760" s="718"/>
      <c r="T760" s="719">
        <v>519675</v>
      </c>
      <c r="U760" s="721">
        <v>-35337</v>
      </c>
      <c r="V760" s="721">
        <v>484338</v>
      </c>
    </row>
    <row r="761" spans="1:22" x14ac:dyDescent="0.25">
      <c r="A761" s="715">
        <v>98218</v>
      </c>
      <c r="B761" s="716" t="s">
        <v>3293</v>
      </c>
      <c r="C761" s="717">
        <v>1.0200000000000001E-5</v>
      </c>
      <c r="D761" s="717">
        <v>1.08E-5</v>
      </c>
      <c r="E761" s="718">
        <v>4407.67</v>
      </c>
      <c r="F761" s="718">
        <v>4847</v>
      </c>
      <c r="G761" s="718">
        <v>21648</v>
      </c>
      <c r="H761" s="718"/>
      <c r="I761" s="719">
        <v>406.72500000000002</v>
      </c>
      <c r="J761" s="719">
        <v>18970</v>
      </c>
      <c r="K761" s="719">
        <v>1483</v>
      </c>
      <c r="L761" s="718">
        <v>0</v>
      </c>
      <c r="M761" s="718"/>
      <c r="N761" s="719">
        <v>759</v>
      </c>
      <c r="O761" s="719">
        <v>7002</v>
      </c>
      <c r="P761" s="719">
        <v>0</v>
      </c>
      <c r="Q761" s="718">
        <v>1864</v>
      </c>
      <c r="R761" s="719">
        <f t="shared" si="11"/>
        <v>11968</v>
      </c>
      <c r="S761" s="718"/>
      <c r="T761" s="719">
        <v>5786</v>
      </c>
      <c r="U761" s="721">
        <v>-792</v>
      </c>
      <c r="V761" s="721">
        <v>4994</v>
      </c>
    </row>
    <row r="762" spans="1:22" x14ac:dyDescent="0.25">
      <c r="A762" s="715">
        <v>98221</v>
      </c>
      <c r="B762" s="716" t="s">
        <v>3294</v>
      </c>
      <c r="C762" s="717">
        <v>1.6799999999999998E-5</v>
      </c>
      <c r="D762" s="717">
        <v>1.5999999999999999E-5</v>
      </c>
      <c r="E762" s="718">
        <v>9584.15</v>
      </c>
      <c r="F762" s="718">
        <v>7181</v>
      </c>
      <c r="G762" s="718">
        <v>35655</v>
      </c>
      <c r="H762" s="718"/>
      <c r="I762" s="719">
        <v>669.9</v>
      </c>
      <c r="J762" s="719">
        <v>31245</v>
      </c>
      <c r="K762" s="719">
        <v>2442</v>
      </c>
      <c r="L762" s="718">
        <v>3240</v>
      </c>
      <c r="M762" s="718"/>
      <c r="N762" s="719">
        <v>1249</v>
      </c>
      <c r="O762" s="719">
        <v>11532</v>
      </c>
      <c r="P762" s="719">
        <v>0</v>
      </c>
      <c r="Q762" s="718">
        <v>0</v>
      </c>
      <c r="R762" s="719">
        <f t="shared" si="11"/>
        <v>19713</v>
      </c>
      <c r="S762" s="718"/>
      <c r="T762" s="719">
        <v>9530</v>
      </c>
      <c r="U762" s="721">
        <v>905</v>
      </c>
      <c r="V762" s="721">
        <v>10435</v>
      </c>
    </row>
    <row r="763" spans="1:22" x14ac:dyDescent="0.25">
      <c r="A763" s="715">
        <v>98231</v>
      </c>
      <c r="B763" s="716" t="s">
        <v>3295</v>
      </c>
      <c r="C763" s="717">
        <v>3.1999999999999999E-5</v>
      </c>
      <c r="D763" s="717">
        <v>3.7400000000000001E-5</v>
      </c>
      <c r="E763" s="718">
        <v>13931.16</v>
      </c>
      <c r="F763" s="718">
        <v>16785</v>
      </c>
      <c r="G763" s="718">
        <v>67914.720000000001</v>
      </c>
      <c r="H763" s="718"/>
      <c r="I763" s="719">
        <v>1276</v>
      </c>
      <c r="J763" s="719">
        <v>59515</v>
      </c>
      <c r="K763" s="719">
        <v>4652</v>
      </c>
      <c r="L763" s="718">
        <v>2641</v>
      </c>
      <c r="M763" s="718"/>
      <c r="N763" s="719">
        <v>2380</v>
      </c>
      <c r="O763" s="719">
        <v>21967</v>
      </c>
      <c r="P763" s="719">
        <v>0</v>
      </c>
      <c r="Q763" s="718">
        <v>7471</v>
      </c>
      <c r="R763" s="719">
        <f t="shared" si="11"/>
        <v>37548</v>
      </c>
      <c r="S763" s="718"/>
      <c r="T763" s="719">
        <v>18153</v>
      </c>
      <c r="U763" s="721">
        <v>-2254</v>
      </c>
      <c r="V763" s="721">
        <v>15898</v>
      </c>
    </row>
    <row r="764" spans="1:22" x14ac:dyDescent="0.25">
      <c r="A764" s="715">
        <v>98237</v>
      </c>
      <c r="B764" s="716" t="s">
        <v>3296</v>
      </c>
      <c r="C764" s="717">
        <v>2.7E-6</v>
      </c>
      <c r="D764" s="717">
        <v>2.9000000000000002E-6</v>
      </c>
      <c r="E764" s="718">
        <v>2767</v>
      </c>
      <c r="F764" s="718">
        <v>1302</v>
      </c>
      <c r="G764" s="718">
        <v>5730</v>
      </c>
      <c r="H764" s="718"/>
      <c r="I764" s="719">
        <v>107.66249999999999</v>
      </c>
      <c r="J764" s="719">
        <v>5022</v>
      </c>
      <c r="K764" s="719">
        <v>392</v>
      </c>
      <c r="L764" s="718">
        <v>2342</v>
      </c>
      <c r="M764" s="718"/>
      <c r="N764" s="719">
        <v>201</v>
      </c>
      <c r="O764" s="719">
        <v>1853</v>
      </c>
      <c r="P764" s="719">
        <v>0</v>
      </c>
      <c r="Q764" s="718">
        <v>0</v>
      </c>
      <c r="R764" s="719">
        <f t="shared" si="11"/>
        <v>3169</v>
      </c>
      <c r="S764" s="718"/>
      <c r="T764" s="719">
        <v>1532</v>
      </c>
      <c r="U764" s="721">
        <v>795</v>
      </c>
      <c r="V764" s="721">
        <v>2326</v>
      </c>
    </row>
    <row r="765" spans="1:22" x14ac:dyDescent="0.25">
      <c r="A765" s="715">
        <v>98241</v>
      </c>
      <c r="B765" s="716" t="s">
        <v>3297</v>
      </c>
      <c r="C765" s="717">
        <v>1.98E-5</v>
      </c>
      <c r="D765" s="717">
        <v>1.0200000000000001E-5</v>
      </c>
      <c r="E765" s="718">
        <v>7741</v>
      </c>
      <c r="F765" s="718">
        <v>4578</v>
      </c>
      <c r="G765" s="718">
        <v>42022</v>
      </c>
      <c r="H765" s="718"/>
      <c r="I765" s="719">
        <v>789.52499999999998</v>
      </c>
      <c r="J765" s="719">
        <v>36825</v>
      </c>
      <c r="K765" s="719">
        <v>2878</v>
      </c>
      <c r="L765" s="718">
        <v>8690</v>
      </c>
      <c r="M765" s="718"/>
      <c r="N765" s="719">
        <v>1473</v>
      </c>
      <c r="O765" s="719">
        <v>13592</v>
      </c>
      <c r="P765" s="719">
        <v>0</v>
      </c>
      <c r="Q765" s="718">
        <v>331</v>
      </c>
      <c r="R765" s="719">
        <f t="shared" si="11"/>
        <v>23233</v>
      </c>
      <c r="S765" s="718"/>
      <c r="T765" s="719">
        <v>11232</v>
      </c>
      <c r="U765" s="721">
        <v>3061</v>
      </c>
      <c r="V765" s="721">
        <v>14293</v>
      </c>
    </row>
    <row r="766" spans="1:22" x14ac:dyDescent="0.25">
      <c r="A766" s="715">
        <v>98251</v>
      </c>
      <c r="B766" s="716" t="s">
        <v>3298</v>
      </c>
      <c r="C766" s="717">
        <v>3.1E-6</v>
      </c>
      <c r="D766" s="717">
        <v>3.1E-6</v>
      </c>
      <c r="E766" s="718">
        <v>1870</v>
      </c>
      <c r="F766" s="718">
        <v>1391</v>
      </c>
      <c r="G766" s="718">
        <v>6579</v>
      </c>
      <c r="H766" s="718"/>
      <c r="I766" s="719">
        <v>123.6125</v>
      </c>
      <c r="J766" s="719">
        <v>5766</v>
      </c>
      <c r="K766" s="719">
        <v>451</v>
      </c>
      <c r="L766" s="718">
        <v>1191</v>
      </c>
      <c r="M766" s="718"/>
      <c r="N766" s="719">
        <v>231</v>
      </c>
      <c r="O766" s="719">
        <v>2128</v>
      </c>
      <c r="P766" s="719">
        <v>0</v>
      </c>
      <c r="Q766" s="718">
        <v>0</v>
      </c>
      <c r="R766" s="719">
        <f t="shared" si="11"/>
        <v>3638</v>
      </c>
      <c r="S766" s="718"/>
      <c r="T766" s="719">
        <v>1759</v>
      </c>
      <c r="U766" s="721">
        <v>412</v>
      </c>
      <c r="V766" s="721">
        <v>2171</v>
      </c>
    </row>
    <row r="767" spans="1:22" x14ac:dyDescent="0.25">
      <c r="A767" s="715">
        <v>98261</v>
      </c>
      <c r="B767" s="716" t="s">
        <v>3299</v>
      </c>
      <c r="C767" s="717">
        <v>2.97E-5</v>
      </c>
      <c r="D767" s="717">
        <v>4.3099999999999997E-5</v>
      </c>
      <c r="E767" s="718">
        <v>12989.23</v>
      </c>
      <c r="F767" s="718">
        <v>19343</v>
      </c>
      <c r="G767" s="718">
        <v>63033</v>
      </c>
      <c r="H767" s="718"/>
      <c r="I767" s="719">
        <v>1184</v>
      </c>
      <c r="J767" s="719">
        <v>55237</v>
      </c>
      <c r="K767" s="719">
        <v>4317</v>
      </c>
      <c r="L767" s="718">
        <v>4504</v>
      </c>
      <c r="M767" s="718"/>
      <c r="N767" s="719">
        <v>2209</v>
      </c>
      <c r="O767" s="719">
        <v>20388</v>
      </c>
      <c r="P767" s="719">
        <v>0</v>
      </c>
      <c r="Q767" s="718">
        <v>6643</v>
      </c>
      <c r="R767" s="719">
        <f t="shared" si="11"/>
        <v>34849</v>
      </c>
      <c r="S767" s="718"/>
      <c r="T767" s="719">
        <v>16848</v>
      </c>
      <c r="U767" s="721">
        <v>-118</v>
      </c>
      <c r="V767" s="721">
        <v>16730</v>
      </c>
    </row>
    <row r="768" spans="1:22" x14ac:dyDescent="0.25">
      <c r="A768" s="715">
        <v>98271</v>
      </c>
      <c r="B768" s="716" t="s">
        <v>3300</v>
      </c>
      <c r="C768" s="717">
        <v>4.5000000000000001E-6</v>
      </c>
      <c r="D768" s="717">
        <v>3.4000000000000001E-6</v>
      </c>
      <c r="E768" s="718">
        <v>3055</v>
      </c>
      <c r="F768" s="718">
        <v>1526</v>
      </c>
      <c r="G768" s="718">
        <v>9551</v>
      </c>
      <c r="H768" s="718"/>
      <c r="I768" s="719">
        <v>179.4375</v>
      </c>
      <c r="J768" s="719">
        <v>8369</v>
      </c>
      <c r="K768" s="719">
        <v>654</v>
      </c>
      <c r="L768" s="718">
        <v>3951</v>
      </c>
      <c r="M768" s="718"/>
      <c r="N768" s="719">
        <v>335</v>
      </c>
      <c r="O768" s="719">
        <v>3089</v>
      </c>
      <c r="P768" s="719">
        <v>0</v>
      </c>
      <c r="Q768" s="718">
        <v>0</v>
      </c>
      <c r="R768" s="719">
        <f t="shared" si="11"/>
        <v>5280</v>
      </c>
      <c r="S768" s="718"/>
      <c r="T768" s="719">
        <v>2553</v>
      </c>
      <c r="U768" s="721">
        <v>1392</v>
      </c>
      <c r="V768" s="721">
        <v>3945</v>
      </c>
    </row>
    <row r="769" spans="1:22" x14ac:dyDescent="0.25">
      <c r="A769" s="715">
        <v>98301</v>
      </c>
      <c r="B769" s="716" t="s">
        <v>3301</v>
      </c>
      <c r="C769" s="717">
        <v>1.7776999999999999E-3</v>
      </c>
      <c r="D769" s="717">
        <v>1.7478999999999999E-3</v>
      </c>
      <c r="E769" s="718">
        <v>735954</v>
      </c>
      <c r="F769" s="718">
        <v>784447</v>
      </c>
      <c r="G769" s="718">
        <v>3772875</v>
      </c>
      <c r="H769" s="718"/>
      <c r="I769" s="719">
        <v>70886</v>
      </c>
      <c r="J769" s="719">
        <v>3306241</v>
      </c>
      <c r="K769" s="719">
        <v>258408</v>
      </c>
      <c r="L769" s="718">
        <v>76085</v>
      </c>
      <c r="M769" s="718"/>
      <c r="N769" s="719">
        <v>132206</v>
      </c>
      <c r="O769" s="719">
        <v>1220316</v>
      </c>
      <c r="P769" s="719">
        <v>0</v>
      </c>
      <c r="Q769" s="718">
        <v>15711</v>
      </c>
      <c r="R769" s="719">
        <f t="shared" si="11"/>
        <v>2085925</v>
      </c>
      <c r="S769" s="718"/>
      <c r="T769" s="719">
        <v>1008434</v>
      </c>
      <c r="U769" s="721">
        <v>17172</v>
      </c>
      <c r="V769" s="721">
        <v>1025606</v>
      </c>
    </row>
    <row r="770" spans="1:22" x14ac:dyDescent="0.25">
      <c r="A770" s="715">
        <v>98304</v>
      </c>
      <c r="B770" s="716" t="s">
        <v>3302</v>
      </c>
      <c r="C770" s="717">
        <v>2.2900000000000001E-5</v>
      </c>
      <c r="D770" s="717">
        <v>2.4499999999999999E-5</v>
      </c>
      <c r="E770" s="718">
        <v>11386</v>
      </c>
      <c r="F770" s="718">
        <v>10995</v>
      </c>
      <c r="G770" s="718">
        <v>48601</v>
      </c>
      <c r="H770" s="718"/>
      <c r="I770" s="719">
        <v>913.13750000000005</v>
      </c>
      <c r="J770" s="719">
        <v>42590</v>
      </c>
      <c r="K770" s="719">
        <v>3329</v>
      </c>
      <c r="L770" s="718">
        <v>1590</v>
      </c>
      <c r="M770" s="718"/>
      <c r="N770" s="719">
        <v>1703</v>
      </c>
      <c r="O770" s="719">
        <v>15720</v>
      </c>
      <c r="P770" s="719">
        <v>0</v>
      </c>
      <c r="Q770" s="718">
        <v>0</v>
      </c>
      <c r="R770" s="719">
        <f t="shared" si="11"/>
        <v>26870</v>
      </c>
      <c r="S770" s="718"/>
      <c r="T770" s="719">
        <v>12990</v>
      </c>
      <c r="U770" s="721">
        <v>514</v>
      </c>
      <c r="V770" s="721">
        <v>13504</v>
      </c>
    </row>
    <row r="771" spans="1:22" x14ac:dyDescent="0.25">
      <c r="A771" s="715">
        <v>98308</v>
      </c>
      <c r="B771" s="716" t="s">
        <v>3303</v>
      </c>
      <c r="C771" s="717">
        <v>2.55E-5</v>
      </c>
      <c r="D771" s="717">
        <v>2.5000000000000001E-5</v>
      </c>
      <c r="E771" s="718">
        <v>13855</v>
      </c>
      <c r="F771" s="718">
        <v>11219.85</v>
      </c>
      <c r="G771" s="718">
        <v>54120</v>
      </c>
      <c r="H771" s="718"/>
      <c r="I771" s="719">
        <v>1016.8125</v>
      </c>
      <c r="J771" s="719">
        <v>47426</v>
      </c>
      <c r="K771" s="719">
        <v>3707</v>
      </c>
      <c r="L771" s="718">
        <v>7689</v>
      </c>
      <c r="M771" s="718"/>
      <c r="N771" s="719">
        <v>1896</v>
      </c>
      <c r="O771" s="719">
        <v>17505</v>
      </c>
      <c r="P771" s="719">
        <v>0</v>
      </c>
      <c r="Q771" s="718">
        <v>0</v>
      </c>
      <c r="R771" s="719">
        <f t="shared" si="11"/>
        <v>29921</v>
      </c>
      <c r="S771" s="718"/>
      <c r="T771" s="719">
        <v>14465</v>
      </c>
      <c r="U771" s="721">
        <v>2796</v>
      </c>
      <c r="V771" s="721">
        <v>17261</v>
      </c>
    </row>
    <row r="772" spans="1:22" x14ac:dyDescent="0.25">
      <c r="A772" s="715">
        <v>98311</v>
      </c>
      <c r="B772" s="716" t="s">
        <v>3304</v>
      </c>
      <c r="C772" s="717">
        <v>1.1441999999999999E-3</v>
      </c>
      <c r="D772" s="717">
        <v>1.1704E-3</v>
      </c>
      <c r="E772" s="718">
        <v>413994</v>
      </c>
      <c r="F772" s="718">
        <v>525268</v>
      </c>
      <c r="G772" s="718">
        <v>2428376</v>
      </c>
      <c r="H772" s="718"/>
      <c r="I772" s="719">
        <v>45625</v>
      </c>
      <c r="J772" s="719">
        <v>2128031</v>
      </c>
      <c r="K772" s="719">
        <v>166322</v>
      </c>
      <c r="L772" s="718">
        <v>25434</v>
      </c>
      <c r="M772" s="718"/>
      <c r="N772" s="719">
        <v>85093</v>
      </c>
      <c r="O772" s="719">
        <v>785445</v>
      </c>
      <c r="P772" s="719">
        <v>0</v>
      </c>
      <c r="Q772" s="718">
        <v>70361</v>
      </c>
      <c r="R772" s="719">
        <f t="shared" si="11"/>
        <v>1342586</v>
      </c>
      <c r="S772" s="718"/>
      <c r="T772" s="719">
        <v>649069</v>
      </c>
      <c r="U772" s="721">
        <v>-6523</v>
      </c>
      <c r="V772" s="721">
        <v>642547</v>
      </c>
    </row>
    <row r="773" spans="1:22" x14ac:dyDescent="0.25">
      <c r="A773" s="715">
        <v>98313</v>
      </c>
      <c r="B773" s="716" t="s">
        <v>3305</v>
      </c>
      <c r="C773" s="717">
        <v>2.4240000000000001E-4</v>
      </c>
      <c r="D773" s="717">
        <v>2.3589999999999999E-4</v>
      </c>
      <c r="E773" s="718">
        <v>227095.51</v>
      </c>
      <c r="F773" s="718">
        <v>105871</v>
      </c>
      <c r="G773" s="718">
        <v>514454</v>
      </c>
      <c r="H773" s="718"/>
      <c r="I773" s="719">
        <v>9666</v>
      </c>
      <c r="J773" s="719">
        <v>450826</v>
      </c>
      <c r="K773" s="719">
        <v>35236</v>
      </c>
      <c r="L773" s="718">
        <v>166298</v>
      </c>
      <c r="M773" s="718"/>
      <c r="N773" s="719">
        <v>18027</v>
      </c>
      <c r="O773" s="719">
        <v>166397</v>
      </c>
      <c r="P773" s="719">
        <v>0</v>
      </c>
      <c r="Q773" s="718">
        <v>119.4</v>
      </c>
      <c r="R773" s="719">
        <f t="shared" si="11"/>
        <v>284429</v>
      </c>
      <c r="S773" s="718"/>
      <c r="T773" s="719">
        <v>137506</v>
      </c>
      <c r="U773" s="721">
        <v>48906</v>
      </c>
      <c r="V773" s="721">
        <v>186412</v>
      </c>
    </row>
    <row r="774" spans="1:22" x14ac:dyDescent="0.25">
      <c r="A774" s="715">
        <v>98321</v>
      </c>
      <c r="B774" s="716" t="s">
        <v>3306</v>
      </c>
      <c r="C774" s="717">
        <v>2.1399999999999998E-5</v>
      </c>
      <c r="D774" s="717">
        <v>2.9E-5</v>
      </c>
      <c r="E774" s="718">
        <v>9180.25</v>
      </c>
      <c r="F774" s="718">
        <v>13015</v>
      </c>
      <c r="G774" s="718">
        <v>45418</v>
      </c>
      <c r="H774" s="718"/>
      <c r="I774" s="719">
        <v>853</v>
      </c>
      <c r="J774" s="719">
        <v>39801</v>
      </c>
      <c r="K774" s="719">
        <v>3111</v>
      </c>
      <c r="L774" s="718">
        <v>3126</v>
      </c>
      <c r="M774" s="718"/>
      <c r="N774" s="719">
        <v>1591</v>
      </c>
      <c r="O774" s="719">
        <v>14690</v>
      </c>
      <c r="P774" s="719">
        <v>0</v>
      </c>
      <c r="Q774" s="718">
        <v>4186</v>
      </c>
      <c r="R774" s="719">
        <f t="shared" si="11"/>
        <v>25111</v>
      </c>
      <c r="S774" s="718"/>
      <c r="T774" s="719">
        <v>12140</v>
      </c>
      <c r="U774" s="721">
        <v>451</v>
      </c>
      <c r="V774" s="721">
        <v>12591</v>
      </c>
    </row>
    <row r="775" spans="1:22" x14ac:dyDescent="0.25">
      <c r="A775" s="715">
        <v>98331</v>
      </c>
      <c r="B775" s="716" t="s">
        <v>3307</v>
      </c>
      <c r="C775" s="717">
        <v>1.03E-5</v>
      </c>
      <c r="D775" s="717">
        <v>9.7999999999999993E-6</v>
      </c>
      <c r="E775" s="718">
        <v>5903.22</v>
      </c>
      <c r="F775" s="718">
        <v>4398</v>
      </c>
      <c r="G775" s="718">
        <v>21860</v>
      </c>
      <c r="H775" s="718"/>
      <c r="I775" s="719">
        <v>410.71249999999998</v>
      </c>
      <c r="J775" s="719">
        <v>19156</v>
      </c>
      <c r="K775" s="719">
        <v>1497</v>
      </c>
      <c r="L775" s="718">
        <v>2778</v>
      </c>
      <c r="M775" s="718"/>
      <c r="N775" s="719">
        <v>766</v>
      </c>
      <c r="O775" s="719">
        <v>7071</v>
      </c>
      <c r="P775" s="719">
        <v>0</v>
      </c>
      <c r="Q775" s="718">
        <v>264.67</v>
      </c>
      <c r="R775" s="719">
        <f t="shared" ref="R775:R838" si="12">IF(J775&gt;O775,J775-O775,O775-J775)</f>
        <v>12085</v>
      </c>
      <c r="S775" s="718"/>
      <c r="T775" s="719">
        <v>5843</v>
      </c>
      <c r="U775" s="721">
        <v>700</v>
      </c>
      <c r="V775" s="721">
        <v>6542</v>
      </c>
    </row>
    <row r="776" spans="1:22" x14ac:dyDescent="0.25">
      <c r="A776" s="715">
        <v>98401</v>
      </c>
      <c r="B776" s="716" t="s">
        <v>3308</v>
      </c>
      <c r="C776" s="717">
        <v>2.7567999999999998E-3</v>
      </c>
      <c r="D776" s="717">
        <v>2.8057999999999998E-3</v>
      </c>
      <c r="E776" s="718">
        <v>1156444.24</v>
      </c>
      <c r="F776" s="718">
        <v>1259226</v>
      </c>
      <c r="G776" s="718">
        <v>5850853</v>
      </c>
      <c r="H776" s="718"/>
      <c r="I776" s="719">
        <v>109927.4</v>
      </c>
      <c r="J776" s="719">
        <v>5127212</v>
      </c>
      <c r="K776" s="719">
        <v>400731</v>
      </c>
      <c r="L776" s="718">
        <v>92083</v>
      </c>
      <c r="M776" s="718"/>
      <c r="N776" s="719">
        <v>205020</v>
      </c>
      <c r="O776" s="719">
        <v>1892427</v>
      </c>
      <c r="P776" s="719">
        <v>0</v>
      </c>
      <c r="Q776" s="718">
        <v>8491</v>
      </c>
      <c r="R776" s="719">
        <f t="shared" si="12"/>
        <v>3234785</v>
      </c>
      <c r="S776" s="718"/>
      <c r="T776" s="719">
        <v>1563847</v>
      </c>
      <c r="U776" s="721">
        <v>31358</v>
      </c>
      <c r="V776" s="721">
        <v>1595205</v>
      </c>
    </row>
    <row r="777" spans="1:22" x14ac:dyDescent="0.25">
      <c r="A777" s="715">
        <v>98411</v>
      </c>
      <c r="B777" s="716" t="s">
        <v>3309</v>
      </c>
      <c r="C777" s="717">
        <v>2.0076999999999998E-3</v>
      </c>
      <c r="D777" s="717">
        <v>1.9907000000000002E-3</v>
      </c>
      <c r="E777" s="718">
        <v>792048.89</v>
      </c>
      <c r="F777" s="718">
        <v>893414</v>
      </c>
      <c r="G777" s="718">
        <v>4261012</v>
      </c>
      <c r="H777" s="718"/>
      <c r="I777" s="719">
        <v>80057</v>
      </c>
      <c r="J777" s="719">
        <v>3734005</v>
      </c>
      <c r="K777" s="719">
        <v>291841</v>
      </c>
      <c r="L777" s="718">
        <v>8012</v>
      </c>
      <c r="M777" s="718"/>
      <c r="N777" s="719">
        <v>149311</v>
      </c>
      <c r="O777" s="719">
        <v>1378202</v>
      </c>
      <c r="P777" s="719">
        <v>0</v>
      </c>
      <c r="Q777" s="718">
        <v>35211</v>
      </c>
      <c r="R777" s="719">
        <f t="shared" si="12"/>
        <v>2355803</v>
      </c>
      <c r="S777" s="718"/>
      <c r="T777" s="719">
        <v>1138906</v>
      </c>
      <c r="U777" s="721">
        <v>-6790</v>
      </c>
      <c r="V777" s="721">
        <v>1132116</v>
      </c>
    </row>
    <row r="778" spans="1:22" x14ac:dyDescent="0.25">
      <c r="A778" s="715">
        <v>98417</v>
      </c>
      <c r="B778" s="716" t="s">
        <v>3310</v>
      </c>
      <c r="C778" s="717">
        <v>2.4899999999999999E-5</v>
      </c>
      <c r="D778" s="717">
        <v>2.6400000000000001E-5</v>
      </c>
      <c r="E778" s="718">
        <v>12734.51</v>
      </c>
      <c r="F778" s="718">
        <v>11848</v>
      </c>
      <c r="G778" s="718">
        <v>52846</v>
      </c>
      <c r="H778" s="718"/>
      <c r="I778" s="719">
        <v>993</v>
      </c>
      <c r="J778" s="719">
        <v>46310</v>
      </c>
      <c r="K778" s="719">
        <v>3619</v>
      </c>
      <c r="L778" s="718">
        <v>1318</v>
      </c>
      <c r="M778" s="718"/>
      <c r="N778" s="719">
        <v>1852</v>
      </c>
      <c r="O778" s="719">
        <v>17093</v>
      </c>
      <c r="P778" s="719">
        <v>0</v>
      </c>
      <c r="Q778" s="718">
        <v>852</v>
      </c>
      <c r="R778" s="719">
        <f t="shared" si="12"/>
        <v>29217</v>
      </c>
      <c r="S778" s="718"/>
      <c r="T778" s="719">
        <v>14125</v>
      </c>
      <c r="U778" s="721">
        <v>-72</v>
      </c>
      <c r="V778" s="721">
        <v>14053</v>
      </c>
    </row>
    <row r="779" spans="1:22" x14ac:dyDescent="0.25">
      <c r="A779" s="715">
        <v>98421</v>
      </c>
      <c r="B779" s="716" t="s">
        <v>3311</v>
      </c>
      <c r="C779" s="717">
        <v>1.0840000000000001E-4</v>
      </c>
      <c r="D779" s="717">
        <v>1.021E-4</v>
      </c>
      <c r="E779" s="718">
        <v>40835</v>
      </c>
      <c r="F779" s="718">
        <v>45822</v>
      </c>
      <c r="G779" s="718">
        <v>230061</v>
      </c>
      <c r="H779" s="718"/>
      <c r="I779" s="719">
        <v>4322.45</v>
      </c>
      <c r="J779" s="719">
        <v>201607</v>
      </c>
      <c r="K779" s="719">
        <v>15757</v>
      </c>
      <c r="L779" s="718">
        <v>7887</v>
      </c>
      <c r="M779" s="718"/>
      <c r="N779" s="719">
        <v>8062</v>
      </c>
      <c r="O779" s="719">
        <v>74412</v>
      </c>
      <c r="P779" s="719">
        <v>0</v>
      </c>
      <c r="Q779" s="718">
        <v>1282</v>
      </c>
      <c r="R779" s="719">
        <f t="shared" si="12"/>
        <v>127195</v>
      </c>
      <c r="S779" s="718"/>
      <c r="T779" s="719">
        <v>61492</v>
      </c>
      <c r="U779" s="721">
        <v>2111</v>
      </c>
      <c r="V779" s="721">
        <v>63603</v>
      </c>
    </row>
    <row r="780" spans="1:22" x14ac:dyDescent="0.25">
      <c r="A780" s="715">
        <v>98427</v>
      </c>
      <c r="B780" s="716" t="s">
        <v>3312</v>
      </c>
      <c r="C780" s="717">
        <v>4.6E-6</v>
      </c>
      <c r="D780" s="717">
        <v>5.2000000000000002E-6</v>
      </c>
      <c r="E780" s="718">
        <v>2927.04</v>
      </c>
      <c r="F780" s="718">
        <v>2334</v>
      </c>
      <c r="G780" s="718">
        <v>9763</v>
      </c>
      <c r="H780" s="718"/>
      <c r="I780" s="719">
        <v>183.42500000000001</v>
      </c>
      <c r="J780" s="719">
        <v>8555</v>
      </c>
      <c r="K780" s="719">
        <v>669</v>
      </c>
      <c r="L780" s="718">
        <v>946</v>
      </c>
      <c r="M780" s="718"/>
      <c r="N780" s="719">
        <v>342</v>
      </c>
      <c r="O780" s="719">
        <v>3158</v>
      </c>
      <c r="P780" s="719">
        <v>0</v>
      </c>
      <c r="Q780" s="718">
        <v>0</v>
      </c>
      <c r="R780" s="719">
        <f t="shared" si="12"/>
        <v>5397</v>
      </c>
      <c r="S780" s="718"/>
      <c r="T780" s="719">
        <v>2609</v>
      </c>
      <c r="U780" s="721">
        <v>309</v>
      </c>
      <c r="V780" s="721">
        <v>2918</v>
      </c>
    </row>
    <row r="781" spans="1:22" x14ac:dyDescent="0.25">
      <c r="A781" s="715">
        <v>98431</v>
      </c>
      <c r="B781" s="716" t="s">
        <v>3313</v>
      </c>
      <c r="C781" s="717">
        <v>2.0010000000000001E-4</v>
      </c>
      <c r="D781" s="717">
        <v>2.0560000000000001E-4</v>
      </c>
      <c r="E781" s="718">
        <v>68369</v>
      </c>
      <c r="F781" s="718">
        <v>92272</v>
      </c>
      <c r="G781" s="718">
        <v>424679</v>
      </c>
      <c r="H781" s="718"/>
      <c r="I781" s="719">
        <v>7979</v>
      </c>
      <c r="J781" s="719">
        <v>372154</v>
      </c>
      <c r="K781" s="719">
        <v>29087</v>
      </c>
      <c r="L781" s="718">
        <v>2505</v>
      </c>
      <c r="M781" s="718"/>
      <c r="N781" s="719">
        <v>14881</v>
      </c>
      <c r="O781" s="719">
        <v>137360</v>
      </c>
      <c r="P781" s="719">
        <v>0</v>
      </c>
      <c r="Q781" s="718">
        <v>22555</v>
      </c>
      <c r="R781" s="719">
        <f t="shared" si="12"/>
        <v>234794</v>
      </c>
      <c r="S781" s="718"/>
      <c r="T781" s="719">
        <v>113511</v>
      </c>
      <c r="U781" s="721">
        <v>-5398</v>
      </c>
      <c r="V781" s="721">
        <v>108113</v>
      </c>
    </row>
    <row r="782" spans="1:22" x14ac:dyDescent="0.25">
      <c r="A782" s="715">
        <v>98441</v>
      </c>
      <c r="B782" s="716" t="s">
        <v>3314</v>
      </c>
      <c r="C782" s="717">
        <v>9.1000000000000003E-5</v>
      </c>
      <c r="D782" s="717">
        <v>1.039E-4</v>
      </c>
      <c r="E782" s="718">
        <v>33724.18</v>
      </c>
      <c r="F782" s="718">
        <v>46630</v>
      </c>
      <c r="G782" s="718">
        <v>193132</v>
      </c>
      <c r="H782" s="718"/>
      <c r="I782" s="719">
        <v>3628.625</v>
      </c>
      <c r="J782" s="719">
        <v>169246</v>
      </c>
      <c r="K782" s="719">
        <v>13228</v>
      </c>
      <c r="L782" s="718">
        <v>1146</v>
      </c>
      <c r="M782" s="718"/>
      <c r="N782" s="719">
        <v>6768</v>
      </c>
      <c r="O782" s="719">
        <v>62468</v>
      </c>
      <c r="P782" s="719">
        <v>0</v>
      </c>
      <c r="Q782" s="718">
        <v>21657</v>
      </c>
      <c r="R782" s="719">
        <f t="shared" si="12"/>
        <v>106778</v>
      </c>
      <c r="S782" s="718"/>
      <c r="T782" s="719">
        <v>51621</v>
      </c>
      <c r="U782" s="721">
        <v>-6156</v>
      </c>
      <c r="V782" s="721">
        <v>45466</v>
      </c>
    </row>
    <row r="783" spans="1:22" x14ac:dyDescent="0.25">
      <c r="A783" s="715">
        <v>98451</v>
      </c>
      <c r="B783" s="716" t="s">
        <v>3315</v>
      </c>
      <c r="C783" s="717">
        <v>5.6199999999999997E-5</v>
      </c>
      <c r="D783" s="717">
        <v>6.0300000000000002E-5</v>
      </c>
      <c r="E783" s="718">
        <v>24173</v>
      </c>
      <c r="F783" s="718">
        <v>27062</v>
      </c>
      <c r="G783" s="718">
        <v>119275</v>
      </c>
      <c r="H783" s="718"/>
      <c r="I783" s="719">
        <v>2240.9749999999999</v>
      </c>
      <c r="J783" s="719">
        <v>104523</v>
      </c>
      <c r="K783" s="719">
        <v>8169</v>
      </c>
      <c r="L783" s="718">
        <v>0</v>
      </c>
      <c r="M783" s="718"/>
      <c r="N783" s="719">
        <v>4180</v>
      </c>
      <c r="O783" s="719">
        <v>38579</v>
      </c>
      <c r="P783" s="719">
        <v>0</v>
      </c>
      <c r="Q783" s="718">
        <v>2135</v>
      </c>
      <c r="R783" s="719">
        <f t="shared" si="12"/>
        <v>65944</v>
      </c>
      <c r="S783" s="718"/>
      <c r="T783" s="719">
        <v>31881</v>
      </c>
      <c r="U783" s="721">
        <v>-657</v>
      </c>
      <c r="V783" s="721">
        <v>31223</v>
      </c>
    </row>
    <row r="784" spans="1:22" x14ac:dyDescent="0.25">
      <c r="A784" s="715">
        <v>98481</v>
      </c>
      <c r="B784" s="716" t="s">
        <v>3316</v>
      </c>
      <c r="C784" s="717">
        <v>6.7700000000000006E-5</v>
      </c>
      <c r="D784" s="717">
        <v>6.2500000000000001E-5</v>
      </c>
      <c r="E784" s="718">
        <v>21741.83</v>
      </c>
      <c r="F784" s="718">
        <v>28049.625</v>
      </c>
      <c r="G784" s="718">
        <v>143682</v>
      </c>
      <c r="H784" s="718"/>
      <c r="I784" s="719">
        <v>2700</v>
      </c>
      <c r="J784" s="719">
        <v>125911</v>
      </c>
      <c r="K784" s="719">
        <v>9841</v>
      </c>
      <c r="L784" s="718">
        <v>3106</v>
      </c>
      <c r="M784" s="718"/>
      <c r="N784" s="719">
        <v>5035</v>
      </c>
      <c r="O784" s="719">
        <v>46473</v>
      </c>
      <c r="P784" s="719">
        <v>0</v>
      </c>
      <c r="Q784" s="718">
        <v>2045</v>
      </c>
      <c r="R784" s="719">
        <f t="shared" si="12"/>
        <v>79438</v>
      </c>
      <c r="S784" s="718"/>
      <c r="T784" s="719">
        <v>38404</v>
      </c>
      <c r="U784" s="721">
        <v>1029</v>
      </c>
      <c r="V784" s="721">
        <v>39434</v>
      </c>
    </row>
    <row r="785" spans="1:22" x14ac:dyDescent="0.25">
      <c r="A785" s="715">
        <v>98501</v>
      </c>
      <c r="B785" s="716" t="s">
        <v>3317</v>
      </c>
      <c r="C785" s="717">
        <v>1.5690999999999999E-3</v>
      </c>
      <c r="D785" s="717">
        <v>1.5471E-3</v>
      </c>
      <c r="E785" s="718">
        <v>684836.9</v>
      </c>
      <c r="F785" s="718">
        <v>694329</v>
      </c>
      <c r="G785" s="718">
        <v>3330156</v>
      </c>
      <c r="H785" s="718"/>
      <c r="I785" s="719">
        <v>62568</v>
      </c>
      <c r="J785" s="719">
        <v>2918278</v>
      </c>
      <c r="K785" s="719">
        <v>228086</v>
      </c>
      <c r="L785" s="718">
        <v>44212</v>
      </c>
      <c r="M785" s="718"/>
      <c r="N785" s="719">
        <v>116692</v>
      </c>
      <c r="O785" s="719">
        <v>1077121</v>
      </c>
      <c r="P785" s="719">
        <v>0</v>
      </c>
      <c r="Q785" s="718">
        <v>5894</v>
      </c>
      <c r="R785" s="719">
        <f t="shared" si="12"/>
        <v>1841157</v>
      </c>
      <c r="S785" s="718"/>
      <c r="T785" s="719">
        <v>890102</v>
      </c>
      <c r="U785" s="721">
        <v>8576</v>
      </c>
      <c r="V785" s="721">
        <v>898678</v>
      </c>
    </row>
    <row r="786" spans="1:22" x14ac:dyDescent="0.25">
      <c r="A786" s="715">
        <v>98511</v>
      </c>
      <c r="B786" s="716" t="s">
        <v>3318</v>
      </c>
      <c r="C786" s="717">
        <v>4.5800000000000002E-5</v>
      </c>
      <c r="D786" s="717">
        <v>3.96E-5</v>
      </c>
      <c r="E786" s="718">
        <v>20253.45</v>
      </c>
      <c r="F786" s="718">
        <v>17772</v>
      </c>
      <c r="G786" s="718">
        <v>97203</v>
      </c>
      <c r="H786" s="718"/>
      <c r="I786" s="719">
        <v>1826.2750000000001</v>
      </c>
      <c r="J786" s="719">
        <v>85181</v>
      </c>
      <c r="K786" s="719">
        <v>6658</v>
      </c>
      <c r="L786" s="718">
        <v>4485</v>
      </c>
      <c r="M786" s="718"/>
      <c r="N786" s="719">
        <v>3406</v>
      </c>
      <c r="O786" s="719">
        <v>31440</v>
      </c>
      <c r="P786" s="719">
        <v>0</v>
      </c>
      <c r="Q786" s="718">
        <v>23108</v>
      </c>
      <c r="R786" s="719">
        <f t="shared" si="12"/>
        <v>53741</v>
      </c>
      <c r="S786" s="718"/>
      <c r="T786" s="719">
        <v>25981</v>
      </c>
      <c r="U786" s="721">
        <v>-10027</v>
      </c>
      <c r="V786" s="721">
        <v>15954</v>
      </c>
    </row>
    <row r="787" spans="1:22" x14ac:dyDescent="0.25">
      <c r="A787" s="715">
        <v>98517</v>
      </c>
      <c r="B787" s="716" t="s">
        <v>3319</v>
      </c>
      <c r="C787" s="717">
        <v>2.6000000000000001E-6</v>
      </c>
      <c r="D787" s="717">
        <v>3.3000000000000002E-6</v>
      </c>
      <c r="E787" s="718">
        <v>2175</v>
      </c>
      <c r="F787" s="718">
        <v>1481</v>
      </c>
      <c r="G787" s="718">
        <v>5518</v>
      </c>
      <c r="H787" s="718"/>
      <c r="I787" s="719">
        <v>103.675</v>
      </c>
      <c r="J787" s="719">
        <v>4836</v>
      </c>
      <c r="K787" s="719">
        <v>378</v>
      </c>
      <c r="L787" s="718">
        <v>1036</v>
      </c>
      <c r="M787" s="718"/>
      <c r="N787" s="719">
        <v>193</v>
      </c>
      <c r="O787" s="719">
        <v>1785</v>
      </c>
      <c r="P787" s="719">
        <v>0</v>
      </c>
      <c r="Q787" s="718">
        <v>0</v>
      </c>
      <c r="R787" s="719">
        <f t="shared" si="12"/>
        <v>3051</v>
      </c>
      <c r="S787" s="718"/>
      <c r="T787" s="719">
        <v>1475</v>
      </c>
      <c r="U787" s="721">
        <v>354</v>
      </c>
      <c r="V787" s="721">
        <v>1829</v>
      </c>
    </row>
    <row r="788" spans="1:22" x14ac:dyDescent="0.25">
      <c r="A788" s="715">
        <v>98521</v>
      </c>
      <c r="B788" s="716" t="s">
        <v>3320</v>
      </c>
      <c r="C788" s="717">
        <v>5.7059999999999999E-4</v>
      </c>
      <c r="D788" s="717">
        <v>6.3980000000000005E-4</v>
      </c>
      <c r="E788" s="718">
        <v>223042</v>
      </c>
      <c r="F788" s="718">
        <v>287138</v>
      </c>
      <c r="G788" s="718">
        <v>1211004</v>
      </c>
      <c r="H788" s="718"/>
      <c r="I788" s="719">
        <v>22753</v>
      </c>
      <c r="J788" s="719">
        <v>1061226</v>
      </c>
      <c r="K788" s="719">
        <v>82943</v>
      </c>
      <c r="L788" s="718">
        <v>0</v>
      </c>
      <c r="M788" s="718"/>
      <c r="N788" s="719">
        <v>42435</v>
      </c>
      <c r="O788" s="719">
        <v>391693</v>
      </c>
      <c r="P788" s="719">
        <v>0</v>
      </c>
      <c r="Q788" s="718">
        <v>62867</v>
      </c>
      <c r="R788" s="719">
        <f t="shared" si="12"/>
        <v>669533</v>
      </c>
      <c r="S788" s="718"/>
      <c r="T788" s="719">
        <v>323684</v>
      </c>
      <c r="U788" s="721">
        <v>-18900</v>
      </c>
      <c r="V788" s="721">
        <v>304784</v>
      </c>
    </row>
    <row r="789" spans="1:22" x14ac:dyDescent="0.25">
      <c r="A789" s="715">
        <v>98601</v>
      </c>
      <c r="B789" s="716" t="s">
        <v>3321</v>
      </c>
      <c r="C789" s="717">
        <v>3.5065999999999999E-3</v>
      </c>
      <c r="D789" s="717">
        <v>3.3880999999999998E-3</v>
      </c>
      <c r="E789" s="718">
        <v>1331350</v>
      </c>
      <c r="F789" s="718">
        <v>1520559</v>
      </c>
      <c r="G789" s="718">
        <v>7442180</v>
      </c>
      <c r="H789" s="718"/>
      <c r="I789" s="719">
        <v>139826</v>
      </c>
      <c r="J789" s="719">
        <v>6521722</v>
      </c>
      <c r="K789" s="719">
        <v>509723</v>
      </c>
      <c r="L789" s="718">
        <v>0</v>
      </c>
      <c r="M789" s="718"/>
      <c r="N789" s="719">
        <v>260782</v>
      </c>
      <c r="O789" s="719">
        <v>2407134</v>
      </c>
      <c r="P789" s="719">
        <v>0</v>
      </c>
      <c r="Q789" s="718">
        <v>160211</v>
      </c>
      <c r="R789" s="719">
        <f t="shared" si="12"/>
        <v>4114588</v>
      </c>
      <c r="S789" s="718"/>
      <c r="T789" s="719">
        <v>1989185</v>
      </c>
      <c r="U789" s="721">
        <v>-63543</v>
      </c>
      <c r="V789" s="721">
        <v>1925643</v>
      </c>
    </row>
    <row r="790" spans="1:22" x14ac:dyDescent="0.25">
      <c r="A790" s="715">
        <v>98604</v>
      </c>
      <c r="B790" s="716" t="s">
        <v>3322</v>
      </c>
      <c r="C790" s="717">
        <v>1.59E-5</v>
      </c>
      <c r="D790" s="717">
        <v>0</v>
      </c>
      <c r="E790" s="718">
        <v>5854</v>
      </c>
      <c r="F790" s="718">
        <v>0</v>
      </c>
      <c r="G790" s="718">
        <v>33745</v>
      </c>
      <c r="H790" s="718"/>
      <c r="I790" s="719">
        <v>634</v>
      </c>
      <c r="J790" s="719">
        <v>29571</v>
      </c>
      <c r="K790" s="719">
        <v>2311</v>
      </c>
      <c r="L790" s="718">
        <v>8069</v>
      </c>
      <c r="M790" s="718"/>
      <c r="N790" s="719">
        <v>1182</v>
      </c>
      <c r="O790" s="719">
        <v>10915</v>
      </c>
      <c r="P790" s="719">
        <v>0</v>
      </c>
      <c r="Q790" s="718">
        <v>0</v>
      </c>
      <c r="R790" s="719">
        <f t="shared" si="12"/>
        <v>18656</v>
      </c>
      <c r="S790" s="718"/>
      <c r="T790" s="719">
        <v>9020</v>
      </c>
      <c r="U790" s="721">
        <v>2090</v>
      </c>
      <c r="V790" s="721">
        <v>11110</v>
      </c>
    </row>
    <row r="791" spans="1:22" x14ac:dyDescent="0.25">
      <c r="A791" s="715">
        <v>98607</v>
      </c>
      <c r="B791" s="716" t="s">
        <v>3323</v>
      </c>
      <c r="C791" s="717">
        <v>5.9000000000000003E-6</v>
      </c>
      <c r="D791" s="717">
        <v>6.0000000000000002E-6</v>
      </c>
      <c r="E791" s="718">
        <v>2400</v>
      </c>
      <c r="F791" s="718">
        <v>2693</v>
      </c>
      <c r="G791" s="718">
        <v>12522</v>
      </c>
      <c r="H791" s="718"/>
      <c r="I791" s="719">
        <v>235</v>
      </c>
      <c r="J791" s="719">
        <v>10973</v>
      </c>
      <c r="K791" s="719">
        <v>858</v>
      </c>
      <c r="L791" s="718">
        <v>0</v>
      </c>
      <c r="M791" s="718"/>
      <c r="N791" s="719">
        <v>439</v>
      </c>
      <c r="O791" s="719">
        <v>4050</v>
      </c>
      <c r="P791" s="719">
        <v>0</v>
      </c>
      <c r="Q791" s="718">
        <v>2348</v>
      </c>
      <c r="R791" s="719">
        <f t="shared" si="12"/>
        <v>6923</v>
      </c>
      <c r="S791" s="718"/>
      <c r="T791" s="719">
        <v>3347</v>
      </c>
      <c r="U791" s="721">
        <v>-874</v>
      </c>
      <c r="V791" s="721">
        <v>2473</v>
      </c>
    </row>
    <row r="792" spans="1:22" x14ac:dyDescent="0.25">
      <c r="A792" s="715">
        <v>98608</v>
      </c>
      <c r="B792" s="716" t="s">
        <v>3324</v>
      </c>
      <c r="C792" s="717">
        <v>4.2299999999999998E-5</v>
      </c>
      <c r="D792" s="717">
        <v>5.4500000000000003E-5</v>
      </c>
      <c r="E792" s="718">
        <v>16593</v>
      </c>
      <c r="F792" s="718">
        <v>24459</v>
      </c>
      <c r="G792" s="718">
        <v>89775</v>
      </c>
      <c r="H792" s="718"/>
      <c r="I792" s="719">
        <v>1687</v>
      </c>
      <c r="J792" s="719">
        <v>78671</v>
      </c>
      <c r="K792" s="719">
        <v>6149</v>
      </c>
      <c r="L792" s="718">
        <v>6369</v>
      </c>
      <c r="M792" s="718"/>
      <c r="N792" s="719">
        <v>3146</v>
      </c>
      <c r="O792" s="719">
        <v>29037</v>
      </c>
      <c r="P792" s="719">
        <v>0</v>
      </c>
      <c r="Q792" s="718">
        <v>7247</v>
      </c>
      <c r="R792" s="719">
        <f t="shared" si="12"/>
        <v>49634</v>
      </c>
      <c r="S792" s="718"/>
      <c r="T792" s="719">
        <v>23995</v>
      </c>
      <c r="U792" s="721">
        <v>566</v>
      </c>
      <c r="V792" s="721">
        <v>24562</v>
      </c>
    </row>
    <row r="793" spans="1:22" x14ac:dyDescent="0.25">
      <c r="A793" s="715">
        <v>98611</v>
      </c>
      <c r="B793" s="716" t="s">
        <v>3325</v>
      </c>
      <c r="C793" s="717">
        <v>8.6700000000000007E-5</v>
      </c>
      <c r="D793" s="717">
        <v>1.2129999999999999E-4</v>
      </c>
      <c r="E793" s="718">
        <v>43078</v>
      </c>
      <c r="F793" s="718">
        <v>54439</v>
      </c>
      <c r="G793" s="718">
        <v>184006</v>
      </c>
      <c r="H793" s="718"/>
      <c r="I793" s="719">
        <v>3457</v>
      </c>
      <c r="J793" s="719">
        <v>161248</v>
      </c>
      <c r="K793" s="719">
        <v>12603</v>
      </c>
      <c r="L793" s="718">
        <v>4723</v>
      </c>
      <c r="M793" s="718"/>
      <c r="N793" s="719">
        <v>6448</v>
      </c>
      <c r="O793" s="719">
        <v>59516</v>
      </c>
      <c r="P793" s="719">
        <v>0</v>
      </c>
      <c r="Q793" s="718">
        <v>12848</v>
      </c>
      <c r="R793" s="719">
        <f t="shared" si="12"/>
        <v>101732</v>
      </c>
      <c r="S793" s="718"/>
      <c r="T793" s="719">
        <v>49182</v>
      </c>
      <c r="U793" s="721">
        <v>-1131</v>
      </c>
      <c r="V793" s="721">
        <v>48051</v>
      </c>
    </row>
    <row r="794" spans="1:22" x14ac:dyDescent="0.25">
      <c r="A794" s="715">
        <v>98621</v>
      </c>
      <c r="B794" s="716" t="s">
        <v>3326</v>
      </c>
      <c r="C794" s="717">
        <v>1.3239999999999999E-4</v>
      </c>
      <c r="D794" s="717">
        <v>1.2740000000000001E-4</v>
      </c>
      <c r="E794" s="718">
        <v>45779.06</v>
      </c>
      <c r="F794" s="718">
        <v>57176</v>
      </c>
      <c r="G794" s="718">
        <v>280997</v>
      </c>
      <c r="H794" s="718"/>
      <c r="I794" s="719">
        <v>5279.45</v>
      </c>
      <c r="J794" s="719">
        <v>246243</v>
      </c>
      <c r="K794" s="719">
        <v>19246</v>
      </c>
      <c r="L794" s="718">
        <v>951</v>
      </c>
      <c r="M794" s="718"/>
      <c r="N794" s="719">
        <v>9846</v>
      </c>
      <c r="O794" s="719">
        <v>90887</v>
      </c>
      <c r="P794" s="719">
        <v>0</v>
      </c>
      <c r="Q794" s="718">
        <v>9470</v>
      </c>
      <c r="R794" s="719">
        <f t="shared" si="12"/>
        <v>155356</v>
      </c>
      <c r="S794" s="718"/>
      <c r="T794" s="719">
        <v>75106</v>
      </c>
      <c r="U794" s="721">
        <v>-2481</v>
      </c>
      <c r="V794" s="721">
        <v>72625</v>
      </c>
    </row>
    <row r="795" spans="1:22" x14ac:dyDescent="0.25">
      <c r="A795" s="715">
        <v>98627</v>
      </c>
      <c r="B795" s="716" t="s">
        <v>3327</v>
      </c>
      <c r="C795" s="717">
        <v>9.3999999999999998E-6</v>
      </c>
      <c r="D795" s="717">
        <v>7.4000000000000003E-6</v>
      </c>
      <c r="E795" s="718">
        <v>3039</v>
      </c>
      <c r="F795" s="718">
        <v>3321</v>
      </c>
      <c r="G795" s="718">
        <v>19950</v>
      </c>
      <c r="H795" s="718"/>
      <c r="I795" s="719">
        <v>374.82499999999999</v>
      </c>
      <c r="J795" s="719">
        <v>17483</v>
      </c>
      <c r="K795" s="719">
        <v>1366</v>
      </c>
      <c r="L795" s="718">
        <v>426</v>
      </c>
      <c r="M795" s="718"/>
      <c r="N795" s="719">
        <v>699</v>
      </c>
      <c r="O795" s="719">
        <v>6453</v>
      </c>
      <c r="P795" s="719">
        <v>0</v>
      </c>
      <c r="Q795" s="718">
        <v>202</v>
      </c>
      <c r="R795" s="719">
        <f t="shared" si="12"/>
        <v>11030</v>
      </c>
      <c r="S795" s="718"/>
      <c r="T795" s="719">
        <v>5332</v>
      </c>
      <c r="U795" s="721">
        <v>25</v>
      </c>
      <c r="V795" s="721">
        <v>5357</v>
      </c>
    </row>
    <row r="796" spans="1:22" x14ac:dyDescent="0.25">
      <c r="A796" s="715">
        <v>98631</v>
      </c>
      <c r="B796" s="716" t="s">
        <v>3328</v>
      </c>
      <c r="C796" s="717">
        <v>1.0415000000000001E-3</v>
      </c>
      <c r="D796" s="717">
        <v>1.1375000000000001E-3</v>
      </c>
      <c r="E796" s="718">
        <v>412487</v>
      </c>
      <c r="F796" s="718">
        <v>510503</v>
      </c>
      <c r="G796" s="718">
        <v>2210412</v>
      </c>
      <c r="H796" s="718"/>
      <c r="I796" s="719">
        <v>41530</v>
      </c>
      <c r="J796" s="719">
        <v>1937025</v>
      </c>
      <c r="K796" s="719">
        <v>151393</v>
      </c>
      <c r="L796" s="718">
        <v>0</v>
      </c>
      <c r="M796" s="718"/>
      <c r="N796" s="719">
        <v>77455</v>
      </c>
      <c r="O796" s="719">
        <v>714946</v>
      </c>
      <c r="P796" s="719">
        <v>0</v>
      </c>
      <c r="Q796" s="718">
        <v>118586</v>
      </c>
      <c r="R796" s="719">
        <f t="shared" si="12"/>
        <v>1222079</v>
      </c>
      <c r="S796" s="718"/>
      <c r="T796" s="719">
        <v>590811</v>
      </c>
      <c r="U796" s="721">
        <v>-36690</v>
      </c>
      <c r="V796" s="721">
        <v>554121</v>
      </c>
    </row>
    <row r="797" spans="1:22" x14ac:dyDescent="0.25">
      <c r="A797" s="715">
        <v>98637</v>
      </c>
      <c r="B797" s="716" t="s">
        <v>3329</v>
      </c>
      <c r="C797" s="717">
        <v>2.2200000000000001E-5</v>
      </c>
      <c r="D797" s="717">
        <v>2.3499999999999999E-5</v>
      </c>
      <c r="E797" s="718">
        <v>14030</v>
      </c>
      <c r="F797" s="718">
        <v>10547</v>
      </c>
      <c r="G797" s="718">
        <v>47116</v>
      </c>
      <c r="H797" s="718"/>
      <c r="I797" s="719">
        <v>885.22500000000002</v>
      </c>
      <c r="J797" s="719">
        <v>41288</v>
      </c>
      <c r="K797" s="719">
        <v>3227</v>
      </c>
      <c r="L797" s="718">
        <v>6585</v>
      </c>
      <c r="M797" s="718"/>
      <c r="N797" s="719">
        <v>1651</v>
      </c>
      <c r="O797" s="719">
        <v>15239</v>
      </c>
      <c r="P797" s="719">
        <v>0</v>
      </c>
      <c r="Q797" s="718">
        <v>0</v>
      </c>
      <c r="R797" s="719">
        <f t="shared" si="12"/>
        <v>26049</v>
      </c>
      <c r="S797" s="718"/>
      <c r="T797" s="719">
        <v>12593</v>
      </c>
      <c r="U797" s="721">
        <v>2204</v>
      </c>
      <c r="V797" s="721">
        <v>14798</v>
      </c>
    </row>
    <row r="798" spans="1:22" x14ac:dyDescent="0.25">
      <c r="A798" s="715">
        <v>98641</v>
      </c>
      <c r="B798" s="716" t="s">
        <v>3330</v>
      </c>
      <c r="C798" s="717">
        <v>3.0019999999999998E-4</v>
      </c>
      <c r="D798" s="717">
        <v>3.1819999999999998E-4</v>
      </c>
      <c r="E798" s="718">
        <v>122410</v>
      </c>
      <c r="F798" s="718">
        <v>142806</v>
      </c>
      <c r="G798" s="718">
        <v>637125</v>
      </c>
      <c r="H798" s="718"/>
      <c r="I798" s="719">
        <v>11970</v>
      </c>
      <c r="J798" s="719">
        <v>558325</v>
      </c>
      <c r="K798" s="719">
        <v>43637</v>
      </c>
      <c r="L798" s="718">
        <v>4514</v>
      </c>
      <c r="M798" s="718"/>
      <c r="N798" s="719">
        <v>22326</v>
      </c>
      <c r="O798" s="719">
        <v>206075</v>
      </c>
      <c r="P798" s="719">
        <v>0</v>
      </c>
      <c r="Q798" s="718">
        <v>10581</v>
      </c>
      <c r="R798" s="719">
        <f t="shared" si="12"/>
        <v>352250</v>
      </c>
      <c r="S798" s="718"/>
      <c r="T798" s="719">
        <v>170294</v>
      </c>
      <c r="U798" s="721">
        <v>-473</v>
      </c>
      <c r="V798" s="721">
        <v>169821</v>
      </c>
    </row>
    <row r="799" spans="1:22" x14ac:dyDescent="0.25">
      <c r="A799" s="715">
        <v>98647</v>
      </c>
      <c r="B799" s="716" t="s">
        <v>3331</v>
      </c>
      <c r="C799" s="717">
        <v>0</v>
      </c>
      <c r="D799" s="717">
        <v>1.24E-5</v>
      </c>
      <c r="E799" s="718">
        <v>0</v>
      </c>
      <c r="F799" s="718">
        <v>5565</v>
      </c>
      <c r="G799" s="718">
        <v>0</v>
      </c>
      <c r="H799" s="718"/>
      <c r="I799" s="719">
        <v>0</v>
      </c>
      <c r="J799" s="719">
        <v>0</v>
      </c>
      <c r="K799" s="719">
        <v>0</v>
      </c>
      <c r="L799" s="718">
        <v>4884</v>
      </c>
      <c r="M799" s="718"/>
      <c r="N799" s="719">
        <v>0</v>
      </c>
      <c r="O799" s="719">
        <v>0</v>
      </c>
      <c r="P799" s="719">
        <v>0</v>
      </c>
      <c r="Q799" s="718">
        <v>6717</v>
      </c>
      <c r="R799" s="719">
        <f t="shared" si="12"/>
        <v>0</v>
      </c>
      <c r="S799" s="718"/>
      <c r="T799" s="719">
        <v>0</v>
      </c>
      <c r="U799" s="721">
        <v>178</v>
      </c>
      <c r="V799" s="721">
        <v>178</v>
      </c>
    </row>
    <row r="800" spans="1:22" x14ac:dyDescent="0.25">
      <c r="A800" s="715">
        <v>98701</v>
      </c>
      <c r="B800" s="716" t="s">
        <v>3332</v>
      </c>
      <c r="C800" s="717">
        <v>1.1793000000000001E-3</v>
      </c>
      <c r="D800" s="717">
        <v>1.0842E-3</v>
      </c>
      <c r="E800" s="718">
        <v>425946.13</v>
      </c>
      <c r="F800" s="718">
        <v>486582</v>
      </c>
      <c r="G800" s="718">
        <v>2502870</v>
      </c>
      <c r="H800" s="718"/>
      <c r="I800" s="719">
        <v>47025</v>
      </c>
      <c r="J800" s="719">
        <v>2193312</v>
      </c>
      <c r="K800" s="719">
        <v>171424</v>
      </c>
      <c r="L800" s="718">
        <v>4631</v>
      </c>
      <c r="M800" s="718"/>
      <c r="N800" s="719">
        <v>87703</v>
      </c>
      <c r="O800" s="719">
        <v>809540</v>
      </c>
      <c r="P800" s="719">
        <v>0</v>
      </c>
      <c r="Q800" s="718">
        <v>48875</v>
      </c>
      <c r="R800" s="719">
        <f t="shared" si="12"/>
        <v>1383772</v>
      </c>
      <c r="S800" s="718"/>
      <c r="T800" s="719">
        <v>668980</v>
      </c>
      <c r="U800" s="721">
        <v>-17040</v>
      </c>
      <c r="V800" s="721">
        <v>651940</v>
      </c>
    </row>
    <row r="801" spans="1:22" x14ac:dyDescent="0.25">
      <c r="A801" s="715">
        <v>98711</v>
      </c>
      <c r="B801" s="716" t="s">
        <v>3333</v>
      </c>
      <c r="C801" s="717">
        <v>1.8039999999999999E-4</v>
      </c>
      <c r="D801" s="717">
        <v>1.7589999999999999E-4</v>
      </c>
      <c r="E801" s="718">
        <v>62580</v>
      </c>
      <c r="F801" s="718">
        <v>78943</v>
      </c>
      <c r="G801" s="718">
        <v>382869</v>
      </c>
      <c r="H801" s="718"/>
      <c r="I801" s="719">
        <v>7193.45</v>
      </c>
      <c r="J801" s="719">
        <v>335515</v>
      </c>
      <c r="K801" s="719">
        <v>26223</v>
      </c>
      <c r="L801" s="718">
        <v>2488</v>
      </c>
      <c r="M801" s="718"/>
      <c r="N801" s="719">
        <v>13416</v>
      </c>
      <c r="O801" s="719">
        <v>123837</v>
      </c>
      <c r="P801" s="719">
        <v>0</v>
      </c>
      <c r="Q801" s="718">
        <v>10451</v>
      </c>
      <c r="R801" s="719">
        <f t="shared" si="12"/>
        <v>211678</v>
      </c>
      <c r="S801" s="718"/>
      <c r="T801" s="719">
        <v>102335</v>
      </c>
      <c r="U801" s="721">
        <v>-1808</v>
      </c>
      <c r="V801" s="721">
        <v>100527</v>
      </c>
    </row>
    <row r="802" spans="1:22" x14ac:dyDescent="0.25">
      <c r="A802" s="715">
        <v>98717</v>
      </c>
      <c r="B802" s="716" t="s">
        <v>3334</v>
      </c>
      <c r="C802" s="717">
        <v>1.8600000000000001E-5</v>
      </c>
      <c r="D802" s="717">
        <v>1.98E-5</v>
      </c>
      <c r="E802" s="718">
        <v>7761</v>
      </c>
      <c r="F802" s="718">
        <v>8886</v>
      </c>
      <c r="G802" s="718">
        <v>39475</v>
      </c>
      <c r="H802" s="718"/>
      <c r="I802" s="719">
        <v>742</v>
      </c>
      <c r="J802" s="719">
        <v>34593</v>
      </c>
      <c r="K802" s="719">
        <v>2704</v>
      </c>
      <c r="L802" s="718">
        <v>783</v>
      </c>
      <c r="M802" s="718"/>
      <c r="N802" s="719">
        <v>1383</v>
      </c>
      <c r="O802" s="719">
        <v>12768</v>
      </c>
      <c r="P802" s="719">
        <v>0</v>
      </c>
      <c r="Q802" s="718">
        <v>798</v>
      </c>
      <c r="R802" s="719">
        <f t="shared" si="12"/>
        <v>21825</v>
      </c>
      <c r="S802" s="718"/>
      <c r="T802" s="719">
        <v>10551</v>
      </c>
      <c r="U802" s="721">
        <v>13</v>
      </c>
      <c r="V802" s="721">
        <v>10565</v>
      </c>
    </row>
    <row r="803" spans="1:22" x14ac:dyDescent="0.25">
      <c r="A803" s="715">
        <v>98801</v>
      </c>
      <c r="B803" s="716" t="s">
        <v>3335</v>
      </c>
      <c r="C803" s="717">
        <v>2.1771999999999998E-3</v>
      </c>
      <c r="D803" s="717">
        <v>2.1686000000000001E-3</v>
      </c>
      <c r="E803" s="718">
        <v>916501</v>
      </c>
      <c r="F803" s="718">
        <v>973255</v>
      </c>
      <c r="G803" s="718">
        <v>4620748</v>
      </c>
      <c r="H803" s="718"/>
      <c r="I803" s="719">
        <v>86816</v>
      </c>
      <c r="J803" s="719">
        <v>4049248</v>
      </c>
      <c r="K803" s="719">
        <v>316480</v>
      </c>
      <c r="L803" s="718">
        <v>92904</v>
      </c>
      <c r="M803" s="718"/>
      <c r="N803" s="719">
        <v>161916</v>
      </c>
      <c r="O803" s="719">
        <v>1494556</v>
      </c>
      <c r="P803" s="719">
        <v>0</v>
      </c>
      <c r="Q803" s="718">
        <v>0</v>
      </c>
      <c r="R803" s="719">
        <f t="shared" si="12"/>
        <v>2554692</v>
      </c>
      <c r="S803" s="718"/>
      <c r="T803" s="719">
        <v>1235058</v>
      </c>
      <c r="U803" s="721">
        <v>33821</v>
      </c>
      <c r="V803" s="721">
        <v>1268879</v>
      </c>
    </row>
    <row r="804" spans="1:22" x14ac:dyDescent="0.25">
      <c r="A804" s="715">
        <v>98811</v>
      </c>
      <c r="B804" s="716" t="s">
        <v>3336</v>
      </c>
      <c r="C804" s="717">
        <v>7.1120000000000005E-4</v>
      </c>
      <c r="D804" s="717">
        <v>7.737E-4</v>
      </c>
      <c r="E804" s="718">
        <v>290528</v>
      </c>
      <c r="F804" s="718">
        <v>347232</v>
      </c>
      <c r="G804" s="718">
        <v>1509405</v>
      </c>
      <c r="H804" s="718"/>
      <c r="I804" s="719">
        <v>28359</v>
      </c>
      <c r="J804" s="719">
        <v>1322720</v>
      </c>
      <c r="K804" s="719">
        <v>103381</v>
      </c>
      <c r="L804" s="718">
        <v>31001</v>
      </c>
      <c r="M804" s="718"/>
      <c r="N804" s="719">
        <v>52891</v>
      </c>
      <c r="O804" s="719">
        <v>488209</v>
      </c>
      <c r="P804" s="719">
        <v>0</v>
      </c>
      <c r="Q804" s="718">
        <v>35404</v>
      </c>
      <c r="R804" s="719">
        <f t="shared" si="12"/>
        <v>834511</v>
      </c>
      <c r="S804" s="718"/>
      <c r="T804" s="719">
        <v>403442</v>
      </c>
      <c r="U804" s="721">
        <v>4854</v>
      </c>
      <c r="V804" s="721">
        <v>408295</v>
      </c>
    </row>
    <row r="805" spans="1:22" x14ac:dyDescent="0.25">
      <c r="A805" s="715">
        <v>98817</v>
      </c>
      <c r="B805" s="716" t="s">
        <v>3337</v>
      </c>
      <c r="C805" s="717">
        <v>2.34E-5</v>
      </c>
      <c r="D805" s="717">
        <v>2.6400000000000001E-5</v>
      </c>
      <c r="E805" s="718">
        <v>11958.25</v>
      </c>
      <c r="F805" s="718">
        <v>11848</v>
      </c>
      <c r="G805" s="718">
        <v>49663</v>
      </c>
      <c r="H805" s="718"/>
      <c r="I805" s="719">
        <v>933</v>
      </c>
      <c r="J805" s="719">
        <v>43520</v>
      </c>
      <c r="K805" s="719">
        <v>3401</v>
      </c>
      <c r="L805" s="718">
        <v>244</v>
      </c>
      <c r="M805" s="718"/>
      <c r="N805" s="719">
        <v>1740</v>
      </c>
      <c r="O805" s="719">
        <v>16063</v>
      </c>
      <c r="P805" s="719">
        <v>0</v>
      </c>
      <c r="Q805" s="718">
        <v>4380</v>
      </c>
      <c r="R805" s="719">
        <f t="shared" si="12"/>
        <v>27457</v>
      </c>
      <c r="S805" s="718"/>
      <c r="T805" s="719">
        <v>13274</v>
      </c>
      <c r="U805" s="721">
        <v>-2136</v>
      </c>
      <c r="V805" s="721">
        <v>11138</v>
      </c>
    </row>
    <row r="806" spans="1:22" x14ac:dyDescent="0.25">
      <c r="A806" s="715">
        <v>98901</v>
      </c>
      <c r="B806" s="716" t="s">
        <v>3338</v>
      </c>
      <c r="C806" s="717">
        <v>3.392E-4</v>
      </c>
      <c r="D806" s="717">
        <v>3.4190000000000002E-4</v>
      </c>
      <c r="E806" s="718">
        <v>138121</v>
      </c>
      <c r="F806" s="718">
        <v>153443</v>
      </c>
      <c r="G806" s="718">
        <v>719896</v>
      </c>
      <c r="H806" s="718"/>
      <c r="I806" s="719">
        <v>13525.6</v>
      </c>
      <c r="J806" s="719">
        <v>630858</v>
      </c>
      <c r="K806" s="719">
        <v>49306</v>
      </c>
      <c r="L806" s="718">
        <v>2099</v>
      </c>
      <c r="M806" s="718"/>
      <c r="N806" s="719">
        <v>25226</v>
      </c>
      <c r="O806" s="719">
        <v>232847</v>
      </c>
      <c r="P806" s="719">
        <v>0</v>
      </c>
      <c r="Q806" s="718">
        <v>3837</v>
      </c>
      <c r="R806" s="719">
        <f t="shared" si="12"/>
        <v>398011</v>
      </c>
      <c r="S806" s="718"/>
      <c r="T806" s="719">
        <v>192418</v>
      </c>
      <c r="U806" s="721">
        <v>-562</v>
      </c>
      <c r="V806" s="721">
        <v>191855</v>
      </c>
    </row>
    <row r="807" spans="1:22" x14ac:dyDescent="0.25">
      <c r="A807" s="715">
        <v>98904</v>
      </c>
      <c r="B807" s="716" t="s">
        <v>3339</v>
      </c>
      <c r="C807" s="717">
        <v>5.2000000000000002E-6</v>
      </c>
      <c r="D807" s="717">
        <v>3.4000000000000001E-6</v>
      </c>
      <c r="E807" s="718">
        <v>0</v>
      </c>
      <c r="F807" s="718">
        <v>1526</v>
      </c>
      <c r="G807" s="718">
        <v>11036</v>
      </c>
      <c r="H807" s="718"/>
      <c r="I807" s="719">
        <v>207.35</v>
      </c>
      <c r="J807" s="719">
        <v>9671</v>
      </c>
      <c r="K807" s="719">
        <v>756</v>
      </c>
      <c r="L807" s="718">
        <v>575</v>
      </c>
      <c r="M807" s="718"/>
      <c r="N807" s="719">
        <v>387</v>
      </c>
      <c r="O807" s="719">
        <v>3570</v>
      </c>
      <c r="P807" s="719">
        <v>0</v>
      </c>
      <c r="Q807" s="718">
        <v>723</v>
      </c>
      <c r="R807" s="719">
        <f t="shared" si="12"/>
        <v>6101</v>
      </c>
      <c r="S807" s="718"/>
      <c r="T807" s="719">
        <v>2950</v>
      </c>
      <c r="U807" s="721">
        <v>22</v>
      </c>
      <c r="V807" s="721">
        <v>2972</v>
      </c>
    </row>
    <row r="808" spans="1:22" x14ac:dyDescent="0.25">
      <c r="A808" s="715">
        <v>98911</v>
      </c>
      <c r="B808" s="716" t="s">
        <v>3340</v>
      </c>
      <c r="C808" s="717">
        <v>2.8600000000000001E-5</v>
      </c>
      <c r="D808" s="717">
        <v>2.5899999999999999E-5</v>
      </c>
      <c r="E808" s="718">
        <v>16745</v>
      </c>
      <c r="F808" s="718">
        <v>11624</v>
      </c>
      <c r="G808" s="718">
        <v>60699</v>
      </c>
      <c r="H808" s="718"/>
      <c r="I808" s="719">
        <v>1140.425</v>
      </c>
      <c r="J808" s="719">
        <v>53191</v>
      </c>
      <c r="K808" s="719">
        <v>4157</v>
      </c>
      <c r="L808" s="718">
        <v>13795</v>
      </c>
      <c r="M808" s="718"/>
      <c r="N808" s="719">
        <v>2127</v>
      </c>
      <c r="O808" s="719">
        <v>19633</v>
      </c>
      <c r="P808" s="719">
        <v>0</v>
      </c>
      <c r="Q808" s="718">
        <v>0</v>
      </c>
      <c r="R808" s="719">
        <f t="shared" si="12"/>
        <v>33558</v>
      </c>
      <c r="S808" s="718"/>
      <c r="T808" s="719">
        <v>16224</v>
      </c>
      <c r="U808" s="721">
        <v>4655</v>
      </c>
      <c r="V808" s="721">
        <v>20879</v>
      </c>
    </row>
    <row r="809" spans="1:22" x14ac:dyDescent="0.25">
      <c r="A809" s="715">
        <v>99001</v>
      </c>
      <c r="B809" s="716" t="s">
        <v>3341</v>
      </c>
      <c r="C809" s="717">
        <v>7.8098999999999998E-3</v>
      </c>
      <c r="D809" s="717">
        <v>7.5116999999999996E-3</v>
      </c>
      <c r="E809" s="718">
        <v>3132308</v>
      </c>
      <c r="F809" s="718">
        <v>3371206</v>
      </c>
      <c r="G809" s="718">
        <v>16575224</v>
      </c>
      <c r="H809" s="718"/>
      <c r="I809" s="719">
        <v>311420</v>
      </c>
      <c r="J809" s="719">
        <v>14525180</v>
      </c>
      <c r="K809" s="719">
        <v>1135255</v>
      </c>
      <c r="L809" s="718">
        <v>444444</v>
      </c>
      <c r="M809" s="718"/>
      <c r="N809" s="719">
        <v>580814</v>
      </c>
      <c r="O809" s="719">
        <v>5361168</v>
      </c>
      <c r="P809" s="719">
        <v>0</v>
      </c>
      <c r="Q809" s="718">
        <v>0</v>
      </c>
      <c r="R809" s="719">
        <f t="shared" si="12"/>
        <v>9164012</v>
      </c>
      <c r="S809" s="718"/>
      <c r="T809" s="719">
        <v>4430314</v>
      </c>
      <c r="U809" s="721">
        <v>166582</v>
      </c>
      <c r="V809" s="721">
        <v>4596896</v>
      </c>
    </row>
    <row r="810" spans="1:22" x14ac:dyDescent="0.25">
      <c r="A810" s="715">
        <v>99011</v>
      </c>
      <c r="B810" s="716" t="s">
        <v>3342</v>
      </c>
      <c r="C810" s="717">
        <v>3.9039000000000001E-3</v>
      </c>
      <c r="D810" s="717">
        <v>4.3128999999999997E-3</v>
      </c>
      <c r="E810" s="718">
        <v>1564249</v>
      </c>
      <c r="F810" s="718">
        <v>1935604</v>
      </c>
      <c r="G810" s="718">
        <v>8285384</v>
      </c>
      <c r="H810" s="718"/>
      <c r="I810" s="719">
        <v>155668</v>
      </c>
      <c r="J810" s="719">
        <v>7260637</v>
      </c>
      <c r="K810" s="719">
        <v>567475</v>
      </c>
      <c r="L810" s="718">
        <v>0</v>
      </c>
      <c r="M810" s="718"/>
      <c r="N810" s="719">
        <v>290329</v>
      </c>
      <c r="O810" s="719">
        <v>2679863</v>
      </c>
      <c r="P810" s="719">
        <v>0</v>
      </c>
      <c r="Q810" s="718">
        <v>573396</v>
      </c>
      <c r="R810" s="719">
        <f t="shared" si="12"/>
        <v>4580774</v>
      </c>
      <c r="S810" s="718"/>
      <c r="T810" s="719">
        <v>2214561</v>
      </c>
      <c r="U810" s="721">
        <v>-205801</v>
      </c>
      <c r="V810" s="721">
        <v>2008761</v>
      </c>
    </row>
    <row r="811" spans="1:22" x14ac:dyDescent="0.25">
      <c r="A811" s="715">
        <v>99013</v>
      </c>
      <c r="B811" s="716" t="s">
        <v>3343</v>
      </c>
      <c r="C811" s="717">
        <v>6.02E-5</v>
      </c>
      <c r="D811" s="717">
        <v>7.2299999999999996E-5</v>
      </c>
      <c r="E811" s="718">
        <v>23490.16</v>
      </c>
      <c r="F811" s="718">
        <v>32448</v>
      </c>
      <c r="G811" s="718">
        <v>127765</v>
      </c>
      <c r="H811" s="718"/>
      <c r="I811" s="719">
        <v>2400.4749999999999</v>
      </c>
      <c r="J811" s="719">
        <v>111962</v>
      </c>
      <c r="K811" s="719">
        <v>8751</v>
      </c>
      <c r="L811" s="718">
        <v>20</v>
      </c>
      <c r="M811" s="718"/>
      <c r="N811" s="719">
        <v>4477</v>
      </c>
      <c r="O811" s="719">
        <v>41325</v>
      </c>
      <c r="P811" s="719">
        <v>0</v>
      </c>
      <c r="Q811" s="718">
        <v>8750</v>
      </c>
      <c r="R811" s="719">
        <f t="shared" si="12"/>
        <v>70637</v>
      </c>
      <c r="S811" s="718"/>
      <c r="T811" s="719">
        <v>34150</v>
      </c>
      <c r="U811" s="721">
        <v>-2370</v>
      </c>
      <c r="V811" s="721">
        <v>31779</v>
      </c>
    </row>
    <row r="812" spans="1:22" x14ac:dyDescent="0.25">
      <c r="A812" s="715">
        <v>99014</v>
      </c>
      <c r="B812" s="716" t="s">
        <v>3344</v>
      </c>
      <c r="C812" s="717">
        <v>2.4199999999999999E-5</v>
      </c>
      <c r="D812" s="717">
        <v>0</v>
      </c>
      <c r="E812" s="718">
        <v>13216.55</v>
      </c>
      <c r="F812" s="718">
        <v>0</v>
      </c>
      <c r="G812" s="718">
        <v>51361</v>
      </c>
      <c r="H812" s="718"/>
      <c r="I812" s="719">
        <v>965</v>
      </c>
      <c r="J812" s="719">
        <v>45008</v>
      </c>
      <c r="K812" s="719">
        <v>3518</v>
      </c>
      <c r="L812" s="718">
        <v>15702</v>
      </c>
      <c r="M812" s="718"/>
      <c r="N812" s="719">
        <v>1800</v>
      </c>
      <c r="O812" s="719">
        <v>16612</v>
      </c>
      <c r="P812" s="719">
        <v>0</v>
      </c>
      <c r="Q812" s="718">
        <v>0</v>
      </c>
      <c r="R812" s="719">
        <f t="shared" si="12"/>
        <v>28396</v>
      </c>
      <c r="S812" s="718"/>
      <c r="T812" s="719">
        <v>13728</v>
      </c>
      <c r="U812" s="721">
        <v>4068</v>
      </c>
      <c r="V812" s="721">
        <v>17796</v>
      </c>
    </row>
    <row r="813" spans="1:22" x14ac:dyDescent="0.25">
      <c r="A813" s="715">
        <v>99017</v>
      </c>
      <c r="B813" s="716" t="s">
        <v>3345</v>
      </c>
      <c r="C813" s="717">
        <v>4.6999999999999997E-5</v>
      </c>
      <c r="D813" s="717">
        <v>4.1199999999999999E-5</v>
      </c>
      <c r="E813" s="718">
        <v>19641</v>
      </c>
      <c r="F813" s="718">
        <v>18490</v>
      </c>
      <c r="G813" s="718">
        <v>99750</v>
      </c>
      <c r="H813" s="718"/>
      <c r="I813" s="719">
        <v>1874.125</v>
      </c>
      <c r="J813" s="719">
        <v>87413</v>
      </c>
      <c r="K813" s="719">
        <v>6832</v>
      </c>
      <c r="L813" s="718">
        <v>5674</v>
      </c>
      <c r="M813" s="718"/>
      <c r="N813" s="719">
        <v>3495</v>
      </c>
      <c r="O813" s="719">
        <v>32264</v>
      </c>
      <c r="P813" s="719">
        <v>0</v>
      </c>
      <c r="Q813" s="718">
        <v>6645</v>
      </c>
      <c r="R813" s="719">
        <f t="shared" si="12"/>
        <v>55149</v>
      </c>
      <c r="S813" s="718"/>
      <c r="T813" s="719">
        <v>26662</v>
      </c>
      <c r="U813" s="721">
        <v>-1651</v>
      </c>
      <c r="V813" s="721">
        <v>25011</v>
      </c>
    </row>
    <row r="814" spans="1:22" x14ac:dyDescent="0.25">
      <c r="A814" s="715">
        <v>99021</v>
      </c>
      <c r="B814" s="716" t="s">
        <v>3346</v>
      </c>
      <c r="C814" s="717">
        <v>1.3420000000000001E-4</v>
      </c>
      <c r="D814" s="717">
        <v>1.3990000000000001E-4</v>
      </c>
      <c r="E814" s="718">
        <v>57840</v>
      </c>
      <c r="F814" s="718">
        <v>62786</v>
      </c>
      <c r="G814" s="718">
        <v>284817</v>
      </c>
      <c r="H814" s="718"/>
      <c r="I814" s="719">
        <v>5351</v>
      </c>
      <c r="J814" s="719">
        <v>249591</v>
      </c>
      <c r="K814" s="719">
        <v>19507</v>
      </c>
      <c r="L814" s="718">
        <v>5869</v>
      </c>
      <c r="M814" s="718"/>
      <c r="N814" s="719">
        <v>9980</v>
      </c>
      <c r="O814" s="719">
        <v>92123</v>
      </c>
      <c r="P814" s="719">
        <v>0</v>
      </c>
      <c r="Q814" s="718">
        <v>982</v>
      </c>
      <c r="R814" s="719">
        <f t="shared" si="12"/>
        <v>157468</v>
      </c>
      <c r="S814" s="718"/>
      <c r="T814" s="719">
        <v>76127</v>
      </c>
      <c r="U814" s="721">
        <v>1992</v>
      </c>
      <c r="V814" s="721">
        <v>78120</v>
      </c>
    </row>
    <row r="815" spans="1:22" x14ac:dyDescent="0.25">
      <c r="A815" s="715">
        <v>99022</v>
      </c>
      <c r="B815" s="716" t="s">
        <v>1945</v>
      </c>
      <c r="C815" s="717">
        <v>1.1800000000000001E-5</v>
      </c>
      <c r="D815" s="717">
        <v>1.33E-5</v>
      </c>
      <c r="E815" s="718">
        <v>10517</v>
      </c>
      <c r="F815" s="718">
        <v>5969</v>
      </c>
      <c r="G815" s="718">
        <v>25044</v>
      </c>
      <c r="H815" s="718"/>
      <c r="I815" s="719">
        <v>471</v>
      </c>
      <c r="J815" s="719">
        <v>21946</v>
      </c>
      <c r="K815" s="719">
        <v>1715</v>
      </c>
      <c r="L815" s="718">
        <v>6383</v>
      </c>
      <c r="M815" s="718"/>
      <c r="N815" s="719">
        <v>878</v>
      </c>
      <c r="O815" s="719">
        <v>8100</v>
      </c>
      <c r="P815" s="719">
        <v>0</v>
      </c>
      <c r="Q815" s="718">
        <v>264.67</v>
      </c>
      <c r="R815" s="719">
        <f t="shared" si="12"/>
        <v>13846</v>
      </c>
      <c r="S815" s="718"/>
      <c r="T815" s="719">
        <v>6694</v>
      </c>
      <c r="U815" s="721">
        <v>1778</v>
      </c>
      <c r="V815" s="721">
        <v>8472</v>
      </c>
    </row>
    <row r="816" spans="1:22" x14ac:dyDescent="0.25">
      <c r="A816" s="715">
        <v>99031</v>
      </c>
      <c r="B816" s="716" t="s">
        <v>3347</v>
      </c>
      <c r="C816" s="717">
        <v>1.5970000000000001E-4</v>
      </c>
      <c r="D816" s="717">
        <v>1.2860000000000001E-4</v>
      </c>
      <c r="E816" s="718">
        <v>49299</v>
      </c>
      <c r="F816" s="718">
        <v>57715</v>
      </c>
      <c r="G816" s="718">
        <v>338937</v>
      </c>
      <c r="H816" s="718"/>
      <c r="I816" s="719">
        <v>6368</v>
      </c>
      <c r="J816" s="719">
        <v>297017</v>
      </c>
      <c r="K816" s="719">
        <v>23214</v>
      </c>
      <c r="L816" s="718">
        <v>3840</v>
      </c>
      <c r="M816" s="718"/>
      <c r="N816" s="719">
        <v>11877</v>
      </c>
      <c r="O816" s="719">
        <v>109627</v>
      </c>
      <c r="P816" s="719">
        <v>0</v>
      </c>
      <c r="Q816" s="718">
        <v>20151</v>
      </c>
      <c r="R816" s="719">
        <f t="shared" si="12"/>
        <v>187390</v>
      </c>
      <c r="S816" s="718"/>
      <c r="T816" s="719">
        <v>90593</v>
      </c>
      <c r="U816" s="721">
        <v>-8432</v>
      </c>
      <c r="V816" s="721">
        <v>82161</v>
      </c>
    </row>
    <row r="817" spans="1:22" x14ac:dyDescent="0.25">
      <c r="A817" s="715">
        <v>99041</v>
      </c>
      <c r="B817" s="716" t="s">
        <v>3348</v>
      </c>
      <c r="C817" s="717">
        <v>5.6289999999999997E-4</v>
      </c>
      <c r="D817" s="717">
        <v>5.0670000000000001E-4</v>
      </c>
      <c r="E817" s="718">
        <v>202619</v>
      </c>
      <c r="F817" s="718">
        <v>227404</v>
      </c>
      <c r="G817" s="718">
        <v>1194662</v>
      </c>
      <c r="H817" s="718"/>
      <c r="I817" s="719">
        <v>22446</v>
      </c>
      <c r="J817" s="719">
        <v>1046905</v>
      </c>
      <c r="K817" s="719">
        <v>81824</v>
      </c>
      <c r="L817" s="718">
        <v>59009</v>
      </c>
      <c r="M817" s="718"/>
      <c r="N817" s="719">
        <v>41862</v>
      </c>
      <c r="O817" s="719">
        <v>386407</v>
      </c>
      <c r="P817" s="719">
        <v>0</v>
      </c>
      <c r="Q817" s="718">
        <v>0</v>
      </c>
      <c r="R817" s="719">
        <f t="shared" si="12"/>
        <v>660498</v>
      </c>
      <c r="S817" s="718"/>
      <c r="T817" s="719">
        <v>319316</v>
      </c>
      <c r="U817" s="721">
        <v>24415</v>
      </c>
      <c r="V817" s="721">
        <v>343731</v>
      </c>
    </row>
    <row r="818" spans="1:22" x14ac:dyDescent="0.25">
      <c r="A818" s="715">
        <v>99047</v>
      </c>
      <c r="B818" s="716" t="s">
        <v>3349</v>
      </c>
      <c r="C818" s="717">
        <v>9.2E-6</v>
      </c>
      <c r="D818" s="717">
        <v>1.19E-5</v>
      </c>
      <c r="E818" s="718">
        <v>6483</v>
      </c>
      <c r="F818" s="718">
        <v>5341</v>
      </c>
      <c r="G818" s="718">
        <v>19525</v>
      </c>
      <c r="H818" s="718"/>
      <c r="I818" s="719">
        <v>366.85</v>
      </c>
      <c r="J818" s="719">
        <v>17111</v>
      </c>
      <c r="K818" s="719">
        <v>1337</v>
      </c>
      <c r="L818" s="718">
        <v>3322</v>
      </c>
      <c r="M818" s="718"/>
      <c r="N818" s="719">
        <v>684</v>
      </c>
      <c r="O818" s="719">
        <v>6315</v>
      </c>
      <c r="P818" s="719">
        <v>0</v>
      </c>
      <c r="Q818" s="718">
        <v>0</v>
      </c>
      <c r="R818" s="719">
        <f t="shared" si="12"/>
        <v>10796</v>
      </c>
      <c r="S818" s="718"/>
      <c r="T818" s="719">
        <v>5219</v>
      </c>
      <c r="U818" s="721">
        <v>1258</v>
      </c>
      <c r="V818" s="721">
        <v>6477</v>
      </c>
    </row>
    <row r="819" spans="1:22" x14ac:dyDescent="0.25">
      <c r="A819" s="715">
        <v>99051</v>
      </c>
      <c r="B819" s="716" t="s">
        <v>3350</v>
      </c>
      <c r="C819" s="717">
        <v>3.3349999999999997E-4</v>
      </c>
      <c r="D819" s="717">
        <v>2.8449999999999998E-4</v>
      </c>
      <c r="E819" s="718">
        <v>116232</v>
      </c>
      <c r="F819" s="718">
        <v>127682</v>
      </c>
      <c r="G819" s="718">
        <v>707799</v>
      </c>
      <c r="H819" s="718"/>
      <c r="I819" s="719">
        <v>13298</v>
      </c>
      <c r="J819" s="719">
        <v>620257</v>
      </c>
      <c r="K819" s="719">
        <v>48478</v>
      </c>
      <c r="L819" s="718">
        <v>16843</v>
      </c>
      <c r="M819" s="718"/>
      <c r="N819" s="719">
        <v>24802</v>
      </c>
      <c r="O819" s="719">
        <v>228934</v>
      </c>
      <c r="P819" s="719">
        <v>0</v>
      </c>
      <c r="Q819" s="718">
        <v>0</v>
      </c>
      <c r="R819" s="719">
        <f t="shared" si="12"/>
        <v>391323</v>
      </c>
      <c r="S819" s="718"/>
      <c r="T819" s="719">
        <v>189184</v>
      </c>
      <c r="U819" s="721">
        <v>5410</v>
      </c>
      <c r="V819" s="721">
        <v>194594</v>
      </c>
    </row>
    <row r="820" spans="1:22" x14ac:dyDescent="0.25">
      <c r="A820" s="715">
        <v>99061</v>
      </c>
      <c r="B820" s="716" t="s">
        <v>3351</v>
      </c>
      <c r="C820" s="717">
        <v>8.3999999999999992E-6</v>
      </c>
      <c r="D820" s="717">
        <v>8.8000000000000004E-6</v>
      </c>
      <c r="E820" s="718">
        <v>7400.82</v>
      </c>
      <c r="F820" s="718">
        <v>3949</v>
      </c>
      <c r="G820" s="718">
        <v>17828</v>
      </c>
      <c r="H820" s="718"/>
      <c r="I820" s="719">
        <v>334.95</v>
      </c>
      <c r="J820" s="719">
        <v>15623</v>
      </c>
      <c r="K820" s="719">
        <v>1221</v>
      </c>
      <c r="L820" s="718">
        <v>6023</v>
      </c>
      <c r="M820" s="718"/>
      <c r="N820" s="719">
        <v>625</v>
      </c>
      <c r="O820" s="719">
        <v>5766</v>
      </c>
      <c r="P820" s="719">
        <v>0</v>
      </c>
      <c r="Q820" s="718">
        <v>0</v>
      </c>
      <c r="R820" s="719">
        <f t="shared" si="12"/>
        <v>9857</v>
      </c>
      <c r="S820" s="718"/>
      <c r="T820" s="719">
        <v>4765</v>
      </c>
      <c r="U820" s="721">
        <v>1888</v>
      </c>
      <c r="V820" s="721">
        <v>6653</v>
      </c>
    </row>
    <row r="821" spans="1:22" x14ac:dyDescent="0.25">
      <c r="A821" s="715">
        <v>99071</v>
      </c>
      <c r="B821" s="716" t="s">
        <v>3352</v>
      </c>
      <c r="C821" s="717">
        <v>3.0499999999999999E-5</v>
      </c>
      <c r="D821" s="717">
        <v>3.9799999999999998E-5</v>
      </c>
      <c r="E821" s="718">
        <v>18015</v>
      </c>
      <c r="F821" s="718">
        <v>17862</v>
      </c>
      <c r="G821" s="718">
        <v>64731</v>
      </c>
      <c r="H821" s="718"/>
      <c r="I821" s="719">
        <v>1216.1875</v>
      </c>
      <c r="J821" s="719">
        <v>56725</v>
      </c>
      <c r="K821" s="719">
        <v>4434</v>
      </c>
      <c r="L821" s="718">
        <v>0</v>
      </c>
      <c r="M821" s="718"/>
      <c r="N821" s="719">
        <v>2268</v>
      </c>
      <c r="O821" s="719">
        <v>20937</v>
      </c>
      <c r="P821" s="719">
        <v>0</v>
      </c>
      <c r="Q821" s="718">
        <v>3405</v>
      </c>
      <c r="R821" s="719">
        <f t="shared" si="12"/>
        <v>35788</v>
      </c>
      <c r="S821" s="718"/>
      <c r="T821" s="719">
        <v>17302</v>
      </c>
      <c r="U821" s="721">
        <v>-1312</v>
      </c>
      <c r="V821" s="721">
        <v>15990</v>
      </c>
    </row>
    <row r="822" spans="1:22" x14ac:dyDescent="0.25">
      <c r="A822" s="715">
        <v>99081</v>
      </c>
      <c r="B822" s="716" t="s">
        <v>3353</v>
      </c>
      <c r="C822" s="717">
        <v>2.9600000000000001E-5</v>
      </c>
      <c r="D822" s="717">
        <v>3.6999999999999998E-5</v>
      </c>
      <c r="E822" s="718">
        <v>11739.53</v>
      </c>
      <c r="F822" s="718">
        <v>16605</v>
      </c>
      <c r="G822" s="718">
        <v>62821</v>
      </c>
      <c r="H822" s="718"/>
      <c r="I822" s="719">
        <v>1180.3</v>
      </c>
      <c r="J822" s="719">
        <v>55051</v>
      </c>
      <c r="K822" s="719">
        <v>4303</v>
      </c>
      <c r="L822" s="718">
        <v>5558</v>
      </c>
      <c r="M822" s="718"/>
      <c r="N822" s="719">
        <v>2201</v>
      </c>
      <c r="O822" s="719">
        <v>20319</v>
      </c>
      <c r="P822" s="719">
        <v>0</v>
      </c>
      <c r="Q822" s="718">
        <v>7640</v>
      </c>
      <c r="R822" s="719">
        <f t="shared" si="12"/>
        <v>34732</v>
      </c>
      <c r="S822" s="718"/>
      <c r="T822" s="719">
        <v>16791</v>
      </c>
      <c r="U822" s="721">
        <v>-809</v>
      </c>
      <c r="V822" s="721">
        <v>15982</v>
      </c>
    </row>
    <row r="823" spans="1:22" x14ac:dyDescent="0.25">
      <c r="A823" s="715">
        <v>99091</v>
      </c>
      <c r="B823" s="716" t="s">
        <v>3354</v>
      </c>
      <c r="C823" s="717">
        <v>4.1999999999999996E-6</v>
      </c>
      <c r="D823" s="717">
        <v>4.7999999999999998E-6</v>
      </c>
      <c r="E823" s="718">
        <v>4170.01</v>
      </c>
      <c r="F823" s="718">
        <v>2154</v>
      </c>
      <c r="G823" s="718">
        <v>8914</v>
      </c>
      <c r="H823" s="718"/>
      <c r="I823" s="719">
        <v>167.47499999999999</v>
      </c>
      <c r="J823" s="719">
        <v>7811</v>
      </c>
      <c r="K823" s="719">
        <v>611</v>
      </c>
      <c r="L823" s="718">
        <v>2618</v>
      </c>
      <c r="M823" s="718"/>
      <c r="N823" s="719">
        <v>312</v>
      </c>
      <c r="O823" s="719">
        <v>2883</v>
      </c>
      <c r="P823" s="719">
        <v>0</v>
      </c>
      <c r="Q823" s="718">
        <v>6497.35</v>
      </c>
      <c r="R823" s="719">
        <f t="shared" si="12"/>
        <v>4928</v>
      </c>
      <c r="S823" s="718"/>
      <c r="T823" s="719">
        <v>2383</v>
      </c>
      <c r="U823" s="721">
        <v>-2491</v>
      </c>
      <c r="V823" s="721">
        <v>-108</v>
      </c>
    </row>
    <row r="824" spans="1:22" x14ac:dyDescent="0.25">
      <c r="A824" s="715">
        <v>99101</v>
      </c>
      <c r="B824" s="716" t="s">
        <v>3355</v>
      </c>
      <c r="C824" s="717">
        <v>2.0087999999999998E-3</v>
      </c>
      <c r="D824" s="717">
        <v>2.026E-3</v>
      </c>
      <c r="E824" s="718">
        <v>792557.39</v>
      </c>
      <c r="F824" s="718">
        <v>909257</v>
      </c>
      <c r="G824" s="718">
        <v>4263347</v>
      </c>
      <c r="H824" s="718"/>
      <c r="I824" s="719">
        <v>80101</v>
      </c>
      <c r="J824" s="719">
        <v>3736051</v>
      </c>
      <c r="K824" s="719">
        <v>292001</v>
      </c>
      <c r="L824" s="718">
        <v>7868</v>
      </c>
      <c r="M824" s="718"/>
      <c r="N824" s="719">
        <v>149392</v>
      </c>
      <c r="O824" s="719">
        <v>1378957</v>
      </c>
      <c r="P824" s="719">
        <v>0</v>
      </c>
      <c r="Q824" s="718">
        <v>72656</v>
      </c>
      <c r="R824" s="719">
        <f t="shared" si="12"/>
        <v>2357094</v>
      </c>
      <c r="S824" s="718"/>
      <c r="T824" s="719">
        <v>1139530</v>
      </c>
      <c r="U824" s="721">
        <v>-24965</v>
      </c>
      <c r="V824" s="721">
        <v>1114565</v>
      </c>
    </row>
    <row r="825" spans="1:22" x14ac:dyDescent="0.25">
      <c r="A825" s="715">
        <v>99104</v>
      </c>
      <c r="B825" s="716" t="s">
        <v>3356</v>
      </c>
      <c r="C825" s="717">
        <v>3.4799999999999999E-5</v>
      </c>
      <c r="D825" s="717">
        <v>2.55E-5</v>
      </c>
      <c r="E825" s="718">
        <v>18414</v>
      </c>
      <c r="F825" s="718">
        <v>11444</v>
      </c>
      <c r="G825" s="718">
        <v>73857</v>
      </c>
      <c r="H825" s="718"/>
      <c r="I825" s="719">
        <v>1388</v>
      </c>
      <c r="J825" s="719">
        <v>64723</v>
      </c>
      <c r="K825" s="719">
        <v>5059</v>
      </c>
      <c r="L825" s="718">
        <v>14979</v>
      </c>
      <c r="M825" s="718"/>
      <c r="N825" s="719">
        <v>2588</v>
      </c>
      <c r="O825" s="719">
        <v>23889</v>
      </c>
      <c r="P825" s="719">
        <v>0</v>
      </c>
      <c r="Q825" s="718">
        <v>0</v>
      </c>
      <c r="R825" s="719">
        <f t="shared" si="12"/>
        <v>40834</v>
      </c>
      <c r="S825" s="718"/>
      <c r="T825" s="719">
        <v>19741</v>
      </c>
      <c r="U825" s="721">
        <v>4886</v>
      </c>
      <c r="V825" s="721">
        <v>24627</v>
      </c>
    </row>
    <row r="826" spans="1:22" x14ac:dyDescent="0.25">
      <c r="A826" s="715">
        <v>99109</v>
      </c>
      <c r="B826" s="716" t="s">
        <v>3357</v>
      </c>
      <c r="C826" s="717">
        <v>1.1849999999999999E-4</v>
      </c>
      <c r="D826" s="717">
        <v>1.4129999999999999E-4</v>
      </c>
      <c r="E826" s="718">
        <v>48014.54</v>
      </c>
      <c r="F826" s="718">
        <v>63415</v>
      </c>
      <c r="G826" s="718">
        <v>251497</v>
      </c>
      <c r="H826" s="718"/>
      <c r="I826" s="719">
        <v>4725.1875</v>
      </c>
      <c r="J826" s="719">
        <v>220391</v>
      </c>
      <c r="K826" s="719">
        <v>17225</v>
      </c>
      <c r="L826" s="718">
        <v>5297</v>
      </c>
      <c r="M826" s="718"/>
      <c r="N826" s="719">
        <v>8813</v>
      </c>
      <c r="O826" s="719">
        <v>81345</v>
      </c>
      <c r="P826" s="719">
        <v>0</v>
      </c>
      <c r="Q826" s="718">
        <v>22236</v>
      </c>
      <c r="R826" s="719">
        <f t="shared" si="12"/>
        <v>139046</v>
      </c>
      <c r="S826" s="718"/>
      <c r="T826" s="719">
        <v>67221</v>
      </c>
      <c r="U826" s="721">
        <v>-6150</v>
      </c>
      <c r="V826" s="721">
        <v>61071</v>
      </c>
    </row>
    <row r="827" spans="1:22" x14ac:dyDescent="0.25">
      <c r="A827" s="715">
        <v>99110</v>
      </c>
      <c r="B827" s="716" t="s">
        <v>3358</v>
      </c>
      <c r="C827" s="717">
        <v>1.8369999999999999E-4</v>
      </c>
      <c r="D827" s="717">
        <v>1.728E-4</v>
      </c>
      <c r="E827" s="718">
        <v>101918</v>
      </c>
      <c r="F827" s="718">
        <v>77552</v>
      </c>
      <c r="G827" s="718">
        <v>389873</v>
      </c>
      <c r="H827" s="718"/>
      <c r="I827" s="719">
        <v>7325</v>
      </c>
      <c r="J827" s="719">
        <v>341653</v>
      </c>
      <c r="K827" s="719">
        <v>26703</v>
      </c>
      <c r="L827" s="718">
        <v>63672</v>
      </c>
      <c r="M827" s="718"/>
      <c r="N827" s="719">
        <v>13662</v>
      </c>
      <c r="O827" s="719">
        <v>126102</v>
      </c>
      <c r="P827" s="719">
        <v>0</v>
      </c>
      <c r="Q827" s="718">
        <v>0</v>
      </c>
      <c r="R827" s="719">
        <f t="shared" si="12"/>
        <v>215551</v>
      </c>
      <c r="S827" s="718"/>
      <c r="T827" s="719">
        <v>104207</v>
      </c>
      <c r="U827" s="721">
        <v>21007</v>
      </c>
      <c r="V827" s="721">
        <v>125214</v>
      </c>
    </row>
    <row r="828" spans="1:22" x14ac:dyDescent="0.25">
      <c r="A828" s="715">
        <v>99111</v>
      </c>
      <c r="B828" s="716" t="s">
        <v>3359</v>
      </c>
      <c r="C828" s="717">
        <v>1.2757000000000001E-3</v>
      </c>
      <c r="D828" s="717">
        <v>1.3278000000000001E-3</v>
      </c>
      <c r="E828" s="718">
        <v>486451</v>
      </c>
      <c r="F828" s="718">
        <v>595909</v>
      </c>
      <c r="G828" s="718">
        <v>2707463</v>
      </c>
      <c r="H828" s="718"/>
      <c r="I828" s="719">
        <v>50869</v>
      </c>
      <c r="J828" s="719">
        <v>2372600</v>
      </c>
      <c r="K828" s="719">
        <v>185437</v>
      </c>
      <c r="L828" s="718">
        <v>0</v>
      </c>
      <c r="M828" s="718"/>
      <c r="N828" s="719">
        <v>94873</v>
      </c>
      <c r="O828" s="719">
        <v>875714</v>
      </c>
      <c r="P828" s="719">
        <v>0</v>
      </c>
      <c r="Q828" s="718">
        <v>165116</v>
      </c>
      <c r="R828" s="719">
        <f t="shared" si="12"/>
        <v>1496886</v>
      </c>
      <c r="S828" s="718"/>
      <c r="T828" s="719">
        <v>723665</v>
      </c>
      <c r="U828" s="721">
        <v>-59086</v>
      </c>
      <c r="V828" s="721">
        <v>664579</v>
      </c>
    </row>
    <row r="829" spans="1:22" x14ac:dyDescent="0.25">
      <c r="A829" s="715">
        <v>99201</v>
      </c>
      <c r="B829" s="716" t="s">
        <v>3360</v>
      </c>
      <c r="C829" s="717">
        <v>3.22145E-2</v>
      </c>
      <c r="D829" s="717">
        <v>3.0831399999999998E-2</v>
      </c>
      <c r="E829" s="718">
        <v>12898805</v>
      </c>
      <c r="F829" s="718">
        <v>13836947</v>
      </c>
      <c r="G829" s="718">
        <v>68369961</v>
      </c>
      <c r="H829" s="718"/>
      <c r="I829" s="719">
        <v>1284553</v>
      </c>
      <c r="J829" s="719">
        <v>59913880</v>
      </c>
      <c r="K829" s="719">
        <v>4682732</v>
      </c>
      <c r="L829" s="718">
        <v>1101849</v>
      </c>
      <c r="M829" s="718"/>
      <c r="N829" s="719">
        <v>2395760</v>
      </c>
      <c r="O829" s="719">
        <v>22113901</v>
      </c>
      <c r="P829" s="719">
        <v>0</v>
      </c>
      <c r="Q829" s="718">
        <v>485474</v>
      </c>
      <c r="R829" s="719">
        <f t="shared" si="12"/>
        <v>37799979</v>
      </c>
      <c r="S829" s="718"/>
      <c r="T829" s="719">
        <v>18274287</v>
      </c>
      <c r="U829" s="721">
        <v>101682</v>
      </c>
      <c r="V829" s="721">
        <v>18375969</v>
      </c>
    </row>
    <row r="830" spans="1:22" x14ac:dyDescent="0.25">
      <c r="A830" s="715">
        <v>99202</v>
      </c>
      <c r="B830" s="716" t="s">
        <v>3361</v>
      </c>
      <c r="C830" s="717">
        <v>2.5138000000000001E-3</v>
      </c>
      <c r="D830" s="717">
        <v>2.6002999999999998E-3</v>
      </c>
      <c r="E830" s="718">
        <v>915266</v>
      </c>
      <c r="F830" s="718">
        <v>1166999</v>
      </c>
      <c r="G830" s="718">
        <v>5335126</v>
      </c>
      <c r="H830" s="718"/>
      <c r="I830" s="719">
        <v>100238</v>
      </c>
      <c r="J830" s="719">
        <v>4675271</v>
      </c>
      <c r="K830" s="719">
        <v>365408</v>
      </c>
      <c r="L830" s="718">
        <v>0</v>
      </c>
      <c r="M830" s="718"/>
      <c r="N830" s="719">
        <v>186949</v>
      </c>
      <c r="O830" s="719">
        <v>1725618</v>
      </c>
      <c r="P830" s="719">
        <v>0</v>
      </c>
      <c r="Q830" s="718">
        <v>202410</v>
      </c>
      <c r="R830" s="719">
        <f t="shared" si="12"/>
        <v>2949653</v>
      </c>
      <c r="S830" s="718"/>
      <c r="T830" s="719">
        <v>1426001</v>
      </c>
      <c r="U830" s="721">
        <v>-62123</v>
      </c>
      <c r="V830" s="721">
        <v>1363878</v>
      </c>
    </row>
    <row r="831" spans="1:22" x14ac:dyDescent="0.25">
      <c r="A831" s="715">
        <v>99203</v>
      </c>
      <c r="B831" s="716" t="s">
        <v>3362</v>
      </c>
      <c r="C831" s="717">
        <v>3.1990000000000002E-4</v>
      </c>
      <c r="D831" s="717">
        <v>2.5050000000000002E-4</v>
      </c>
      <c r="E831" s="718">
        <v>105117</v>
      </c>
      <c r="F831" s="718">
        <v>112423</v>
      </c>
      <c r="G831" s="718">
        <v>678935</v>
      </c>
      <c r="H831" s="718"/>
      <c r="I831" s="719">
        <v>12756</v>
      </c>
      <c r="J831" s="719">
        <v>594963</v>
      </c>
      <c r="K831" s="719">
        <v>46501</v>
      </c>
      <c r="L831" s="718">
        <v>40829</v>
      </c>
      <c r="M831" s="718"/>
      <c r="N831" s="719">
        <v>23791</v>
      </c>
      <c r="O831" s="719">
        <v>219598</v>
      </c>
      <c r="P831" s="719">
        <v>0</v>
      </c>
      <c r="Q831" s="718">
        <v>0</v>
      </c>
      <c r="R831" s="719">
        <f t="shared" si="12"/>
        <v>375365</v>
      </c>
      <c r="S831" s="718"/>
      <c r="T831" s="719">
        <v>181469</v>
      </c>
      <c r="U831" s="721">
        <v>16396</v>
      </c>
      <c r="V831" s="721">
        <v>197865</v>
      </c>
    </row>
    <row r="832" spans="1:22" x14ac:dyDescent="0.25">
      <c r="A832" s="715">
        <v>99204</v>
      </c>
      <c r="B832" s="716" t="s">
        <v>3363</v>
      </c>
      <c r="C832" s="717">
        <v>7.4910000000000005E-4</v>
      </c>
      <c r="D832" s="717">
        <v>6.5600000000000001E-4</v>
      </c>
      <c r="E832" s="718">
        <v>316209.94</v>
      </c>
      <c r="F832" s="718">
        <v>294409</v>
      </c>
      <c r="G832" s="718">
        <v>1589841</v>
      </c>
      <c r="H832" s="718"/>
      <c r="I832" s="719">
        <v>29870</v>
      </c>
      <c r="J832" s="719">
        <v>1393208</v>
      </c>
      <c r="K832" s="719">
        <v>108890</v>
      </c>
      <c r="L832" s="718">
        <v>82158</v>
      </c>
      <c r="M832" s="718"/>
      <c r="N832" s="719">
        <v>55710</v>
      </c>
      <c r="O832" s="719">
        <v>514226</v>
      </c>
      <c r="P832" s="719">
        <v>0</v>
      </c>
      <c r="Q832" s="718">
        <v>0</v>
      </c>
      <c r="R832" s="719">
        <f t="shared" si="12"/>
        <v>878982</v>
      </c>
      <c r="S832" s="718"/>
      <c r="T832" s="719">
        <v>424941</v>
      </c>
      <c r="U832" s="721">
        <v>24836</v>
      </c>
      <c r="V832" s="721">
        <v>449777</v>
      </c>
    </row>
    <row r="833" spans="1:22" x14ac:dyDescent="0.25">
      <c r="A833" s="715">
        <v>99206</v>
      </c>
      <c r="B833" s="716" t="s">
        <v>3364</v>
      </c>
      <c r="C833" s="717">
        <v>1.6665E-3</v>
      </c>
      <c r="D833" s="717">
        <v>1.9373999999999999E-3</v>
      </c>
      <c r="E833" s="718">
        <v>1101168.54</v>
      </c>
      <c r="F833" s="718">
        <v>869493</v>
      </c>
      <c r="G833" s="718">
        <v>3536871</v>
      </c>
      <c r="H833" s="718"/>
      <c r="I833" s="719">
        <v>66452</v>
      </c>
      <c r="J833" s="719">
        <v>3099427</v>
      </c>
      <c r="K833" s="719">
        <v>242244</v>
      </c>
      <c r="L833" s="718">
        <v>400880</v>
      </c>
      <c r="M833" s="718"/>
      <c r="N833" s="719">
        <v>123936</v>
      </c>
      <c r="O833" s="719">
        <v>1143982</v>
      </c>
      <c r="P833" s="719">
        <v>0</v>
      </c>
      <c r="Q833" s="718">
        <v>13550</v>
      </c>
      <c r="R833" s="719">
        <f t="shared" si="12"/>
        <v>1955445</v>
      </c>
      <c r="S833" s="718"/>
      <c r="T833" s="719">
        <v>945354</v>
      </c>
      <c r="U833" s="721">
        <v>117813</v>
      </c>
      <c r="V833" s="721">
        <v>1063167</v>
      </c>
    </row>
    <row r="834" spans="1:22" x14ac:dyDescent="0.25">
      <c r="A834" s="715">
        <v>99207</v>
      </c>
      <c r="B834" s="716" t="s">
        <v>3365</v>
      </c>
      <c r="C834" s="717">
        <v>1.3430000000000001E-4</v>
      </c>
      <c r="D834" s="717">
        <v>1.4320000000000001E-4</v>
      </c>
      <c r="E834" s="718">
        <v>122929.82</v>
      </c>
      <c r="F834" s="718">
        <v>64267</v>
      </c>
      <c r="G834" s="718">
        <v>285030</v>
      </c>
      <c r="H834" s="718"/>
      <c r="I834" s="719">
        <v>5355</v>
      </c>
      <c r="J834" s="719">
        <v>249777</v>
      </c>
      <c r="K834" s="719">
        <v>19522</v>
      </c>
      <c r="L834" s="718">
        <v>79584</v>
      </c>
      <c r="M834" s="718"/>
      <c r="N834" s="719">
        <v>9988</v>
      </c>
      <c r="O834" s="719">
        <v>92191</v>
      </c>
      <c r="P834" s="719">
        <v>0</v>
      </c>
      <c r="Q834" s="718">
        <v>0</v>
      </c>
      <c r="R834" s="719">
        <f t="shared" si="12"/>
        <v>157586</v>
      </c>
      <c r="S834" s="718"/>
      <c r="T834" s="719">
        <v>76184</v>
      </c>
      <c r="U834" s="721">
        <v>24293</v>
      </c>
      <c r="V834" s="721">
        <v>100477</v>
      </c>
    </row>
    <row r="835" spans="1:22" x14ac:dyDescent="0.25">
      <c r="A835" s="715">
        <v>99208</v>
      </c>
      <c r="B835" s="716" t="s">
        <v>3366</v>
      </c>
      <c r="C835" s="717">
        <v>1.3669999999999999E-4</v>
      </c>
      <c r="D835" s="717">
        <v>1.774E-4</v>
      </c>
      <c r="E835" s="718">
        <v>46840</v>
      </c>
      <c r="F835" s="718">
        <v>79616</v>
      </c>
      <c r="G835" s="718">
        <v>290123</v>
      </c>
      <c r="H835" s="718"/>
      <c r="I835" s="719">
        <v>5451</v>
      </c>
      <c r="J835" s="719">
        <v>254240</v>
      </c>
      <c r="K835" s="719">
        <v>19871</v>
      </c>
      <c r="L835" s="718">
        <v>0</v>
      </c>
      <c r="M835" s="718"/>
      <c r="N835" s="719">
        <v>10166</v>
      </c>
      <c r="O835" s="719">
        <v>93839</v>
      </c>
      <c r="P835" s="719">
        <v>0</v>
      </c>
      <c r="Q835" s="718">
        <v>57522</v>
      </c>
      <c r="R835" s="719">
        <f t="shared" si="12"/>
        <v>160401</v>
      </c>
      <c r="S835" s="718"/>
      <c r="T835" s="719">
        <v>77546</v>
      </c>
      <c r="U835" s="721">
        <v>-20235</v>
      </c>
      <c r="V835" s="721">
        <v>57311</v>
      </c>
    </row>
    <row r="836" spans="1:22" x14ac:dyDescent="0.25">
      <c r="A836" s="715">
        <v>99210</v>
      </c>
      <c r="B836" s="716" t="s">
        <v>3367</v>
      </c>
      <c r="C836" s="717">
        <v>1.5945E-3</v>
      </c>
      <c r="D836" s="717">
        <v>1.6262E-3</v>
      </c>
      <c r="E836" s="718">
        <v>706576</v>
      </c>
      <c r="F836" s="718">
        <v>729829</v>
      </c>
      <c r="G836" s="718">
        <v>3384063</v>
      </c>
      <c r="H836" s="718"/>
      <c r="I836" s="719">
        <v>63581</v>
      </c>
      <c r="J836" s="719">
        <v>2965518</v>
      </c>
      <c r="K836" s="719">
        <v>231778</v>
      </c>
      <c r="L836" s="718">
        <v>80869</v>
      </c>
      <c r="M836" s="718"/>
      <c r="N836" s="719">
        <v>118581</v>
      </c>
      <c r="O836" s="719">
        <v>1094557</v>
      </c>
      <c r="P836" s="719">
        <v>0</v>
      </c>
      <c r="Q836" s="718">
        <v>0</v>
      </c>
      <c r="R836" s="719">
        <f t="shared" si="12"/>
        <v>1870961</v>
      </c>
      <c r="S836" s="718"/>
      <c r="T836" s="719">
        <v>904510</v>
      </c>
      <c r="U836" s="721">
        <v>27611</v>
      </c>
      <c r="V836" s="721">
        <v>932122</v>
      </c>
    </row>
    <row r="837" spans="1:22" x14ac:dyDescent="0.25">
      <c r="A837" s="715">
        <v>99211</v>
      </c>
      <c r="B837" s="716" t="s">
        <v>3368</v>
      </c>
      <c r="C837" s="717">
        <v>3.8233999999999997E-2</v>
      </c>
      <c r="D837" s="717">
        <v>3.7564199999999999E-2</v>
      </c>
      <c r="E837" s="718">
        <v>14152947</v>
      </c>
      <c r="F837" s="718">
        <v>16858588</v>
      </c>
      <c r="G837" s="718">
        <v>81145356</v>
      </c>
      <c r="H837" s="718"/>
      <c r="I837" s="719">
        <v>1524580.75</v>
      </c>
      <c r="J837" s="719">
        <v>71109199</v>
      </c>
      <c r="K837" s="719">
        <v>5557732</v>
      </c>
      <c r="L837" s="718">
        <v>0</v>
      </c>
      <c r="M837" s="718"/>
      <c r="N837" s="719">
        <v>2843424</v>
      </c>
      <c r="O837" s="719">
        <v>26246035</v>
      </c>
      <c r="P837" s="719">
        <v>0</v>
      </c>
      <c r="Q837" s="718">
        <v>1538962</v>
      </c>
      <c r="R837" s="719">
        <f t="shared" si="12"/>
        <v>44863164</v>
      </c>
      <c r="S837" s="718"/>
      <c r="T837" s="719">
        <v>21688963</v>
      </c>
      <c r="U837" s="721">
        <v>-519725</v>
      </c>
      <c r="V837" s="721">
        <v>21169238</v>
      </c>
    </row>
    <row r="838" spans="1:22" x14ac:dyDescent="0.25">
      <c r="A838" s="715">
        <v>99212</v>
      </c>
      <c r="B838" s="716" t="s">
        <v>3369</v>
      </c>
      <c r="C838" s="717">
        <v>7.4400000000000006E-5</v>
      </c>
      <c r="D838" s="717">
        <v>1.2750000000000001E-4</v>
      </c>
      <c r="E838" s="718">
        <v>26346.03</v>
      </c>
      <c r="F838" s="718">
        <v>57221</v>
      </c>
      <c r="G838" s="718">
        <v>157902</v>
      </c>
      <c r="H838" s="718"/>
      <c r="I838" s="719">
        <v>2967</v>
      </c>
      <c r="J838" s="719">
        <v>138372</v>
      </c>
      <c r="K838" s="719">
        <v>10815</v>
      </c>
      <c r="L838" s="718">
        <v>0</v>
      </c>
      <c r="M838" s="718"/>
      <c r="N838" s="719">
        <v>5533</v>
      </c>
      <c r="O838" s="719">
        <v>51072</v>
      </c>
      <c r="P838" s="719">
        <v>0</v>
      </c>
      <c r="Q838" s="718">
        <v>49365</v>
      </c>
      <c r="R838" s="719">
        <f t="shared" si="12"/>
        <v>87300</v>
      </c>
      <c r="S838" s="718"/>
      <c r="T838" s="719">
        <v>42205</v>
      </c>
      <c r="U838" s="721">
        <v>-15321</v>
      </c>
      <c r="V838" s="721">
        <v>26884</v>
      </c>
    </row>
    <row r="839" spans="1:22" x14ac:dyDescent="0.25">
      <c r="A839" s="715">
        <v>99213</v>
      </c>
      <c r="B839" s="716" t="s">
        <v>3370</v>
      </c>
      <c r="C839" s="717">
        <v>8.0730000000000005E-4</v>
      </c>
      <c r="D839" s="717">
        <v>8.3339999999999998E-4</v>
      </c>
      <c r="E839" s="718">
        <v>326035</v>
      </c>
      <c r="F839" s="718">
        <v>374025</v>
      </c>
      <c r="G839" s="718">
        <v>1713361</v>
      </c>
      <c r="H839" s="718"/>
      <c r="I839" s="719">
        <v>32191</v>
      </c>
      <c r="J839" s="719">
        <v>1501450</v>
      </c>
      <c r="K839" s="719">
        <v>117350</v>
      </c>
      <c r="L839" s="718">
        <v>9384</v>
      </c>
      <c r="M839" s="718"/>
      <c r="N839" s="719">
        <v>60038</v>
      </c>
      <c r="O839" s="719">
        <v>554178</v>
      </c>
      <c r="P839" s="719">
        <v>0</v>
      </c>
      <c r="Q839" s="718">
        <v>21194</v>
      </c>
      <c r="R839" s="719">
        <f t="shared" ref="R839:R902" si="13">IF(J839&gt;O839,J839-O839,O839-J839)</f>
        <v>947272</v>
      </c>
      <c r="S839" s="718"/>
      <c r="T839" s="719">
        <v>457956</v>
      </c>
      <c r="U839" s="721">
        <v>-2728</v>
      </c>
      <c r="V839" s="721">
        <v>455228</v>
      </c>
    </row>
    <row r="840" spans="1:22" x14ac:dyDescent="0.25">
      <c r="A840" s="715">
        <v>99218</v>
      </c>
      <c r="B840" s="716" t="s">
        <v>3371</v>
      </c>
      <c r="C840" s="717">
        <v>3.1227999999999998E-3</v>
      </c>
      <c r="D840" s="717">
        <v>2.8506999999999998E-3</v>
      </c>
      <c r="E840" s="718">
        <v>1270452.44</v>
      </c>
      <c r="F840" s="718">
        <v>1279377</v>
      </c>
      <c r="G840" s="718">
        <v>6627628</v>
      </c>
      <c r="H840" s="718"/>
      <c r="I840" s="719">
        <v>124521.65</v>
      </c>
      <c r="J840" s="719">
        <v>5807915</v>
      </c>
      <c r="K840" s="719">
        <v>453933</v>
      </c>
      <c r="L840" s="718">
        <v>189764</v>
      </c>
      <c r="M840" s="718"/>
      <c r="N840" s="719">
        <v>232240</v>
      </c>
      <c r="O840" s="719">
        <v>2143671</v>
      </c>
      <c r="P840" s="719">
        <v>0</v>
      </c>
      <c r="Q840" s="718">
        <v>0</v>
      </c>
      <c r="R840" s="719">
        <f t="shared" si="13"/>
        <v>3664244</v>
      </c>
      <c r="S840" s="718"/>
      <c r="T840" s="719">
        <v>1771468</v>
      </c>
      <c r="U840" s="721">
        <v>55483</v>
      </c>
      <c r="V840" s="721">
        <v>1826951</v>
      </c>
    </row>
    <row r="841" spans="1:22" x14ac:dyDescent="0.25">
      <c r="A841" s="715">
        <v>99221</v>
      </c>
      <c r="B841" s="716" t="s">
        <v>3372</v>
      </c>
      <c r="C841" s="717">
        <v>1.3092700000000001E-2</v>
      </c>
      <c r="D841" s="717">
        <v>1.33233E-2</v>
      </c>
      <c r="E841" s="718">
        <v>4943528</v>
      </c>
      <c r="F841" s="718">
        <v>5979417</v>
      </c>
      <c r="G841" s="718">
        <v>27787095</v>
      </c>
      <c r="H841" s="718"/>
      <c r="I841" s="719">
        <v>522071</v>
      </c>
      <c r="J841" s="719">
        <v>24350353</v>
      </c>
      <c r="K841" s="719">
        <v>1903168</v>
      </c>
      <c r="L841" s="718">
        <v>0</v>
      </c>
      <c r="M841" s="718"/>
      <c r="N841" s="719">
        <v>973691</v>
      </c>
      <c r="O841" s="719">
        <v>8987589</v>
      </c>
      <c r="P841" s="719">
        <v>0</v>
      </c>
      <c r="Q841" s="718">
        <v>703621</v>
      </c>
      <c r="R841" s="719">
        <f t="shared" si="13"/>
        <v>15362764</v>
      </c>
      <c r="S841" s="718"/>
      <c r="T841" s="719">
        <v>7427083</v>
      </c>
      <c r="U841" s="721">
        <v>-220701</v>
      </c>
      <c r="V841" s="721">
        <v>7206381</v>
      </c>
    </row>
    <row r="842" spans="1:22" x14ac:dyDescent="0.25">
      <c r="A842" s="715">
        <v>99222</v>
      </c>
      <c r="B842" s="716" t="s">
        <v>3373</v>
      </c>
      <c r="C842" s="717">
        <v>4.0099999999999999E-5</v>
      </c>
      <c r="D842" s="717">
        <v>3.82E-5</v>
      </c>
      <c r="E842" s="718">
        <v>13647</v>
      </c>
      <c r="F842" s="718">
        <v>17144</v>
      </c>
      <c r="G842" s="718">
        <v>85106</v>
      </c>
      <c r="H842" s="718"/>
      <c r="I842" s="719">
        <v>1599</v>
      </c>
      <c r="J842" s="719">
        <v>74580</v>
      </c>
      <c r="K842" s="719">
        <v>5829</v>
      </c>
      <c r="L842" s="718">
        <v>3575</v>
      </c>
      <c r="M842" s="718"/>
      <c r="N842" s="719">
        <v>2982</v>
      </c>
      <c r="O842" s="719">
        <v>27527</v>
      </c>
      <c r="P842" s="719">
        <v>0</v>
      </c>
      <c r="Q842" s="718">
        <v>1230</v>
      </c>
      <c r="R842" s="719">
        <f t="shared" si="13"/>
        <v>47053</v>
      </c>
      <c r="S842" s="718"/>
      <c r="T842" s="719">
        <v>22747</v>
      </c>
      <c r="U842" s="721">
        <v>949</v>
      </c>
      <c r="V842" s="721">
        <v>23697</v>
      </c>
    </row>
    <row r="843" spans="1:22" x14ac:dyDescent="0.25">
      <c r="A843" s="715">
        <v>99231</v>
      </c>
      <c r="B843" s="716" t="s">
        <v>3374</v>
      </c>
      <c r="C843" s="717">
        <v>3.7869999999999999E-4</v>
      </c>
      <c r="D843" s="717">
        <v>3.7139999999999997E-4</v>
      </c>
      <c r="E843" s="718">
        <v>142098.15</v>
      </c>
      <c r="F843" s="718">
        <v>166682</v>
      </c>
      <c r="G843" s="718">
        <v>803728</v>
      </c>
      <c r="H843" s="718"/>
      <c r="I843" s="719">
        <v>15101</v>
      </c>
      <c r="J843" s="719">
        <v>704322</v>
      </c>
      <c r="K843" s="719">
        <v>55048</v>
      </c>
      <c r="L843" s="718">
        <v>0</v>
      </c>
      <c r="M843" s="718"/>
      <c r="N843" s="719">
        <v>28164</v>
      </c>
      <c r="O843" s="719">
        <v>259962</v>
      </c>
      <c r="P843" s="719">
        <v>0</v>
      </c>
      <c r="Q843" s="718">
        <v>27202</v>
      </c>
      <c r="R843" s="719">
        <f t="shared" si="13"/>
        <v>444360</v>
      </c>
      <c r="S843" s="718"/>
      <c r="T843" s="719">
        <v>214825</v>
      </c>
      <c r="U843" s="721">
        <v>-11082</v>
      </c>
      <c r="V843" s="721">
        <v>203743</v>
      </c>
    </row>
    <row r="844" spans="1:22" x14ac:dyDescent="0.25">
      <c r="A844" s="715">
        <v>99241</v>
      </c>
      <c r="B844" s="716" t="s">
        <v>3375</v>
      </c>
      <c r="C844" s="717">
        <v>5.6039999999999996E-4</v>
      </c>
      <c r="D844" s="717">
        <v>5.9259999999999998E-4</v>
      </c>
      <c r="E844" s="718">
        <v>196949</v>
      </c>
      <c r="F844" s="718">
        <v>265955</v>
      </c>
      <c r="G844" s="718">
        <v>1189357</v>
      </c>
      <c r="H844" s="718"/>
      <c r="I844" s="719">
        <v>22346</v>
      </c>
      <c r="J844" s="719">
        <v>1042255</v>
      </c>
      <c r="K844" s="719">
        <v>81460</v>
      </c>
      <c r="L844" s="718">
        <v>0</v>
      </c>
      <c r="M844" s="718"/>
      <c r="N844" s="719">
        <v>41676</v>
      </c>
      <c r="O844" s="719">
        <v>384691</v>
      </c>
      <c r="P844" s="719">
        <v>0</v>
      </c>
      <c r="Q844" s="718">
        <v>122254</v>
      </c>
      <c r="R844" s="719">
        <f t="shared" si="13"/>
        <v>657564</v>
      </c>
      <c r="S844" s="718"/>
      <c r="T844" s="719">
        <v>317898</v>
      </c>
      <c r="U844" s="721">
        <v>-45505</v>
      </c>
      <c r="V844" s="721">
        <v>272393</v>
      </c>
    </row>
    <row r="845" spans="1:22" x14ac:dyDescent="0.25">
      <c r="A845" s="715">
        <v>99251</v>
      </c>
      <c r="B845" s="716" t="s">
        <v>3376</v>
      </c>
      <c r="C845" s="717">
        <v>1.6521000000000001E-3</v>
      </c>
      <c r="D845" s="717">
        <v>1.598E-3</v>
      </c>
      <c r="E845" s="718">
        <v>644905</v>
      </c>
      <c r="F845" s="718">
        <v>717173</v>
      </c>
      <c r="G845" s="718">
        <v>3506310</v>
      </c>
      <c r="H845" s="718"/>
      <c r="I845" s="719">
        <v>65877</v>
      </c>
      <c r="J845" s="719">
        <v>3072645</v>
      </c>
      <c r="K845" s="719">
        <v>240151</v>
      </c>
      <c r="L845" s="718">
        <v>3992</v>
      </c>
      <c r="M845" s="718"/>
      <c r="N845" s="719">
        <v>122865</v>
      </c>
      <c r="O845" s="719">
        <v>1134097</v>
      </c>
      <c r="P845" s="719">
        <v>0</v>
      </c>
      <c r="Q845" s="718">
        <v>14191</v>
      </c>
      <c r="R845" s="719">
        <f t="shared" si="13"/>
        <v>1938548</v>
      </c>
      <c r="S845" s="718"/>
      <c r="T845" s="719">
        <v>937185</v>
      </c>
      <c r="U845" s="721">
        <v>-5897</v>
      </c>
      <c r="V845" s="721">
        <v>931288</v>
      </c>
    </row>
    <row r="846" spans="1:22" x14ac:dyDescent="0.25">
      <c r="A846" s="715">
        <v>99252</v>
      </c>
      <c r="B846" s="716" t="s">
        <v>3377</v>
      </c>
      <c r="C846" s="717">
        <v>5.8279999999999996E-4</v>
      </c>
      <c r="D846" s="717">
        <v>7.4010000000000005E-4</v>
      </c>
      <c r="E846" s="718">
        <v>174600</v>
      </c>
      <c r="F846" s="718">
        <v>332152</v>
      </c>
      <c r="G846" s="718">
        <v>1236897</v>
      </c>
      <c r="H846" s="718"/>
      <c r="I846" s="719">
        <v>23239</v>
      </c>
      <c r="J846" s="719">
        <v>1083916</v>
      </c>
      <c r="K846" s="719">
        <v>84716</v>
      </c>
      <c r="L846" s="718">
        <v>0</v>
      </c>
      <c r="M846" s="718"/>
      <c r="N846" s="719">
        <v>43342</v>
      </c>
      <c r="O846" s="719">
        <v>400068</v>
      </c>
      <c r="P846" s="719">
        <v>0</v>
      </c>
      <c r="Q846" s="718">
        <v>244190</v>
      </c>
      <c r="R846" s="719">
        <f t="shared" si="13"/>
        <v>683848</v>
      </c>
      <c r="S846" s="718"/>
      <c r="T846" s="719">
        <v>330604</v>
      </c>
      <c r="U846" s="721">
        <v>-77201</v>
      </c>
      <c r="V846" s="721">
        <v>253403</v>
      </c>
    </row>
    <row r="847" spans="1:22" x14ac:dyDescent="0.25">
      <c r="A847" s="715">
        <v>99261</v>
      </c>
      <c r="B847" s="716" t="s">
        <v>3378</v>
      </c>
      <c r="C847" s="717">
        <v>1.9145E-3</v>
      </c>
      <c r="D847" s="717">
        <v>1.8552E-3</v>
      </c>
      <c r="E847" s="718">
        <v>638819</v>
      </c>
      <c r="F847" s="718">
        <v>832603</v>
      </c>
      <c r="G847" s="718">
        <v>4063210</v>
      </c>
      <c r="H847" s="718"/>
      <c r="I847" s="719">
        <v>76341</v>
      </c>
      <c r="J847" s="719">
        <v>3560668</v>
      </c>
      <c r="K847" s="719">
        <v>278294</v>
      </c>
      <c r="L847" s="718">
        <v>0</v>
      </c>
      <c r="M847" s="718"/>
      <c r="N847" s="719">
        <v>142379</v>
      </c>
      <c r="O847" s="719">
        <v>1314224</v>
      </c>
      <c r="P847" s="719">
        <v>0</v>
      </c>
      <c r="Q847" s="718">
        <v>177810</v>
      </c>
      <c r="R847" s="719">
        <f t="shared" si="13"/>
        <v>2246444</v>
      </c>
      <c r="S847" s="718"/>
      <c r="T847" s="719">
        <v>1086037</v>
      </c>
      <c r="U847" s="721">
        <v>-61359</v>
      </c>
      <c r="V847" s="721">
        <v>1024677</v>
      </c>
    </row>
    <row r="848" spans="1:22" x14ac:dyDescent="0.25">
      <c r="A848" s="715">
        <v>99271</v>
      </c>
      <c r="B848" s="716" t="s">
        <v>3379</v>
      </c>
      <c r="C848" s="717">
        <v>3.9248E-3</v>
      </c>
      <c r="D848" s="717">
        <v>3.9693000000000003E-3</v>
      </c>
      <c r="E848" s="718">
        <v>1483973.83</v>
      </c>
      <c r="F848" s="718">
        <v>1781398</v>
      </c>
      <c r="G848" s="718">
        <v>8329740</v>
      </c>
      <c r="H848" s="718"/>
      <c r="I848" s="719">
        <v>156501.4</v>
      </c>
      <c r="J848" s="719">
        <v>7299508</v>
      </c>
      <c r="K848" s="719">
        <v>570513</v>
      </c>
      <c r="L848" s="718">
        <v>0</v>
      </c>
      <c r="M848" s="718"/>
      <c r="N848" s="719">
        <v>291883</v>
      </c>
      <c r="O848" s="719">
        <v>2694210</v>
      </c>
      <c r="P848" s="719">
        <v>0</v>
      </c>
      <c r="Q848" s="718">
        <v>151650</v>
      </c>
      <c r="R848" s="719">
        <f t="shared" si="13"/>
        <v>4605298</v>
      </c>
      <c r="S848" s="718"/>
      <c r="T848" s="719">
        <v>2226417</v>
      </c>
      <c r="U848" s="721">
        <v>-42013</v>
      </c>
      <c r="V848" s="721">
        <v>2184404</v>
      </c>
    </row>
    <row r="849" spans="1:22" x14ac:dyDescent="0.25">
      <c r="A849" s="715">
        <v>99281</v>
      </c>
      <c r="B849" s="716" t="s">
        <v>3380</v>
      </c>
      <c r="C849" s="717">
        <v>2.2824E-3</v>
      </c>
      <c r="D849" s="717">
        <v>2.3207000000000002E-3</v>
      </c>
      <c r="E849" s="718">
        <v>859938</v>
      </c>
      <c r="F849" s="718">
        <v>1041516</v>
      </c>
      <c r="G849" s="718">
        <v>4844017</v>
      </c>
      <c r="H849" s="718"/>
      <c r="I849" s="719">
        <v>91010.7</v>
      </c>
      <c r="J849" s="719">
        <v>4244903</v>
      </c>
      <c r="K849" s="719">
        <v>331772</v>
      </c>
      <c r="L849" s="718">
        <v>13554</v>
      </c>
      <c r="M849" s="718"/>
      <c r="N849" s="719">
        <v>169740</v>
      </c>
      <c r="O849" s="719">
        <v>1566772</v>
      </c>
      <c r="P849" s="719">
        <v>0</v>
      </c>
      <c r="Q849" s="718">
        <v>113243</v>
      </c>
      <c r="R849" s="719">
        <f t="shared" si="13"/>
        <v>2678131</v>
      </c>
      <c r="S849" s="718"/>
      <c r="T849" s="719">
        <v>1294735</v>
      </c>
      <c r="U849" s="721">
        <v>-25393</v>
      </c>
      <c r="V849" s="721">
        <v>1269342</v>
      </c>
    </row>
    <row r="850" spans="1:22" x14ac:dyDescent="0.25">
      <c r="A850" s="715">
        <v>99291</v>
      </c>
      <c r="B850" s="716" t="s">
        <v>3381</v>
      </c>
      <c r="C850" s="717">
        <v>7.7260000000000002E-4</v>
      </c>
      <c r="D850" s="717">
        <v>8.0780000000000001E-4</v>
      </c>
      <c r="E850" s="718">
        <v>267315.87</v>
      </c>
      <c r="F850" s="718">
        <v>362536</v>
      </c>
      <c r="G850" s="718">
        <v>1639716</v>
      </c>
      <c r="H850" s="718"/>
      <c r="I850" s="719">
        <v>30807</v>
      </c>
      <c r="J850" s="719">
        <v>1436914</v>
      </c>
      <c r="K850" s="719">
        <v>112306</v>
      </c>
      <c r="L850" s="718">
        <v>0</v>
      </c>
      <c r="M850" s="718"/>
      <c r="N850" s="719">
        <v>57457</v>
      </c>
      <c r="O850" s="719">
        <v>530357</v>
      </c>
      <c r="P850" s="719">
        <v>0</v>
      </c>
      <c r="Q850" s="718">
        <v>124026</v>
      </c>
      <c r="R850" s="719">
        <f t="shared" si="13"/>
        <v>906557</v>
      </c>
      <c r="S850" s="718"/>
      <c r="T850" s="719">
        <v>438272</v>
      </c>
      <c r="U850" s="721">
        <v>-41703</v>
      </c>
      <c r="V850" s="721">
        <v>396569</v>
      </c>
    </row>
    <row r="851" spans="1:22" x14ac:dyDescent="0.25">
      <c r="A851" s="715">
        <v>99301</v>
      </c>
      <c r="B851" s="716" t="s">
        <v>3382</v>
      </c>
      <c r="C851" s="717">
        <v>1.8458000000000001E-3</v>
      </c>
      <c r="D851" s="717">
        <v>1.7903000000000001E-3</v>
      </c>
      <c r="E851" s="718">
        <v>720012.84</v>
      </c>
      <c r="F851" s="718">
        <v>803476</v>
      </c>
      <c r="G851" s="718">
        <v>3917406</v>
      </c>
      <c r="H851" s="718"/>
      <c r="I851" s="719">
        <v>73601</v>
      </c>
      <c r="J851" s="719">
        <v>3432896</v>
      </c>
      <c r="K851" s="719">
        <v>268307</v>
      </c>
      <c r="L851" s="718">
        <v>122430</v>
      </c>
      <c r="M851" s="718"/>
      <c r="N851" s="719">
        <v>137270</v>
      </c>
      <c r="O851" s="719">
        <v>1267064</v>
      </c>
      <c r="P851" s="719">
        <v>0</v>
      </c>
      <c r="Q851" s="718">
        <v>957</v>
      </c>
      <c r="R851" s="719">
        <f t="shared" si="13"/>
        <v>2165832</v>
      </c>
      <c r="S851" s="718"/>
      <c r="T851" s="719">
        <v>1047065</v>
      </c>
      <c r="U851" s="721">
        <v>54774</v>
      </c>
      <c r="V851" s="721">
        <v>1101839</v>
      </c>
    </row>
    <row r="852" spans="1:22" x14ac:dyDescent="0.25">
      <c r="A852" s="715">
        <v>99304</v>
      </c>
      <c r="B852" s="716" t="s">
        <v>3383</v>
      </c>
      <c r="C852" s="717">
        <v>9.9000000000000001E-6</v>
      </c>
      <c r="D852" s="717">
        <v>1.0000000000000001E-5</v>
      </c>
      <c r="E852" s="718">
        <v>6537</v>
      </c>
      <c r="F852" s="718">
        <v>4488</v>
      </c>
      <c r="G852" s="718">
        <v>21011</v>
      </c>
      <c r="H852" s="718"/>
      <c r="I852" s="719">
        <v>394.76249999999999</v>
      </c>
      <c r="J852" s="719">
        <v>18412</v>
      </c>
      <c r="K852" s="719">
        <v>1439</v>
      </c>
      <c r="L852" s="718">
        <v>3536</v>
      </c>
      <c r="M852" s="718"/>
      <c r="N852" s="719">
        <v>736</v>
      </c>
      <c r="O852" s="719">
        <v>6796</v>
      </c>
      <c r="P852" s="719">
        <v>0</v>
      </c>
      <c r="Q852" s="718">
        <v>498</v>
      </c>
      <c r="R852" s="719">
        <f t="shared" si="13"/>
        <v>11616</v>
      </c>
      <c r="S852" s="718"/>
      <c r="T852" s="719">
        <v>5616</v>
      </c>
      <c r="U852" s="721">
        <v>822</v>
      </c>
      <c r="V852" s="721">
        <v>6438</v>
      </c>
    </row>
    <row r="853" spans="1:22" x14ac:dyDescent="0.25">
      <c r="A853" s="715">
        <v>99311</v>
      </c>
      <c r="B853" s="716" t="s">
        <v>3384</v>
      </c>
      <c r="C853" s="717">
        <v>5.7599999999999997E-5</v>
      </c>
      <c r="D853" s="717">
        <v>6.2100000000000005E-5</v>
      </c>
      <c r="E853" s="718">
        <v>21136.39</v>
      </c>
      <c r="F853" s="718">
        <v>27870</v>
      </c>
      <c r="G853" s="718">
        <v>122246</v>
      </c>
      <c r="H853" s="718"/>
      <c r="I853" s="719">
        <v>2297</v>
      </c>
      <c r="J853" s="719">
        <v>107127</v>
      </c>
      <c r="K853" s="719">
        <v>8373</v>
      </c>
      <c r="L853" s="718">
        <v>0</v>
      </c>
      <c r="M853" s="718"/>
      <c r="N853" s="719">
        <v>4284</v>
      </c>
      <c r="O853" s="719">
        <v>39540</v>
      </c>
      <c r="P853" s="719">
        <v>0</v>
      </c>
      <c r="Q853" s="718">
        <v>7642</v>
      </c>
      <c r="R853" s="719">
        <f t="shared" si="13"/>
        <v>67587</v>
      </c>
      <c r="S853" s="718"/>
      <c r="T853" s="719">
        <v>32675</v>
      </c>
      <c r="U853" s="721">
        <v>-2750</v>
      </c>
      <c r="V853" s="721">
        <v>29925</v>
      </c>
    </row>
    <row r="854" spans="1:22" x14ac:dyDescent="0.25">
      <c r="A854" s="715">
        <v>99321</v>
      </c>
      <c r="B854" s="716" t="s">
        <v>3385</v>
      </c>
      <c r="C854" s="717">
        <v>1.1909999999999999E-4</v>
      </c>
      <c r="D854" s="717">
        <v>1.015E-4</v>
      </c>
      <c r="E854" s="718">
        <v>91759.74</v>
      </c>
      <c r="F854" s="718">
        <v>45553</v>
      </c>
      <c r="G854" s="718">
        <v>252770</v>
      </c>
      <c r="H854" s="718"/>
      <c r="I854" s="719">
        <v>4749</v>
      </c>
      <c r="J854" s="719">
        <v>221507</v>
      </c>
      <c r="K854" s="719">
        <v>17312</v>
      </c>
      <c r="L854" s="718">
        <v>97754</v>
      </c>
      <c r="M854" s="718"/>
      <c r="N854" s="719">
        <v>8857</v>
      </c>
      <c r="O854" s="719">
        <v>81757</v>
      </c>
      <c r="P854" s="719">
        <v>0</v>
      </c>
      <c r="Q854" s="718">
        <v>0</v>
      </c>
      <c r="R854" s="719">
        <f t="shared" si="13"/>
        <v>139750</v>
      </c>
      <c r="S854" s="718"/>
      <c r="T854" s="719">
        <v>67562</v>
      </c>
      <c r="U854" s="721">
        <v>33905</v>
      </c>
      <c r="V854" s="721">
        <v>101467</v>
      </c>
    </row>
    <row r="855" spans="1:22" x14ac:dyDescent="0.25">
      <c r="A855" s="715">
        <v>99401</v>
      </c>
      <c r="B855" s="716" t="s">
        <v>3386</v>
      </c>
      <c r="C855" s="717">
        <v>9.3869999999999999E-4</v>
      </c>
      <c r="D855" s="717">
        <v>9.0470000000000004E-4</v>
      </c>
      <c r="E855" s="718">
        <v>380574.92</v>
      </c>
      <c r="F855" s="718">
        <v>406024</v>
      </c>
      <c r="G855" s="718">
        <v>1992236</v>
      </c>
      <c r="H855" s="718"/>
      <c r="I855" s="719">
        <v>37431</v>
      </c>
      <c r="J855" s="719">
        <v>1745834</v>
      </c>
      <c r="K855" s="719">
        <v>136450</v>
      </c>
      <c r="L855" s="718">
        <v>60934</v>
      </c>
      <c r="M855" s="718"/>
      <c r="N855" s="719">
        <v>69810</v>
      </c>
      <c r="O855" s="719">
        <v>644378</v>
      </c>
      <c r="P855" s="719">
        <v>0</v>
      </c>
      <c r="Q855" s="718">
        <v>0</v>
      </c>
      <c r="R855" s="719">
        <f t="shared" si="13"/>
        <v>1101456</v>
      </c>
      <c r="S855" s="718"/>
      <c r="T855" s="719">
        <v>532495</v>
      </c>
      <c r="U855" s="721">
        <v>26694</v>
      </c>
      <c r="V855" s="721">
        <v>559189</v>
      </c>
    </row>
    <row r="856" spans="1:22" x14ac:dyDescent="0.25">
      <c r="A856" s="715">
        <v>99404</v>
      </c>
      <c r="B856" s="716" t="s">
        <v>3387</v>
      </c>
      <c r="C856" s="717">
        <v>9.5999999999999996E-6</v>
      </c>
      <c r="D856" s="717">
        <v>9.9000000000000001E-6</v>
      </c>
      <c r="E856" s="718">
        <v>4863.32</v>
      </c>
      <c r="F856" s="718">
        <v>4443</v>
      </c>
      <c r="G856" s="718">
        <v>20374</v>
      </c>
      <c r="H856" s="718"/>
      <c r="I856" s="719">
        <v>383</v>
      </c>
      <c r="J856" s="719">
        <v>17854</v>
      </c>
      <c r="K856" s="719">
        <v>1395</v>
      </c>
      <c r="L856" s="718">
        <v>890</v>
      </c>
      <c r="M856" s="718"/>
      <c r="N856" s="719">
        <v>714</v>
      </c>
      <c r="O856" s="719">
        <v>6590</v>
      </c>
      <c r="P856" s="719">
        <v>0</v>
      </c>
      <c r="Q856" s="718">
        <v>0</v>
      </c>
      <c r="R856" s="719">
        <f t="shared" si="13"/>
        <v>11264</v>
      </c>
      <c r="S856" s="718"/>
      <c r="T856" s="719">
        <v>5446</v>
      </c>
      <c r="U856" s="721">
        <v>284</v>
      </c>
      <c r="V856" s="721">
        <v>5730</v>
      </c>
    </row>
    <row r="857" spans="1:22" x14ac:dyDescent="0.25">
      <c r="A857" s="715">
        <v>99405</v>
      </c>
      <c r="B857" s="716" t="s">
        <v>3388</v>
      </c>
      <c r="C857" s="717">
        <v>5.8100000000000003E-5</v>
      </c>
      <c r="D857" s="717">
        <v>6.3399999999999996E-5</v>
      </c>
      <c r="E857" s="718">
        <v>32556.2</v>
      </c>
      <c r="F857" s="718">
        <v>28454</v>
      </c>
      <c r="G857" s="718">
        <v>123308</v>
      </c>
      <c r="H857" s="718"/>
      <c r="I857" s="719">
        <v>2317</v>
      </c>
      <c r="J857" s="719">
        <v>108057</v>
      </c>
      <c r="K857" s="719">
        <v>8445</v>
      </c>
      <c r="L857" s="718">
        <v>11934</v>
      </c>
      <c r="M857" s="718"/>
      <c r="N857" s="719">
        <v>4321</v>
      </c>
      <c r="O857" s="719">
        <v>39883</v>
      </c>
      <c r="P857" s="719">
        <v>0</v>
      </c>
      <c r="Q857" s="718">
        <v>675</v>
      </c>
      <c r="R857" s="719">
        <f t="shared" si="13"/>
        <v>68174</v>
      </c>
      <c r="S857" s="718"/>
      <c r="T857" s="719">
        <v>32958</v>
      </c>
      <c r="U857" s="721">
        <v>3510</v>
      </c>
      <c r="V857" s="721">
        <v>36468</v>
      </c>
    </row>
    <row r="858" spans="1:22" x14ac:dyDescent="0.25">
      <c r="A858" s="715">
        <v>99411</v>
      </c>
      <c r="B858" s="716" t="s">
        <v>3389</v>
      </c>
      <c r="C858" s="717">
        <v>1.2510000000000001E-4</v>
      </c>
      <c r="D858" s="717">
        <v>1.07E-4</v>
      </c>
      <c r="E858" s="718">
        <v>60724</v>
      </c>
      <c r="F858" s="718">
        <v>48021</v>
      </c>
      <c r="G858" s="718">
        <v>265504</v>
      </c>
      <c r="H858" s="718"/>
      <c r="I858" s="719">
        <v>4988</v>
      </c>
      <c r="J858" s="719">
        <v>232666</v>
      </c>
      <c r="K858" s="719">
        <v>18185</v>
      </c>
      <c r="L858" s="718">
        <v>24011</v>
      </c>
      <c r="M858" s="718"/>
      <c r="N858" s="719">
        <v>9304</v>
      </c>
      <c r="O858" s="719">
        <v>85876</v>
      </c>
      <c r="P858" s="719">
        <v>0</v>
      </c>
      <c r="Q858" s="718">
        <v>8844</v>
      </c>
      <c r="R858" s="719">
        <f t="shared" si="13"/>
        <v>146790</v>
      </c>
      <c r="S858" s="718"/>
      <c r="T858" s="719">
        <v>70965</v>
      </c>
      <c r="U858" s="721">
        <v>2430</v>
      </c>
      <c r="V858" s="721">
        <v>73395</v>
      </c>
    </row>
    <row r="859" spans="1:22" x14ac:dyDescent="0.25">
      <c r="A859" s="715">
        <v>99413</v>
      </c>
      <c r="B859" s="716" t="s">
        <v>3390</v>
      </c>
      <c r="C859" s="717">
        <v>2.76E-5</v>
      </c>
      <c r="D859" s="717">
        <v>4.21E-5</v>
      </c>
      <c r="E859" s="718">
        <v>17655.62</v>
      </c>
      <c r="F859" s="718">
        <v>18894</v>
      </c>
      <c r="G859" s="718">
        <v>58576</v>
      </c>
      <c r="H859" s="718"/>
      <c r="I859" s="719">
        <v>1100.55</v>
      </c>
      <c r="J859" s="719">
        <v>51332</v>
      </c>
      <c r="K859" s="719">
        <v>4012</v>
      </c>
      <c r="L859" s="718">
        <v>10</v>
      </c>
      <c r="M859" s="718"/>
      <c r="N859" s="719">
        <v>2053</v>
      </c>
      <c r="O859" s="719">
        <v>18946</v>
      </c>
      <c r="P859" s="719">
        <v>0</v>
      </c>
      <c r="Q859" s="718">
        <v>4264</v>
      </c>
      <c r="R859" s="719">
        <f t="shared" si="13"/>
        <v>32386</v>
      </c>
      <c r="S859" s="718"/>
      <c r="T859" s="719">
        <v>15657</v>
      </c>
      <c r="U859" s="721">
        <v>-1235</v>
      </c>
      <c r="V859" s="721">
        <v>14422</v>
      </c>
    </row>
    <row r="860" spans="1:22" x14ac:dyDescent="0.25">
      <c r="A860" s="715">
        <v>99421</v>
      </c>
      <c r="B860" s="716" t="s">
        <v>3391</v>
      </c>
      <c r="C860" s="717">
        <v>1.5E-5</v>
      </c>
      <c r="D860" s="717">
        <v>2.2099999999999998E-5</v>
      </c>
      <c r="E860" s="718">
        <v>6577</v>
      </c>
      <c r="F860" s="718">
        <v>9918</v>
      </c>
      <c r="G860" s="718">
        <v>31835</v>
      </c>
      <c r="H860" s="718"/>
      <c r="I860" s="719">
        <v>598.125</v>
      </c>
      <c r="J860" s="719">
        <v>27897.63</v>
      </c>
      <c r="K860" s="719">
        <v>2180.415</v>
      </c>
      <c r="L860" s="718">
        <v>1536</v>
      </c>
      <c r="M860" s="718"/>
      <c r="N860" s="719">
        <v>1116</v>
      </c>
      <c r="O860" s="719">
        <v>10297</v>
      </c>
      <c r="P860" s="719">
        <v>0</v>
      </c>
      <c r="Q860" s="718">
        <v>4910</v>
      </c>
      <c r="R860" s="719">
        <f t="shared" si="13"/>
        <v>17601</v>
      </c>
      <c r="S860" s="718"/>
      <c r="T860" s="719">
        <v>8509</v>
      </c>
      <c r="U860" s="721">
        <v>-633</v>
      </c>
      <c r="V860" s="721">
        <v>7876</v>
      </c>
    </row>
    <row r="861" spans="1:22" x14ac:dyDescent="0.25">
      <c r="A861" s="715">
        <v>99431</v>
      </c>
      <c r="B861" s="716" t="s">
        <v>3392</v>
      </c>
      <c r="C861" s="717">
        <v>2.16E-5</v>
      </c>
      <c r="D861" s="717">
        <v>2.09E-5</v>
      </c>
      <c r="E861" s="718">
        <v>6864.37</v>
      </c>
      <c r="F861" s="718">
        <v>9380</v>
      </c>
      <c r="G861" s="718">
        <v>45842</v>
      </c>
      <c r="H861" s="718"/>
      <c r="I861" s="719">
        <v>861.3</v>
      </c>
      <c r="J861" s="719">
        <v>40173</v>
      </c>
      <c r="K861" s="719">
        <v>3140</v>
      </c>
      <c r="L861" s="718">
        <v>2153</v>
      </c>
      <c r="M861" s="718"/>
      <c r="N861" s="719">
        <v>1606</v>
      </c>
      <c r="O861" s="719">
        <v>14827</v>
      </c>
      <c r="P861" s="719">
        <v>0</v>
      </c>
      <c r="Q861" s="718">
        <v>1856</v>
      </c>
      <c r="R861" s="719">
        <f t="shared" si="13"/>
        <v>25346</v>
      </c>
      <c r="S861" s="718"/>
      <c r="T861" s="719">
        <v>12253</v>
      </c>
      <c r="U861" s="721">
        <v>541</v>
      </c>
      <c r="V861" s="721">
        <v>12794</v>
      </c>
    </row>
    <row r="862" spans="1:22" x14ac:dyDescent="0.25">
      <c r="A862" s="715">
        <v>99501</v>
      </c>
      <c r="B862" s="716" t="s">
        <v>3393</v>
      </c>
      <c r="C862" s="717">
        <v>1.7390000000000001E-3</v>
      </c>
      <c r="D862" s="717">
        <v>1.7404E-3</v>
      </c>
      <c r="E862" s="718">
        <v>717899.84</v>
      </c>
      <c r="F862" s="718">
        <v>781081</v>
      </c>
      <c r="G862" s="718">
        <v>3690741</v>
      </c>
      <c r="H862" s="718"/>
      <c r="I862" s="719">
        <v>69343</v>
      </c>
      <c r="J862" s="719">
        <v>3234265</v>
      </c>
      <c r="K862" s="719">
        <v>252783</v>
      </c>
      <c r="L862" s="718">
        <v>5725</v>
      </c>
      <c r="M862" s="718"/>
      <c r="N862" s="719">
        <v>129328</v>
      </c>
      <c r="O862" s="719">
        <v>1193750</v>
      </c>
      <c r="P862" s="719">
        <v>0</v>
      </c>
      <c r="Q862" s="718">
        <v>0</v>
      </c>
      <c r="R862" s="719">
        <f t="shared" si="13"/>
        <v>2040515</v>
      </c>
      <c r="S862" s="718"/>
      <c r="T862" s="719">
        <v>986481</v>
      </c>
      <c r="U862" s="721">
        <v>1961</v>
      </c>
      <c r="V862" s="721">
        <v>988442</v>
      </c>
    </row>
    <row r="863" spans="1:22" x14ac:dyDescent="0.25">
      <c r="A863" s="715">
        <v>99502</v>
      </c>
      <c r="B863" s="716" t="s">
        <v>3394</v>
      </c>
      <c r="C863" s="717">
        <v>1.3779999999999999E-4</v>
      </c>
      <c r="D863" s="717">
        <v>1.628E-4</v>
      </c>
      <c r="E863" s="718">
        <v>87805.53</v>
      </c>
      <c r="F863" s="718">
        <v>73064</v>
      </c>
      <c r="G863" s="718">
        <v>292458</v>
      </c>
      <c r="H863" s="718"/>
      <c r="I863" s="719">
        <v>5495</v>
      </c>
      <c r="J863" s="719">
        <v>256286</v>
      </c>
      <c r="K863" s="719">
        <v>20031</v>
      </c>
      <c r="L863" s="718">
        <v>28542</v>
      </c>
      <c r="M863" s="718"/>
      <c r="N863" s="719">
        <v>10248</v>
      </c>
      <c r="O863" s="719">
        <v>94594</v>
      </c>
      <c r="P863" s="719">
        <v>0</v>
      </c>
      <c r="Q863" s="718">
        <v>143</v>
      </c>
      <c r="R863" s="719">
        <f t="shared" si="13"/>
        <v>161692</v>
      </c>
      <c r="S863" s="718"/>
      <c r="T863" s="719">
        <v>78170</v>
      </c>
      <c r="U863" s="721">
        <v>8980</v>
      </c>
      <c r="V863" s="721">
        <v>87150</v>
      </c>
    </row>
    <row r="864" spans="1:22" x14ac:dyDescent="0.25">
      <c r="A864" s="715">
        <v>99508</v>
      </c>
      <c r="B864" s="716" t="s">
        <v>3395</v>
      </c>
      <c r="C864" s="717">
        <v>2.1699999999999999E-5</v>
      </c>
      <c r="D864" s="717">
        <v>2.3200000000000001E-5</v>
      </c>
      <c r="E864" s="718">
        <v>8790.98</v>
      </c>
      <c r="F864" s="718">
        <v>10412</v>
      </c>
      <c r="G864" s="718">
        <v>46055</v>
      </c>
      <c r="H864" s="718"/>
      <c r="I864" s="719">
        <v>865</v>
      </c>
      <c r="J864" s="719">
        <v>40359</v>
      </c>
      <c r="K864" s="719">
        <v>3154</v>
      </c>
      <c r="L864" s="718">
        <v>0</v>
      </c>
      <c r="M864" s="718"/>
      <c r="N864" s="719">
        <v>1614</v>
      </c>
      <c r="O864" s="719">
        <v>14896</v>
      </c>
      <c r="P864" s="719">
        <v>0</v>
      </c>
      <c r="Q864" s="718">
        <v>2564</v>
      </c>
      <c r="R864" s="719">
        <f t="shared" si="13"/>
        <v>25463</v>
      </c>
      <c r="S864" s="718"/>
      <c r="T864" s="719">
        <v>12310</v>
      </c>
      <c r="U864" s="721">
        <v>-994</v>
      </c>
      <c r="V864" s="721">
        <v>11316</v>
      </c>
    </row>
    <row r="865" spans="1:22" x14ac:dyDescent="0.25">
      <c r="A865" s="715">
        <v>99509</v>
      </c>
      <c r="B865" s="716" t="s">
        <v>3396</v>
      </c>
      <c r="C865" s="717">
        <v>2.8900000000000001E-5</v>
      </c>
      <c r="D865" s="717">
        <v>2.87E-5</v>
      </c>
      <c r="E865" s="718">
        <v>10373.91</v>
      </c>
      <c r="F865" s="718">
        <v>12880</v>
      </c>
      <c r="G865" s="718">
        <v>61335</v>
      </c>
      <c r="H865" s="718"/>
      <c r="I865" s="719">
        <v>1152.3875</v>
      </c>
      <c r="J865" s="719">
        <v>53749</v>
      </c>
      <c r="K865" s="719">
        <v>4201</v>
      </c>
      <c r="L865" s="718">
        <v>0</v>
      </c>
      <c r="M865" s="718"/>
      <c r="N865" s="719">
        <v>2149</v>
      </c>
      <c r="O865" s="719">
        <v>19839</v>
      </c>
      <c r="P865" s="719">
        <v>0</v>
      </c>
      <c r="Q865" s="718">
        <v>8463</v>
      </c>
      <c r="R865" s="719">
        <f t="shared" si="13"/>
        <v>33910</v>
      </c>
      <c r="S865" s="718"/>
      <c r="T865" s="719">
        <v>16394</v>
      </c>
      <c r="U865" s="721">
        <v>-3831</v>
      </c>
      <c r="V865" s="721">
        <v>12563</v>
      </c>
    </row>
    <row r="866" spans="1:22" x14ac:dyDescent="0.25">
      <c r="A866" s="715">
        <v>99511</v>
      </c>
      <c r="B866" s="716" t="s">
        <v>3397</v>
      </c>
      <c r="C866" s="717">
        <v>1.3638000000000001E-3</v>
      </c>
      <c r="D866" s="717">
        <v>1.4238E-3</v>
      </c>
      <c r="E866" s="718">
        <v>513320.93</v>
      </c>
      <c r="F866" s="718">
        <v>638993</v>
      </c>
      <c r="G866" s="718">
        <v>2894440</v>
      </c>
      <c r="H866" s="718"/>
      <c r="I866" s="719">
        <v>54382</v>
      </c>
      <c r="J866" s="719">
        <v>2536453</v>
      </c>
      <c r="K866" s="719">
        <v>198243</v>
      </c>
      <c r="L866" s="718">
        <v>6972</v>
      </c>
      <c r="M866" s="718"/>
      <c r="N866" s="719">
        <v>101424</v>
      </c>
      <c r="O866" s="719">
        <v>936191</v>
      </c>
      <c r="P866" s="719">
        <v>0</v>
      </c>
      <c r="Q866" s="718">
        <v>87693</v>
      </c>
      <c r="R866" s="719">
        <f t="shared" si="13"/>
        <v>1600262</v>
      </c>
      <c r="S866" s="718"/>
      <c r="T866" s="719">
        <v>773641</v>
      </c>
      <c r="U866" s="721">
        <v>-24491</v>
      </c>
      <c r="V866" s="721">
        <v>749150</v>
      </c>
    </row>
    <row r="867" spans="1:22" x14ac:dyDescent="0.25">
      <c r="A867" s="715">
        <v>99521</v>
      </c>
      <c r="B867" s="716" t="s">
        <v>3398</v>
      </c>
      <c r="C867" s="717">
        <v>4.0180000000000001E-4</v>
      </c>
      <c r="D867" s="717">
        <v>4.0989999999999999E-4</v>
      </c>
      <c r="E867" s="718">
        <v>150146.22</v>
      </c>
      <c r="F867" s="718">
        <v>183961</v>
      </c>
      <c r="G867" s="718">
        <v>852754</v>
      </c>
      <c r="H867" s="718"/>
      <c r="I867" s="719">
        <v>16022</v>
      </c>
      <c r="J867" s="719">
        <v>747285</v>
      </c>
      <c r="K867" s="719">
        <v>58406</v>
      </c>
      <c r="L867" s="718">
        <v>1435</v>
      </c>
      <c r="M867" s="718"/>
      <c r="N867" s="719">
        <v>29881</v>
      </c>
      <c r="O867" s="719">
        <v>275819</v>
      </c>
      <c r="P867" s="719">
        <v>0</v>
      </c>
      <c r="Q867" s="718">
        <v>21691</v>
      </c>
      <c r="R867" s="719">
        <f t="shared" si="13"/>
        <v>471466</v>
      </c>
      <c r="S867" s="718"/>
      <c r="T867" s="719">
        <v>227929</v>
      </c>
      <c r="U867" s="721">
        <v>-5406</v>
      </c>
      <c r="V867" s="721">
        <v>222522</v>
      </c>
    </row>
    <row r="868" spans="1:22" x14ac:dyDescent="0.25">
      <c r="A868" s="715">
        <v>99527</v>
      </c>
      <c r="B868" s="716" t="s">
        <v>3399</v>
      </c>
      <c r="C868" s="717">
        <v>1.2099999999999999E-5</v>
      </c>
      <c r="D868" s="717">
        <v>1.1800000000000001E-5</v>
      </c>
      <c r="E868" s="718">
        <v>5273.87</v>
      </c>
      <c r="F868" s="718">
        <v>5296</v>
      </c>
      <c r="G868" s="718">
        <v>25680</v>
      </c>
      <c r="H868" s="718"/>
      <c r="I868" s="719">
        <v>482</v>
      </c>
      <c r="J868" s="719">
        <v>22504</v>
      </c>
      <c r="K868" s="719">
        <v>1759</v>
      </c>
      <c r="L868" s="718">
        <v>1404</v>
      </c>
      <c r="M868" s="718"/>
      <c r="N868" s="719">
        <v>900</v>
      </c>
      <c r="O868" s="719">
        <v>8306</v>
      </c>
      <c r="P868" s="719">
        <v>0</v>
      </c>
      <c r="Q868" s="718">
        <v>0</v>
      </c>
      <c r="R868" s="719">
        <f t="shared" si="13"/>
        <v>14198</v>
      </c>
      <c r="S868" s="718"/>
      <c r="T868" s="719">
        <v>6864</v>
      </c>
      <c r="U868" s="721">
        <v>529</v>
      </c>
      <c r="V868" s="721">
        <v>7393</v>
      </c>
    </row>
    <row r="869" spans="1:22" x14ac:dyDescent="0.25">
      <c r="A869" s="715">
        <v>99531</v>
      </c>
      <c r="B869" s="716" t="s">
        <v>3400</v>
      </c>
      <c r="C869" s="717">
        <v>8.7600000000000002E-5</v>
      </c>
      <c r="D869" s="717">
        <v>8.8200000000000003E-5</v>
      </c>
      <c r="E869" s="718">
        <v>67487</v>
      </c>
      <c r="F869" s="718">
        <v>39584</v>
      </c>
      <c r="G869" s="718">
        <v>185917</v>
      </c>
      <c r="H869" s="718"/>
      <c r="I869" s="719">
        <v>3493.05</v>
      </c>
      <c r="J869" s="719">
        <v>162922</v>
      </c>
      <c r="K869" s="719">
        <v>12734</v>
      </c>
      <c r="L869" s="718">
        <v>39764</v>
      </c>
      <c r="M869" s="718"/>
      <c r="N869" s="719">
        <v>6515</v>
      </c>
      <c r="O869" s="719">
        <v>60134</v>
      </c>
      <c r="P869" s="719">
        <v>0</v>
      </c>
      <c r="Q869" s="718">
        <v>0</v>
      </c>
      <c r="R869" s="719">
        <f t="shared" si="13"/>
        <v>102788</v>
      </c>
      <c r="S869" s="718"/>
      <c r="T869" s="719">
        <v>49693</v>
      </c>
      <c r="U869" s="721">
        <v>11839</v>
      </c>
      <c r="V869" s="721">
        <v>61531</v>
      </c>
    </row>
    <row r="870" spans="1:22" x14ac:dyDescent="0.25">
      <c r="A870" s="715">
        <v>99601</v>
      </c>
      <c r="B870" s="716" t="s">
        <v>3401</v>
      </c>
      <c r="C870" s="717">
        <v>5.2824999999999999E-3</v>
      </c>
      <c r="D870" s="717">
        <v>5.3274999999999998E-3</v>
      </c>
      <c r="E870" s="718">
        <v>2087469</v>
      </c>
      <c r="F870" s="718">
        <v>2390950</v>
      </c>
      <c r="G870" s="718">
        <v>11211235</v>
      </c>
      <c r="H870" s="718"/>
      <c r="I870" s="719">
        <v>210640</v>
      </c>
      <c r="J870" s="719">
        <v>9824615</v>
      </c>
      <c r="K870" s="719">
        <v>767869</v>
      </c>
      <c r="L870" s="718">
        <v>60572</v>
      </c>
      <c r="M870" s="718"/>
      <c r="N870" s="719">
        <v>392854</v>
      </c>
      <c r="O870" s="719">
        <v>3626214</v>
      </c>
      <c r="P870" s="719">
        <v>0</v>
      </c>
      <c r="Q870" s="718">
        <v>101945</v>
      </c>
      <c r="R870" s="719">
        <f t="shared" si="13"/>
        <v>6198401</v>
      </c>
      <c r="S870" s="718"/>
      <c r="T870" s="719">
        <v>2996598</v>
      </c>
      <c r="U870" s="721">
        <v>-7395</v>
      </c>
      <c r="V870" s="721">
        <v>2989204</v>
      </c>
    </row>
    <row r="871" spans="1:22" x14ac:dyDescent="0.25">
      <c r="A871" s="715">
        <v>99602</v>
      </c>
      <c r="B871" s="716" t="s">
        <v>3402</v>
      </c>
      <c r="C871" s="717">
        <v>5.1700000000000003E-5</v>
      </c>
      <c r="D871" s="717">
        <v>5.13E-5</v>
      </c>
      <c r="E871" s="718">
        <v>23478.31</v>
      </c>
      <c r="F871" s="718">
        <v>23023</v>
      </c>
      <c r="G871" s="718">
        <v>109725</v>
      </c>
      <c r="H871" s="718"/>
      <c r="I871" s="719">
        <v>2062</v>
      </c>
      <c r="J871" s="719">
        <v>96154</v>
      </c>
      <c r="K871" s="719">
        <v>7515</v>
      </c>
      <c r="L871" s="718">
        <v>5410</v>
      </c>
      <c r="M871" s="718"/>
      <c r="N871" s="719">
        <v>3845</v>
      </c>
      <c r="O871" s="719">
        <v>35490</v>
      </c>
      <c r="P871" s="719">
        <v>0</v>
      </c>
      <c r="Q871" s="718">
        <v>4155</v>
      </c>
      <c r="R871" s="719">
        <f t="shared" si="13"/>
        <v>60664</v>
      </c>
      <c r="S871" s="718"/>
      <c r="T871" s="719">
        <v>29328</v>
      </c>
      <c r="U871" s="721">
        <v>-358</v>
      </c>
      <c r="V871" s="721">
        <v>28969</v>
      </c>
    </row>
    <row r="872" spans="1:22" x14ac:dyDescent="0.25">
      <c r="A872" s="715">
        <v>99603</v>
      </c>
      <c r="B872" s="716" t="s">
        <v>3403</v>
      </c>
      <c r="C872" s="717">
        <v>1.4219999999999999E-4</v>
      </c>
      <c r="D872" s="717">
        <v>1.474E-4</v>
      </c>
      <c r="E872" s="718">
        <v>137623</v>
      </c>
      <c r="F872" s="718">
        <v>66152</v>
      </c>
      <c r="G872" s="718">
        <v>301796</v>
      </c>
      <c r="H872" s="718"/>
      <c r="I872" s="719">
        <v>5670</v>
      </c>
      <c r="J872" s="719">
        <v>264470</v>
      </c>
      <c r="K872" s="719">
        <v>20670</v>
      </c>
      <c r="L872" s="718">
        <v>103545</v>
      </c>
      <c r="M872" s="718"/>
      <c r="N872" s="719">
        <v>10575</v>
      </c>
      <c r="O872" s="719">
        <v>97614</v>
      </c>
      <c r="P872" s="719">
        <v>0</v>
      </c>
      <c r="Q872" s="718">
        <v>0</v>
      </c>
      <c r="R872" s="719">
        <f t="shared" si="13"/>
        <v>166856</v>
      </c>
      <c r="S872" s="718"/>
      <c r="T872" s="719">
        <v>80666</v>
      </c>
      <c r="U872" s="721">
        <v>31526</v>
      </c>
      <c r="V872" s="721">
        <v>112191</v>
      </c>
    </row>
    <row r="873" spans="1:22" x14ac:dyDescent="0.25">
      <c r="A873" s="715">
        <v>99604</v>
      </c>
      <c r="B873" s="716" t="s">
        <v>3404</v>
      </c>
      <c r="C873" s="717">
        <v>9.6899999999999997E-5</v>
      </c>
      <c r="D873" s="717">
        <v>9.3300000000000005E-5</v>
      </c>
      <c r="E873" s="718">
        <v>45606</v>
      </c>
      <c r="F873" s="718">
        <v>41872</v>
      </c>
      <c r="G873" s="718">
        <v>205654</v>
      </c>
      <c r="H873" s="718"/>
      <c r="I873" s="719">
        <v>3864</v>
      </c>
      <c r="J873" s="719">
        <v>180219</v>
      </c>
      <c r="K873" s="719">
        <v>14085</v>
      </c>
      <c r="L873" s="718">
        <v>20600</v>
      </c>
      <c r="M873" s="718"/>
      <c r="N873" s="719">
        <v>7206</v>
      </c>
      <c r="O873" s="719">
        <v>66518</v>
      </c>
      <c r="P873" s="719">
        <v>0</v>
      </c>
      <c r="Q873" s="718">
        <v>0</v>
      </c>
      <c r="R873" s="719">
        <f t="shared" si="13"/>
        <v>113701</v>
      </c>
      <c r="S873" s="718"/>
      <c r="T873" s="719">
        <v>54968</v>
      </c>
      <c r="U873" s="721">
        <v>7597</v>
      </c>
      <c r="V873" s="721">
        <v>62566</v>
      </c>
    </row>
    <row r="874" spans="1:22" x14ac:dyDescent="0.25">
      <c r="A874" s="715">
        <v>99609</v>
      </c>
      <c r="B874" s="716" t="s">
        <v>3405</v>
      </c>
      <c r="C874" s="717">
        <v>2.0999999999999999E-5</v>
      </c>
      <c r="D874" s="717">
        <v>1.98E-5</v>
      </c>
      <c r="E874" s="718">
        <v>10788</v>
      </c>
      <c r="F874" s="718">
        <v>8886</v>
      </c>
      <c r="G874" s="718">
        <v>44569</v>
      </c>
      <c r="H874" s="718"/>
      <c r="I874" s="719">
        <v>837.375</v>
      </c>
      <c r="J874" s="719">
        <v>39057</v>
      </c>
      <c r="K874" s="719">
        <v>3053</v>
      </c>
      <c r="L874" s="718">
        <v>5629</v>
      </c>
      <c r="M874" s="718"/>
      <c r="N874" s="719">
        <v>1562</v>
      </c>
      <c r="O874" s="719">
        <v>14416</v>
      </c>
      <c r="P874" s="719">
        <v>0</v>
      </c>
      <c r="Q874" s="718">
        <v>0</v>
      </c>
      <c r="R874" s="719">
        <f t="shared" si="13"/>
        <v>24641</v>
      </c>
      <c r="S874" s="718"/>
      <c r="T874" s="719">
        <v>11913</v>
      </c>
      <c r="U874" s="721">
        <v>2074</v>
      </c>
      <c r="V874" s="721">
        <v>13986</v>
      </c>
    </row>
    <row r="875" spans="1:22" x14ac:dyDescent="0.25">
      <c r="A875" s="715">
        <v>99610</v>
      </c>
      <c r="B875" s="716" t="s">
        <v>3406</v>
      </c>
      <c r="C875" s="717">
        <v>1.9440000000000001E-4</v>
      </c>
      <c r="D875" s="717">
        <v>1.883E-4</v>
      </c>
      <c r="E875" s="718">
        <v>78017.36</v>
      </c>
      <c r="F875" s="718">
        <v>84508</v>
      </c>
      <c r="G875" s="718">
        <v>412582</v>
      </c>
      <c r="H875" s="718"/>
      <c r="I875" s="719">
        <v>7752</v>
      </c>
      <c r="J875" s="719">
        <v>361553</v>
      </c>
      <c r="K875" s="719">
        <v>28258</v>
      </c>
      <c r="L875" s="718">
        <v>4583</v>
      </c>
      <c r="M875" s="718"/>
      <c r="N875" s="719">
        <v>14457</v>
      </c>
      <c r="O875" s="719">
        <v>133447</v>
      </c>
      <c r="P875" s="719">
        <v>0</v>
      </c>
      <c r="Q875" s="718">
        <v>1313</v>
      </c>
      <c r="R875" s="719">
        <f t="shared" si="13"/>
        <v>228106</v>
      </c>
      <c r="S875" s="718"/>
      <c r="T875" s="719">
        <v>110277</v>
      </c>
      <c r="U875" s="721">
        <v>1406</v>
      </c>
      <c r="V875" s="721">
        <v>111683</v>
      </c>
    </row>
    <row r="876" spans="1:22" x14ac:dyDescent="0.25">
      <c r="A876" s="715">
        <v>99611</v>
      </c>
      <c r="B876" s="716" t="s">
        <v>3407</v>
      </c>
      <c r="C876" s="717">
        <v>3.1495999999999998E-3</v>
      </c>
      <c r="D876" s="717">
        <v>3.4461000000000001E-3</v>
      </c>
      <c r="E876" s="718">
        <v>1274178.99</v>
      </c>
      <c r="F876" s="718">
        <v>1546589</v>
      </c>
      <c r="G876" s="718">
        <v>6684506</v>
      </c>
      <c r="H876" s="718"/>
      <c r="I876" s="719">
        <v>125590</v>
      </c>
      <c r="J876" s="719">
        <v>5857758</v>
      </c>
      <c r="K876" s="719">
        <v>457829</v>
      </c>
      <c r="L876" s="718">
        <v>0</v>
      </c>
      <c r="M876" s="718"/>
      <c r="N876" s="719">
        <v>234233</v>
      </c>
      <c r="O876" s="719">
        <v>2162068</v>
      </c>
      <c r="P876" s="719">
        <v>0</v>
      </c>
      <c r="Q876" s="718">
        <v>295351</v>
      </c>
      <c r="R876" s="719">
        <f t="shared" si="13"/>
        <v>3695690</v>
      </c>
      <c r="S876" s="718"/>
      <c r="T876" s="719">
        <v>1786670</v>
      </c>
      <c r="U876" s="721">
        <v>-97649</v>
      </c>
      <c r="V876" s="721">
        <v>1689022</v>
      </c>
    </row>
    <row r="877" spans="1:22" x14ac:dyDescent="0.25">
      <c r="A877" s="715">
        <v>99613</v>
      </c>
      <c r="B877" s="716" t="s">
        <v>3408</v>
      </c>
      <c r="C877" s="717">
        <v>3.369E-4</v>
      </c>
      <c r="D877" s="717">
        <v>2.6350000000000001E-4</v>
      </c>
      <c r="E877" s="718">
        <v>287693.51</v>
      </c>
      <c r="F877" s="718">
        <v>118257</v>
      </c>
      <c r="G877" s="718">
        <v>715015</v>
      </c>
      <c r="H877" s="718"/>
      <c r="I877" s="719">
        <v>13434</v>
      </c>
      <c r="J877" s="719">
        <v>626581</v>
      </c>
      <c r="K877" s="719">
        <v>48972</v>
      </c>
      <c r="L877" s="718">
        <v>227196</v>
      </c>
      <c r="M877" s="718"/>
      <c r="N877" s="719">
        <v>25055</v>
      </c>
      <c r="O877" s="719">
        <v>231268</v>
      </c>
      <c r="P877" s="719">
        <v>0</v>
      </c>
      <c r="Q877" s="718">
        <v>0</v>
      </c>
      <c r="R877" s="719">
        <f t="shared" si="13"/>
        <v>395313</v>
      </c>
      <c r="S877" s="718"/>
      <c r="T877" s="719">
        <v>191113</v>
      </c>
      <c r="U877" s="721">
        <v>65914</v>
      </c>
      <c r="V877" s="721">
        <v>257027</v>
      </c>
    </row>
    <row r="878" spans="1:22" x14ac:dyDescent="0.25">
      <c r="A878" s="715">
        <v>99621</v>
      </c>
      <c r="B878" s="716" t="s">
        <v>3409</v>
      </c>
      <c r="C878" s="717">
        <v>3.2850000000000002E-4</v>
      </c>
      <c r="D878" s="717">
        <v>2.9550000000000003E-4</v>
      </c>
      <c r="E878" s="718">
        <v>133172.19</v>
      </c>
      <c r="F878" s="718">
        <v>132619</v>
      </c>
      <c r="G878" s="718">
        <v>697187</v>
      </c>
      <c r="H878" s="718"/>
      <c r="I878" s="719">
        <v>13098.9375</v>
      </c>
      <c r="J878" s="719">
        <v>610958</v>
      </c>
      <c r="K878" s="719">
        <v>47751</v>
      </c>
      <c r="L878" s="718">
        <v>25982</v>
      </c>
      <c r="M878" s="718"/>
      <c r="N878" s="719">
        <v>24430</v>
      </c>
      <c r="O878" s="719">
        <v>225501</v>
      </c>
      <c r="P878" s="719">
        <v>0</v>
      </c>
      <c r="Q878" s="718">
        <v>7236</v>
      </c>
      <c r="R878" s="719">
        <f t="shared" si="13"/>
        <v>385457</v>
      </c>
      <c r="S878" s="718"/>
      <c r="T878" s="719">
        <v>186348</v>
      </c>
      <c r="U878" s="721">
        <v>6510</v>
      </c>
      <c r="V878" s="721">
        <v>192858</v>
      </c>
    </row>
    <row r="879" spans="1:22" x14ac:dyDescent="0.25">
      <c r="A879" s="715">
        <v>99623</v>
      </c>
      <c r="B879" s="716" t="s">
        <v>3410</v>
      </c>
      <c r="C879" s="717">
        <v>2.9200000000000002E-5</v>
      </c>
      <c r="D879" s="717">
        <v>2.1299999999999999E-5</v>
      </c>
      <c r="E879" s="718">
        <v>8301.6</v>
      </c>
      <c r="F879" s="718">
        <v>9559</v>
      </c>
      <c r="G879" s="718">
        <v>61972</v>
      </c>
      <c r="H879" s="718"/>
      <c r="I879" s="719">
        <v>1164</v>
      </c>
      <c r="J879" s="719">
        <v>54307</v>
      </c>
      <c r="K879" s="719">
        <v>4245</v>
      </c>
      <c r="L879" s="718">
        <v>3598</v>
      </c>
      <c r="M879" s="718"/>
      <c r="N879" s="719">
        <v>2172</v>
      </c>
      <c r="O879" s="719">
        <v>20045</v>
      </c>
      <c r="P879" s="719">
        <v>0</v>
      </c>
      <c r="Q879" s="718">
        <v>316</v>
      </c>
      <c r="R879" s="719">
        <f t="shared" si="13"/>
        <v>34262</v>
      </c>
      <c r="S879" s="718"/>
      <c r="T879" s="719">
        <v>16564</v>
      </c>
      <c r="U879" s="721">
        <v>989</v>
      </c>
      <c r="V879" s="721">
        <v>17554</v>
      </c>
    </row>
    <row r="880" spans="1:22" x14ac:dyDescent="0.25">
      <c r="A880" s="715">
        <v>99631</v>
      </c>
      <c r="B880" s="716" t="s">
        <v>3411</v>
      </c>
      <c r="C880" s="717">
        <v>1.0340000000000001E-4</v>
      </c>
      <c r="D880" s="717">
        <v>9.8599999999999998E-5</v>
      </c>
      <c r="E880" s="718">
        <v>37652</v>
      </c>
      <c r="F880" s="718">
        <v>44251</v>
      </c>
      <c r="G880" s="718">
        <v>219449</v>
      </c>
      <c r="H880" s="718"/>
      <c r="I880" s="719">
        <v>4123</v>
      </c>
      <c r="J880" s="719">
        <v>192308</v>
      </c>
      <c r="K880" s="719">
        <v>15030</v>
      </c>
      <c r="L880" s="718">
        <v>0</v>
      </c>
      <c r="M880" s="718"/>
      <c r="N880" s="719">
        <v>7690</v>
      </c>
      <c r="O880" s="719">
        <v>70980</v>
      </c>
      <c r="P880" s="719">
        <v>0</v>
      </c>
      <c r="Q880" s="718">
        <v>9381</v>
      </c>
      <c r="R880" s="719">
        <f t="shared" si="13"/>
        <v>121328</v>
      </c>
      <c r="S880" s="718"/>
      <c r="T880" s="719">
        <v>58656</v>
      </c>
      <c r="U880" s="721">
        <v>-4222</v>
      </c>
      <c r="V880" s="721">
        <v>54433</v>
      </c>
    </row>
    <row r="881" spans="1:22" x14ac:dyDescent="0.25">
      <c r="A881" s="715">
        <v>99651</v>
      </c>
      <c r="B881" s="716" t="s">
        <v>3412</v>
      </c>
      <c r="C881" s="717">
        <v>6.7100000000000005E-5</v>
      </c>
      <c r="D881" s="717">
        <v>5.7500000000000002E-5</v>
      </c>
      <c r="E881" s="718">
        <v>24617</v>
      </c>
      <c r="F881" s="718">
        <v>25806</v>
      </c>
      <c r="G881" s="718">
        <v>142409</v>
      </c>
      <c r="H881" s="718"/>
      <c r="I881" s="719">
        <v>2676</v>
      </c>
      <c r="J881" s="719">
        <v>124795</v>
      </c>
      <c r="K881" s="719">
        <v>9754</v>
      </c>
      <c r="L881" s="718">
        <v>8790</v>
      </c>
      <c r="M881" s="718"/>
      <c r="N881" s="719">
        <v>4990</v>
      </c>
      <c r="O881" s="719">
        <v>46061</v>
      </c>
      <c r="P881" s="719">
        <v>0</v>
      </c>
      <c r="Q881" s="718">
        <v>2840</v>
      </c>
      <c r="R881" s="719">
        <f t="shared" si="13"/>
        <v>78734</v>
      </c>
      <c r="S881" s="718"/>
      <c r="T881" s="719">
        <v>38064</v>
      </c>
      <c r="U881" s="721">
        <v>1419</v>
      </c>
      <c r="V881" s="721">
        <v>39483</v>
      </c>
    </row>
    <row r="882" spans="1:22" x14ac:dyDescent="0.25">
      <c r="A882" s="715">
        <v>99661</v>
      </c>
      <c r="B882" s="716" t="s">
        <v>3413</v>
      </c>
      <c r="C882" s="717">
        <v>3.5500000000000002E-5</v>
      </c>
      <c r="D882" s="717">
        <v>3.4900000000000001E-5</v>
      </c>
      <c r="E882" s="718">
        <v>34311.1</v>
      </c>
      <c r="F882" s="718">
        <v>15663</v>
      </c>
      <c r="G882" s="718">
        <v>75343</v>
      </c>
      <c r="H882" s="718"/>
      <c r="I882" s="719">
        <v>1415.5625</v>
      </c>
      <c r="J882" s="719">
        <v>66024</v>
      </c>
      <c r="K882" s="719">
        <v>5160</v>
      </c>
      <c r="L882" s="718">
        <v>30447</v>
      </c>
      <c r="M882" s="718"/>
      <c r="N882" s="719">
        <v>2640</v>
      </c>
      <c r="O882" s="719">
        <v>24369</v>
      </c>
      <c r="P882" s="719">
        <v>0</v>
      </c>
      <c r="Q882" s="718">
        <v>0</v>
      </c>
      <c r="R882" s="719">
        <f t="shared" si="13"/>
        <v>41655</v>
      </c>
      <c r="S882" s="718"/>
      <c r="T882" s="719">
        <v>20138</v>
      </c>
      <c r="U882" s="721">
        <v>9415</v>
      </c>
      <c r="V882" s="721">
        <v>29553</v>
      </c>
    </row>
    <row r="883" spans="1:22" x14ac:dyDescent="0.25">
      <c r="A883" s="715">
        <v>99701</v>
      </c>
      <c r="B883" s="716" t="s">
        <v>3414</v>
      </c>
      <c r="C883" s="717">
        <v>2.8774E-3</v>
      </c>
      <c r="D883" s="717">
        <v>2.7742000000000001E-3</v>
      </c>
      <c r="E883" s="718">
        <v>1127825</v>
      </c>
      <c r="F883" s="718">
        <v>1245044</v>
      </c>
      <c r="G883" s="718">
        <v>6106807</v>
      </c>
      <c r="H883" s="718"/>
      <c r="I883" s="719">
        <v>114736</v>
      </c>
      <c r="J883" s="719">
        <v>5351509</v>
      </c>
      <c r="K883" s="719">
        <v>418262</v>
      </c>
      <c r="L883" s="718">
        <v>31037</v>
      </c>
      <c r="M883" s="718"/>
      <c r="N883" s="719">
        <v>213989</v>
      </c>
      <c r="O883" s="719">
        <v>1975214</v>
      </c>
      <c r="P883" s="719">
        <v>0</v>
      </c>
      <c r="Q883" s="718">
        <v>19671</v>
      </c>
      <c r="R883" s="719">
        <f t="shared" si="13"/>
        <v>3376295</v>
      </c>
      <c r="S883" s="718"/>
      <c r="T883" s="719">
        <v>1632260</v>
      </c>
      <c r="U883" s="721">
        <v>-10</v>
      </c>
      <c r="V883" s="721">
        <v>1632250</v>
      </c>
    </row>
    <row r="884" spans="1:22" x14ac:dyDescent="0.25">
      <c r="A884" s="715">
        <v>99705</v>
      </c>
      <c r="B884" s="716" t="s">
        <v>3415</v>
      </c>
      <c r="C884" s="717">
        <v>1.7259999999999999E-4</v>
      </c>
      <c r="D884" s="717">
        <v>1.7660000000000001E-4</v>
      </c>
      <c r="E884" s="718">
        <v>76713.119999999995</v>
      </c>
      <c r="F884" s="718">
        <v>79257</v>
      </c>
      <c r="G884" s="718">
        <v>366315</v>
      </c>
      <c r="H884" s="718"/>
      <c r="I884" s="719">
        <v>6882</v>
      </c>
      <c r="J884" s="719">
        <v>321009</v>
      </c>
      <c r="K884" s="719">
        <v>25089</v>
      </c>
      <c r="L884" s="718">
        <v>11090</v>
      </c>
      <c r="M884" s="718"/>
      <c r="N884" s="719">
        <v>12836</v>
      </c>
      <c r="O884" s="719">
        <v>118483</v>
      </c>
      <c r="P884" s="719">
        <v>0</v>
      </c>
      <c r="Q884" s="718">
        <v>842</v>
      </c>
      <c r="R884" s="719">
        <f t="shared" si="13"/>
        <v>202526</v>
      </c>
      <c r="S884" s="718"/>
      <c r="T884" s="719">
        <v>97911</v>
      </c>
      <c r="U884" s="721">
        <v>4693</v>
      </c>
      <c r="V884" s="721">
        <v>102604</v>
      </c>
    </row>
    <row r="885" spans="1:22" x14ac:dyDescent="0.25">
      <c r="A885" s="715">
        <v>99711</v>
      </c>
      <c r="B885" s="716" t="s">
        <v>3416</v>
      </c>
      <c r="C885" s="717">
        <v>4.3540000000000001E-4</v>
      </c>
      <c r="D885" s="717">
        <v>4.506E-4</v>
      </c>
      <c r="E885" s="718">
        <v>185440.27</v>
      </c>
      <c r="F885" s="718">
        <v>202227</v>
      </c>
      <c r="G885" s="718">
        <v>924065</v>
      </c>
      <c r="H885" s="718"/>
      <c r="I885" s="719">
        <v>17362</v>
      </c>
      <c r="J885" s="719">
        <v>809775</v>
      </c>
      <c r="K885" s="719">
        <v>63290</v>
      </c>
      <c r="L885" s="718">
        <v>1891</v>
      </c>
      <c r="M885" s="718"/>
      <c r="N885" s="719">
        <v>32380</v>
      </c>
      <c r="O885" s="719">
        <v>298884</v>
      </c>
      <c r="P885" s="719">
        <v>0</v>
      </c>
      <c r="Q885" s="718">
        <v>15994</v>
      </c>
      <c r="R885" s="719">
        <f t="shared" si="13"/>
        <v>510891</v>
      </c>
      <c r="S885" s="718"/>
      <c r="T885" s="719">
        <v>246989</v>
      </c>
      <c r="U885" s="721">
        <v>-4419</v>
      </c>
      <c r="V885" s="721">
        <v>242569</v>
      </c>
    </row>
    <row r="886" spans="1:22" x14ac:dyDescent="0.25">
      <c r="A886" s="715">
        <v>99717</v>
      </c>
      <c r="B886" s="716" t="s">
        <v>3417</v>
      </c>
      <c r="C886" s="717">
        <v>2.3200000000000001E-5</v>
      </c>
      <c r="D886" s="717">
        <v>2.2399999999999999E-5</v>
      </c>
      <c r="E886" s="718">
        <v>7625</v>
      </c>
      <c r="F886" s="718">
        <v>10053</v>
      </c>
      <c r="G886" s="718">
        <v>49238</v>
      </c>
      <c r="H886" s="718"/>
      <c r="I886" s="719">
        <v>925.1</v>
      </c>
      <c r="J886" s="719">
        <v>43148</v>
      </c>
      <c r="K886" s="719">
        <v>3372</v>
      </c>
      <c r="L886" s="718">
        <v>0</v>
      </c>
      <c r="M886" s="718"/>
      <c r="N886" s="719">
        <v>1725</v>
      </c>
      <c r="O886" s="719">
        <v>15926</v>
      </c>
      <c r="P886" s="719">
        <v>0</v>
      </c>
      <c r="Q886" s="718">
        <v>2122</v>
      </c>
      <c r="R886" s="719">
        <f t="shared" si="13"/>
        <v>27222</v>
      </c>
      <c r="S886" s="718"/>
      <c r="T886" s="719">
        <v>13161</v>
      </c>
      <c r="U886" s="721">
        <v>-653</v>
      </c>
      <c r="V886" s="721">
        <v>12508</v>
      </c>
    </row>
    <row r="887" spans="1:22" x14ac:dyDescent="0.25">
      <c r="A887" s="715">
        <v>99721</v>
      </c>
      <c r="B887" s="716" t="s">
        <v>3418</v>
      </c>
      <c r="C887" s="717">
        <v>6.2449999999999995E-4</v>
      </c>
      <c r="D887" s="717">
        <v>5.8460000000000001E-4</v>
      </c>
      <c r="E887" s="718">
        <v>220767.11</v>
      </c>
      <c r="F887" s="718">
        <v>262365</v>
      </c>
      <c r="G887" s="718">
        <v>1325398</v>
      </c>
      <c r="H887" s="718"/>
      <c r="I887" s="719">
        <v>24902</v>
      </c>
      <c r="J887" s="719">
        <v>1161471</v>
      </c>
      <c r="K887" s="719">
        <v>90778</v>
      </c>
      <c r="L887" s="718">
        <v>0</v>
      </c>
      <c r="M887" s="718"/>
      <c r="N887" s="719">
        <v>46443</v>
      </c>
      <c r="O887" s="719">
        <v>428693</v>
      </c>
      <c r="P887" s="719">
        <v>0</v>
      </c>
      <c r="Q887" s="718">
        <v>11340</v>
      </c>
      <c r="R887" s="719">
        <f t="shared" si="13"/>
        <v>732778</v>
      </c>
      <c r="S887" s="718"/>
      <c r="T887" s="719">
        <v>354259</v>
      </c>
      <c r="U887" s="721">
        <v>-3889</v>
      </c>
      <c r="V887" s="721">
        <v>350371</v>
      </c>
    </row>
    <row r="888" spans="1:22" x14ac:dyDescent="0.25">
      <c r="A888" s="715">
        <v>99727</v>
      </c>
      <c r="B888" s="716" t="s">
        <v>3419</v>
      </c>
      <c r="C888" s="717">
        <v>2.5299999999999998E-5</v>
      </c>
      <c r="D888" s="717">
        <v>2.8099999999999999E-5</v>
      </c>
      <c r="E888" s="718">
        <v>45027.6</v>
      </c>
      <c r="F888" s="718">
        <v>12611</v>
      </c>
      <c r="G888" s="718">
        <v>53695</v>
      </c>
      <c r="H888" s="718"/>
      <c r="I888" s="719">
        <v>1008.8375</v>
      </c>
      <c r="J888" s="719">
        <v>47054</v>
      </c>
      <c r="K888" s="719">
        <v>3678</v>
      </c>
      <c r="L888" s="718">
        <v>46298</v>
      </c>
      <c r="M888" s="718"/>
      <c r="N888" s="719">
        <v>1882</v>
      </c>
      <c r="O888" s="719">
        <v>17367</v>
      </c>
      <c r="P888" s="719">
        <v>0</v>
      </c>
      <c r="Q888" s="718">
        <v>0</v>
      </c>
      <c r="R888" s="719">
        <f t="shared" si="13"/>
        <v>29687</v>
      </c>
      <c r="S888" s="718"/>
      <c r="T888" s="719">
        <v>14352</v>
      </c>
      <c r="U888" s="721">
        <v>14150</v>
      </c>
      <c r="V888" s="721">
        <v>28501</v>
      </c>
    </row>
    <row r="889" spans="1:22" x14ac:dyDescent="0.25">
      <c r="A889" s="715">
        <v>99801</v>
      </c>
      <c r="B889" s="716" t="s">
        <v>3420</v>
      </c>
      <c r="C889" s="717">
        <v>5.1954999999999996E-3</v>
      </c>
      <c r="D889" s="717">
        <v>5.0806999999999996E-3</v>
      </c>
      <c r="E889" s="718">
        <v>2017956.21</v>
      </c>
      <c r="F889" s="718">
        <v>2280188</v>
      </c>
      <c r="G889" s="718">
        <v>11026591</v>
      </c>
      <c r="H889" s="718"/>
      <c r="I889" s="719">
        <v>207171</v>
      </c>
      <c r="J889" s="719">
        <v>9662809</v>
      </c>
      <c r="K889" s="719">
        <v>755223</v>
      </c>
      <c r="L889" s="718">
        <v>34255.86</v>
      </c>
      <c r="M889" s="718"/>
      <c r="N889" s="719">
        <v>386384</v>
      </c>
      <c r="O889" s="719">
        <v>3566493</v>
      </c>
      <c r="P889" s="719">
        <v>0</v>
      </c>
      <c r="Q889" s="718">
        <v>67721</v>
      </c>
      <c r="R889" s="719">
        <f t="shared" si="13"/>
        <v>6096316</v>
      </c>
      <c r="S889" s="718"/>
      <c r="T889" s="719">
        <v>2947246</v>
      </c>
      <c r="U889" s="721">
        <v>-3738</v>
      </c>
      <c r="V889" s="721">
        <v>2943508</v>
      </c>
    </row>
    <row r="890" spans="1:22" x14ac:dyDescent="0.25">
      <c r="A890" s="715">
        <v>99802</v>
      </c>
      <c r="B890" s="716" t="s">
        <v>3421</v>
      </c>
      <c r="C890" s="717">
        <v>6.4999999999999996E-6</v>
      </c>
      <c r="D890" s="717">
        <v>7.7000000000000008E-6</v>
      </c>
      <c r="E890" s="718">
        <v>3764</v>
      </c>
      <c r="F890" s="718">
        <v>3456</v>
      </c>
      <c r="G890" s="718">
        <v>13795</v>
      </c>
      <c r="H890" s="718"/>
      <c r="I890" s="719">
        <v>259.1875</v>
      </c>
      <c r="J890" s="719">
        <v>12089</v>
      </c>
      <c r="K890" s="719">
        <v>945</v>
      </c>
      <c r="L890" s="718">
        <v>358</v>
      </c>
      <c r="M890" s="718"/>
      <c r="N890" s="719">
        <v>483</v>
      </c>
      <c r="O890" s="719">
        <v>4462</v>
      </c>
      <c r="P890" s="719">
        <v>0</v>
      </c>
      <c r="Q890" s="718">
        <v>107</v>
      </c>
      <c r="R890" s="719">
        <f t="shared" si="13"/>
        <v>7627</v>
      </c>
      <c r="S890" s="718"/>
      <c r="T890" s="719">
        <v>3687</v>
      </c>
      <c r="U890" s="721">
        <v>52</v>
      </c>
      <c r="V890" s="721">
        <v>3740</v>
      </c>
    </row>
    <row r="891" spans="1:22" x14ac:dyDescent="0.25">
      <c r="A891" s="715">
        <v>99804</v>
      </c>
      <c r="B891" s="716" t="s">
        <v>3422</v>
      </c>
      <c r="C891" s="717">
        <v>8.6600000000000004E-5</v>
      </c>
      <c r="D891" s="717">
        <v>8.7999999999999998E-5</v>
      </c>
      <c r="E891" s="718">
        <v>41607</v>
      </c>
      <c r="F891" s="718">
        <v>39494</v>
      </c>
      <c r="G891" s="718">
        <v>183794</v>
      </c>
      <c r="H891" s="718"/>
      <c r="I891" s="719">
        <v>3453</v>
      </c>
      <c r="J891" s="719">
        <v>161062</v>
      </c>
      <c r="K891" s="719">
        <v>12588</v>
      </c>
      <c r="L891" s="718">
        <v>10128</v>
      </c>
      <c r="M891" s="718"/>
      <c r="N891" s="719">
        <v>6440</v>
      </c>
      <c r="O891" s="719">
        <v>59447</v>
      </c>
      <c r="P891" s="719">
        <v>0</v>
      </c>
      <c r="Q891" s="718">
        <v>0</v>
      </c>
      <c r="R891" s="719">
        <f t="shared" si="13"/>
        <v>101615</v>
      </c>
      <c r="S891" s="718"/>
      <c r="T891" s="719">
        <v>49125</v>
      </c>
      <c r="U891" s="721">
        <v>3221</v>
      </c>
      <c r="V891" s="721">
        <v>52347</v>
      </c>
    </row>
    <row r="892" spans="1:22" x14ac:dyDescent="0.25">
      <c r="A892" s="715">
        <v>99811</v>
      </c>
      <c r="B892" s="716" t="s">
        <v>3423</v>
      </c>
      <c r="C892" s="717">
        <v>6.8415000000000004E-3</v>
      </c>
      <c r="D892" s="717">
        <v>6.9579999999999998E-3</v>
      </c>
      <c r="E892" s="718">
        <v>2561770.62</v>
      </c>
      <c r="F892" s="718">
        <v>3122709</v>
      </c>
      <c r="G892" s="718">
        <v>14519955</v>
      </c>
      <c r="H892" s="718"/>
      <c r="I892" s="719">
        <v>272805</v>
      </c>
      <c r="J892" s="719">
        <v>12724109</v>
      </c>
      <c r="K892" s="719">
        <v>994487</v>
      </c>
      <c r="L892" s="718">
        <v>0</v>
      </c>
      <c r="M892" s="718"/>
      <c r="N892" s="719">
        <v>508796</v>
      </c>
      <c r="O892" s="719">
        <v>4696402</v>
      </c>
      <c r="P892" s="719">
        <v>0</v>
      </c>
      <c r="Q892" s="718">
        <v>526561</v>
      </c>
      <c r="R892" s="719">
        <f t="shared" si="13"/>
        <v>8027707</v>
      </c>
      <c r="S892" s="718"/>
      <c r="T892" s="719">
        <v>3880971</v>
      </c>
      <c r="U892" s="721">
        <v>-175139</v>
      </c>
      <c r="V892" s="721">
        <v>3705832</v>
      </c>
    </row>
    <row r="893" spans="1:22" x14ac:dyDescent="0.25">
      <c r="A893" s="715">
        <v>99812</v>
      </c>
      <c r="B893" s="716" t="s">
        <v>3424</v>
      </c>
      <c r="C893" s="717">
        <v>2.5599999999999999E-5</v>
      </c>
      <c r="D893" s="717">
        <v>2.7399999999999999E-5</v>
      </c>
      <c r="E893" s="718">
        <v>18003</v>
      </c>
      <c r="F893" s="718">
        <v>12297</v>
      </c>
      <c r="G893" s="718">
        <v>54332</v>
      </c>
      <c r="H893" s="718"/>
      <c r="I893" s="719">
        <v>1020.8</v>
      </c>
      <c r="J893" s="719">
        <v>47612</v>
      </c>
      <c r="K893" s="719">
        <v>3721</v>
      </c>
      <c r="L893" s="718">
        <v>8899</v>
      </c>
      <c r="M893" s="718"/>
      <c r="N893" s="719">
        <v>1904</v>
      </c>
      <c r="O893" s="719">
        <v>17573</v>
      </c>
      <c r="P893" s="719">
        <v>0</v>
      </c>
      <c r="Q893" s="718">
        <v>0</v>
      </c>
      <c r="R893" s="719">
        <f t="shared" si="13"/>
        <v>30039</v>
      </c>
      <c r="S893" s="718"/>
      <c r="T893" s="719">
        <v>14522</v>
      </c>
      <c r="U893" s="721">
        <v>2839</v>
      </c>
      <c r="V893" s="721">
        <v>17361</v>
      </c>
    </row>
    <row r="894" spans="1:22" x14ac:dyDescent="0.25">
      <c r="A894" s="715">
        <v>99818</v>
      </c>
      <c r="B894" s="716" t="s">
        <v>3425</v>
      </c>
      <c r="C894" s="717">
        <v>3.7700000000000002E-5</v>
      </c>
      <c r="D894" s="717">
        <v>4.4199999999999997E-5</v>
      </c>
      <c r="E894" s="718">
        <v>16175</v>
      </c>
      <c r="F894" s="718">
        <v>19837</v>
      </c>
      <c r="G894" s="718">
        <v>80012</v>
      </c>
      <c r="H894" s="718"/>
      <c r="I894" s="719">
        <v>1503</v>
      </c>
      <c r="J894" s="719">
        <v>70116</v>
      </c>
      <c r="K894" s="719">
        <v>5480</v>
      </c>
      <c r="L894" s="718">
        <v>5574</v>
      </c>
      <c r="M894" s="718"/>
      <c r="N894" s="719">
        <v>2804</v>
      </c>
      <c r="O894" s="719">
        <v>25879</v>
      </c>
      <c r="P894" s="719">
        <v>0</v>
      </c>
      <c r="Q894" s="718">
        <v>2988</v>
      </c>
      <c r="R894" s="719">
        <f t="shared" si="13"/>
        <v>44237</v>
      </c>
      <c r="S894" s="718"/>
      <c r="T894" s="719">
        <v>21386</v>
      </c>
      <c r="U894" s="721">
        <v>1745</v>
      </c>
      <c r="V894" s="721">
        <v>23131</v>
      </c>
    </row>
    <row r="895" spans="1:22" x14ac:dyDescent="0.25">
      <c r="A895" s="715">
        <v>99821</v>
      </c>
      <c r="B895" s="716" t="s">
        <v>3426</v>
      </c>
      <c r="C895" s="717">
        <v>8.2899999999999996E-5</v>
      </c>
      <c r="D895" s="717">
        <v>8.42E-5</v>
      </c>
      <c r="E895" s="718">
        <v>42679.99</v>
      </c>
      <c r="F895" s="718">
        <v>37788</v>
      </c>
      <c r="G895" s="718">
        <v>175942</v>
      </c>
      <c r="H895" s="718"/>
      <c r="I895" s="719">
        <v>3306</v>
      </c>
      <c r="J895" s="719">
        <v>154181</v>
      </c>
      <c r="K895" s="719">
        <v>12050</v>
      </c>
      <c r="L895" s="718">
        <v>17868</v>
      </c>
      <c r="M895" s="718"/>
      <c r="N895" s="719">
        <v>6165</v>
      </c>
      <c r="O895" s="719">
        <v>56907</v>
      </c>
      <c r="P895" s="719">
        <v>0</v>
      </c>
      <c r="Q895" s="718">
        <v>860</v>
      </c>
      <c r="R895" s="719">
        <f t="shared" si="13"/>
        <v>97274</v>
      </c>
      <c r="S895" s="718"/>
      <c r="T895" s="719">
        <v>47027</v>
      </c>
      <c r="U895" s="721">
        <v>7184</v>
      </c>
      <c r="V895" s="721">
        <v>54211</v>
      </c>
    </row>
    <row r="896" spans="1:22" x14ac:dyDescent="0.25">
      <c r="A896" s="715">
        <v>99831</v>
      </c>
      <c r="B896" s="716" t="s">
        <v>3427</v>
      </c>
      <c r="C896" s="717">
        <v>5.5899999999999997E-5</v>
      </c>
      <c r="D896" s="717">
        <v>5.0699999999999999E-5</v>
      </c>
      <c r="E896" s="718">
        <v>23539.8</v>
      </c>
      <c r="F896" s="718">
        <v>22754</v>
      </c>
      <c r="G896" s="718">
        <v>118639</v>
      </c>
      <c r="H896" s="718"/>
      <c r="I896" s="719">
        <v>2229</v>
      </c>
      <c r="J896" s="719">
        <v>103965</v>
      </c>
      <c r="K896" s="719">
        <v>8126</v>
      </c>
      <c r="L896" s="718">
        <v>3830</v>
      </c>
      <c r="M896" s="718"/>
      <c r="N896" s="719">
        <v>4157</v>
      </c>
      <c r="O896" s="719">
        <v>38373</v>
      </c>
      <c r="P896" s="719">
        <v>0</v>
      </c>
      <c r="Q896" s="718">
        <v>873</v>
      </c>
      <c r="R896" s="719">
        <f t="shared" si="13"/>
        <v>65592</v>
      </c>
      <c r="S896" s="718"/>
      <c r="T896" s="719">
        <v>31710</v>
      </c>
      <c r="U896" s="721">
        <v>823</v>
      </c>
      <c r="V896" s="721">
        <v>32533</v>
      </c>
    </row>
    <row r="897" spans="1:22" x14ac:dyDescent="0.25">
      <c r="A897" s="715">
        <v>99841</v>
      </c>
      <c r="B897" s="716" t="s">
        <v>3428</v>
      </c>
      <c r="C897" s="717">
        <v>4.6E-5</v>
      </c>
      <c r="D897" s="717">
        <v>4.6699999999999997E-5</v>
      </c>
      <c r="E897" s="718">
        <v>18090.39</v>
      </c>
      <c r="F897" s="718">
        <v>20959</v>
      </c>
      <c r="G897" s="718">
        <v>97627.41</v>
      </c>
      <c r="H897" s="718"/>
      <c r="I897" s="719">
        <v>1834.25</v>
      </c>
      <c r="J897" s="719">
        <v>85553</v>
      </c>
      <c r="K897" s="719">
        <v>6687</v>
      </c>
      <c r="L897" s="718">
        <v>1970</v>
      </c>
      <c r="M897" s="718"/>
      <c r="N897" s="719">
        <v>3421</v>
      </c>
      <c r="O897" s="719">
        <v>31577</v>
      </c>
      <c r="P897" s="719">
        <v>0</v>
      </c>
      <c r="Q897" s="718">
        <v>3207</v>
      </c>
      <c r="R897" s="719">
        <f t="shared" si="13"/>
        <v>53976</v>
      </c>
      <c r="S897" s="718"/>
      <c r="T897" s="719">
        <v>26094</v>
      </c>
      <c r="U897" s="721">
        <v>-661</v>
      </c>
      <c r="V897" s="721">
        <v>25434</v>
      </c>
    </row>
    <row r="898" spans="1:22" x14ac:dyDescent="0.25">
      <c r="A898" s="715">
        <v>99851</v>
      </c>
      <c r="B898" s="716" t="s">
        <v>3429</v>
      </c>
      <c r="C898" s="717">
        <v>2.1999999999999999E-5</v>
      </c>
      <c r="D898" s="717">
        <v>2.0299999999999999E-5</v>
      </c>
      <c r="E898" s="718">
        <v>6172</v>
      </c>
      <c r="F898" s="718">
        <v>9111</v>
      </c>
      <c r="G898" s="718">
        <v>46691</v>
      </c>
      <c r="H898" s="718"/>
      <c r="I898" s="719">
        <v>877.25</v>
      </c>
      <c r="J898" s="719">
        <v>40917</v>
      </c>
      <c r="K898" s="719">
        <v>3198</v>
      </c>
      <c r="L898" s="718">
        <v>221</v>
      </c>
      <c r="M898" s="718"/>
      <c r="N898" s="719">
        <v>1636</v>
      </c>
      <c r="O898" s="719">
        <v>15102</v>
      </c>
      <c r="P898" s="719">
        <v>0</v>
      </c>
      <c r="Q898" s="718">
        <v>1432</v>
      </c>
      <c r="R898" s="719">
        <f t="shared" si="13"/>
        <v>25815</v>
      </c>
      <c r="S898" s="718"/>
      <c r="T898" s="719">
        <v>12480</v>
      </c>
      <c r="U898" s="721">
        <v>-310</v>
      </c>
      <c r="V898" s="721">
        <v>12170</v>
      </c>
    </row>
    <row r="899" spans="1:22" x14ac:dyDescent="0.25">
      <c r="A899" s="715">
        <v>99901</v>
      </c>
      <c r="B899" s="716" t="s">
        <v>3430</v>
      </c>
      <c r="C899" s="717">
        <v>1.6371999999999999E-3</v>
      </c>
      <c r="D899" s="717">
        <v>1.5259E-3</v>
      </c>
      <c r="E899" s="718">
        <v>635103.91</v>
      </c>
      <c r="F899" s="718">
        <v>684815</v>
      </c>
      <c r="G899" s="718">
        <v>3474687</v>
      </c>
      <c r="H899" s="718"/>
      <c r="I899" s="719">
        <v>65283.35</v>
      </c>
      <c r="J899" s="719">
        <v>3044933</v>
      </c>
      <c r="K899" s="719">
        <v>237985</v>
      </c>
      <c r="L899" s="718">
        <v>67178</v>
      </c>
      <c r="M899" s="718"/>
      <c r="N899" s="719">
        <v>121757</v>
      </c>
      <c r="O899" s="719">
        <v>1123869</v>
      </c>
      <c r="P899" s="719">
        <v>0</v>
      </c>
      <c r="Q899" s="718">
        <v>24162.58</v>
      </c>
      <c r="R899" s="719">
        <f t="shared" si="13"/>
        <v>1921064</v>
      </c>
      <c r="S899" s="718"/>
      <c r="T899" s="719">
        <v>928733</v>
      </c>
      <c r="U899" s="721">
        <v>8817</v>
      </c>
      <c r="V899" s="721">
        <v>937550</v>
      </c>
    </row>
    <row r="900" spans="1:22" x14ac:dyDescent="0.25">
      <c r="A900" s="715">
        <v>99911</v>
      </c>
      <c r="B900" s="716" t="s">
        <v>3431</v>
      </c>
      <c r="C900" s="717">
        <v>2.5520000000000002E-4</v>
      </c>
      <c r="D900" s="717">
        <v>2.766E-4</v>
      </c>
      <c r="E900" s="718">
        <v>106882</v>
      </c>
      <c r="F900" s="718">
        <v>124136</v>
      </c>
      <c r="G900" s="718">
        <v>541620</v>
      </c>
      <c r="H900" s="718"/>
      <c r="I900" s="719">
        <v>10176.1</v>
      </c>
      <c r="J900" s="719">
        <v>474632</v>
      </c>
      <c r="K900" s="719">
        <v>37096</v>
      </c>
      <c r="L900" s="718">
        <v>2863</v>
      </c>
      <c r="M900" s="718"/>
      <c r="N900" s="719">
        <v>18979</v>
      </c>
      <c r="O900" s="719">
        <v>175184</v>
      </c>
      <c r="P900" s="719">
        <v>0</v>
      </c>
      <c r="Q900" s="718">
        <v>20527</v>
      </c>
      <c r="R900" s="719">
        <f t="shared" si="13"/>
        <v>299448</v>
      </c>
      <c r="S900" s="718"/>
      <c r="T900" s="719">
        <v>144767</v>
      </c>
      <c r="U900" s="721">
        <v>-6851</v>
      </c>
      <c r="V900" s="721">
        <v>137916</v>
      </c>
    </row>
    <row r="901" spans="1:22" x14ac:dyDescent="0.25">
      <c r="A901" s="715">
        <v>99921</v>
      </c>
      <c r="B901" s="716" t="s">
        <v>3432</v>
      </c>
      <c r="C901" s="733">
        <v>1.5129999999999999E-4</v>
      </c>
      <c r="D901" s="733">
        <v>1.3889999999999999E-4</v>
      </c>
      <c r="E901" s="718">
        <v>55802.77</v>
      </c>
      <c r="F901" s="718">
        <v>62337</v>
      </c>
      <c r="G901" s="703">
        <v>321109</v>
      </c>
      <c r="H901" s="703"/>
      <c r="I901" s="734">
        <v>6033</v>
      </c>
      <c r="J901" s="734">
        <v>281394</v>
      </c>
      <c r="K901" s="734">
        <v>21993</v>
      </c>
      <c r="L901" s="703">
        <v>4809</v>
      </c>
      <c r="M901" s="703"/>
      <c r="N901" s="734">
        <v>11252</v>
      </c>
      <c r="O901" s="734">
        <v>103861</v>
      </c>
      <c r="P901" s="734">
        <v>0</v>
      </c>
      <c r="Q901" s="703">
        <v>7353</v>
      </c>
      <c r="R901" s="719">
        <f t="shared" si="13"/>
        <v>177533</v>
      </c>
      <c r="S901" s="703"/>
      <c r="T901" s="734">
        <v>85828</v>
      </c>
      <c r="U901" s="705">
        <v>-2145</v>
      </c>
      <c r="V901" s="705">
        <v>83683</v>
      </c>
    </row>
    <row r="902" spans="1:22" s="704" customFormat="1" x14ac:dyDescent="0.25">
      <c r="A902" s="715">
        <v>99931</v>
      </c>
      <c r="B902" s="707" t="s">
        <v>3433</v>
      </c>
      <c r="C902" s="735">
        <v>2.51E-5</v>
      </c>
      <c r="D902" s="735">
        <v>2.5700000000000001E-5</v>
      </c>
      <c r="E902" s="718">
        <v>9194.32</v>
      </c>
      <c r="F902" s="718">
        <v>11534</v>
      </c>
      <c r="G902" s="736">
        <v>53271</v>
      </c>
      <c r="H902" s="736"/>
      <c r="I902" s="736">
        <v>1000.8625</v>
      </c>
      <c r="J902" s="736">
        <v>46682</v>
      </c>
      <c r="K902" s="736">
        <v>3649</v>
      </c>
      <c r="L902" s="736">
        <v>0</v>
      </c>
      <c r="N902" s="736">
        <v>1867</v>
      </c>
      <c r="O902" s="736">
        <v>17230</v>
      </c>
      <c r="P902" s="737">
        <v>0</v>
      </c>
      <c r="Q902" s="736">
        <v>5581</v>
      </c>
      <c r="R902" s="719">
        <f t="shared" si="13"/>
        <v>29452</v>
      </c>
      <c r="S902" s="736"/>
      <c r="T902" s="736">
        <v>14238</v>
      </c>
      <c r="U902" s="736">
        <v>-2038</v>
      </c>
      <c r="V902" s="736">
        <v>12201</v>
      </c>
    </row>
    <row r="903" spans="1:22" x14ac:dyDescent="0.25">
      <c r="A903" s="715">
        <v>99941</v>
      </c>
      <c r="B903" s="701" t="s">
        <v>3434</v>
      </c>
      <c r="C903" s="733">
        <v>7.8200000000000003E-5</v>
      </c>
      <c r="D903" s="733">
        <v>8.7899999999999995E-5</v>
      </c>
      <c r="E903" s="718">
        <v>27969.51</v>
      </c>
      <c r="F903" s="718">
        <v>39449</v>
      </c>
      <c r="G903" s="736">
        <v>165967</v>
      </c>
      <c r="H903" s="736"/>
      <c r="I903" s="736">
        <v>3118</v>
      </c>
      <c r="J903" s="736">
        <v>145440</v>
      </c>
      <c r="K903" s="736">
        <v>11367</v>
      </c>
      <c r="L903" s="736">
        <v>0</v>
      </c>
      <c r="N903" s="736">
        <v>5816</v>
      </c>
      <c r="O903" s="736">
        <v>53681</v>
      </c>
      <c r="P903" s="737">
        <v>0</v>
      </c>
      <c r="Q903" s="736">
        <v>11883</v>
      </c>
      <c r="R903" s="719">
        <f>IF(J903&gt;O903,J903-O903,O903-J903)</f>
        <v>91759</v>
      </c>
      <c r="S903" s="736"/>
      <c r="T903" s="736">
        <v>44360</v>
      </c>
      <c r="U903" s="736">
        <v>-3675</v>
      </c>
      <c r="V903" s="736">
        <v>40686</v>
      </c>
    </row>
    <row r="904" spans="1:22" x14ac:dyDescent="0.25">
      <c r="A904" s="715">
        <v>99991</v>
      </c>
      <c r="B904" s="701" t="s">
        <v>3435</v>
      </c>
      <c r="C904" s="733">
        <v>5.6990000000000003E-4</v>
      </c>
      <c r="D904" s="733">
        <v>5.1539999999999995E-4</v>
      </c>
      <c r="E904" s="718">
        <v>214761.88</v>
      </c>
      <c r="F904" s="718">
        <v>231308</v>
      </c>
      <c r="G904" s="736">
        <v>1209519</v>
      </c>
      <c r="H904" s="736"/>
      <c r="I904" s="736">
        <v>22725</v>
      </c>
      <c r="J904" s="736">
        <v>1059924</v>
      </c>
      <c r="K904" s="736">
        <v>82841</v>
      </c>
      <c r="L904" s="736">
        <v>48305</v>
      </c>
      <c r="N904" s="736">
        <v>42383</v>
      </c>
      <c r="O904" s="736">
        <v>391212</v>
      </c>
      <c r="P904" s="737">
        <v>0</v>
      </c>
      <c r="Q904" s="736">
        <v>0</v>
      </c>
      <c r="R904" s="719">
        <f>IF(J904&gt;O904,J904-O904,O904-J904)</f>
        <v>668712</v>
      </c>
      <c r="S904" s="736"/>
      <c r="T904" s="736">
        <v>323287</v>
      </c>
      <c r="U904" s="736">
        <v>19414</v>
      </c>
      <c r="V904" s="736">
        <v>342701</v>
      </c>
    </row>
    <row r="905" spans="1:22" x14ac:dyDescent="0.25">
      <c r="A905" s="715">
        <v>99999</v>
      </c>
      <c r="B905" s="701" t="s">
        <v>3436</v>
      </c>
      <c r="C905" s="733">
        <v>1.0101000000000001E-3</v>
      </c>
      <c r="D905" s="733">
        <v>9.3599999999999998E-4</v>
      </c>
      <c r="E905" s="718">
        <v>441362</v>
      </c>
      <c r="F905" s="718">
        <v>420071</v>
      </c>
      <c r="G905" s="736">
        <v>2143771</v>
      </c>
      <c r="H905" s="736"/>
      <c r="I905" s="736">
        <v>40278</v>
      </c>
      <c r="J905" s="736">
        <v>1878626</v>
      </c>
      <c r="K905" s="736">
        <v>146829</v>
      </c>
      <c r="L905" s="736">
        <v>111413</v>
      </c>
      <c r="N905" s="736">
        <v>75120</v>
      </c>
      <c r="O905" s="736">
        <v>693391</v>
      </c>
      <c r="P905" s="737">
        <v>0</v>
      </c>
      <c r="Q905" s="736">
        <v>43600.9</v>
      </c>
      <c r="R905" s="719">
        <f>IF(J905&gt;O905,J905-O905,O905-J905)</f>
        <v>1185235</v>
      </c>
      <c r="S905" s="736"/>
      <c r="T905" s="736">
        <v>572998</v>
      </c>
      <c r="U905" s="736">
        <v>11793</v>
      </c>
      <c r="V905" s="736">
        <v>584791</v>
      </c>
    </row>
    <row r="906" spans="1:22" x14ac:dyDescent="0.25">
      <c r="A906" s="715" t="s">
        <v>2526</v>
      </c>
      <c r="B906" s="716" t="s">
        <v>2525</v>
      </c>
      <c r="C906" s="717">
        <v>2.6160000000000002E-4</v>
      </c>
      <c r="D906" s="717">
        <v>2.9179999999999999E-4</v>
      </c>
      <c r="E906" s="718">
        <v>124242</v>
      </c>
      <c r="F906" s="718">
        <v>130958</v>
      </c>
      <c r="G906" s="718">
        <v>555203</v>
      </c>
      <c r="H906" s="718"/>
      <c r="I906" s="719">
        <v>10431</v>
      </c>
      <c r="J906" s="719">
        <v>486535</v>
      </c>
      <c r="K906" s="719">
        <v>38026</v>
      </c>
      <c r="L906" s="718">
        <v>2390</v>
      </c>
      <c r="M906" s="718"/>
      <c r="N906" s="719">
        <v>19455</v>
      </c>
      <c r="O906" s="719">
        <v>179577</v>
      </c>
      <c r="P906" s="719">
        <v>0</v>
      </c>
      <c r="Q906" s="718">
        <v>5043</v>
      </c>
      <c r="R906" s="719">
        <f>IF(J906&gt;O906,J906-O906,O906-J906)</f>
        <v>306958</v>
      </c>
      <c r="S906" s="718"/>
      <c r="T906" s="719">
        <v>148398</v>
      </c>
      <c r="U906" s="721">
        <v>-926</v>
      </c>
      <c r="V906" s="721">
        <v>147472</v>
      </c>
    </row>
    <row r="908" spans="1:22" x14ac:dyDescent="0.25">
      <c r="B908" s="724" t="s">
        <v>2036</v>
      </c>
      <c r="C908" s="738">
        <f>SUM(C7:C905)</f>
        <v>1</v>
      </c>
      <c r="D908" s="738">
        <f>SUM(D7:D905)</f>
        <v>1</v>
      </c>
      <c r="E908" s="739">
        <f>SUM(E7:E905)</f>
        <v>411243363</v>
      </c>
      <c r="F908" s="739">
        <f>SUM(F7:F905)</f>
        <v>448793979</v>
      </c>
      <c r="G908" s="739">
        <f>SUM(G7:G905)</f>
        <v>2122335002</v>
      </c>
      <c r="H908" s="739"/>
      <c r="I908" s="739">
        <f>SUM(I7:I905)</f>
        <v>39875005</v>
      </c>
      <c r="J908" s="739">
        <f>SUM(J7:J905)</f>
        <v>1857361931</v>
      </c>
      <c r="K908" s="739">
        <f>SUM(K7:K905)</f>
        <v>145360990</v>
      </c>
      <c r="L908" s="739">
        <f>SUM(L7:L905)</f>
        <v>47059867</v>
      </c>
      <c r="M908" s="739"/>
      <c r="N908" s="739">
        <f>SUM(N7:N905)</f>
        <v>74369003</v>
      </c>
      <c r="O908" s="739">
        <f>SUM(O7:O905)</f>
        <v>686457998</v>
      </c>
      <c r="P908" s="739">
        <f>SUM(P7:P905)</f>
        <v>0</v>
      </c>
      <c r="Q908" s="739">
        <f>SUM(Q7:Q905)</f>
        <v>47059539</v>
      </c>
      <c r="R908" s="739"/>
      <c r="S908" s="739"/>
      <c r="T908" s="739">
        <f>SUM(T7:T905)</f>
        <v>567268993</v>
      </c>
      <c r="U908" s="739">
        <f>SUM(U7:U905)</f>
        <v>95</v>
      </c>
      <c r="V908" s="739">
        <f>SUM(V7:V905)</f>
        <v>567269105</v>
      </c>
    </row>
    <row r="909" spans="1:22" x14ac:dyDescent="0.25">
      <c r="G909" s="740"/>
      <c r="H909" s="740"/>
      <c r="I909" s="740"/>
      <c r="J909" s="740"/>
      <c r="K909" s="740"/>
      <c r="L909" s="740"/>
      <c r="M909" s="740"/>
      <c r="N909" s="740"/>
      <c r="O909" s="740"/>
      <c r="P909" s="740"/>
      <c r="Q909" s="740"/>
      <c r="R909" s="740"/>
      <c r="S909" s="740"/>
      <c r="T909" s="740"/>
      <c r="U909" s="740"/>
      <c r="V909" s="740"/>
    </row>
    <row r="910" spans="1:22" x14ac:dyDescent="0.25">
      <c r="G910" s="741"/>
      <c r="H910" s="741"/>
      <c r="I910" s="741"/>
      <c r="J910" s="741"/>
      <c r="K910" s="741"/>
      <c r="L910" s="741"/>
      <c r="M910" s="741"/>
      <c r="N910" s="741"/>
      <c r="O910" s="741"/>
      <c r="P910" s="741"/>
      <c r="Q910" s="741"/>
      <c r="R910" s="741"/>
      <c r="S910" s="741"/>
      <c r="T910" s="741"/>
      <c r="U910" s="741"/>
      <c r="V910" s="741"/>
    </row>
    <row r="911" spans="1:22" x14ac:dyDescent="0.25">
      <c r="B911" s="701" t="s">
        <v>2094</v>
      </c>
      <c r="C911" s="713" t="s">
        <v>480</v>
      </c>
    </row>
    <row r="912" spans="1:22" x14ac:dyDescent="0.25">
      <c r="B912" s="701" t="s">
        <v>1708</v>
      </c>
      <c r="C912" s="715">
        <v>96331</v>
      </c>
    </row>
    <row r="913" spans="2:22" x14ac:dyDescent="0.25">
      <c r="B913" s="701" t="s">
        <v>1583</v>
      </c>
      <c r="C913" s="715">
        <v>94611</v>
      </c>
    </row>
    <row r="914" spans="2:22" x14ac:dyDescent="0.25">
      <c r="B914" s="701" t="s">
        <v>1461</v>
      </c>
      <c r="C914" s="715">
        <v>93402</v>
      </c>
      <c r="G914" s="704"/>
      <c r="H914" s="704"/>
      <c r="I914" s="704"/>
      <c r="J914" s="704"/>
      <c r="K914" s="704"/>
      <c r="L914" s="704"/>
      <c r="M914" s="704"/>
      <c r="N914" s="704"/>
      <c r="O914" s="704"/>
      <c r="P914" s="704"/>
      <c r="Q914" s="704"/>
      <c r="R914" s="704"/>
      <c r="S914" s="704"/>
      <c r="T914" s="704"/>
      <c r="U914" s="704"/>
      <c r="V914" s="704"/>
    </row>
    <row r="915" spans="2:22" x14ac:dyDescent="0.25">
      <c r="B915" s="701" t="s">
        <v>1526</v>
      </c>
      <c r="C915" s="715">
        <v>94109</v>
      </c>
      <c r="D915" s="742"/>
      <c r="E915" s="742"/>
      <c r="F915" s="742"/>
    </row>
    <row r="916" spans="2:22" x14ac:dyDescent="0.25">
      <c r="B916" s="701" t="s">
        <v>1155</v>
      </c>
      <c r="C916" s="715">
        <v>90101</v>
      </c>
      <c r="D916" s="742"/>
      <c r="E916" s="742"/>
      <c r="F916" s="742"/>
    </row>
    <row r="917" spans="2:22" x14ac:dyDescent="0.25">
      <c r="B917" s="701" t="s">
        <v>3437</v>
      </c>
      <c r="C917" s="715">
        <v>90117</v>
      </c>
      <c r="D917" s="742"/>
      <c r="E917" s="742"/>
      <c r="F917" s="742"/>
    </row>
    <row r="918" spans="2:22" x14ac:dyDescent="0.25">
      <c r="B918" s="701" t="s">
        <v>1162</v>
      </c>
      <c r="C918" s="715">
        <v>90151</v>
      </c>
      <c r="D918" s="742"/>
      <c r="E918" s="742"/>
      <c r="F918" s="742"/>
    </row>
    <row r="919" spans="2:22" x14ac:dyDescent="0.25">
      <c r="B919" s="701" t="s">
        <v>1910</v>
      </c>
      <c r="C919" s="715">
        <v>98417</v>
      </c>
      <c r="D919" s="742"/>
      <c r="E919" s="742"/>
      <c r="F919" s="742"/>
    </row>
    <row r="920" spans="2:22" x14ac:dyDescent="0.25">
      <c r="B920" s="701" t="s">
        <v>1770</v>
      </c>
      <c r="C920" s="715">
        <v>97008</v>
      </c>
      <c r="D920" s="742"/>
      <c r="E920" s="742"/>
      <c r="F920" s="742"/>
    </row>
    <row r="921" spans="2:22" x14ac:dyDescent="0.25">
      <c r="B921" s="701" t="s">
        <v>1771</v>
      </c>
      <c r="C921" s="715">
        <v>97010</v>
      </c>
      <c r="D921" s="742"/>
      <c r="E921" s="742"/>
      <c r="F921" s="742"/>
    </row>
    <row r="922" spans="2:22" x14ac:dyDescent="0.25">
      <c r="B922" s="701" t="s">
        <v>3438</v>
      </c>
      <c r="C922" s="715">
        <v>90096</v>
      </c>
      <c r="D922" s="742"/>
      <c r="E922" s="742"/>
      <c r="F922" s="742"/>
    </row>
    <row r="923" spans="2:22" x14ac:dyDescent="0.25">
      <c r="B923" s="701" t="s">
        <v>1204</v>
      </c>
      <c r="C923" s="715">
        <v>90805</v>
      </c>
      <c r="D923" s="742"/>
      <c r="E923" s="742"/>
      <c r="F923" s="742"/>
    </row>
    <row r="924" spans="2:22" x14ac:dyDescent="0.25">
      <c r="B924" s="701" t="s">
        <v>1348</v>
      </c>
      <c r="C924" s="715">
        <v>92109</v>
      </c>
      <c r="D924" s="742"/>
      <c r="E924" s="742"/>
      <c r="F924" s="742"/>
    </row>
    <row r="925" spans="2:22" x14ac:dyDescent="0.25">
      <c r="B925" s="701" t="s">
        <v>1909</v>
      </c>
      <c r="C925" s="715">
        <v>98411</v>
      </c>
      <c r="D925" s="742"/>
      <c r="E925" s="742"/>
      <c r="F925" s="742"/>
    </row>
    <row r="926" spans="2:22" x14ac:dyDescent="0.25">
      <c r="B926" s="701" t="s">
        <v>1164</v>
      </c>
      <c r="C926" s="715">
        <v>90201</v>
      </c>
      <c r="D926" s="742"/>
      <c r="E926" s="742"/>
      <c r="F926" s="742"/>
    </row>
    <row r="927" spans="2:22" x14ac:dyDescent="0.25">
      <c r="B927" s="701" t="s">
        <v>1165</v>
      </c>
      <c r="C927" s="715">
        <v>90203</v>
      </c>
      <c r="D927" s="742"/>
      <c r="E927" s="742"/>
      <c r="F927" s="742"/>
    </row>
    <row r="928" spans="2:22" x14ac:dyDescent="0.25">
      <c r="B928" s="701" t="s">
        <v>1166</v>
      </c>
      <c r="C928" s="715">
        <v>90205</v>
      </c>
    </row>
    <row r="929" spans="2:6" x14ac:dyDescent="0.25">
      <c r="B929" s="701" t="s">
        <v>1167</v>
      </c>
      <c r="C929" s="715">
        <v>90206</v>
      </c>
      <c r="D929" s="742"/>
      <c r="E929" s="742"/>
      <c r="F929" s="742"/>
    </row>
    <row r="930" spans="2:6" x14ac:dyDescent="0.25">
      <c r="B930" s="701" t="s">
        <v>1169</v>
      </c>
      <c r="C930" s="715">
        <v>90301</v>
      </c>
    </row>
    <row r="931" spans="2:6" x14ac:dyDescent="0.25">
      <c r="B931" s="701" t="s">
        <v>1444</v>
      </c>
      <c r="C931" s="715">
        <v>93209</v>
      </c>
      <c r="D931" s="742"/>
      <c r="E931" s="742"/>
      <c r="F931" s="742"/>
    </row>
    <row r="932" spans="2:6" x14ac:dyDescent="0.25">
      <c r="B932" s="701" t="s">
        <v>1345</v>
      </c>
      <c r="C932" s="715">
        <v>92021</v>
      </c>
    </row>
    <row r="933" spans="2:6" x14ac:dyDescent="0.25">
      <c r="B933" s="701" t="s">
        <v>1557</v>
      </c>
      <c r="C933" s="715">
        <v>94347</v>
      </c>
    </row>
    <row r="934" spans="2:6" x14ac:dyDescent="0.25">
      <c r="B934" s="701" t="s">
        <v>1558</v>
      </c>
      <c r="C934" s="715">
        <v>94351</v>
      </c>
    </row>
    <row r="935" spans="2:6" x14ac:dyDescent="0.25">
      <c r="B935" s="701" t="s">
        <v>1172</v>
      </c>
      <c r="C935" s="715">
        <v>90401</v>
      </c>
    </row>
    <row r="936" spans="2:6" x14ac:dyDescent="0.25">
      <c r="B936" s="701" t="s">
        <v>1179</v>
      </c>
      <c r="C936" s="715">
        <v>90451</v>
      </c>
    </row>
    <row r="937" spans="2:6" x14ac:dyDescent="0.25">
      <c r="B937" s="701" t="s">
        <v>1978</v>
      </c>
      <c r="C937" s="715">
        <v>99271</v>
      </c>
    </row>
    <row r="938" spans="2:6" x14ac:dyDescent="0.25">
      <c r="B938" s="701" t="s">
        <v>1154</v>
      </c>
      <c r="C938" s="715">
        <v>90099</v>
      </c>
    </row>
    <row r="939" spans="2:6" x14ac:dyDescent="0.25">
      <c r="B939" s="701" t="s">
        <v>2014</v>
      </c>
      <c r="C939" s="715">
        <v>99705</v>
      </c>
    </row>
    <row r="940" spans="2:6" x14ac:dyDescent="0.25">
      <c r="B940" s="701" t="s">
        <v>1822</v>
      </c>
      <c r="C940" s="715">
        <v>97651</v>
      </c>
    </row>
    <row r="941" spans="2:6" x14ac:dyDescent="0.25">
      <c r="B941" s="701" t="s">
        <v>1613</v>
      </c>
      <c r="C941" s="715">
        <v>95106</v>
      </c>
    </row>
    <row r="942" spans="2:6" x14ac:dyDescent="0.25">
      <c r="B942" s="701" t="s">
        <v>1181</v>
      </c>
      <c r="C942" s="715">
        <v>90501</v>
      </c>
    </row>
    <row r="943" spans="2:6" x14ac:dyDescent="0.25">
      <c r="B943" s="701" t="s">
        <v>1813</v>
      </c>
      <c r="C943" s="715">
        <v>97607</v>
      </c>
    </row>
    <row r="944" spans="2:6" x14ac:dyDescent="0.25">
      <c r="B944" s="701" t="s">
        <v>1815</v>
      </c>
      <c r="C944" s="715">
        <v>97613</v>
      </c>
    </row>
    <row r="945" spans="2:3" x14ac:dyDescent="0.25">
      <c r="B945" s="701" t="s">
        <v>1814</v>
      </c>
      <c r="C945" s="715">
        <v>97611</v>
      </c>
    </row>
    <row r="946" spans="2:3" x14ac:dyDescent="0.25">
      <c r="B946" s="701" t="s">
        <v>1257</v>
      </c>
      <c r="C946" s="715">
        <v>91127</v>
      </c>
    </row>
    <row r="947" spans="2:3" x14ac:dyDescent="0.25">
      <c r="B947" s="701" t="s">
        <v>1258</v>
      </c>
      <c r="C947" s="715">
        <v>91128</v>
      </c>
    </row>
    <row r="948" spans="2:3" x14ac:dyDescent="0.25">
      <c r="B948" s="701" t="s">
        <v>1256</v>
      </c>
      <c r="C948" s="715">
        <v>91121</v>
      </c>
    </row>
    <row r="949" spans="2:3" x14ac:dyDescent="0.25">
      <c r="B949" s="701" t="s">
        <v>1314</v>
      </c>
      <c r="C949" s="715">
        <v>91681</v>
      </c>
    </row>
    <row r="950" spans="2:3" x14ac:dyDescent="0.25">
      <c r="B950" s="701" t="s">
        <v>1206</v>
      </c>
      <c r="C950" s="715">
        <v>90811</v>
      </c>
    </row>
    <row r="951" spans="2:3" x14ac:dyDescent="0.25">
      <c r="B951" s="701" t="s">
        <v>1198</v>
      </c>
      <c r="C951" s="715">
        <v>90721</v>
      </c>
    </row>
    <row r="952" spans="2:3" x14ac:dyDescent="0.25">
      <c r="B952" s="701" t="s">
        <v>1900</v>
      </c>
      <c r="C952" s="715">
        <v>98271</v>
      </c>
    </row>
    <row r="953" spans="2:3" x14ac:dyDescent="0.25">
      <c r="B953" s="701" t="s">
        <v>1185</v>
      </c>
      <c r="C953" s="715">
        <v>90601</v>
      </c>
    </row>
    <row r="954" spans="2:3" x14ac:dyDescent="0.25">
      <c r="B954" s="701" t="s">
        <v>2095</v>
      </c>
      <c r="C954" s="715">
        <v>90602</v>
      </c>
    </row>
    <row r="955" spans="2:3" x14ac:dyDescent="0.25">
      <c r="B955" s="701" t="s">
        <v>1186</v>
      </c>
      <c r="C955" s="715">
        <v>90605</v>
      </c>
    </row>
    <row r="956" spans="2:3" x14ac:dyDescent="0.25">
      <c r="B956" s="701" t="s">
        <v>1804</v>
      </c>
      <c r="C956" s="715">
        <v>97463</v>
      </c>
    </row>
    <row r="957" spans="2:3" x14ac:dyDescent="0.25">
      <c r="B957" s="701" t="s">
        <v>1803</v>
      </c>
      <c r="C957" s="715">
        <v>97461</v>
      </c>
    </row>
    <row r="958" spans="2:3" x14ac:dyDescent="0.25">
      <c r="B958" s="701" t="s">
        <v>1195</v>
      </c>
      <c r="C958" s="715">
        <v>90705</v>
      </c>
    </row>
    <row r="959" spans="2:3" x14ac:dyDescent="0.25">
      <c r="B959" s="701" t="s">
        <v>1915</v>
      </c>
      <c r="C959" s="715">
        <v>98451</v>
      </c>
    </row>
    <row r="960" spans="2:3" x14ac:dyDescent="0.25">
      <c r="B960" s="701" t="s">
        <v>1722</v>
      </c>
      <c r="C960" s="715">
        <v>96451</v>
      </c>
    </row>
    <row r="961" spans="2:3" x14ac:dyDescent="0.25">
      <c r="B961" s="701" t="s">
        <v>1692</v>
      </c>
      <c r="C961" s="715">
        <v>96121</v>
      </c>
    </row>
    <row r="962" spans="2:3" x14ac:dyDescent="0.25">
      <c r="B962" s="701" t="s">
        <v>1246</v>
      </c>
      <c r="C962" s="715">
        <v>91091</v>
      </c>
    </row>
    <row r="963" spans="2:3" x14ac:dyDescent="0.25">
      <c r="B963" s="701" t="s">
        <v>1187</v>
      </c>
      <c r="C963" s="715">
        <v>90611</v>
      </c>
    </row>
    <row r="964" spans="2:3" x14ac:dyDescent="0.25">
      <c r="B964" s="701" t="s">
        <v>1765</v>
      </c>
      <c r="C964" s="715">
        <v>96918</v>
      </c>
    </row>
    <row r="965" spans="2:3" x14ac:dyDescent="0.25">
      <c r="B965" s="701" t="s">
        <v>1763</v>
      </c>
      <c r="C965" s="715">
        <v>96911</v>
      </c>
    </row>
    <row r="966" spans="2:3" x14ac:dyDescent="0.25">
      <c r="B966" s="701" t="s">
        <v>1965</v>
      </c>
      <c r="C966" s="715">
        <v>99208</v>
      </c>
    </row>
    <row r="967" spans="2:3" x14ac:dyDescent="0.25">
      <c r="B967" s="701" t="s">
        <v>1193</v>
      </c>
      <c r="C967" s="715">
        <v>90701</v>
      </c>
    </row>
    <row r="968" spans="2:3" x14ac:dyDescent="0.25">
      <c r="B968" s="701" t="s">
        <v>1194</v>
      </c>
      <c r="C968" s="715">
        <v>90704</v>
      </c>
    </row>
    <row r="969" spans="2:3" x14ac:dyDescent="0.25">
      <c r="B969" s="701" t="s">
        <v>1309</v>
      </c>
      <c r="C969" s="715">
        <v>91633</v>
      </c>
    </row>
    <row r="970" spans="2:3" x14ac:dyDescent="0.25">
      <c r="B970" s="701" t="s">
        <v>1308</v>
      </c>
      <c r="C970" s="715">
        <v>91631</v>
      </c>
    </row>
    <row r="971" spans="2:3" x14ac:dyDescent="0.25">
      <c r="B971" s="701" t="s">
        <v>1190</v>
      </c>
      <c r="C971" s="715">
        <v>90631</v>
      </c>
    </row>
    <row r="972" spans="2:3" x14ac:dyDescent="0.25">
      <c r="B972" s="701" t="s">
        <v>1199</v>
      </c>
      <c r="C972" s="715">
        <v>90731</v>
      </c>
    </row>
    <row r="973" spans="2:3" x14ac:dyDescent="0.25">
      <c r="B973" s="701" t="s">
        <v>1490</v>
      </c>
      <c r="C973" s="715">
        <v>93623</v>
      </c>
    </row>
    <row r="974" spans="2:3" x14ac:dyDescent="0.25">
      <c r="B974" s="701" t="s">
        <v>1489</v>
      </c>
      <c r="C974" s="715">
        <v>93621</v>
      </c>
    </row>
    <row r="975" spans="2:3" x14ac:dyDescent="0.25">
      <c r="B975" s="701" t="s">
        <v>1230</v>
      </c>
      <c r="C975" s="715">
        <v>91020</v>
      </c>
    </row>
    <row r="976" spans="2:3" x14ac:dyDescent="0.25">
      <c r="B976" s="701" t="s">
        <v>1610</v>
      </c>
      <c r="C976" s="715">
        <v>95103</v>
      </c>
    </row>
    <row r="977" spans="2:3" x14ac:dyDescent="0.25">
      <c r="B977" s="701" t="s">
        <v>1621</v>
      </c>
      <c r="C977" s="715">
        <v>95141</v>
      </c>
    </row>
    <row r="978" spans="2:3" x14ac:dyDescent="0.25">
      <c r="B978" s="701" t="s">
        <v>1424</v>
      </c>
      <c r="C978" s="715">
        <v>93021</v>
      </c>
    </row>
    <row r="979" spans="2:3" x14ac:dyDescent="0.25">
      <c r="B979" s="701" t="s">
        <v>1202</v>
      </c>
      <c r="C979" s="715">
        <v>90801</v>
      </c>
    </row>
    <row r="980" spans="2:3" x14ac:dyDescent="0.25">
      <c r="B980" s="701" t="s">
        <v>1203</v>
      </c>
      <c r="C980" s="715">
        <v>90804</v>
      </c>
    </row>
    <row r="981" spans="2:3" x14ac:dyDescent="0.25">
      <c r="B981" s="701" t="s">
        <v>1205</v>
      </c>
      <c r="C981" s="715">
        <v>90808</v>
      </c>
    </row>
    <row r="982" spans="2:3" x14ac:dyDescent="0.25">
      <c r="B982" s="701" t="s">
        <v>1497</v>
      </c>
      <c r="C982" s="715">
        <v>93677</v>
      </c>
    </row>
    <row r="983" spans="2:3" x14ac:dyDescent="0.25">
      <c r="B983" s="701" t="s">
        <v>1496</v>
      </c>
      <c r="C983" s="715">
        <v>93671</v>
      </c>
    </row>
    <row r="984" spans="2:3" x14ac:dyDescent="0.25">
      <c r="B984" s="701" t="s">
        <v>1801</v>
      </c>
      <c r="C984" s="715">
        <v>97441</v>
      </c>
    </row>
    <row r="985" spans="2:3" x14ac:dyDescent="0.25">
      <c r="B985" s="701" t="s">
        <v>1429</v>
      </c>
      <c r="C985" s="715">
        <v>93111</v>
      </c>
    </row>
    <row r="986" spans="2:3" x14ac:dyDescent="0.25">
      <c r="B986" s="701" t="s">
        <v>1253</v>
      </c>
      <c r="C986" s="715">
        <v>91111</v>
      </c>
    </row>
    <row r="987" spans="2:3" x14ac:dyDescent="0.25">
      <c r="B987" s="701" t="s">
        <v>1697</v>
      </c>
      <c r="C987" s="715">
        <v>96231</v>
      </c>
    </row>
    <row r="988" spans="2:3" x14ac:dyDescent="0.25">
      <c r="B988" s="701" t="s">
        <v>2026</v>
      </c>
      <c r="C988" s="715">
        <v>99831</v>
      </c>
    </row>
    <row r="989" spans="2:3" x14ac:dyDescent="0.25">
      <c r="B989" s="701" t="s">
        <v>1263</v>
      </c>
      <c r="C989" s="715">
        <v>91154</v>
      </c>
    </row>
    <row r="990" spans="2:3" x14ac:dyDescent="0.25">
      <c r="B990" s="701" t="s">
        <v>1262</v>
      </c>
      <c r="C990" s="715">
        <v>91151</v>
      </c>
    </row>
    <row r="991" spans="2:3" x14ac:dyDescent="0.25">
      <c r="B991" s="701" t="s">
        <v>1210</v>
      </c>
      <c r="C991" s="715">
        <v>90901</v>
      </c>
    </row>
    <row r="992" spans="2:3" x14ac:dyDescent="0.25">
      <c r="B992" s="701" t="s">
        <v>1216</v>
      </c>
      <c r="C992" s="715">
        <v>90941</v>
      </c>
    </row>
    <row r="993" spans="2:3" x14ac:dyDescent="0.25">
      <c r="B993" s="701" t="s">
        <v>1998</v>
      </c>
      <c r="C993" s="715">
        <v>99527</v>
      </c>
    </row>
    <row r="994" spans="2:3" x14ac:dyDescent="0.25">
      <c r="B994" s="701" t="s">
        <v>1994</v>
      </c>
      <c r="C994" s="715">
        <v>99508</v>
      </c>
    </row>
    <row r="995" spans="2:3" x14ac:dyDescent="0.25">
      <c r="B995" s="701" t="s">
        <v>1997</v>
      </c>
      <c r="C995" s="715">
        <v>99521</v>
      </c>
    </row>
    <row r="996" spans="2:3" x14ac:dyDescent="0.25">
      <c r="B996" s="701" t="s">
        <v>1576</v>
      </c>
      <c r="C996" s="715">
        <v>94532</v>
      </c>
    </row>
    <row r="997" spans="2:3" x14ac:dyDescent="0.25">
      <c r="B997" s="701" t="s">
        <v>1244</v>
      </c>
      <c r="C997" s="715">
        <v>91077</v>
      </c>
    </row>
    <row r="998" spans="2:3" x14ac:dyDescent="0.25">
      <c r="B998" s="701" t="s">
        <v>1243</v>
      </c>
      <c r="C998" s="715">
        <v>91071</v>
      </c>
    </row>
    <row r="999" spans="2:3" x14ac:dyDescent="0.25">
      <c r="B999" s="701" t="s">
        <v>1358</v>
      </c>
      <c r="C999" s="715">
        <v>92331</v>
      </c>
    </row>
    <row r="1000" spans="2:3" x14ac:dyDescent="0.25">
      <c r="B1000" s="701" t="s">
        <v>1996</v>
      </c>
      <c r="C1000" s="715">
        <v>99511</v>
      </c>
    </row>
    <row r="1001" spans="2:3" x14ac:dyDescent="0.25">
      <c r="B1001" s="701" t="s">
        <v>2033</v>
      </c>
      <c r="C1001" s="715">
        <v>99941</v>
      </c>
    </row>
    <row r="1002" spans="2:3" x14ac:dyDescent="0.25">
      <c r="B1002" s="701" t="s">
        <v>1717</v>
      </c>
      <c r="C1002" s="715">
        <v>96405</v>
      </c>
    </row>
    <row r="1003" spans="2:3" x14ac:dyDescent="0.25">
      <c r="B1003" s="701" t="s">
        <v>1936</v>
      </c>
      <c r="C1003" s="715">
        <v>98817</v>
      </c>
    </row>
    <row r="1004" spans="2:3" x14ac:dyDescent="0.25">
      <c r="B1004" s="701" t="s">
        <v>1935</v>
      </c>
      <c r="C1004" s="715">
        <v>98811</v>
      </c>
    </row>
    <row r="1005" spans="2:3" x14ac:dyDescent="0.25">
      <c r="B1005" s="701" t="s">
        <v>1386</v>
      </c>
      <c r="C1005" s="715">
        <v>92561</v>
      </c>
    </row>
    <row r="1006" spans="2:3" x14ac:dyDescent="0.25">
      <c r="B1006" s="701" t="s">
        <v>1879</v>
      </c>
      <c r="C1006" s="715">
        <v>98102</v>
      </c>
    </row>
    <row r="1007" spans="2:3" x14ac:dyDescent="0.25">
      <c r="B1007" s="701" t="s">
        <v>1635</v>
      </c>
      <c r="C1007" s="715">
        <v>95321</v>
      </c>
    </row>
    <row r="1008" spans="2:3" x14ac:dyDescent="0.25">
      <c r="B1008" s="701" t="s">
        <v>1331</v>
      </c>
      <c r="C1008" s="715">
        <v>91861</v>
      </c>
    </row>
    <row r="1009" spans="2:3" x14ac:dyDescent="0.25">
      <c r="B1009" s="701" t="s">
        <v>1217</v>
      </c>
      <c r="C1009" s="715">
        <v>91001</v>
      </c>
    </row>
    <row r="1010" spans="2:3" x14ac:dyDescent="0.25">
      <c r="B1010" s="701" t="s">
        <v>1220</v>
      </c>
      <c r="C1010" s="715">
        <v>91004</v>
      </c>
    </row>
    <row r="1011" spans="2:3" x14ac:dyDescent="0.25">
      <c r="B1011" s="701" t="s">
        <v>3439</v>
      </c>
      <c r="C1011" s="715">
        <v>91006</v>
      </c>
    </row>
    <row r="1012" spans="2:3" x14ac:dyDescent="0.25">
      <c r="B1012" s="701" t="s">
        <v>1219</v>
      </c>
      <c r="C1012" s="715">
        <v>91003</v>
      </c>
    </row>
    <row r="1013" spans="2:3" x14ac:dyDescent="0.25">
      <c r="B1013" s="701" t="s">
        <v>1224</v>
      </c>
      <c r="C1013" s="715">
        <v>91009</v>
      </c>
    </row>
    <row r="1014" spans="2:3" x14ac:dyDescent="0.25">
      <c r="B1014" s="701" t="s">
        <v>3440</v>
      </c>
      <c r="C1014" s="715">
        <v>91042</v>
      </c>
    </row>
    <row r="1015" spans="2:3" x14ac:dyDescent="0.25">
      <c r="B1015" s="701" t="s">
        <v>1366</v>
      </c>
      <c r="C1015" s="715">
        <v>92421</v>
      </c>
    </row>
    <row r="1016" spans="2:3" x14ac:dyDescent="0.25">
      <c r="B1016" s="701" t="s">
        <v>1933</v>
      </c>
      <c r="C1016" s="715">
        <v>98717</v>
      </c>
    </row>
    <row r="1017" spans="2:3" x14ac:dyDescent="0.25">
      <c r="B1017" s="701" t="s">
        <v>1932</v>
      </c>
      <c r="C1017" s="715">
        <v>98711</v>
      </c>
    </row>
    <row r="1018" spans="2:3" x14ac:dyDescent="0.25">
      <c r="B1018" s="701" t="s">
        <v>1247</v>
      </c>
      <c r="C1018" s="715">
        <v>91101</v>
      </c>
    </row>
    <row r="1019" spans="2:3" x14ac:dyDescent="0.25">
      <c r="B1019" s="701" t="s">
        <v>1480</v>
      </c>
      <c r="C1019" s="715">
        <v>93537</v>
      </c>
    </row>
    <row r="1020" spans="2:3" x14ac:dyDescent="0.25">
      <c r="B1020" s="701" t="s">
        <v>1479</v>
      </c>
      <c r="C1020" s="715">
        <v>93531</v>
      </c>
    </row>
    <row r="1021" spans="2:3" x14ac:dyDescent="0.25">
      <c r="B1021" s="701" t="s">
        <v>1779</v>
      </c>
      <c r="C1021" s="715">
        <v>97111</v>
      </c>
    </row>
    <row r="1022" spans="2:3" x14ac:dyDescent="0.25">
      <c r="B1022" s="701" t="s">
        <v>1266</v>
      </c>
      <c r="C1022" s="715">
        <v>91201</v>
      </c>
    </row>
    <row r="1023" spans="2:3" x14ac:dyDescent="0.25">
      <c r="B1023" s="701" t="s">
        <v>3441</v>
      </c>
      <c r="C1023" s="715">
        <v>91206</v>
      </c>
    </row>
    <row r="1024" spans="2:3" x14ac:dyDescent="0.25">
      <c r="B1024" s="701" t="s">
        <v>1268</v>
      </c>
      <c r="C1024" s="715">
        <v>91203</v>
      </c>
    </row>
    <row r="1025" spans="2:3" x14ac:dyDescent="0.25">
      <c r="B1025" s="701" t="s">
        <v>1270</v>
      </c>
      <c r="C1025" s="715">
        <v>91208</v>
      </c>
    </row>
    <row r="1026" spans="2:3" x14ac:dyDescent="0.25">
      <c r="B1026" s="701" t="s">
        <v>1267</v>
      </c>
      <c r="C1026" s="715">
        <v>91202</v>
      </c>
    </row>
    <row r="1027" spans="2:3" x14ac:dyDescent="0.25">
      <c r="B1027" s="701" t="s">
        <v>1156</v>
      </c>
      <c r="C1027" s="715">
        <v>90111</v>
      </c>
    </row>
    <row r="1028" spans="2:3" x14ac:dyDescent="0.25">
      <c r="B1028" s="701" t="s">
        <v>1150</v>
      </c>
      <c r="C1028" s="715">
        <v>90011</v>
      </c>
    </row>
    <row r="1029" spans="2:3" x14ac:dyDescent="0.25">
      <c r="B1029" s="701" t="s">
        <v>1515</v>
      </c>
      <c r="C1029" s="715">
        <v>93931</v>
      </c>
    </row>
    <row r="1030" spans="2:3" x14ac:dyDescent="0.25">
      <c r="B1030" s="701" t="s">
        <v>1283</v>
      </c>
      <c r="C1030" s="715">
        <v>91306</v>
      </c>
    </row>
    <row r="1031" spans="2:3" x14ac:dyDescent="0.25">
      <c r="B1031" s="701" t="s">
        <v>1284</v>
      </c>
      <c r="C1031" s="715">
        <v>91308</v>
      </c>
    </row>
    <row r="1032" spans="2:3" x14ac:dyDescent="0.25">
      <c r="B1032" s="701" t="s">
        <v>1281</v>
      </c>
      <c r="C1032" s="715">
        <v>91301</v>
      </c>
    </row>
    <row r="1033" spans="2:3" x14ac:dyDescent="0.25">
      <c r="B1033" s="701" t="s">
        <v>1300</v>
      </c>
      <c r="C1033" s="715">
        <v>91461</v>
      </c>
    </row>
    <row r="1034" spans="2:3" x14ac:dyDescent="0.25">
      <c r="B1034" s="701" t="s">
        <v>1222</v>
      </c>
      <c r="C1034" s="715">
        <v>91007</v>
      </c>
    </row>
    <row r="1035" spans="2:3" x14ac:dyDescent="0.25">
      <c r="B1035" s="701" t="s">
        <v>1225</v>
      </c>
      <c r="C1035" s="715">
        <v>91010</v>
      </c>
    </row>
    <row r="1036" spans="2:3" x14ac:dyDescent="0.25">
      <c r="B1036" s="701" t="s">
        <v>1291</v>
      </c>
      <c r="C1036" s="715">
        <v>91401</v>
      </c>
    </row>
    <row r="1037" spans="2:3" x14ac:dyDescent="0.25">
      <c r="B1037" s="701" t="s">
        <v>1438</v>
      </c>
      <c r="C1037" s="715">
        <v>93171</v>
      </c>
    </row>
    <row r="1038" spans="2:3" x14ac:dyDescent="0.25">
      <c r="B1038" s="701" t="s">
        <v>1301</v>
      </c>
      <c r="C1038" s="715">
        <v>91501</v>
      </c>
    </row>
    <row r="1039" spans="2:3" x14ac:dyDescent="0.25">
      <c r="B1039" s="701" t="s">
        <v>1302</v>
      </c>
      <c r="C1039" s="715">
        <v>91504</v>
      </c>
    </row>
    <row r="1040" spans="2:3" x14ac:dyDescent="0.25">
      <c r="B1040" s="701" t="s">
        <v>1706</v>
      </c>
      <c r="C1040" s="715">
        <v>96312</v>
      </c>
    </row>
    <row r="1041" spans="2:3" x14ac:dyDescent="0.25">
      <c r="B1041" s="701" t="s">
        <v>1698</v>
      </c>
      <c r="C1041" s="715">
        <v>96241</v>
      </c>
    </row>
    <row r="1042" spans="2:3" x14ac:dyDescent="0.25">
      <c r="B1042" s="701" t="s">
        <v>1568</v>
      </c>
      <c r="C1042" s="715">
        <v>94437</v>
      </c>
    </row>
    <row r="1043" spans="2:3" x14ac:dyDescent="0.25">
      <c r="B1043" s="701" t="s">
        <v>1567</v>
      </c>
      <c r="C1043" s="715">
        <v>94431</v>
      </c>
    </row>
    <row r="1044" spans="2:3" x14ac:dyDescent="0.25">
      <c r="B1044" s="701" t="s">
        <v>1313</v>
      </c>
      <c r="C1044" s="715">
        <v>91671</v>
      </c>
    </row>
    <row r="1045" spans="2:3" x14ac:dyDescent="0.25">
      <c r="B1045" s="701" t="s">
        <v>1223</v>
      </c>
      <c r="C1045" s="715">
        <v>91008</v>
      </c>
    </row>
    <row r="1046" spans="2:3" x14ac:dyDescent="0.25">
      <c r="B1046" s="701" t="s">
        <v>1731</v>
      </c>
      <c r="C1046" s="715">
        <v>96512</v>
      </c>
    </row>
    <row r="1047" spans="2:3" x14ac:dyDescent="0.25">
      <c r="B1047" s="701" t="s">
        <v>1728</v>
      </c>
      <c r="C1047" s="715">
        <v>96507</v>
      </c>
    </row>
    <row r="1048" spans="2:3" x14ac:dyDescent="0.25">
      <c r="B1048" s="701" t="s">
        <v>1733</v>
      </c>
      <c r="C1048" s="715">
        <v>96521</v>
      </c>
    </row>
    <row r="1049" spans="2:3" x14ac:dyDescent="0.25">
      <c r="B1049" s="701" t="s">
        <v>1232</v>
      </c>
      <c r="C1049" s="715">
        <v>91024</v>
      </c>
    </row>
    <row r="1050" spans="2:3" x14ac:dyDescent="0.25">
      <c r="B1050" s="701" t="s">
        <v>1760</v>
      </c>
      <c r="C1050" s="715">
        <v>96821</v>
      </c>
    </row>
    <row r="1051" spans="2:3" x14ac:dyDescent="0.25">
      <c r="B1051" s="701" t="s">
        <v>1303</v>
      </c>
      <c r="C1051" s="715">
        <v>91601</v>
      </c>
    </row>
    <row r="1052" spans="2:3" x14ac:dyDescent="0.25">
      <c r="B1052" s="701" t="s">
        <v>1304</v>
      </c>
      <c r="C1052" s="715">
        <v>91604</v>
      </c>
    </row>
    <row r="1053" spans="2:3" x14ac:dyDescent="0.25">
      <c r="B1053" s="701" t="s">
        <v>1714</v>
      </c>
      <c r="C1053" s="715">
        <v>96391</v>
      </c>
    </row>
    <row r="1054" spans="2:3" x14ac:dyDescent="0.25">
      <c r="B1054" s="701" t="s">
        <v>1971</v>
      </c>
      <c r="C1054" s="715">
        <v>99221</v>
      </c>
    </row>
    <row r="1055" spans="2:3" x14ac:dyDescent="0.25">
      <c r="B1055" s="701" t="s">
        <v>1239</v>
      </c>
      <c r="C1055" s="715">
        <v>91051</v>
      </c>
    </row>
    <row r="1056" spans="2:3" x14ac:dyDescent="0.25">
      <c r="B1056" s="701" t="s">
        <v>1316</v>
      </c>
      <c r="C1056" s="715">
        <v>91701</v>
      </c>
    </row>
    <row r="1057" spans="2:3" x14ac:dyDescent="0.25">
      <c r="B1057" s="701" t="s">
        <v>1317</v>
      </c>
      <c r="C1057" s="715">
        <v>91704</v>
      </c>
    </row>
    <row r="1058" spans="2:3" x14ac:dyDescent="0.25">
      <c r="B1058" s="701" t="s">
        <v>3442</v>
      </c>
      <c r="C1058" s="715">
        <v>91706</v>
      </c>
    </row>
    <row r="1059" spans="2:3" x14ac:dyDescent="0.25">
      <c r="B1059" s="701" t="s">
        <v>1320</v>
      </c>
      <c r="C1059" s="715">
        <v>91801</v>
      </c>
    </row>
    <row r="1060" spans="2:3" x14ac:dyDescent="0.25">
      <c r="B1060" s="701" t="s">
        <v>1321</v>
      </c>
      <c r="C1060" s="715">
        <v>91804</v>
      </c>
    </row>
    <row r="1061" spans="2:3" x14ac:dyDescent="0.25">
      <c r="B1061" s="701" t="s">
        <v>1333</v>
      </c>
      <c r="C1061" s="715">
        <v>91881</v>
      </c>
    </row>
    <row r="1062" spans="2:3" x14ac:dyDescent="0.25">
      <c r="B1062" s="701" t="s">
        <v>1315</v>
      </c>
      <c r="C1062" s="715">
        <v>91691</v>
      </c>
    </row>
    <row r="1063" spans="2:3" x14ac:dyDescent="0.25">
      <c r="B1063" s="701" t="s">
        <v>1972</v>
      </c>
      <c r="C1063" s="715">
        <v>99222</v>
      </c>
    </row>
    <row r="1064" spans="2:3" x14ac:dyDescent="0.25">
      <c r="B1064" s="701" t="s">
        <v>3443</v>
      </c>
      <c r="C1064" s="715">
        <v>93408</v>
      </c>
    </row>
    <row r="1065" spans="2:3" x14ac:dyDescent="0.25">
      <c r="B1065" s="701" t="s">
        <v>1678</v>
      </c>
      <c r="C1065" s="715">
        <v>96009</v>
      </c>
    </row>
    <row r="1066" spans="2:3" x14ac:dyDescent="0.25">
      <c r="B1066" s="701" t="s">
        <v>1369</v>
      </c>
      <c r="C1066" s="715">
        <v>92441</v>
      </c>
    </row>
    <row r="1067" spans="2:3" x14ac:dyDescent="0.25">
      <c r="B1067" s="701" t="s">
        <v>1759</v>
      </c>
      <c r="C1067" s="715">
        <v>96811</v>
      </c>
    </row>
    <row r="1068" spans="2:3" x14ac:dyDescent="0.25">
      <c r="B1068" s="701" t="s">
        <v>1674</v>
      </c>
      <c r="C1068" s="715">
        <v>96003</v>
      </c>
    </row>
    <row r="1069" spans="2:3" x14ac:dyDescent="0.25">
      <c r="B1069" s="701" t="s">
        <v>1681</v>
      </c>
      <c r="C1069" s="715">
        <v>96018</v>
      </c>
    </row>
    <row r="1070" spans="2:3" x14ac:dyDescent="0.25">
      <c r="B1070" s="701" t="s">
        <v>3444</v>
      </c>
      <c r="C1070" s="715">
        <v>96012</v>
      </c>
    </row>
    <row r="1071" spans="2:3" x14ac:dyDescent="0.25">
      <c r="B1071" s="701" t="s">
        <v>1679</v>
      </c>
      <c r="C1071" s="715">
        <v>96011</v>
      </c>
    </row>
    <row r="1072" spans="2:3" x14ac:dyDescent="0.25">
      <c r="B1072" s="701" t="s">
        <v>1676</v>
      </c>
      <c r="C1072" s="715">
        <v>96005</v>
      </c>
    </row>
    <row r="1073" spans="2:3" x14ac:dyDescent="0.25">
      <c r="B1073" s="701" t="s">
        <v>1334</v>
      </c>
      <c r="C1073" s="715">
        <v>91901</v>
      </c>
    </row>
    <row r="1074" spans="2:3" x14ac:dyDescent="0.25">
      <c r="B1074" s="701" t="s">
        <v>1336</v>
      </c>
      <c r="C1074" s="715">
        <v>91904</v>
      </c>
    </row>
    <row r="1075" spans="2:3" x14ac:dyDescent="0.25">
      <c r="B1075" s="701" t="s">
        <v>1335</v>
      </c>
      <c r="C1075" s="715">
        <v>91903</v>
      </c>
    </row>
    <row r="1076" spans="2:3" x14ac:dyDescent="0.25">
      <c r="B1076" s="701" t="s">
        <v>1341</v>
      </c>
      <c r="C1076" s="715">
        <v>92001</v>
      </c>
    </row>
    <row r="1077" spans="2:3" x14ac:dyDescent="0.25">
      <c r="B1077" s="701" t="s">
        <v>1493</v>
      </c>
      <c r="C1077" s="715">
        <v>93647</v>
      </c>
    </row>
    <row r="1078" spans="2:3" x14ac:dyDescent="0.25">
      <c r="B1078" s="701" t="s">
        <v>1492</v>
      </c>
      <c r="C1078" s="715">
        <v>93641</v>
      </c>
    </row>
    <row r="1079" spans="2:3" x14ac:dyDescent="0.25">
      <c r="B1079" s="701" t="s">
        <v>1872</v>
      </c>
      <c r="C1079" s="715">
        <v>98041</v>
      </c>
    </row>
    <row r="1080" spans="2:3" x14ac:dyDescent="0.25">
      <c r="B1080" s="701" t="s">
        <v>1739</v>
      </c>
      <c r="C1080" s="715">
        <v>96612</v>
      </c>
    </row>
    <row r="1081" spans="2:3" x14ac:dyDescent="0.25">
      <c r="B1081" s="701" t="s">
        <v>1201</v>
      </c>
      <c r="C1081" s="715">
        <v>90751</v>
      </c>
    </row>
    <row r="1082" spans="2:3" x14ac:dyDescent="0.25">
      <c r="B1082" s="701" t="s">
        <v>1346</v>
      </c>
      <c r="C1082" s="715">
        <v>92101</v>
      </c>
    </row>
    <row r="1083" spans="2:3" x14ac:dyDescent="0.25">
      <c r="B1083" s="701" t="s">
        <v>1347</v>
      </c>
      <c r="C1083" s="715">
        <v>92104</v>
      </c>
    </row>
    <row r="1084" spans="2:3" x14ac:dyDescent="0.25">
      <c r="B1084" s="701" t="s">
        <v>2024</v>
      </c>
      <c r="C1084" s="715">
        <v>99818</v>
      </c>
    </row>
    <row r="1085" spans="2:3" x14ac:dyDescent="0.25">
      <c r="B1085" s="701" t="s">
        <v>1327</v>
      </c>
      <c r="C1085" s="715">
        <v>91821</v>
      </c>
    </row>
    <row r="1086" spans="2:3" x14ac:dyDescent="0.25">
      <c r="B1086" s="701" t="s">
        <v>1215</v>
      </c>
      <c r="C1086" s="715">
        <v>90931</v>
      </c>
    </row>
    <row r="1087" spans="2:3" x14ac:dyDescent="0.25">
      <c r="B1087" s="701" t="s">
        <v>1351</v>
      </c>
      <c r="C1087" s="715">
        <v>92201</v>
      </c>
    </row>
    <row r="1088" spans="2:3" x14ac:dyDescent="0.25">
      <c r="B1088" s="701" t="s">
        <v>1620</v>
      </c>
      <c r="C1088" s="715">
        <v>95131</v>
      </c>
    </row>
    <row r="1089" spans="2:3" x14ac:dyDescent="0.25">
      <c r="B1089" s="701" t="s">
        <v>1470</v>
      </c>
      <c r="C1089" s="715">
        <v>93442</v>
      </c>
    </row>
    <row r="1090" spans="2:3" x14ac:dyDescent="0.25">
      <c r="B1090" s="701" t="s">
        <v>1469</v>
      </c>
      <c r="C1090" s="715">
        <v>93441</v>
      </c>
    </row>
    <row r="1091" spans="2:3" x14ac:dyDescent="0.25">
      <c r="B1091" s="701" t="s">
        <v>1352</v>
      </c>
      <c r="C1091" s="715">
        <v>92301</v>
      </c>
    </row>
    <row r="1092" spans="2:3" x14ac:dyDescent="0.25">
      <c r="B1092" s="701" t="s">
        <v>1353</v>
      </c>
      <c r="C1092" s="715">
        <v>92302</v>
      </c>
    </row>
    <row r="1093" spans="2:3" x14ac:dyDescent="0.25">
      <c r="B1093" s="701" t="s">
        <v>1877</v>
      </c>
      <c r="C1093" s="715">
        <v>98091</v>
      </c>
    </row>
    <row r="1094" spans="2:3" x14ac:dyDescent="0.25">
      <c r="B1094" s="701" t="s">
        <v>1893</v>
      </c>
      <c r="C1094" s="715">
        <v>98218</v>
      </c>
    </row>
    <row r="1095" spans="2:3" x14ac:dyDescent="0.25">
      <c r="B1095" s="701" t="s">
        <v>1892</v>
      </c>
      <c r="C1095" s="715">
        <v>98211</v>
      </c>
    </row>
    <row r="1096" spans="2:3" x14ac:dyDescent="0.25">
      <c r="B1096" s="701" t="s">
        <v>1732</v>
      </c>
      <c r="C1096" s="715">
        <v>96519</v>
      </c>
    </row>
    <row r="1097" spans="2:3" x14ac:dyDescent="0.25">
      <c r="B1097" s="701" t="s">
        <v>1379</v>
      </c>
      <c r="C1097" s="715">
        <v>92508</v>
      </c>
    </row>
    <row r="1098" spans="2:3" x14ac:dyDescent="0.25">
      <c r="B1098" s="701" t="s">
        <v>1556</v>
      </c>
      <c r="C1098" s="715">
        <v>94341</v>
      </c>
    </row>
    <row r="1099" spans="2:3" x14ac:dyDescent="0.25">
      <c r="B1099" s="701" t="s">
        <v>1586</v>
      </c>
      <c r="C1099" s="715">
        <v>94641</v>
      </c>
    </row>
    <row r="1100" spans="2:3" x14ac:dyDescent="0.25">
      <c r="B1100" s="701" t="s">
        <v>1208</v>
      </c>
      <c r="C1100" s="715">
        <v>90813</v>
      </c>
    </row>
    <row r="1101" spans="2:3" x14ac:dyDescent="0.25">
      <c r="B1101" s="701" t="s">
        <v>1537</v>
      </c>
      <c r="C1101" s="715">
        <v>94168</v>
      </c>
    </row>
    <row r="1102" spans="2:3" x14ac:dyDescent="0.25">
      <c r="B1102" s="701" t="s">
        <v>1939</v>
      </c>
      <c r="C1102" s="715">
        <v>98911</v>
      </c>
    </row>
    <row r="1103" spans="2:3" x14ac:dyDescent="0.25">
      <c r="B1103" s="701" t="s">
        <v>1361</v>
      </c>
      <c r="C1103" s="715">
        <v>92401</v>
      </c>
    </row>
    <row r="1104" spans="2:3" x14ac:dyDescent="0.25">
      <c r="B1104" s="701" t="s">
        <v>1810</v>
      </c>
      <c r="C1104" s="715">
        <v>97521</v>
      </c>
    </row>
    <row r="1105" spans="2:3" x14ac:dyDescent="0.25">
      <c r="B1105" s="701" t="s">
        <v>1286</v>
      </c>
      <c r="C1105" s="715">
        <v>91317</v>
      </c>
    </row>
    <row r="1106" spans="2:3" x14ac:dyDescent="0.25">
      <c r="B1106" s="701" t="s">
        <v>1285</v>
      </c>
      <c r="C1106" s="715">
        <v>91311</v>
      </c>
    </row>
    <row r="1107" spans="2:3" x14ac:dyDescent="0.25">
      <c r="B1107" s="701" t="s">
        <v>1280</v>
      </c>
      <c r="C1107" s="715">
        <v>91261</v>
      </c>
    </row>
    <row r="1108" spans="2:3" x14ac:dyDescent="0.25">
      <c r="B1108" s="701" t="s">
        <v>1330</v>
      </c>
      <c r="C1108" s="715">
        <v>91851</v>
      </c>
    </row>
    <row r="1109" spans="2:3" x14ac:dyDescent="0.25">
      <c r="B1109" s="701" t="s">
        <v>3445</v>
      </c>
      <c r="C1109" s="715">
        <v>97408</v>
      </c>
    </row>
    <row r="1110" spans="2:3" x14ac:dyDescent="0.25">
      <c r="B1110" s="701" t="s">
        <v>1742</v>
      </c>
      <c r="C1110" s="715">
        <v>96641</v>
      </c>
    </row>
    <row r="1111" spans="2:3" x14ac:dyDescent="0.25">
      <c r="B1111" s="701" t="s">
        <v>1425</v>
      </c>
      <c r="C1111" s="715">
        <v>93027</v>
      </c>
    </row>
    <row r="1112" spans="2:3" x14ac:dyDescent="0.25">
      <c r="B1112" s="701" t="s">
        <v>1426</v>
      </c>
      <c r="C1112" s="715">
        <v>93031</v>
      </c>
    </row>
    <row r="1113" spans="2:3" x14ac:dyDescent="0.25">
      <c r="B1113" s="701" t="s">
        <v>1685</v>
      </c>
      <c r="C1113" s="715">
        <v>96051</v>
      </c>
    </row>
    <row r="1114" spans="2:3" x14ac:dyDescent="0.25">
      <c r="B1114" s="701" t="s">
        <v>1387</v>
      </c>
      <c r="C1114" s="715">
        <v>92571</v>
      </c>
    </row>
    <row r="1115" spans="2:3" x14ac:dyDescent="0.25">
      <c r="B1115" s="701" t="s">
        <v>1491</v>
      </c>
      <c r="C1115" s="715">
        <v>93631</v>
      </c>
    </row>
    <row r="1116" spans="2:3" x14ac:dyDescent="0.25">
      <c r="B1116" s="701" t="s">
        <v>1373</v>
      </c>
      <c r="C1116" s="715">
        <v>92501</v>
      </c>
    </row>
    <row r="1117" spans="2:3" x14ac:dyDescent="0.25">
      <c r="B1117" s="701" t="s">
        <v>1375</v>
      </c>
      <c r="C1117" s="715">
        <v>92504</v>
      </c>
    </row>
    <row r="1118" spans="2:3" x14ac:dyDescent="0.25">
      <c r="B1118" s="701" t="s">
        <v>1377</v>
      </c>
      <c r="C1118" s="715">
        <v>92506</v>
      </c>
    </row>
    <row r="1119" spans="2:3" x14ac:dyDescent="0.25">
      <c r="B1119" s="701" t="s">
        <v>1376</v>
      </c>
      <c r="C1119" s="715">
        <v>92505</v>
      </c>
    </row>
    <row r="1120" spans="2:3" x14ac:dyDescent="0.25">
      <c r="B1120" s="701" t="s">
        <v>1514</v>
      </c>
      <c r="C1120" s="715">
        <v>93921</v>
      </c>
    </row>
    <row r="1121" spans="2:3" x14ac:dyDescent="0.25">
      <c r="B1121" s="701" t="s">
        <v>1991</v>
      </c>
      <c r="C1121" s="715">
        <v>99431</v>
      </c>
    </row>
    <row r="1122" spans="2:3" x14ac:dyDescent="0.25">
      <c r="B1122" s="701" t="s">
        <v>1388</v>
      </c>
      <c r="C1122" s="715">
        <v>92601</v>
      </c>
    </row>
    <row r="1123" spans="2:3" x14ac:dyDescent="0.25">
      <c r="B1123" s="701" t="s">
        <v>1390</v>
      </c>
      <c r="C1123" s="715">
        <v>92604</v>
      </c>
    </row>
    <row r="1124" spans="2:3" x14ac:dyDescent="0.25">
      <c r="B1124" s="701" t="s">
        <v>1392</v>
      </c>
      <c r="C1124" s="715">
        <v>92608</v>
      </c>
    </row>
    <row r="1125" spans="2:3" x14ac:dyDescent="0.25">
      <c r="B1125" s="701" t="s">
        <v>1403</v>
      </c>
      <c r="C1125" s="715">
        <v>92701</v>
      </c>
    </row>
    <row r="1126" spans="2:3" x14ac:dyDescent="0.25">
      <c r="B1126" s="701" t="s">
        <v>1404</v>
      </c>
      <c r="C1126" s="715">
        <v>92704</v>
      </c>
    </row>
    <row r="1127" spans="2:3" x14ac:dyDescent="0.25">
      <c r="B1127" s="701" t="s">
        <v>1494</v>
      </c>
      <c r="C1127" s="715">
        <v>93651</v>
      </c>
    </row>
    <row r="1128" spans="2:3" x14ac:dyDescent="0.25">
      <c r="B1128" s="701" t="s">
        <v>1405</v>
      </c>
      <c r="C1128" s="715">
        <v>92801</v>
      </c>
    </row>
    <row r="1129" spans="2:3" x14ac:dyDescent="0.25">
      <c r="B1129" s="701" t="s">
        <v>1407</v>
      </c>
      <c r="C1129" s="715">
        <v>92804</v>
      </c>
    </row>
    <row r="1130" spans="2:3" x14ac:dyDescent="0.25">
      <c r="B1130" s="701" t="s">
        <v>1406</v>
      </c>
      <c r="C1130" s="715">
        <v>92802</v>
      </c>
    </row>
    <row r="1131" spans="2:3" x14ac:dyDescent="0.25">
      <c r="B1131" s="701" t="s">
        <v>1414</v>
      </c>
      <c r="C1131" s="715">
        <v>92901</v>
      </c>
    </row>
    <row r="1132" spans="2:3" x14ac:dyDescent="0.25">
      <c r="B1132" s="701" t="s">
        <v>1688</v>
      </c>
      <c r="C1132" s="715">
        <v>96081</v>
      </c>
    </row>
    <row r="1133" spans="2:3" x14ac:dyDescent="0.25">
      <c r="B1133" s="701" t="s">
        <v>1421</v>
      </c>
      <c r="C1133" s="715">
        <v>93001</v>
      </c>
    </row>
    <row r="1134" spans="2:3" x14ac:dyDescent="0.25">
      <c r="B1134" s="701" t="s">
        <v>1422</v>
      </c>
      <c r="C1134" s="715">
        <v>93009</v>
      </c>
    </row>
    <row r="1135" spans="2:3" x14ac:dyDescent="0.25">
      <c r="B1135" s="701" t="s">
        <v>1418</v>
      </c>
      <c r="C1135" s="715">
        <v>92921</v>
      </c>
    </row>
    <row r="1136" spans="2:3" x14ac:dyDescent="0.25">
      <c r="B1136" s="701" t="s">
        <v>1926</v>
      </c>
      <c r="C1136" s="715">
        <v>98627</v>
      </c>
    </row>
    <row r="1137" spans="2:3" x14ac:dyDescent="0.25">
      <c r="B1137" s="701" t="s">
        <v>1925</v>
      </c>
      <c r="C1137" s="715">
        <v>98621</v>
      </c>
    </row>
    <row r="1138" spans="2:3" x14ac:dyDescent="0.25">
      <c r="B1138" s="701" t="s">
        <v>1275</v>
      </c>
      <c r="C1138" s="715">
        <v>91221</v>
      </c>
    </row>
    <row r="1139" spans="2:3" x14ac:dyDescent="0.25">
      <c r="B1139" s="701" t="s">
        <v>1413</v>
      </c>
      <c r="C1139" s="715">
        <v>92861</v>
      </c>
    </row>
    <row r="1140" spans="2:3" x14ac:dyDescent="0.25">
      <c r="B1140" s="701" t="s">
        <v>1553</v>
      </c>
      <c r="C1140" s="715">
        <v>94317</v>
      </c>
    </row>
    <row r="1141" spans="2:3" x14ac:dyDescent="0.25">
      <c r="B1141" s="701" t="s">
        <v>1552</v>
      </c>
      <c r="C1141" s="715">
        <v>94313</v>
      </c>
    </row>
    <row r="1142" spans="2:3" x14ac:dyDescent="0.25">
      <c r="B1142" s="701" t="s">
        <v>1551</v>
      </c>
      <c r="C1142" s="715">
        <v>94311</v>
      </c>
    </row>
    <row r="1143" spans="2:3" x14ac:dyDescent="0.25">
      <c r="B1143" s="701" t="s">
        <v>1427</v>
      </c>
      <c r="C1143" s="715">
        <v>93101</v>
      </c>
    </row>
    <row r="1144" spans="2:3" x14ac:dyDescent="0.25">
      <c r="B1144" s="701" t="s">
        <v>2096</v>
      </c>
      <c r="C1144" s="715">
        <v>93103</v>
      </c>
    </row>
    <row r="1145" spans="2:3" x14ac:dyDescent="0.25">
      <c r="B1145" s="701" t="s">
        <v>1446</v>
      </c>
      <c r="C1145" s="715">
        <v>93212</v>
      </c>
    </row>
    <row r="1146" spans="2:3" x14ac:dyDescent="0.25">
      <c r="B1146" s="701" t="s">
        <v>1441</v>
      </c>
      <c r="C1146" s="715">
        <v>93201</v>
      </c>
    </row>
    <row r="1147" spans="2:3" x14ac:dyDescent="0.25">
      <c r="B1147" s="701" t="s">
        <v>1443</v>
      </c>
      <c r="C1147" s="715">
        <v>93204</v>
      </c>
    </row>
    <row r="1148" spans="2:3" x14ac:dyDescent="0.25">
      <c r="B1148" s="701" t="s">
        <v>1968</v>
      </c>
      <c r="C1148" s="715">
        <v>99212</v>
      </c>
    </row>
    <row r="1149" spans="2:3" x14ac:dyDescent="0.25">
      <c r="B1149" s="701" t="s">
        <v>1445</v>
      </c>
      <c r="C1149" s="715">
        <v>93211</v>
      </c>
    </row>
    <row r="1150" spans="2:3" x14ac:dyDescent="0.25">
      <c r="B1150" s="701" t="s">
        <v>1769</v>
      </c>
      <c r="C1150" s="715">
        <v>97005</v>
      </c>
    </row>
    <row r="1151" spans="2:3" x14ac:dyDescent="0.25">
      <c r="B1151" s="701" t="s">
        <v>2032</v>
      </c>
      <c r="C1151" s="715">
        <v>99931</v>
      </c>
    </row>
    <row r="1152" spans="2:3" x14ac:dyDescent="0.25">
      <c r="B1152" s="701" t="s">
        <v>3446</v>
      </c>
      <c r="C1152" s="715">
        <v>92509</v>
      </c>
    </row>
    <row r="1153" spans="2:3" x14ac:dyDescent="0.25">
      <c r="B1153" s="701" t="s">
        <v>1870</v>
      </c>
      <c r="C1153" s="715">
        <v>98023</v>
      </c>
    </row>
    <row r="1154" spans="2:3" x14ac:dyDescent="0.25">
      <c r="B1154" s="701" t="s">
        <v>1869</v>
      </c>
      <c r="C1154" s="715">
        <v>98021</v>
      </c>
    </row>
    <row r="1155" spans="2:3" x14ac:dyDescent="0.25">
      <c r="B1155" s="701" t="s">
        <v>1144</v>
      </c>
      <c r="C1155" s="715">
        <v>70505</v>
      </c>
    </row>
    <row r="1156" spans="2:3" x14ac:dyDescent="0.25">
      <c r="B1156" s="701" t="s">
        <v>2002</v>
      </c>
      <c r="C1156" s="715">
        <v>99603</v>
      </c>
    </row>
    <row r="1157" spans="2:3" x14ac:dyDescent="0.25">
      <c r="B1157" s="701" t="s">
        <v>2005</v>
      </c>
      <c r="C1157" s="715">
        <v>99610</v>
      </c>
    </row>
    <row r="1158" spans="2:3" x14ac:dyDescent="0.25">
      <c r="B1158" s="701" t="s">
        <v>1402</v>
      </c>
      <c r="C1158" s="715">
        <v>92681</v>
      </c>
    </row>
    <row r="1159" spans="2:3" x14ac:dyDescent="0.25">
      <c r="B1159" s="701" t="s">
        <v>3447</v>
      </c>
      <c r="C1159" s="715">
        <v>93108</v>
      </c>
    </row>
    <row r="1160" spans="2:3" x14ac:dyDescent="0.25">
      <c r="B1160" s="701" t="s">
        <v>1861</v>
      </c>
      <c r="C1160" s="715">
        <v>97957</v>
      </c>
    </row>
    <row r="1161" spans="2:3" x14ac:dyDescent="0.25">
      <c r="B1161" s="701" t="s">
        <v>1860</v>
      </c>
      <c r="C1161" s="715">
        <v>97951</v>
      </c>
    </row>
    <row r="1162" spans="2:3" x14ac:dyDescent="0.25">
      <c r="B1162" s="701" t="s">
        <v>1349</v>
      </c>
      <c r="C1162" s="715">
        <v>92111</v>
      </c>
    </row>
    <row r="1163" spans="2:3" x14ac:dyDescent="0.25">
      <c r="B1163" s="701" t="s">
        <v>1448</v>
      </c>
      <c r="C1163" s="715">
        <v>93301</v>
      </c>
    </row>
    <row r="1164" spans="2:3" x14ac:dyDescent="0.25">
      <c r="B1164" s="701" t="s">
        <v>1449</v>
      </c>
      <c r="C1164" s="715">
        <v>93304</v>
      </c>
    </row>
    <row r="1165" spans="2:3" x14ac:dyDescent="0.25">
      <c r="B1165" s="701" t="s">
        <v>1450</v>
      </c>
      <c r="C1165" s="715">
        <v>93305</v>
      </c>
    </row>
    <row r="1166" spans="2:3" x14ac:dyDescent="0.25">
      <c r="B1166" s="701" t="s">
        <v>1966</v>
      </c>
      <c r="C1166" s="715">
        <v>99210</v>
      </c>
    </row>
    <row r="1167" spans="2:3" x14ac:dyDescent="0.25">
      <c r="B1167" s="701" t="s">
        <v>1772</v>
      </c>
      <c r="C1167" s="715">
        <v>97011</v>
      </c>
    </row>
    <row r="1168" spans="2:3" x14ac:dyDescent="0.25">
      <c r="B1168" s="701" t="s">
        <v>1774</v>
      </c>
      <c r="C1168" s="715">
        <v>97013</v>
      </c>
    </row>
    <row r="1169" spans="2:3" x14ac:dyDescent="0.25">
      <c r="B1169" s="701" t="s">
        <v>1773</v>
      </c>
      <c r="C1169" s="715">
        <v>97012</v>
      </c>
    </row>
    <row r="1170" spans="2:3" x14ac:dyDescent="0.25">
      <c r="B1170" s="701" t="s">
        <v>1776</v>
      </c>
      <c r="C1170" s="715">
        <v>97018</v>
      </c>
    </row>
    <row r="1171" spans="2:3" x14ac:dyDescent="0.25">
      <c r="B1171" s="701" t="s">
        <v>1212</v>
      </c>
      <c r="C1171" s="715">
        <v>90917</v>
      </c>
    </row>
    <row r="1172" spans="2:3" x14ac:dyDescent="0.25">
      <c r="B1172" s="701" t="s">
        <v>1211</v>
      </c>
      <c r="C1172" s="715">
        <v>90911</v>
      </c>
    </row>
    <row r="1173" spans="2:3" x14ac:dyDescent="0.25">
      <c r="B1173" s="701" t="s">
        <v>1191</v>
      </c>
      <c r="C1173" s="715">
        <v>90641</v>
      </c>
    </row>
    <row r="1174" spans="2:3" x14ac:dyDescent="0.25">
      <c r="B1174" s="701" t="s">
        <v>1930</v>
      </c>
      <c r="C1174" s="715">
        <v>98647</v>
      </c>
    </row>
    <row r="1175" spans="2:3" x14ac:dyDescent="0.25">
      <c r="B1175" s="701" t="s">
        <v>1929</v>
      </c>
      <c r="C1175" s="715">
        <v>98641</v>
      </c>
    </row>
    <row r="1176" spans="2:3" x14ac:dyDescent="0.25">
      <c r="B1176" s="701" t="s">
        <v>1889</v>
      </c>
      <c r="C1176" s="715">
        <v>98161</v>
      </c>
    </row>
    <row r="1177" spans="2:3" x14ac:dyDescent="0.25">
      <c r="B1177" s="701" t="s">
        <v>1831</v>
      </c>
      <c r="C1177" s="715">
        <v>97731</v>
      </c>
    </row>
    <row r="1178" spans="2:3" x14ac:dyDescent="0.25">
      <c r="B1178" s="701" t="s">
        <v>2028</v>
      </c>
      <c r="C1178" s="715">
        <v>99851</v>
      </c>
    </row>
    <row r="1179" spans="2:3" x14ac:dyDescent="0.25">
      <c r="B1179" s="701" t="s">
        <v>1160</v>
      </c>
      <c r="C1179" s="715">
        <v>90131</v>
      </c>
    </row>
    <row r="1180" spans="2:3" x14ac:dyDescent="0.25">
      <c r="B1180" s="701" t="s">
        <v>1311</v>
      </c>
      <c r="C1180" s="715">
        <v>91651</v>
      </c>
    </row>
    <row r="1181" spans="2:3" x14ac:dyDescent="0.25">
      <c r="B1181" s="701" t="s">
        <v>1544</v>
      </c>
      <c r="C1181" s="715">
        <v>94211</v>
      </c>
    </row>
    <row r="1182" spans="2:3" x14ac:dyDescent="0.25">
      <c r="B1182" s="701" t="s">
        <v>1555</v>
      </c>
      <c r="C1182" s="715">
        <v>94331</v>
      </c>
    </row>
    <row r="1183" spans="2:3" x14ac:dyDescent="0.25">
      <c r="B1183" s="701" t="s">
        <v>1368</v>
      </c>
      <c r="C1183" s="715">
        <v>92431</v>
      </c>
    </row>
    <row r="1184" spans="2:3" x14ac:dyDescent="0.25">
      <c r="B1184" s="701" t="s">
        <v>1840</v>
      </c>
      <c r="C1184" s="715">
        <v>97823</v>
      </c>
    </row>
    <row r="1185" spans="2:3" x14ac:dyDescent="0.25">
      <c r="B1185" s="701" t="s">
        <v>1839</v>
      </c>
      <c r="C1185" s="715">
        <v>97821</v>
      </c>
    </row>
    <row r="1186" spans="2:3" x14ac:dyDescent="0.25">
      <c r="B1186" s="701" t="s">
        <v>1434</v>
      </c>
      <c r="C1186" s="715">
        <v>93141</v>
      </c>
    </row>
    <row r="1187" spans="2:3" x14ac:dyDescent="0.25">
      <c r="B1187" s="701" t="s">
        <v>1876</v>
      </c>
      <c r="C1187" s="715">
        <v>98081</v>
      </c>
    </row>
    <row r="1188" spans="2:3" x14ac:dyDescent="0.25">
      <c r="B1188" s="701" t="s">
        <v>1401</v>
      </c>
      <c r="C1188" s="715">
        <v>92671</v>
      </c>
    </row>
    <row r="1189" spans="2:3" x14ac:dyDescent="0.25">
      <c r="B1189" s="701" t="s">
        <v>1799</v>
      </c>
      <c r="C1189" s="715">
        <v>97423</v>
      </c>
    </row>
    <row r="1190" spans="2:3" x14ac:dyDescent="0.25">
      <c r="B1190" s="701" t="s">
        <v>1798</v>
      </c>
      <c r="C1190" s="715">
        <v>97421</v>
      </c>
    </row>
    <row r="1191" spans="2:3" x14ac:dyDescent="0.25">
      <c r="B1191" s="701" t="s">
        <v>1394</v>
      </c>
      <c r="C1191" s="715">
        <v>92613</v>
      </c>
    </row>
    <row r="1192" spans="2:3" x14ac:dyDescent="0.25">
      <c r="B1192" s="701" t="s">
        <v>1395</v>
      </c>
      <c r="C1192" s="715">
        <v>92614</v>
      </c>
    </row>
    <row r="1193" spans="2:3" x14ac:dyDescent="0.25">
      <c r="B1193" s="701" t="s">
        <v>1393</v>
      </c>
      <c r="C1193" s="715">
        <v>92611</v>
      </c>
    </row>
    <row r="1194" spans="2:3" x14ac:dyDescent="0.25">
      <c r="B1194" s="701" t="s">
        <v>1374</v>
      </c>
      <c r="C1194" s="715">
        <v>92502</v>
      </c>
    </row>
    <row r="1195" spans="2:3" x14ac:dyDescent="0.25">
      <c r="B1195" s="701" t="s">
        <v>1575</v>
      </c>
      <c r="C1195" s="715">
        <v>94531</v>
      </c>
    </row>
    <row r="1196" spans="2:3" x14ac:dyDescent="0.25">
      <c r="B1196" s="701" t="s">
        <v>1578</v>
      </c>
      <c r="C1196" s="715">
        <v>94547</v>
      </c>
    </row>
    <row r="1197" spans="2:3" x14ac:dyDescent="0.25">
      <c r="B1197" s="701" t="s">
        <v>1577</v>
      </c>
      <c r="C1197" s="715">
        <v>94541</v>
      </c>
    </row>
    <row r="1198" spans="2:3" x14ac:dyDescent="0.25">
      <c r="B1198" s="701" t="s">
        <v>1604</v>
      </c>
      <c r="C1198" s="715">
        <v>95005</v>
      </c>
    </row>
    <row r="1199" spans="2:3" x14ac:dyDescent="0.25">
      <c r="B1199" s="701" t="s">
        <v>1883</v>
      </c>
      <c r="C1199" s="715">
        <v>98111</v>
      </c>
    </row>
    <row r="1200" spans="2:3" x14ac:dyDescent="0.25">
      <c r="B1200" s="701" t="s">
        <v>1881</v>
      </c>
      <c r="C1200" s="715">
        <v>98107</v>
      </c>
    </row>
    <row r="1201" spans="2:3" x14ac:dyDescent="0.25">
      <c r="B1201" s="701" t="s">
        <v>1884</v>
      </c>
      <c r="C1201" s="715">
        <v>98113</v>
      </c>
    </row>
    <row r="1202" spans="2:3" x14ac:dyDescent="0.25">
      <c r="B1202" s="701" t="s">
        <v>2001</v>
      </c>
      <c r="C1202" s="715">
        <v>99602</v>
      </c>
    </row>
    <row r="1203" spans="2:3" x14ac:dyDescent="0.25">
      <c r="B1203" s="701" t="s">
        <v>1460</v>
      </c>
      <c r="C1203" s="715">
        <v>93401</v>
      </c>
    </row>
    <row r="1204" spans="2:3" x14ac:dyDescent="0.25">
      <c r="B1204" s="701" t="s">
        <v>1807</v>
      </c>
      <c r="C1204" s="715">
        <v>97491</v>
      </c>
    </row>
    <row r="1205" spans="2:3" x14ac:dyDescent="0.25">
      <c r="B1205" s="701" t="s">
        <v>1622</v>
      </c>
      <c r="C1205" s="715">
        <v>95151</v>
      </c>
    </row>
    <row r="1206" spans="2:3" x14ac:dyDescent="0.25">
      <c r="B1206" s="701" t="s">
        <v>1713</v>
      </c>
      <c r="C1206" s="715">
        <v>96381</v>
      </c>
    </row>
    <row r="1207" spans="2:3" x14ac:dyDescent="0.25">
      <c r="B1207" s="701" t="s">
        <v>1474</v>
      </c>
      <c r="C1207" s="715">
        <v>93501</v>
      </c>
    </row>
    <row r="1208" spans="2:3" x14ac:dyDescent="0.25">
      <c r="B1208" s="701" t="s">
        <v>1651</v>
      </c>
      <c r="C1208" s="715">
        <v>95611</v>
      </c>
    </row>
    <row r="1209" spans="2:3" x14ac:dyDescent="0.25">
      <c r="B1209" s="701" t="s">
        <v>1476</v>
      </c>
      <c r="C1209" s="715">
        <v>93517</v>
      </c>
    </row>
    <row r="1210" spans="2:3" x14ac:dyDescent="0.25">
      <c r="B1210" s="701" t="s">
        <v>1475</v>
      </c>
      <c r="C1210" s="715">
        <v>93511</v>
      </c>
    </row>
    <row r="1211" spans="2:3" x14ac:dyDescent="0.25">
      <c r="B1211" s="701" t="s">
        <v>2010</v>
      </c>
      <c r="C1211" s="715">
        <v>99631</v>
      </c>
    </row>
    <row r="1212" spans="2:3" x14ac:dyDescent="0.25">
      <c r="B1212" s="701" t="s">
        <v>1977</v>
      </c>
      <c r="C1212" s="715">
        <v>99261</v>
      </c>
    </row>
    <row r="1213" spans="2:3" x14ac:dyDescent="0.25">
      <c r="B1213" s="701" t="s">
        <v>1897</v>
      </c>
      <c r="C1213" s="715">
        <v>98241</v>
      </c>
    </row>
    <row r="1214" spans="2:3" x14ac:dyDescent="0.25">
      <c r="B1214" s="701" t="s">
        <v>1976</v>
      </c>
      <c r="C1214" s="715">
        <v>99252</v>
      </c>
    </row>
    <row r="1215" spans="2:3" x14ac:dyDescent="0.25">
      <c r="B1215" s="701" t="s">
        <v>1975</v>
      </c>
      <c r="C1215" s="715">
        <v>99251</v>
      </c>
    </row>
    <row r="1216" spans="2:3" x14ac:dyDescent="0.25">
      <c r="B1216" s="701" t="s">
        <v>1741</v>
      </c>
      <c r="C1216" s="715">
        <v>96631</v>
      </c>
    </row>
    <row r="1217" spans="2:3" x14ac:dyDescent="0.25">
      <c r="B1217" s="701" t="s">
        <v>1488</v>
      </c>
      <c r="C1217" s="715">
        <v>93618</v>
      </c>
    </row>
    <row r="1218" spans="2:3" x14ac:dyDescent="0.25">
      <c r="B1218" s="701" t="s">
        <v>1482</v>
      </c>
      <c r="C1218" s="715">
        <v>93601</v>
      </c>
    </row>
    <row r="1219" spans="2:3" x14ac:dyDescent="0.25">
      <c r="B1219" s="701" t="s">
        <v>1743</v>
      </c>
      <c r="C1219" s="715">
        <v>96651</v>
      </c>
    </row>
    <row r="1220" spans="2:3" x14ac:dyDescent="0.25">
      <c r="B1220" s="701" t="s">
        <v>1487</v>
      </c>
      <c r="C1220" s="715">
        <v>93617</v>
      </c>
    </row>
    <row r="1221" spans="2:3" x14ac:dyDescent="0.25">
      <c r="B1221" s="701" t="s">
        <v>1486</v>
      </c>
      <c r="C1221" s="715">
        <v>93611</v>
      </c>
    </row>
    <row r="1222" spans="2:3" x14ac:dyDescent="0.25">
      <c r="B1222" s="701" t="s">
        <v>1500</v>
      </c>
      <c r="C1222" s="715">
        <v>93701</v>
      </c>
    </row>
    <row r="1223" spans="2:3" x14ac:dyDescent="0.25">
      <c r="B1223" s="701" t="s">
        <v>1501</v>
      </c>
      <c r="C1223" s="715">
        <v>93704</v>
      </c>
    </row>
    <row r="1224" spans="2:3" x14ac:dyDescent="0.25">
      <c r="B1224" s="701" t="s">
        <v>1907</v>
      </c>
      <c r="C1224" s="715">
        <v>98331</v>
      </c>
    </row>
    <row r="1225" spans="2:3" x14ac:dyDescent="0.25">
      <c r="B1225" s="701" t="s">
        <v>1535</v>
      </c>
      <c r="C1225" s="715">
        <v>94157</v>
      </c>
    </row>
    <row r="1226" spans="2:3" x14ac:dyDescent="0.25">
      <c r="B1226" s="701" t="s">
        <v>1534</v>
      </c>
      <c r="C1226" s="715">
        <v>94151</v>
      </c>
    </row>
    <row r="1227" spans="2:3" x14ac:dyDescent="0.25">
      <c r="B1227" s="701" t="s">
        <v>1278</v>
      </c>
      <c r="C1227" s="715">
        <v>91241</v>
      </c>
    </row>
    <row r="1228" spans="2:3" x14ac:dyDescent="0.25">
      <c r="B1228" s="701" t="s">
        <v>1640</v>
      </c>
      <c r="C1228" s="715">
        <v>95412</v>
      </c>
    </row>
    <row r="1229" spans="2:3" x14ac:dyDescent="0.25">
      <c r="B1229" s="701" t="s">
        <v>3448</v>
      </c>
      <c r="C1229" s="715">
        <v>99613</v>
      </c>
    </row>
    <row r="1230" spans="2:3" x14ac:dyDescent="0.25">
      <c r="B1230" s="701" t="s">
        <v>2006</v>
      </c>
      <c r="C1230" s="715">
        <v>99611</v>
      </c>
    </row>
    <row r="1231" spans="2:3" x14ac:dyDescent="0.25">
      <c r="B1231" s="701" t="s">
        <v>1337</v>
      </c>
      <c r="C1231" s="715">
        <v>91908</v>
      </c>
    </row>
    <row r="1232" spans="2:3" x14ac:dyDescent="0.25">
      <c r="B1232" s="701" t="s">
        <v>1502</v>
      </c>
      <c r="C1232" s="715">
        <v>93801</v>
      </c>
    </row>
    <row r="1233" spans="2:3" x14ac:dyDescent="0.25">
      <c r="B1233" s="701" t="s">
        <v>3449</v>
      </c>
      <c r="C1233" s="715">
        <v>93806</v>
      </c>
    </row>
    <row r="1234" spans="2:3" x14ac:dyDescent="0.25">
      <c r="B1234" s="701" t="s">
        <v>1503</v>
      </c>
      <c r="C1234" s="715">
        <v>93803</v>
      </c>
    </row>
    <row r="1235" spans="2:3" x14ac:dyDescent="0.25">
      <c r="B1235" s="701" t="s">
        <v>1159</v>
      </c>
      <c r="C1235" s="715">
        <v>90121</v>
      </c>
    </row>
    <row r="1236" spans="2:3" x14ac:dyDescent="0.25">
      <c r="B1236" s="701" t="s">
        <v>1293</v>
      </c>
      <c r="C1236" s="715">
        <v>91417</v>
      </c>
    </row>
    <row r="1237" spans="2:3" x14ac:dyDescent="0.25">
      <c r="B1237" s="701" t="s">
        <v>1292</v>
      </c>
      <c r="C1237" s="715">
        <v>91411</v>
      </c>
    </row>
    <row r="1238" spans="2:3" x14ac:dyDescent="0.25">
      <c r="B1238" s="701" t="s">
        <v>1874</v>
      </c>
      <c r="C1238" s="715">
        <v>98061</v>
      </c>
    </row>
    <row r="1239" spans="2:3" x14ac:dyDescent="0.25">
      <c r="B1239" s="701" t="s">
        <v>1506</v>
      </c>
      <c r="C1239" s="715">
        <v>93901</v>
      </c>
    </row>
    <row r="1240" spans="2:3" x14ac:dyDescent="0.25">
      <c r="B1240" s="701" t="s">
        <v>1507</v>
      </c>
      <c r="C1240" s="715">
        <v>93904</v>
      </c>
    </row>
    <row r="1241" spans="2:3" x14ac:dyDescent="0.25">
      <c r="B1241" s="701" t="s">
        <v>1508</v>
      </c>
      <c r="C1241" s="715">
        <v>93906</v>
      </c>
    </row>
    <row r="1242" spans="2:3" x14ac:dyDescent="0.25">
      <c r="B1242" s="701" t="s">
        <v>1509</v>
      </c>
      <c r="C1242" s="715">
        <v>93908</v>
      </c>
    </row>
    <row r="1243" spans="2:3" x14ac:dyDescent="0.25">
      <c r="B1243" s="701" t="s">
        <v>1594</v>
      </c>
      <c r="C1243" s="715">
        <v>94908</v>
      </c>
    </row>
    <row r="1244" spans="2:3" x14ac:dyDescent="0.25">
      <c r="B1244" s="701" t="s">
        <v>1163</v>
      </c>
      <c r="C1244" s="715">
        <v>90161</v>
      </c>
    </row>
    <row r="1245" spans="2:3" x14ac:dyDescent="0.25">
      <c r="B1245" s="701" t="s">
        <v>1516</v>
      </c>
      <c r="C1245" s="715">
        <v>94001</v>
      </c>
    </row>
    <row r="1246" spans="2:3" x14ac:dyDescent="0.25">
      <c r="B1246" s="701" t="s">
        <v>1518</v>
      </c>
      <c r="C1246" s="715">
        <v>94004</v>
      </c>
    </row>
    <row r="1247" spans="2:3" x14ac:dyDescent="0.25">
      <c r="B1247" s="701" t="s">
        <v>1529</v>
      </c>
      <c r="C1247" s="715">
        <v>94117</v>
      </c>
    </row>
    <row r="1248" spans="2:3" x14ac:dyDescent="0.25">
      <c r="B1248" s="701" t="s">
        <v>1527</v>
      </c>
      <c r="C1248" s="715">
        <v>94111</v>
      </c>
    </row>
    <row r="1249" spans="2:3" x14ac:dyDescent="0.25">
      <c r="B1249" s="701" t="s">
        <v>1797</v>
      </c>
      <c r="C1249" s="715">
        <v>97413</v>
      </c>
    </row>
    <row r="1250" spans="2:3" x14ac:dyDescent="0.25">
      <c r="B1250" s="701" t="s">
        <v>1796</v>
      </c>
      <c r="C1250" s="715">
        <v>97412</v>
      </c>
    </row>
    <row r="1251" spans="2:3" x14ac:dyDescent="0.25">
      <c r="B1251" s="701" t="s">
        <v>1795</v>
      </c>
      <c r="C1251" s="715">
        <v>97411</v>
      </c>
    </row>
    <row r="1252" spans="2:3" x14ac:dyDescent="0.25">
      <c r="B1252" s="701" t="s">
        <v>1800</v>
      </c>
      <c r="C1252" s="715">
        <v>97431</v>
      </c>
    </row>
    <row r="1253" spans="2:3" x14ac:dyDescent="0.25">
      <c r="B1253" s="701" t="s">
        <v>1805</v>
      </c>
      <c r="C1253" s="715">
        <v>97471</v>
      </c>
    </row>
    <row r="1254" spans="2:3" x14ac:dyDescent="0.25">
      <c r="B1254" s="701" t="s">
        <v>1360</v>
      </c>
      <c r="C1254" s="715">
        <v>92351</v>
      </c>
    </row>
    <row r="1255" spans="2:3" x14ac:dyDescent="0.25">
      <c r="B1255" s="701" t="s">
        <v>1530</v>
      </c>
      <c r="C1255" s="715">
        <v>94118</v>
      </c>
    </row>
    <row r="1256" spans="2:3" x14ac:dyDescent="0.25">
      <c r="B1256" s="701" t="s">
        <v>1523</v>
      </c>
      <c r="C1256" s="715">
        <v>94101</v>
      </c>
    </row>
    <row r="1257" spans="2:3" x14ac:dyDescent="0.25">
      <c r="B1257" s="701" t="s">
        <v>1524</v>
      </c>
      <c r="C1257" s="715">
        <v>94102</v>
      </c>
    </row>
    <row r="1258" spans="2:3" x14ac:dyDescent="0.25">
      <c r="B1258" s="701" t="s">
        <v>1540</v>
      </c>
      <c r="C1258" s="715">
        <v>94201</v>
      </c>
    </row>
    <row r="1259" spans="2:3" x14ac:dyDescent="0.25">
      <c r="B1259" s="701" t="s">
        <v>1541</v>
      </c>
      <c r="C1259" s="715">
        <v>94204</v>
      </c>
    </row>
    <row r="1260" spans="2:3" x14ac:dyDescent="0.25">
      <c r="B1260" s="701" t="s">
        <v>1542</v>
      </c>
      <c r="C1260" s="715">
        <v>94205</v>
      </c>
    </row>
    <row r="1261" spans="2:3" x14ac:dyDescent="0.25">
      <c r="B1261" s="701" t="s">
        <v>1664</v>
      </c>
      <c r="C1261" s="715">
        <v>95831</v>
      </c>
    </row>
    <row r="1262" spans="2:3" x14ac:dyDescent="0.25">
      <c r="B1262" s="701" t="s">
        <v>1828</v>
      </c>
      <c r="C1262" s="715">
        <v>97717</v>
      </c>
    </row>
    <row r="1263" spans="2:3" x14ac:dyDescent="0.25">
      <c r="B1263" s="701" t="s">
        <v>1829</v>
      </c>
      <c r="C1263" s="715">
        <v>97721</v>
      </c>
    </row>
    <row r="1264" spans="2:3" x14ac:dyDescent="0.25">
      <c r="B1264" s="701" t="s">
        <v>1550</v>
      </c>
      <c r="C1264" s="715">
        <v>94301</v>
      </c>
    </row>
    <row r="1265" spans="2:3" x14ac:dyDescent="0.25">
      <c r="B1265" s="701" t="s">
        <v>1297</v>
      </c>
      <c r="C1265" s="715">
        <v>91441</v>
      </c>
    </row>
    <row r="1266" spans="2:3" x14ac:dyDescent="0.25">
      <c r="B1266" s="701" t="s">
        <v>1383</v>
      </c>
      <c r="C1266" s="715">
        <v>92531</v>
      </c>
    </row>
    <row r="1267" spans="2:3" x14ac:dyDescent="0.25">
      <c r="B1267" s="701" t="s">
        <v>1161</v>
      </c>
      <c r="C1267" s="715">
        <v>90141</v>
      </c>
    </row>
    <row r="1268" spans="2:3" x14ac:dyDescent="0.25">
      <c r="B1268" s="701" t="s">
        <v>1559</v>
      </c>
      <c r="C1268" s="715">
        <v>94401</v>
      </c>
    </row>
    <row r="1269" spans="2:3" x14ac:dyDescent="0.25">
      <c r="B1269" s="701" t="s">
        <v>1560</v>
      </c>
      <c r="C1269" s="715">
        <v>94402</v>
      </c>
    </row>
    <row r="1270" spans="2:3" x14ac:dyDescent="0.25">
      <c r="B1270" s="701" t="s">
        <v>1569</v>
      </c>
      <c r="C1270" s="715">
        <v>94501</v>
      </c>
    </row>
    <row r="1271" spans="2:3" x14ac:dyDescent="0.25">
      <c r="B1271" s="701" t="s">
        <v>1958</v>
      </c>
      <c r="C1271" s="715">
        <v>99111</v>
      </c>
    </row>
    <row r="1272" spans="2:3" x14ac:dyDescent="0.25">
      <c r="B1272" s="701" t="s">
        <v>1572</v>
      </c>
      <c r="C1272" s="715">
        <v>94517</v>
      </c>
    </row>
    <row r="1273" spans="2:3" x14ac:dyDescent="0.25">
      <c r="B1273" s="701" t="s">
        <v>1571</v>
      </c>
      <c r="C1273" s="715">
        <v>94512</v>
      </c>
    </row>
    <row r="1274" spans="2:3" x14ac:dyDescent="0.25">
      <c r="B1274" s="701" t="s">
        <v>1570</v>
      </c>
      <c r="C1274" s="715">
        <v>94511</v>
      </c>
    </row>
    <row r="1275" spans="2:3" x14ac:dyDescent="0.25">
      <c r="B1275" s="701" t="s">
        <v>1785</v>
      </c>
      <c r="C1275" s="715">
        <v>97217</v>
      </c>
    </row>
    <row r="1276" spans="2:3" x14ac:dyDescent="0.25">
      <c r="B1276" s="701" t="s">
        <v>1580</v>
      </c>
      <c r="C1276" s="715">
        <v>94601</v>
      </c>
    </row>
    <row r="1277" spans="2:3" x14ac:dyDescent="0.25">
      <c r="B1277" s="701" t="s">
        <v>1581</v>
      </c>
      <c r="C1277" s="715">
        <v>94604</v>
      </c>
    </row>
    <row r="1278" spans="2:3" x14ac:dyDescent="0.25">
      <c r="B1278" s="701" t="s">
        <v>1582</v>
      </c>
      <c r="C1278" s="715">
        <v>94606</v>
      </c>
    </row>
    <row r="1279" spans="2:3" x14ac:dyDescent="0.25">
      <c r="B1279" s="701" t="s">
        <v>1784</v>
      </c>
      <c r="C1279" s="715">
        <v>97213</v>
      </c>
    </row>
    <row r="1280" spans="2:3" x14ac:dyDescent="0.25">
      <c r="B1280" s="701" t="s">
        <v>1783</v>
      </c>
      <c r="C1280" s="715">
        <v>97211</v>
      </c>
    </row>
    <row r="1281" spans="2:3" x14ac:dyDescent="0.25">
      <c r="B1281" s="701" t="s">
        <v>1324</v>
      </c>
      <c r="C1281" s="715">
        <v>91813</v>
      </c>
    </row>
    <row r="1282" spans="2:3" x14ac:dyDescent="0.25">
      <c r="B1282" s="701" t="s">
        <v>1322</v>
      </c>
      <c r="C1282" s="715">
        <v>91811</v>
      </c>
    </row>
    <row r="1283" spans="2:3" x14ac:dyDescent="0.25">
      <c r="B1283" s="701" t="s">
        <v>1323</v>
      </c>
      <c r="C1283" s="715">
        <v>91812</v>
      </c>
    </row>
    <row r="1284" spans="2:3" x14ac:dyDescent="0.25">
      <c r="B1284" s="701" t="s">
        <v>1188</v>
      </c>
      <c r="C1284" s="715">
        <v>90617</v>
      </c>
    </row>
    <row r="1285" spans="2:3" x14ac:dyDescent="0.25">
      <c r="B1285" s="701" t="s">
        <v>1532</v>
      </c>
      <c r="C1285" s="715">
        <v>94127</v>
      </c>
    </row>
    <row r="1286" spans="2:3" x14ac:dyDescent="0.25">
      <c r="B1286" s="701" t="s">
        <v>1531</v>
      </c>
      <c r="C1286" s="715">
        <v>94121</v>
      </c>
    </row>
    <row r="1287" spans="2:3" x14ac:dyDescent="0.25">
      <c r="B1287" s="701" t="s">
        <v>1652</v>
      </c>
      <c r="C1287" s="715">
        <v>95617</v>
      </c>
    </row>
    <row r="1288" spans="2:3" x14ac:dyDescent="0.25">
      <c r="B1288" s="701" t="s">
        <v>1653</v>
      </c>
      <c r="C1288" s="715">
        <v>95621</v>
      </c>
    </row>
    <row r="1289" spans="2:3" x14ac:dyDescent="0.25">
      <c r="B1289" s="701" t="s">
        <v>1279</v>
      </c>
      <c r="C1289" s="715">
        <v>91251</v>
      </c>
    </row>
    <row r="1290" spans="2:3" x14ac:dyDescent="0.25">
      <c r="B1290" s="701" t="s">
        <v>1761</v>
      </c>
      <c r="C1290" s="715">
        <v>96831</v>
      </c>
    </row>
    <row r="1291" spans="2:3" x14ac:dyDescent="0.25">
      <c r="B1291" s="701" t="s">
        <v>1548</v>
      </c>
      <c r="C1291" s="715">
        <v>94251</v>
      </c>
    </row>
    <row r="1292" spans="2:3" x14ac:dyDescent="0.25">
      <c r="B1292" s="701" t="s">
        <v>1587</v>
      </c>
      <c r="C1292" s="715">
        <v>94701</v>
      </c>
    </row>
    <row r="1293" spans="2:3" x14ac:dyDescent="0.25">
      <c r="B1293" s="701" t="s">
        <v>1588</v>
      </c>
      <c r="C1293" s="715">
        <v>94704</v>
      </c>
    </row>
    <row r="1294" spans="2:3" x14ac:dyDescent="0.25">
      <c r="B1294" s="701" t="s">
        <v>1228</v>
      </c>
      <c r="C1294" s="715">
        <v>91014</v>
      </c>
    </row>
    <row r="1295" spans="2:3" x14ac:dyDescent="0.25">
      <c r="B1295" s="701" t="s">
        <v>1753</v>
      </c>
      <c r="C1295" s="715">
        <v>96733</v>
      </c>
    </row>
    <row r="1296" spans="2:3" x14ac:dyDescent="0.25">
      <c r="B1296" s="701" t="s">
        <v>1752</v>
      </c>
      <c r="C1296" s="715">
        <v>96731</v>
      </c>
    </row>
    <row r="1297" spans="2:3" x14ac:dyDescent="0.25">
      <c r="B1297" s="701" t="s">
        <v>1960</v>
      </c>
      <c r="C1297" s="715">
        <v>99202</v>
      </c>
    </row>
    <row r="1298" spans="2:3" x14ac:dyDescent="0.25">
      <c r="B1298" s="701" t="s">
        <v>1520</v>
      </c>
      <c r="C1298" s="715">
        <v>94011</v>
      </c>
    </row>
    <row r="1299" spans="2:3" x14ac:dyDescent="0.25">
      <c r="B1299" s="701" t="s">
        <v>1397</v>
      </c>
      <c r="C1299" s="715">
        <v>92631</v>
      </c>
    </row>
    <row r="1300" spans="2:3" x14ac:dyDescent="0.25">
      <c r="B1300" s="701" t="s">
        <v>1657</v>
      </c>
      <c r="C1300" s="715">
        <v>95733</v>
      </c>
    </row>
    <row r="1301" spans="2:3" x14ac:dyDescent="0.25">
      <c r="B1301" s="701" t="s">
        <v>1296</v>
      </c>
      <c r="C1301" s="715">
        <v>91431</v>
      </c>
    </row>
    <row r="1302" spans="2:3" x14ac:dyDescent="0.25">
      <c r="B1302" s="701" t="s">
        <v>1684</v>
      </c>
      <c r="C1302" s="715">
        <v>96041</v>
      </c>
    </row>
    <row r="1303" spans="2:3" x14ac:dyDescent="0.25">
      <c r="B1303" s="701" t="s">
        <v>1590</v>
      </c>
      <c r="C1303" s="715">
        <v>94801</v>
      </c>
    </row>
    <row r="1304" spans="2:3" x14ac:dyDescent="0.25">
      <c r="B1304" s="701" t="s">
        <v>1591</v>
      </c>
      <c r="C1304" s="715">
        <v>94804</v>
      </c>
    </row>
    <row r="1305" spans="2:3" x14ac:dyDescent="0.25">
      <c r="B1305" s="701" t="s">
        <v>1312</v>
      </c>
      <c r="C1305" s="715">
        <v>91661</v>
      </c>
    </row>
    <row r="1306" spans="2:3" x14ac:dyDescent="0.25">
      <c r="B1306" s="701" t="s">
        <v>3450</v>
      </c>
      <c r="C1306" s="715">
        <v>99014</v>
      </c>
    </row>
    <row r="1307" spans="2:3" x14ac:dyDescent="0.25">
      <c r="B1307" s="701" t="s">
        <v>1949</v>
      </c>
      <c r="C1307" s="715">
        <v>99051</v>
      </c>
    </row>
    <row r="1308" spans="2:3" x14ac:dyDescent="0.25">
      <c r="B1308" s="701" t="s">
        <v>1593</v>
      </c>
      <c r="C1308" s="715">
        <v>94901</v>
      </c>
    </row>
    <row r="1309" spans="2:3" x14ac:dyDescent="0.25">
      <c r="B1309" s="701" t="s">
        <v>1882</v>
      </c>
      <c r="C1309" s="715">
        <v>98109</v>
      </c>
    </row>
    <row r="1310" spans="2:3" x14ac:dyDescent="0.25">
      <c r="B1310" s="701" t="s">
        <v>1891</v>
      </c>
      <c r="C1310" s="715">
        <v>98205</v>
      </c>
    </row>
    <row r="1311" spans="2:3" x14ac:dyDescent="0.25">
      <c r="B1311" s="701" t="s">
        <v>1602</v>
      </c>
      <c r="C1311" s="715">
        <v>95001</v>
      </c>
    </row>
    <row r="1312" spans="2:3" x14ac:dyDescent="0.25">
      <c r="B1312" s="701" t="s">
        <v>3451</v>
      </c>
      <c r="C1312" s="715">
        <v>95017</v>
      </c>
    </row>
    <row r="1313" spans="2:3" x14ac:dyDescent="0.25">
      <c r="B1313" s="701" t="s">
        <v>1744</v>
      </c>
      <c r="C1313" s="715">
        <v>96661</v>
      </c>
    </row>
    <row r="1314" spans="2:3" x14ac:dyDescent="0.25">
      <c r="B1314" s="701" t="s">
        <v>1750</v>
      </c>
      <c r="C1314" s="715">
        <v>96711</v>
      </c>
    </row>
    <row r="1315" spans="2:3" x14ac:dyDescent="0.25">
      <c r="B1315" s="701" t="s">
        <v>1533</v>
      </c>
      <c r="C1315" s="715">
        <v>94131</v>
      </c>
    </row>
    <row r="1316" spans="2:3" x14ac:dyDescent="0.25">
      <c r="B1316" s="701" t="s">
        <v>1665</v>
      </c>
      <c r="C1316" s="715">
        <v>95841</v>
      </c>
    </row>
    <row r="1317" spans="2:3" x14ac:dyDescent="0.25">
      <c r="B1317" s="701" t="s">
        <v>1183</v>
      </c>
      <c r="C1317" s="715">
        <v>90511</v>
      </c>
    </row>
    <row r="1318" spans="2:3" x14ac:dyDescent="0.25">
      <c r="B1318" s="701" t="s">
        <v>1609</v>
      </c>
      <c r="C1318" s="715">
        <v>95101</v>
      </c>
    </row>
    <row r="1319" spans="2:3" x14ac:dyDescent="0.25">
      <c r="B1319" s="701" t="s">
        <v>1611</v>
      </c>
      <c r="C1319" s="715">
        <v>95104</v>
      </c>
    </row>
    <row r="1320" spans="2:3" x14ac:dyDescent="0.25">
      <c r="B1320" s="701" t="s">
        <v>1612</v>
      </c>
      <c r="C1320" s="715">
        <v>95105</v>
      </c>
    </row>
    <row r="1321" spans="2:3" x14ac:dyDescent="0.25">
      <c r="B1321" s="701" t="s">
        <v>3452</v>
      </c>
      <c r="C1321" s="715">
        <v>95110</v>
      </c>
    </row>
    <row r="1322" spans="2:3" x14ac:dyDescent="0.25">
      <c r="B1322" s="701" t="s">
        <v>1627</v>
      </c>
      <c r="C1322" s="715">
        <v>95201</v>
      </c>
    </row>
    <row r="1323" spans="2:3" x14ac:dyDescent="0.25">
      <c r="B1323" s="701" t="s">
        <v>1628</v>
      </c>
      <c r="C1323" s="715">
        <v>95204</v>
      </c>
    </row>
    <row r="1324" spans="2:3" x14ac:dyDescent="0.25">
      <c r="B1324" s="701" t="s">
        <v>2031</v>
      </c>
      <c r="C1324" s="715">
        <v>99921</v>
      </c>
    </row>
    <row r="1325" spans="2:3" x14ac:dyDescent="0.25">
      <c r="B1325" s="701" t="s">
        <v>1561</v>
      </c>
      <c r="C1325" s="715">
        <v>94408</v>
      </c>
    </row>
    <row r="1326" spans="2:3" x14ac:dyDescent="0.25">
      <c r="B1326" s="701" t="s">
        <v>1289</v>
      </c>
      <c r="C1326" s="715">
        <v>91331</v>
      </c>
    </row>
    <row r="1327" spans="2:3" x14ac:dyDescent="0.25">
      <c r="B1327" s="701" t="s">
        <v>1431</v>
      </c>
      <c r="C1327" s="715">
        <v>93127</v>
      </c>
    </row>
    <row r="1328" spans="2:3" x14ac:dyDescent="0.25">
      <c r="B1328" s="701" t="s">
        <v>1430</v>
      </c>
      <c r="C1328" s="715">
        <v>93121</v>
      </c>
    </row>
    <row r="1329" spans="2:3" x14ac:dyDescent="0.25">
      <c r="B1329" s="701" t="s">
        <v>1624</v>
      </c>
      <c r="C1329" s="715">
        <v>95171</v>
      </c>
    </row>
    <row r="1330" spans="2:3" x14ac:dyDescent="0.25">
      <c r="B1330" s="701" t="s">
        <v>1467</v>
      </c>
      <c r="C1330" s="715">
        <v>93421</v>
      </c>
    </row>
    <row r="1331" spans="2:3" x14ac:dyDescent="0.25">
      <c r="B1331" s="701" t="s">
        <v>1957</v>
      </c>
      <c r="C1331" s="715">
        <v>99110</v>
      </c>
    </row>
    <row r="1332" spans="2:3" x14ac:dyDescent="0.25">
      <c r="B1332" s="701" t="s">
        <v>1956</v>
      </c>
      <c r="C1332" s="715">
        <v>99109</v>
      </c>
    </row>
    <row r="1333" spans="2:3" x14ac:dyDescent="0.25">
      <c r="B1333" s="701" t="s">
        <v>1409</v>
      </c>
      <c r="C1333" s="715">
        <v>92821</v>
      </c>
    </row>
    <row r="1334" spans="2:3" x14ac:dyDescent="0.25">
      <c r="B1334" s="701" t="s">
        <v>1920</v>
      </c>
      <c r="C1334" s="715">
        <v>98521</v>
      </c>
    </row>
    <row r="1335" spans="2:3" x14ac:dyDescent="0.25">
      <c r="B1335" s="701" t="s">
        <v>1357</v>
      </c>
      <c r="C1335" s="715">
        <v>92327</v>
      </c>
    </row>
    <row r="1336" spans="2:3" x14ac:dyDescent="0.25">
      <c r="B1336" s="701" t="s">
        <v>1356</v>
      </c>
      <c r="C1336" s="715">
        <v>92321</v>
      </c>
    </row>
    <row r="1337" spans="2:3" x14ac:dyDescent="0.25">
      <c r="B1337" s="701" t="s">
        <v>1641</v>
      </c>
      <c r="C1337" s="715">
        <v>95413</v>
      </c>
    </row>
    <row r="1338" spans="2:3" x14ac:dyDescent="0.25">
      <c r="B1338" s="701" t="s">
        <v>1639</v>
      </c>
      <c r="C1338" s="715">
        <v>95411</v>
      </c>
    </row>
    <row r="1339" spans="2:3" x14ac:dyDescent="0.25">
      <c r="B1339" s="701" t="s">
        <v>1642</v>
      </c>
      <c r="C1339" s="715">
        <v>95415</v>
      </c>
    </row>
    <row r="1340" spans="2:3" x14ac:dyDescent="0.25">
      <c r="B1340" s="701" t="s">
        <v>1412</v>
      </c>
      <c r="C1340" s="715">
        <v>92851</v>
      </c>
    </row>
    <row r="1341" spans="2:3" x14ac:dyDescent="0.25">
      <c r="B1341" s="701" t="s">
        <v>1980</v>
      </c>
      <c r="C1341" s="715">
        <v>99291</v>
      </c>
    </row>
    <row r="1342" spans="2:3" x14ac:dyDescent="0.25">
      <c r="B1342" s="701" t="s">
        <v>1735</v>
      </c>
      <c r="C1342" s="715">
        <v>96541</v>
      </c>
    </row>
    <row r="1343" spans="2:3" x14ac:dyDescent="0.25">
      <c r="B1343" s="701" t="s">
        <v>1644</v>
      </c>
      <c r="C1343" s="715">
        <v>95431</v>
      </c>
    </row>
    <row r="1344" spans="2:3" x14ac:dyDescent="0.25">
      <c r="B1344" s="701" t="s">
        <v>1886</v>
      </c>
      <c r="C1344" s="715">
        <v>98131</v>
      </c>
    </row>
    <row r="1345" spans="2:3" x14ac:dyDescent="0.25">
      <c r="B1345" s="701" t="s">
        <v>1367</v>
      </c>
      <c r="C1345" s="715">
        <v>92427</v>
      </c>
    </row>
    <row r="1346" spans="2:3" x14ac:dyDescent="0.25">
      <c r="B1346" s="701" t="s">
        <v>1372</v>
      </c>
      <c r="C1346" s="715">
        <v>92461</v>
      </c>
    </row>
    <row r="1347" spans="2:3" x14ac:dyDescent="0.25">
      <c r="B1347" s="701" t="s">
        <v>1873</v>
      </c>
      <c r="C1347" s="715">
        <v>98051</v>
      </c>
    </row>
    <row r="1348" spans="2:3" x14ac:dyDescent="0.25">
      <c r="B1348" s="701" t="s">
        <v>1248</v>
      </c>
      <c r="C1348" s="715">
        <v>91102</v>
      </c>
    </row>
    <row r="1349" spans="2:3" x14ac:dyDescent="0.25">
      <c r="B1349" s="701" t="s">
        <v>1574</v>
      </c>
      <c r="C1349" s="715">
        <v>94527</v>
      </c>
    </row>
    <row r="1350" spans="2:3" x14ac:dyDescent="0.25">
      <c r="B1350" s="701" t="s">
        <v>1573</v>
      </c>
      <c r="C1350" s="715">
        <v>94521</v>
      </c>
    </row>
    <row r="1351" spans="2:3" x14ac:dyDescent="0.25">
      <c r="B1351" s="701" t="s">
        <v>1905</v>
      </c>
      <c r="C1351" s="715">
        <v>98313</v>
      </c>
    </row>
    <row r="1352" spans="2:3" x14ac:dyDescent="0.25">
      <c r="B1352" s="701" t="s">
        <v>1904</v>
      </c>
      <c r="C1352" s="715">
        <v>98311</v>
      </c>
    </row>
    <row r="1353" spans="2:3" x14ac:dyDescent="0.25">
      <c r="B1353" s="701" t="s">
        <v>1903</v>
      </c>
      <c r="C1353" s="715">
        <v>98308</v>
      </c>
    </row>
    <row r="1354" spans="2:3" x14ac:dyDescent="0.25">
      <c r="B1354" s="701" t="s">
        <v>1359</v>
      </c>
      <c r="C1354" s="715">
        <v>92341</v>
      </c>
    </row>
    <row r="1355" spans="2:3" x14ac:dyDescent="0.25">
      <c r="B1355" s="701" t="s">
        <v>1632</v>
      </c>
      <c r="C1355" s="715">
        <v>95301</v>
      </c>
    </row>
    <row r="1356" spans="2:3" x14ac:dyDescent="0.25">
      <c r="B1356" s="701" t="s">
        <v>1218</v>
      </c>
      <c r="C1356" s="715">
        <v>91002</v>
      </c>
    </row>
    <row r="1357" spans="2:3" x14ac:dyDescent="0.25">
      <c r="B1357" s="701" t="s">
        <v>1299</v>
      </c>
      <c r="C1357" s="715">
        <v>91457</v>
      </c>
    </row>
    <row r="1358" spans="2:3" x14ac:dyDescent="0.25">
      <c r="B1358" s="701" t="s">
        <v>1636</v>
      </c>
      <c r="C1358" s="715">
        <v>95401</v>
      </c>
    </row>
    <row r="1359" spans="2:3" x14ac:dyDescent="0.25">
      <c r="B1359" s="701" t="s">
        <v>1637</v>
      </c>
      <c r="C1359" s="715">
        <v>95404</v>
      </c>
    </row>
    <row r="1360" spans="2:3" x14ac:dyDescent="0.25">
      <c r="B1360" s="701" t="s">
        <v>1295</v>
      </c>
      <c r="C1360" s="715">
        <v>91423</v>
      </c>
    </row>
    <row r="1361" spans="2:3" x14ac:dyDescent="0.25">
      <c r="B1361" s="701" t="s">
        <v>1298</v>
      </c>
      <c r="C1361" s="715">
        <v>91451</v>
      </c>
    </row>
    <row r="1362" spans="2:3" x14ac:dyDescent="0.25">
      <c r="B1362" s="701" t="s">
        <v>1209</v>
      </c>
      <c r="C1362" s="715">
        <v>90861</v>
      </c>
    </row>
    <row r="1363" spans="2:3" x14ac:dyDescent="0.25">
      <c r="B1363" s="701" t="s">
        <v>1471</v>
      </c>
      <c r="C1363" s="715">
        <v>93451</v>
      </c>
    </row>
    <row r="1364" spans="2:3" x14ac:dyDescent="0.25">
      <c r="B1364" s="701" t="s">
        <v>1417</v>
      </c>
      <c r="C1364" s="715">
        <v>92917</v>
      </c>
    </row>
    <row r="1365" spans="2:3" x14ac:dyDescent="0.25">
      <c r="B1365" s="701" t="s">
        <v>1419</v>
      </c>
      <c r="C1365" s="715">
        <v>92931</v>
      </c>
    </row>
    <row r="1366" spans="2:3" x14ac:dyDescent="0.25">
      <c r="B1366" s="701" t="s">
        <v>1820</v>
      </c>
      <c r="C1366" s="715">
        <v>97637</v>
      </c>
    </row>
    <row r="1367" spans="2:3" x14ac:dyDescent="0.25">
      <c r="B1367" s="701" t="s">
        <v>1819</v>
      </c>
      <c r="C1367" s="715">
        <v>97631</v>
      </c>
    </row>
    <row r="1368" spans="2:3" x14ac:dyDescent="0.25">
      <c r="B1368" s="701" t="s">
        <v>1176</v>
      </c>
      <c r="C1368" s="715">
        <v>90421</v>
      </c>
    </row>
    <row r="1369" spans="2:3" x14ac:dyDescent="0.25">
      <c r="B1369" s="701" t="s">
        <v>1554</v>
      </c>
      <c r="C1369" s="715">
        <v>94321</v>
      </c>
    </row>
    <row r="1370" spans="2:3" x14ac:dyDescent="0.25">
      <c r="B1370" s="701" t="s">
        <v>1645</v>
      </c>
      <c r="C1370" s="715">
        <v>95501</v>
      </c>
    </row>
    <row r="1371" spans="2:3" x14ac:dyDescent="0.25">
      <c r="B1371" s="701" t="s">
        <v>1646</v>
      </c>
      <c r="C1371" s="715">
        <v>95504</v>
      </c>
    </row>
    <row r="1372" spans="2:3" x14ac:dyDescent="0.25">
      <c r="B1372" s="701" t="s">
        <v>1649</v>
      </c>
      <c r="C1372" s="715">
        <v>95517</v>
      </c>
    </row>
    <row r="1373" spans="2:3" x14ac:dyDescent="0.25">
      <c r="B1373" s="701" t="s">
        <v>1648</v>
      </c>
      <c r="C1373" s="715">
        <v>95513</v>
      </c>
    </row>
    <row r="1374" spans="2:3" x14ac:dyDescent="0.25">
      <c r="B1374" s="701" t="s">
        <v>1647</v>
      </c>
      <c r="C1374" s="715">
        <v>95511</v>
      </c>
    </row>
    <row r="1375" spans="2:3" x14ac:dyDescent="0.25">
      <c r="B1375" s="701" t="s">
        <v>1399</v>
      </c>
      <c r="C1375" s="715">
        <v>92651</v>
      </c>
    </row>
    <row r="1376" spans="2:3" x14ac:dyDescent="0.25">
      <c r="B1376" s="701" t="s">
        <v>1549</v>
      </c>
      <c r="C1376" s="715">
        <v>94261</v>
      </c>
    </row>
    <row r="1377" spans="2:3" x14ac:dyDescent="0.25">
      <c r="B1377" s="701" t="s">
        <v>1913</v>
      </c>
      <c r="C1377" s="715">
        <v>98431</v>
      </c>
    </row>
    <row r="1378" spans="2:3" x14ac:dyDescent="0.25">
      <c r="B1378" s="701" t="s">
        <v>1329</v>
      </c>
      <c r="C1378" s="715">
        <v>91841</v>
      </c>
    </row>
    <row r="1379" spans="2:3" x14ac:dyDescent="0.25">
      <c r="B1379" s="701" t="s">
        <v>1478</v>
      </c>
      <c r="C1379" s="715">
        <v>93527</v>
      </c>
    </row>
    <row r="1380" spans="2:3" x14ac:dyDescent="0.25">
      <c r="B1380" s="701" t="s">
        <v>1477</v>
      </c>
      <c r="C1380" s="715">
        <v>93521</v>
      </c>
    </row>
    <row r="1381" spans="2:3" x14ac:dyDescent="0.25">
      <c r="B1381" s="701" t="s">
        <v>1495</v>
      </c>
      <c r="C1381" s="715">
        <v>93661</v>
      </c>
    </row>
    <row r="1382" spans="2:3" x14ac:dyDescent="0.25">
      <c r="B1382" s="701" t="s">
        <v>1729</v>
      </c>
      <c r="C1382" s="715">
        <v>96508</v>
      </c>
    </row>
    <row r="1383" spans="2:3" x14ac:dyDescent="0.25">
      <c r="B1383" s="701" t="s">
        <v>2027</v>
      </c>
      <c r="C1383" s="715">
        <v>99841</v>
      </c>
    </row>
    <row r="1384" spans="2:3" x14ac:dyDescent="0.25">
      <c r="B1384" s="701" t="s">
        <v>1833</v>
      </c>
      <c r="C1384" s="715">
        <v>97802</v>
      </c>
    </row>
    <row r="1385" spans="2:3" x14ac:dyDescent="0.25">
      <c r="B1385" s="701" t="s">
        <v>1837</v>
      </c>
      <c r="C1385" s="715">
        <v>97817</v>
      </c>
    </row>
    <row r="1386" spans="2:3" x14ac:dyDescent="0.25">
      <c r="B1386" s="701" t="s">
        <v>1838</v>
      </c>
      <c r="C1386" s="715">
        <v>97818</v>
      </c>
    </row>
    <row r="1387" spans="2:3" x14ac:dyDescent="0.25">
      <c r="B1387" s="701" t="s">
        <v>1836</v>
      </c>
      <c r="C1387" s="715">
        <v>97811</v>
      </c>
    </row>
    <row r="1388" spans="2:3" x14ac:dyDescent="0.25">
      <c r="B1388" s="701" t="s">
        <v>1458</v>
      </c>
      <c r="C1388" s="715">
        <v>93341</v>
      </c>
    </row>
    <row r="1389" spans="2:3" x14ac:dyDescent="0.25">
      <c r="B1389" s="701" t="s">
        <v>1650</v>
      </c>
      <c r="C1389" s="715">
        <v>95601</v>
      </c>
    </row>
    <row r="1390" spans="2:3" x14ac:dyDescent="0.25">
      <c r="B1390" s="701" t="s">
        <v>1858</v>
      </c>
      <c r="C1390" s="715">
        <v>97947</v>
      </c>
    </row>
    <row r="1391" spans="2:3" x14ac:dyDescent="0.25">
      <c r="B1391" s="701" t="s">
        <v>1654</v>
      </c>
      <c r="C1391" s="715">
        <v>95701</v>
      </c>
    </row>
    <row r="1392" spans="2:3" x14ac:dyDescent="0.25">
      <c r="B1392" s="701" t="s">
        <v>1857</v>
      </c>
      <c r="C1392" s="715">
        <v>97941</v>
      </c>
    </row>
    <row r="1393" spans="2:3" x14ac:dyDescent="0.25">
      <c r="B1393" s="701" t="s">
        <v>1859</v>
      </c>
      <c r="C1393" s="715">
        <v>97948</v>
      </c>
    </row>
    <row r="1394" spans="2:3" x14ac:dyDescent="0.25">
      <c r="B1394" s="701" t="s">
        <v>1565</v>
      </c>
      <c r="C1394" s="715">
        <v>94427</v>
      </c>
    </row>
    <row r="1395" spans="2:3" x14ac:dyDescent="0.25">
      <c r="B1395" s="701" t="s">
        <v>1566</v>
      </c>
      <c r="C1395" s="715">
        <v>94428</v>
      </c>
    </row>
    <row r="1396" spans="2:3" x14ac:dyDescent="0.25">
      <c r="B1396" s="701" t="s">
        <v>1564</v>
      </c>
      <c r="C1396" s="715">
        <v>94421</v>
      </c>
    </row>
    <row r="1397" spans="2:3" x14ac:dyDescent="0.25">
      <c r="B1397" s="701" t="s">
        <v>1440</v>
      </c>
      <c r="C1397" s="715">
        <v>93191</v>
      </c>
    </row>
    <row r="1398" spans="2:3" x14ac:dyDescent="0.25">
      <c r="B1398" s="701" t="s">
        <v>1328</v>
      </c>
      <c r="C1398" s="715">
        <v>91831</v>
      </c>
    </row>
    <row r="1399" spans="2:3" x14ac:dyDescent="0.25">
      <c r="B1399" s="701" t="s">
        <v>1410</v>
      </c>
      <c r="C1399" s="715">
        <v>92831</v>
      </c>
    </row>
    <row r="1400" spans="2:3" x14ac:dyDescent="0.25">
      <c r="B1400" s="701" t="s">
        <v>1671</v>
      </c>
      <c r="C1400" s="715">
        <v>95917</v>
      </c>
    </row>
    <row r="1401" spans="2:3" x14ac:dyDescent="0.25">
      <c r="B1401" s="701" t="s">
        <v>1670</v>
      </c>
      <c r="C1401" s="715">
        <v>95911</v>
      </c>
    </row>
    <row r="1402" spans="2:3" x14ac:dyDescent="0.25">
      <c r="B1402" s="701" t="s">
        <v>1655</v>
      </c>
      <c r="C1402" s="715">
        <v>95711</v>
      </c>
    </row>
    <row r="1403" spans="2:3" x14ac:dyDescent="0.25">
      <c r="B1403" s="701" t="s">
        <v>1656</v>
      </c>
      <c r="C1403" s="715">
        <v>95721</v>
      </c>
    </row>
    <row r="1404" spans="2:3" x14ac:dyDescent="0.25">
      <c r="B1404" s="701" t="s">
        <v>1944</v>
      </c>
      <c r="C1404" s="715">
        <v>99021</v>
      </c>
    </row>
    <row r="1405" spans="2:3" x14ac:dyDescent="0.25">
      <c r="B1405" s="701" t="s">
        <v>1658</v>
      </c>
      <c r="C1405" s="715">
        <v>95801</v>
      </c>
    </row>
    <row r="1406" spans="2:3" x14ac:dyDescent="0.25">
      <c r="B1406" s="701" t="s">
        <v>1660</v>
      </c>
      <c r="C1406" s="715">
        <v>95804</v>
      </c>
    </row>
    <row r="1407" spans="2:3" x14ac:dyDescent="0.25">
      <c r="B1407" s="701" t="s">
        <v>1659</v>
      </c>
      <c r="C1407" s="715">
        <v>95802</v>
      </c>
    </row>
    <row r="1408" spans="2:3" x14ac:dyDescent="0.25">
      <c r="B1408" s="701" t="s">
        <v>1151</v>
      </c>
      <c r="C1408" s="715">
        <v>90092</v>
      </c>
    </row>
    <row r="1409" spans="2:3" x14ac:dyDescent="0.25">
      <c r="B1409" s="701" t="s">
        <v>1952</v>
      </c>
      <c r="C1409" s="715">
        <v>99081</v>
      </c>
    </row>
    <row r="1410" spans="2:3" x14ac:dyDescent="0.25">
      <c r="B1410" s="701" t="s">
        <v>1687</v>
      </c>
      <c r="C1410" s="715">
        <v>96071</v>
      </c>
    </row>
    <row r="1411" spans="2:3" x14ac:dyDescent="0.25">
      <c r="B1411" s="701" t="s">
        <v>1517</v>
      </c>
      <c r="C1411" s="715">
        <v>94002</v>
      </c>
    </row>
    <row r="1412" spans="2:3" x14ac:dyDescent="0.25">
      <c r="B1412" s="701" t="s">
        <v>1845</v>
      </c>
      <c r="C1412" s="715">
        <v>97847</v>
      </c>
    </row>
    <row r="1413" spans="2:3" x14ac:dyDescent="0.25">
      <c r="B1413" s="701" t="s">
        <v>1843</v>
      </c>
      <c r="C1413" s="715">
        <v>97840</v>
      </c>
    </row>
    <row r="1414" spans="2:3" x14ac:dyDescent="0.25">
      <c r="B1414" s="701" t="s">
        <v>1855</v>
      </c>
      <c r="C1414" s="715">
        <v>97921</v>
      </c>
    </row>
    <row r="1415" spans="2:3" x14ac:dyDescent="0.25">
      <c r="B1415" s="701" t="s">
        <v>1631</v>
      </c>
      <c r="C1415" s="715">
        <v>95221</v>
      </c>
    </row>
    <row r="1416" spans="2:3" x14ac:dyDescent="0.25">
      <c r="B1416" s="701" t="s">
        <v>1485</v>
      </c>
      <c r="C1416" s="715">
        <v>93610</v>
      </c>
    </row>
    <row r="1417" spans="2:3" x14ac:dyDescent="0.25">
      <c r="B1417" s="701" t="s">
        <v>3453</v>
      </c>
      <c r="C1417" s="715">
        <v>95901</v>
      </c>
    </row>
    <row r="1418" spans="2:3" x14ac:dyDescent="0.25">
      <c r="B1418" s="701" t="s">
        <v>1157</v>
      </c>
      <c r="C1418" s="715">
        <v>90114</v>
      </c>
    </row>
    <row r="1419" spans="2:3" x14ac:dyDescent="0.25">
      <c r="B1419" s="701" t="s">
        <v>1673</v>
      </c>
      <c r="C1419" s="715">
        <v>96001</v>
      </c>
    </row>
    <row r="1420" spans="2:3" x14ac:dyDescent="0.25">
      <c r="B1420" s="701" t="s">
        <v>1675</v>
      </c>
      <c r="C1420" s="715">
        <v>96004</v>
      </c>
    </row>
    <row r="1421" spans="2:3" x14ac:dyDescent="0.25">
      <c r="B1421" s="701" t="s">
        <v>1677</v>
      </c>
      <c r="C1421" s="715">
        <v>96008</v>
      </c>
    </row>
    <row r="1422" spans="2:3" x14ac:dyDescent="0.25">
      <c r="B1422" s="701" t="s">
        <v>1251</v>
      </c>
      <c r="C1422" s="715">
        <v>91108</v>
      </c>
    </row>
    <row r="1423" spans="2:3" x14ac:dyDescent="0.25">
      <c r="B1423" s="701" t="s">
        <v>1601</v>
      </c>
      <c r="C1423" s="715">
        <v>94941</v>
      </c>
    </row>
    <row r="1424" spans="2:3" x14ac:dyDescent="0.25">
      <c r="B1424" s="701" t="s">
        <v>1618</v>
      </c>
      <c r="C1424" s="715">
        <v>95122</v>
      </c>
    </row>
    <row r="1425" spans="2:3" x14ac:dyDescent="0.25">
      <c r="B1425" s="701" t="s">
        <v>3454</v>
      </c>
      <c r="C1425" s="715">
        <v>92607</v>
      </c>
    </row>
    <row r="1426" spans="2:3" x14ac:dyDescent="0.25">
      <c r="B1426" s="701" t="s">
        <v>1720</v>
      </c>
      <c r="C1426" s="715">
        <v>96431</v>
      </c>
    </row>
    <row r="1427" spans="2:3" x14ac:dyDescent="0.25">
      <c r="B1427" s="701" t="s">
        <v>3455</v>
      </c>
      <c r="C1427" s="715">
        <v>90709</v>
      </c>
    </row>
    <row r="1428" spans="2:3" x14ac:dyDescent="0.25">
      <c r="B1428" s="701" t="s">
        <v>1290</v>
      </c>
      <c r="C1428" s="715">
        <v>91341</v>
      </c>
    </row>
    <row r="1429" spans="2:3" x14ac:dyDescent="0.25">
      <c r="B1429" s="701" t="s">
        <v>1579</v>
      </c>
      <c r="C1429" s="715">
        <v>94551</v>
      </c>
    </row>
    <row r="1430" spans="2:3" x14ac:dyDescent="0.25">
      <c r="B1430" s="701" t="s">
        <v>3456</v>
      </c>
      <c r="C1430" s="715">
        <v>99022</v>
      </c>
    </row>
    <row r="1431" spans="2:3" x14ac:dyDescent="0.25">
      <c r="B1431" s="701" t="s">
        <v>1683</v>
      </c>
      <c r="C1431" s="715">
        <v>96031</v>
      </c>
    </row>
    <row r="1432" spans="2:3" x14ac:dyDescent="0.25">
      <c r="B1432" s="701" t="s">
        <v>1145</v>
      </c>
      <c r="C1432" s="715">
        <v>71786</v>
      </c>
    </row>
    <row r="1433" spans="2:3" x14ac:dyDescent="0.25">
      <c r="B1433" s="701" t="s">
        <v>1689</v>
      </c>
      <c r="C1433" s="715">
        <v>96101</v>
      </c>
    </row>
    <row r="1434" spans="2:3" x14ac:dyDescent="0.25">
      <c r="B1434" s="701" t="s">
        <v>1690</v>
      </c>
      <c r="C1434" s="715">
        <v>96102</v>
      </c>
    </row>
    <row r="1435" spans="2:3" x14ac:dyDescent="0.25">
      <c r="B1435" s="701" t="s">
        <v>1423</v>
      </c>
      <c r="C1435" s="715">
        <v>93011</v>
      </c>
    </row>
    <row r="1436" spans="2:3" x14ac:dyDescent="0.25">
      <c r="B1436" s="701" t="s">
        <v>1943</v>
      </c>
      <c r="C1436" s="715">
        <v>99017</v>
      </c>
    </row>
    <row r="1437" spans="2:3" x14ac:dyDescent="0.25">
      <c r="B1437" s="701" t="s">
        <v>1942</v>
      </c>
      <c r="C1437" s="715">
        <v>99013</v>
      </c>
    </row>
    <row r="1438" spans="2:3" x14ac:dyDescent="0.25">
      <c r="B1438" s="701" t="s">
        <v>1941</v>
      </c>
      <c r="C1438" s="715">
        <v>99011</v>
      </c>
    </row>
    <row r="1439" spans="2:3" x14ac:dyDescent="0.25">
      <c r="B1439" s="701" t="s">
        <v>1693</v>
      </c>
      <c r="C1439" s="715">
        <v>96201</v>
      </c>
    </row>
    <row r="1440" spans="2:3" x14ac:dyDescent="0.25">
      <c r="B1440" s="701" t="s">
        <v>1694</v>
      </c>
      <c r="C1440" s="715">
        <v>96204</v>
      </c>
    </row>
    <row r="1441" spans="2:3" x14ac:dyDescent="0.25">
      <c r="B1441" s="701" t="s">
        <v>1264</v>
      </c>
      <c r="C1441" s="715">
        <v>91161</v>
      </c>
    </row>
    <row r="1442" spans="2:3" x14ac:dyDescent="0.25">
      <c r="B1442" s="701" t="s">
        <v>1700</v>
      </c>
      <c r="C1442" s="715">
        <v>96301</v>
      </c>
    </row>
    <row r="1443" spans="2:3" x14ac:dyDescent="0.25">
      <c r="B1443" s="701" t="s">
        <v>1702</v>
      </c>
      <c r="C1443" s="715">
        <v>96304</v>
      </c>
    </row>
    <row r="1444" spans="2:3" x14ac:dyDescent="0.25">
      <c r="B1444" s="701" t="s">
        <v>1704</v>
      </c>
      <c r="C1444" s="715">
        <v>96310</v>
      </c>
    </row>
    <row r="1445" spans="2:3" x14ac:dyDescent="0.25">
      <c r="B1445" s="701" t="s">
        <v>1703</v>
      </c>
      <c r="C1445" s="715">
        <v>96305</v>
      </c>
    </row>
    <row r="1446" spans="2:3" x14ac:dyDescent="0.25">
      <c r="B1446" s="701" t="s">
        <v>1599</v>
      </c>
      <c r="C1446" s="715">
        <v>94927</v>
      </c>
    </row>
    <row r="1447" spans="2:3" x14ac:dyDescent="0.25">
      <c r="B1447" s="701" t="s">
        <v>1598</v>
      </c>
      <c r="C1447" s="715">
        <v>94923</v>
      </c>
    </row>
    <row r="1448" spans="2:3" x14ac:dyDescent="0.25">
      <c r="B1448" s="701" t="s">
        <v>1597</v>
      </c>
      <c r="C1448" s="715">
        <v>94921</v>
      </c>
    </row>
    <row r="1449" spans="2:3" x14ac:dyDescent="0.25">
      <c r="B1449" s="701" t="s">
        <v>1306</v>
      </c>
      <c r="C1449" s="715">
        <v>91611</v>
      </c>
    </row>
    <row r="1450" spans="2:3" x14ac:dyDescent="0.25">
      <c r="B1450" s="701" t="s">
        <v>1274</v>
      </c>
      <c r="C1450" s="715">
        <v>91217</v>
      </c>
    </row>
    <row r="1451" spans="2:3" x14ac:dyDescent="0.25">
      <c r="B1451" s="701" t="s">
        <v>1277</v>
      </c>
      <c r="C1451" s="715">
        <v>91233</v>
      </c>
    </row>
    <row r="1452" spans="2:3" x14ac:dyDescent="0.25">
      <c r="B1452" s="701" t="s">
        <v>1276</v>
      </c>
      <c r="C1452" s="715">
        <v>91231</v>
      </c>
    </row>
    <row r="1453" spans="2:3" x14ac:dyDescent="0.25">
      <c r="B1453" s="701" t="s">
        <v>1963</v>
      </c>
      <c r="C1453" s="715">
        <v>99206</v>
      </c>
    </row>
    <row r="1454" spans="2:3" x14ac:dyDescent="0.25">
      <c r="B1454" s="701" t="s">
        <v>1180</v>
      </c>
      <c r="C1454" s="715">
        <v>90461</v>
      </c>
    </row>
    <row r="1455" spans="2:3" x14ac:dyDescent="0.25">
      <c r="B1455" s="701" t="s">
        <v>1927</v>
      </c>
      <c r="C1455" s="715">
        <v>98631</v>
      </c>
    </row>
    <row r="1456" spans="2:3" x14ac:dyDescent="0.25">
      <c r="B1456" s="701" t="s">
        <v>1699</v>
      </c>
      <c r="C1456" s="715">
        <v>96251</v>
      </c>
    </row>
    <row r="1457" spans="2:3" x14ac:dyDescent="0.25">
      <c r="B1457" s="701" t="s">
        <v>2009</v>
      </c>
      <c r="C1457" s="715">
        <v>99623</v>
      </c>
    </row>
    <row r="1458" spans="2:3" x14ac:dyDescent="0.25">
      <c r="B1458" s="701" t="s">
        <v>2008</v>
      </c>
      <c r="C1458" s="715">
        <v>99621</v>
      </c>
    </row>
    <row r="1459" spans="2:3" x14ac:dyDescent="0.25">
      <c r="B1459" s="701" t="s">
        <v>1287</v>
      </c>
      <c r="C1459" s="715">
        <v>91321</v>
      </c>
    </row>
    <row r="1460" spans="2:3" x14ac:dyDescent="0.25">
      <c r="B1460" s="701" t="s">
        <v>1928</v>
      </c>
      <c r="C1460" s="715">
        <v>98637</v>
      </c>
    </row>
    <row r="1461" spans="2:3" x14ac:dyDescent="0.25">
      <c r="B1461" s="701" t="s">
        <v>1499</v>
      </c>
      <c r="C1461" s="715">
        <v>93691</v>
      </c>
    </row>
    <row r="1462" spans="2:3" x14ac:dyDescent="0.25">
      <c r="B1462" s="701" t="s">
        <v>1288</v>
      </c>
      <c r="C1462" s="715">
        <v>91327</v>
      </c>
    </row>
    <row r="1463" spans="2:3" x14ac:dyDescent="0.25">
      <c r="B1463" s="701" t="s">
        <v>1584</v>
      </c>
      <c r="C1463" s="715">
        <v>94621</v>
      </c>
    </row>
    <row r="1464" spans="2:3" x14ac:dyDescent="0.25">
      <c r="B1464" s="701" t="s">
        <v>1344</v>
      </c>
      <c r="C1464" s="715">
        <v>92017</v>
      </c>
    </row>
    <row r="1465" spans="2:3" x14ac:dyDescent="0.25">
      <c r="B1465" s="701" t="s">
        <v>1343</v>
      </c>
      <c r="C1465" s="715">
        <v>92011</v>
      </c>
    </row>
    <row r="1466" spans="2:3" x14ac:dyDescent="0.25">
      <c r="B1466" s="701" t="s">
        <v>2034</v>
      </c>
      <c r="C1466" s="715">
        <v>99991</v>
      </c>
    </row>
    <row r="1467" spans="2:3" x14ac:dyDescent="0.25">
      <c r="B1467" s="701" t="s">
        <v>2035</v>
      </c>
      <c r="C1467" s="715">
        <v>99999</v>
      </c>
    </row>
    <row r="1468" spans="2:3" x14ac:dyDescent="0.25">
      <c r="B1468" s="701" t="s">
        <v>1408</v>
      </c>
      <c r="C1468" s="715">
        <v>92811</v>
      </c>
    </row>
    <row r="1469" spans="2:3" x14ac:dyDescent="0.25">
      <c r="B1469" s="701" t="s">
        <v>1342</v>
      </c>
      <c r="C1469" s="715">
        <v>92005</v>
      </c>
    </row>
    <row r="1470" spans="2:3" x14ac:dyDescent="0.25">
      <c r="B1470" s="701" t="s">
        <v>1715</v>
      </c>
      <c r="C1470" s="715">
        <v>96401</v>
      </c>
    </row>
    <row r="1471" spans="2:3" x14ac:dyDescent="0.25">
      <c r="B1471" s="701" t="s">
        <v>1716</v>
      </c>
      <c r="C1471" s="715">
        <v>96404</v>
      </c>
    </row>
    <row r="1472" spans="2:3" x14ac:dyDescent="0.25">
      <c r="B1472" s="701" t="s">
        <v>1719</v>
      </c>
      <c r="C1472" s="715">
        <v>96421</v>
      </c>
    </row>
    <row r="1473" spans="2:3" x14ac:dyDescent="0.25">
      <c r="B1473" s="701" t="s">
        <v>1638</v>
      </c>
      <c r="C1473" s="715">
        <v>95405</v>
      </c>
    </row>
    <row r="1474" spans="2:3" x14ac:dyDescent="0.25">
      <c r="B1474" s="701" t="s">
        <v>1519</v>
      </c>
      <c r="C1474" s="715">
        <v>94005</v>
      </c>
    </row>
    <row r="1475" spans="2:3" x14ac:dyDescent="0.25">
      <c r="B1475" s="701" t="s">
        <v>1629</v>
      </c>
      <c r="C1475" s="715">
        <v>95205</v>
      </c>
    </row>
    <row r="1476" spans="2:3" x14ac:dyDescent="0.25">
      <c r="B1476" s="701" t="s">
        <v>1378</v>
      </c>
      <c r="C1476" s="715">
        <v>92507</v>
      </c>
    </row>
    <row r="1477" spans="2:3" x14ac:dyDescent="0.25">
      <c r="B1477" s="701" t="s">
        <v>1381</v>
      </c>
      <c r="C1477" s="715">
        <v>92511</v>
      </c>
    </row>
    <row r="1478" spans="2:3" x14ac:dyDescent="0.25">
      <c r="B1478" s="701" t="s">
        <v>1725</v>
      </c>
      <c r="C1478" s="715">
        <v>96502</v>
      </c>
    </row>
    <row r="1479" spans="2:3" x14ac:dyDescent="0.25">
      <c r="B1479" s="701" t="s">
        <v>1724</v>
      </c>
      <c r="C1479" s="715">
        <v>96501</v>
      </c>
    </row>
    <row r="1480" spans="2:3" x14ac:dyDescent="0.25">
      <c r="B1480" s="701" t="s">
        <v>1727</v>
      </c>
      <c r="C1480" s="715">
        <v>96504</v>
      </c>
    </row>
    <row r="1481" spans="2:3" x14ac:dyDescent="0.25">
      <c r="B1481" s="701" t="s">
        <v>1853</v>
      </c>
      <c r="C1481" s="715">
        <v>97913</v>
      </c>
    </row>
    <row r="1482" spans="2:3" x14ac:dyDescent="0.25">
      <c r="B1482" s="701" t="s">
        <v>1189</v>
      </c>
      <c r="C1482" s="715">
        <v>90621</v>
      </c>
    </row>
    <row r="1483" spans="2:3" x14ac:dyDescent="0.25">
      <c r="B1483" s="701" t="s">
        <v>1307</v>
      </c>
      <c r="C1483" s="715">
        <v>91621</v>
      </c>
    </row>
    <row r="1484" spans="2:3" x14ac:dyDescent="0.25">
      <c r="B1484" s="701" t="s">
        <v>1895</v>
      </c>
      <c r="C1484" s="715">
        <v>98231</v>
      </c>
    </row>
    <row r="1485" spans="2:3" x14ac:dyDescent="0.25">
      <c r="B1485" s="701" t="s">
        <v>1332</v>
      </c>
      <c r="C1485" s="715">
        <v>91871</v>
      </c>
    </row>
    <row r="1486" spans="2:3" x14ac:dyDescent="0.25">
      <c r="B1486" s="701" t="s">
        <v>1983</v>
      </c>
      <c r="C1486" s="715">
        <v>99311</v>
      </c>
    </row>
    <row r="1487" spans="2:3" x14ac:dyDescent="0.25">
      <c r="B1487" s="701" t="s">
        <v>1755</v>
      </c>
      <c r="C1487" s="715">
        <v>96751</v>
      </c>
    </row>
    <row r="1488" spans="2:3" x14ac:dyDescent="0.25">
      <c r="B1488" s="701" t="s">
        <v>2016</v>
      </c>
      <c r="C1488" s="715">
        <v>99717</v>
      </c>
    </row>
    <row r="1489" spans="2:3" x14ac:dyDescent="0.25">
      <c r="B1489" s="701" t="s">
        <v>2015</v>
      </c>
      <c r="C1489" s="715">
        <v>99711</v>
      </c>
    </row>
    <row r="1490" spans="2:3" x14ac:dyDescent="0.25">
      <c r="B1490" s="701" t="s">
        <v>1736</v>
      </c>
      <c r="C1490" s="715">
        <v>96601</v>
      </c>
    </row>
    <row r="1491" spans="2:3" x14ac:dyDescent="0.25">
      <c r="B1491" s="701" t="s">
        <v>1737</v>
      </c>
      <c r="C1491" s="715">
        <v>96604</v>
      </c>
    </row>
    <row r="1492" spans="2:3" x14ac:dyDescent="0.25">
      <c r="B1492" s="701" t="s">
        <v>1227</v>
      </c>
      <c r="C1492" s="715">
        <v>91012</v>
      </c>
    </row>
    <row r="1493" spans="2:3" x14ac:dyDescent="0.25">
      <c r="B1493" s="701" t="s">
        <v>1170</v>
      </c>
      <c r="C1493" s="715">
        <v>90305</v>
      </c>
    </row>
    <row r="1494" spans="2:3" x14ac:dyDescent="0.25">
      <c r="B1494" s="701" t="s">
        <v>1912</v>
      </c>
      <c r="C1494" s="715">
        <v>98427</v>
      </c>
    </row>
    <row r="1495" spans="2:3" x14ac:dyDescent="0.25">
      <c r="B1495" s="701" t="s">
        <v>1911</v>
      </c>
      <c r="C1495" s="715">
        <v>98421</v>
      </c>
    </row>
    <row r="1496" spans="2:3" x14ac:dyDescent="0.25">
      <c r="B1496" s="701" t="s">
        <v>1663</v>
      </c>
      <c r="C1496" s="715">
        <v>95821</v>
      </c>
    </row>
    <row r="1497" spans="2:3" x14ac:dyDescent="0.25">
      <c r="B1497" s="701" t="s">
        <v>1234</v>
      </c>
      <c r="C1497" s="715">
        <v>91027</v>
      </c>
    </row>
    <row r="1498" spans="2:3" x14ac:dyDescent="0.25">
      <c r="B1498" s="701" t="s">
        <v>1231</v>
      </c>
      <c r="C1498" s="715">
        <v>91021</v>
      </c>
    </row>
    <row r="1499" spans="2:3" x14ac:dyDescent="0.25">
      <c r="B1499" s="701" t="s">
        <v>1536</v>
      </c>
      <c r="C1499" s="715">
        <v>94161</v>
      </c>
    </row>
    <row r="1500" spans="2:3" x14ac:dyDescent="0.25">
      <c r="B1500" s="701" t="s">
        <v>1914</v>
      </c>
      <c r="C1500" s="715">
        <v>98441</v>
      </c>
    </row>
    <row r="1501" spans="2:3" x14ac:dyDescent="0.25">
      <c r="B1501" s="701" t="s">
        <v>1242</v>
      </c>
      <c r="C1501" s="715">
        <v>91067</v>
      </c>
    </row>
    <row r="1502" spans="2:3" x14ac:dyDescent="0.25">
      <c r="B1502" s="701" t="s">
        <v>1241</v>
      </c>
      <c r="C1502" s="715">
        <v>91061</v>
      </c>
    </row>
    <row r="1503" spans="2:3" x14ac:dyDescent="0.25">
      <c r="B1503" s="701" t="s">
        <v>1592</v>
      </c>
      <c r="C1503" s="715">
        <v>94812</v>
      </c>
    </row>
    <row r="1504" spans="2:3" x14ac:dyDescent="0.25">
      <c r="B1504" s="701" t="s">
        <v>1672</v>
      </c>
      <c r="C1504" s="715">
        <v>95921</v>
      </c>
    </row>
    <row r="1505" spans="2:3" x14ac:dyDescent="0.25">
      <c r="B1505" s="701" t="s">
        <v>1747</v>
      </c>
      <c r="C1505" s="715">
        <v>96701</v>
      </c>
    </row>
    <row r="1506" spans="2:3" x14ac:dyDescent="0.25">
      <c r="B1506" s="701" t="s">
        <v>1748</v>
      </c>
      <c r="C1506" s="715">
        <v>96704</v>
      </c>
    </row>
    <row r="1507" spans="2:3" x14ac:dyDescent="0.25">
      <c r="B1507" s="701" t="s">
        <v>1749</v>
      </c>
      <c r="C1507" s="715">
        <v>96708</v>
      </c>
    </row>
    <row r="1508" spans="2:3" x14ac:dyDescent="0.25">
      <c r="B1508" s="701" t="s">
        <v>1756</v>
      </c>
      <c r="C1508" s="715">
        <v>96801</v>
      </c>
    </row>
    <row r="1509" spans="2:3" x14ac:dyDescent="0.25">
      <c r="B1509" s="701" t="s">
        <v>1757</v>
      </c>
      <c r="C1509" s="715">
        <v>96804</v>
      </c>
    </row>
    <row r="1510" spans="2:3" x14ac:dyDescent="0.25">
      <c r="B1510" s="701" t="s">
        <v>1758</v>
      </c>
      <c r="C1510" s="715">
        <v>96808</v>
      </c>
    </row>
    <row r="1511" spans="2:3" x14ac:dyDescent="0.25">
      <c r="B1511" s="701" t="s">
        <v>1764</v>
      </c>
      <c r="C1511" s="715">
        <v>96912</v>
      </c>
    </row>
    <row r="1512" spans="2:3" x14ac:dyDescent="0.25">
      <c r="B1512" s="701" t="s">
        <v>1512</v>
      </c>
      <c r="C1512" s="715">
        <v>93913</v>
      </c>
    </row>
    <row r="1513" spans="2:3" x14ac:dyDescent="0.25">
      <c r="B1513" s="701" t="s">
        <v>1511</v>
      </c>
      <c r="C1513" s="715">
        <v>93911</v>
      </c>
    </row>
    <row r="1514" spans="2:3" x14ac:dyDescent="0.25">
      <c r="B1514" s="701" t="s">
        <v>1762</v>
      </c>
      <c r="C1514" s="715">
        <v>96901</v>
      </c>
    </row>
    <row r="1515" spans="2:3" x14ac:dyDescent="0.25">
      <c r="B1515" s="701" t="s">
        <v>3457</v>
      </c>
      <c r="C1515" s="715">
        <v>97841</v>
      </c>
    </row>
    <row r="1516" spans="2:3" x14ac:dyDescent="0.25">
      <c r="B1516" s="701" t="s">
        <v>1442</v>
      </c>
      <c r="C1516" s="715">
        <v>93202</v>
      </c>
    </row>
    <row r="1517" spans="2:3" x14ac:dyDescent="0.25">
      <c r="B1517" s="701" t="s">
        <v>3458</v>
      </c>
      <c r="C1517" s="715">
        <v>93609</v>
      </c>
    </row>
    <row r="1518" spans="2:3" x14ac:dyDescent="0.25">
      <c r="B1518" s="701" t="s">
        <v>1766</v>
      </c>
      <c r="C1518" s="715">
        <v>97001</v>
      </c>
    </row>
    <row r="1519" spans="2:3" x14ac:dyDescent="0.25">
      <c r="B1519" s="701" t="s">
        <v>1768</v>
      </c>
      <c r="C1519" s="715">
        <v>97004</v>
      </c>
    </row>
    <row r="1520" spans="2:3" x14ac:dyDescent="0.25">
      <c r="B1520" s="701" t="s">
        <v>1767</v>
      </c>
      <c r="C1520" s="715">
        <v>97002</v>
      </c>
    </row>
    <row r="1521" spans="2:3" x14ac:dyDescent="0.25">
      <c r="B1521" s="701" t="s">
        <v>1775</v>
      </c>
      <c r="C1521" s="715">
        <v>97015</v>
      </c>
    </row>
    <row r="1522" spans="2:3" x14ac:dyDescent="0.25">
      <c r="B1522" s="701" t="s">
        <v>1178</v>
      </c>
      <c r="C1522" s="715">
        <v>90441</v>
      </c>
    </row>
    <row r="1523" spans="2:3" x14ac:dyDescent="0.25">
      <c r="B1523" s="701" t="s">
        <v>1847</v>
      </c>
      <c r="C1523" s="715">
        <v>97853</v>
      </c>
    </row>
    <row r="1524" spans="2:3" x14ac:dyDescent="0.25">
      <c r="B1524" s="701" t="s">
        <v>1846</v>
      </c>
      <c r="C1524" s="715">
        <v>97851</v>
      </c>
    </row>
    <row r="1525" spans="2:3" x14ac:dyDescent="0.25">
      <c r="B1525" s="701" t="s">
        <v>1777</v>
      </c>
      <c r="C1525" s="715">
        <v>97101</v>
      </c>
    </row>
    <row r="1526" spans="2:3" x14ac:dyDescent="0.25">
      <c r="B1526" s="701" t="s">
        <v>1778</v>
      </c>
      <c r="C1526" s="715">
        <v>97104</v>
      </c>
    </row>
    <row r="1527" spans="2:3" x14ac:dyDescent="0.25">
      <c r="B1527" s="701" t="s">
        <v>1782</v>
      </c>
      <c r="C1527" s="715">
        <v>97201</v>
      </c>
    </row>
    <row r="1528" spans="2:3" x14ac:dyDescent="0.25">
      <c r="B1528" s="701" t="s">
        <v>1787</v>
      </c>
      <c r="C1528" s="715">
        <v>97301</v>
      </c>
    </row>
    <row r="1529" spans="2:3" x14ac:dyDescent="0.25">
      <c r="B1529" s="701" t="s">
        <v>1788</v>
      </c>
      <c r="C1529" s="715">
        <v>97304</v>
      </c>
    </row>
    <row r="1530" spans="2:3" x14ac:dyDescent="0.25">
      <c r="B1530" s="701" t="s">
        <v>1987</v>
      </c>
      <c r="C1530" s="715">
        <v>99405</v>
      </c>
    </row>
    <row r="1531" spans="2:3" x14ac:dyDescent="0.25">
      <c r="B1531" s="701" t="s">
        <v>1146</v>
      </c>
      <c r="C1531" s="715">
        <v>72265</v>
      </c>
    </row>
    <row r="1532" spans="2:3" x14ac:dyDescent="0.25">
      <c r="B1532" s="701" t="s">
        <v>1462</v>
      </c>
      <c r="C1532" s="715">
        <v>93406</v>
      </c>
    </row>
    <row r="1533" spans="2:3" x14ac:dyDescent="0.25">
      <c r="B1533" s="701" t="s">
        <v>1528</v>
      </c>
      <c r="C1533" s="715">
        <v>94112</v>
      </c>
    </row>
    <row r="1534" spans="2:3" x14ac:dyDescent="0.25">
      <c r="B1534" s="701" t="s">
        <v>2011</v>
      </c>
      <c r="C1534" s="715">
        <v>99651</v>
      </c>
    </row>
    <row r="1535" spans="2:3" x14ac:dyDescent="0.25">
      <c r="B1535" s="701" t="s">
        <v>1922</v>
      </c>
      <c r="C1535" s="715">
        <v>98607</v>
      </c>
    </row>
    <row r="1536" spans="2:3" x14ac:dyDescent="0.25">
      <c r="B1536" s="701" t="s">
        <v>1924</v>
      </c>
      <c r="C1536" s="715">
        <v>98611</v>
      </c>
    </row>
    <row r="1537" spans="2:3" x14ac:dyDescent="0.25">
      <c r="B1537" s="701" t="s">
        <v>1310</v>
      </c>
      <c r="C1537" s="715">
        <v>91641</v>
      </c>
    </row>
    <row r="1538" spans="2:3" x14ac:dyDescent="0.25">
      <c r="B1538" s="701" t="s">
        <v>1623</v>
      </c>
      <c r="C1538" s="715">
        <v>95161</v>
      </c>
    </row>
    <row r="1539" spans="2:3" x14ac:dyDescent="0.25">
      <c r="B1539" s="701" t="s">
        <v>1711</v>
      </c>
      <c r="C1539" s="715">
        <v>96361</v>
      </c>
    </row>
    <row r="1540" spans="2:3" x14ac:dyDescent="0.25">
      <c r="B1540" s="701" t="s">
        <v>1525</v>
      </c>
      <c r="C1540" s="715">
        <v>94108</v>
      </c>
    </row>
    <row r="1541" spans="2:3" x14ac:dyDescent="0.25">
      <c r="B1541" s="701" t="s">
        <v>1710</v>
      </c>
      <c r="C1541" s="715">
        <v>96351</v>
      </c>
    </row>
    <row r="1542" spans="2:3" x14ac:dyDescent="0.25">
      <c r="B1542" s="701" t="s">
        <v>1456</v>
      </c>
      <c r="C1542" s="715">
        <v>93331</v>
      </c>
    </row>
    <row r="1543" spans="2:3" x14ac:dyDescent="0.25">
      <c r="B1543" s="701" t="s">
        <v>1682</v>
      </c>
      <c r="C1543" s="715">
        <v>96021</v>
      </c>
    </row>
    <row r="1544" spans="2:3" x14ac:dyDescent="0.25">
      <c r="B1544" s="701" t="s">
        <v>1643</v>
      </c>
      <c r="C1544" s="715">
        <v>95421</v>
      </c>
    </row>
    <row r="1545" spans="2:3" x14ac:dyDescent="0.25">
      <c r="B1545" s="701" t="s">
        <v>1790</v>
      </c>
      <c r="C1545" s="715">
        <v>97401</v>
      </c>
    </row>
    <row r="1546" spans="2:3" x14ac:dyDescent="0.25">
      <c r="B1546" s="701" t="s">
        <v>1792</v>
      </c>
      <c r="C1546" s="715">
        <v>97404</v>
      </c>
    </row>
    <row r="1547" spans="2:3" x14ac:dyDescent="0.25">
      <c r="B1547" s="701" t="s">
        <v>1791</v>
      </c>
      <c r="C1547" s="715">
        <v>97402</v>
      </c>
    </row>
    <row r="1548" spans="2:3" x14ac:dyDescent="0.25">
      <c r="B1548" s="701" t="s">
        <v>1340</v>
      </c>
      <c r="C1548" s="715">
        <v>91921</v>
      </c>
    </row>
    <row r="1549" spans="2:3" x14ac:dyDescent="0.25">
      <c r="B1549" s="701" t="s">
        <v>1669</v>
      </c>
      <c r="C1549" s="715">
        <v>95908</v>
      </c>
    </row>
    <row r="1550" spans="2:3" x14ac:dyDescent="0.25">
      <c r="B1550" s="701" t="s">
        <v>1989</v>
      </c>
      <c r="C1550" s="715">
        <v>99413</v>
      </c>
    </row>
    <row r="1551" spans="2:3" x14ac:dyDescent="0.25">
      <c r="B1551" s="701" t="s">
        <v>1988</v>
      </c>
      <c r="C1551" s="715">
        <v>99411</v>
      </c>
    </row>
    <row r="1552" spans="2:3" x14ac:dyDescent="0.25">
      <c r="B1552" s="701" t="s">
        <v>1808</v>
      </c>
      <c r="C1552" s="715">
        <v>97501</v>
      </c>
    </row>
    <row r="1553" spans="2:3" x14ac:dyDescent="0.25">
      <c r="B1553" s="701" t="s">
        <v>1177</v>
      </c>
      <c r="C1553" s="715">
        <v>90431</v>
      </c>
    </row>
    <row r="1554" spans="2:3" x14ac:dyDescent="0.25">
      <c r="B1554" s="701" t="s">
        <v>1630</v>
      </c>
      <c r="C1554" s="715">
        <v>95211</v>
      </c>
    </row>
    <row r="1555" spans="2:3" x14ac:dyDescent="0.25">
      <c r="B1555" s="701" t="s">
        <v>1625</v>
      </c>
      <c r="C1555" s="715">
        <v>95181</v>
      </c>
    </row>
    <row r="1556" spans="2:3" x14ac:dyDescent="0.25">
      <c r="B1556" s="701" t="s">
        <v>1459</v>
      </c>
      <c r="C1556" s="715">
        <v>93351</v>
      </c>
    </row>
    <row r="1557" spans="2:3" x14ac:dyDescent="0.25">
      <c r="B1557" s="701" t="s">
        <v>1589</v>
      </c>
      <c r="C1557" s="715">
        <v>94711</v>
      </c>
    </row>
    <row r="1558" spans="2:3" x14ac:dyDescent="0.25">
      <c r="B1558" s="701" t="s">
        <v>1969</v>
      </c>
      <c r="C1558" s="715">
        <v>99213</v>
      </c>
    </row>
    <row r="1559" spans="2:3" x14ac:dyDescent="0.25">
      <c r="B1559" s="701" t="s">
        <v>1967</v>
      </c>
      <c r="C1559" s="715">
        <v>99211</v>
      </c>
    </row>
    <row r="1560" spans="2:3" x14ac:dyDescent="0.25">
      <c r="B1560" s="701" t="s">
        <v>1970</v>
      </c>
      <c r="C1560" s="715">
        <v>99218</v>
      </c>
    </row>
    <row r="1561" spans="2:3" x14ac:dyDescent="0.25">
      <c r="B1561" s="701" t="s">
        <v>1821</v>
      </c>
      <c r="C1561" s="715">
        <v>97641</v>
      </c>
    </row>
    <row r="1562" spans="2:3" x14ac:dyDescent="0.25">
      <c r="B1562" s="701" t="s">
        <v>1818</v>
      </c>
      <c r="C1562" s="715">
        <v>97627</v>
      </c>
    </row>
    <row r="1563" spans="2:3" x14ac:dyDescent="0.25">
      <c r="B1563" s="701" t="s">
        <v>1817</v>
      </c>
      <c r="C1563" s="715">
        <v>97623</v>
      </c>
    </row>
    <row r="1564" spans="2:3" x14ac:dyDescent="0.25">
      <c r="B1564" s="701" t="s">
        <v>1816</v>
      </c>
      <c r="C1564" s="715">
        <v>97621</v>
      </c>
    </row>
    <row r="1565" spans="2:3" x14ac:dyDescent="0.25">
      <c r="B1565" s="701" t="s">
        <v>1812</v>
      </c>
      <c r="C1565" s="715">
        <v>97601</v>
      </c>
    </row>
    <row r="1566" spans="2:3" x14ac:dyDescent="0.25">
      <c r="B1566" s="701" t="s">
        <v>1498</v>
      </c>
      <c r="C1566" s="715">
        <v>93681</v>
      </c>
    </row>
    <row r="1567" spans="2:3" x14ac:dyDescent="0.25">
      <c r="B1567" s="701" t="s">
        <v>1850</v>
      </c>
      <c r="C1567" s="715">
        <v>97877</v>
      </c>
    </row>
    <row r="1568" spans="2:3" x14ac:dyDescent="0.25">
      <c r="B1568" s="701" t="s">
        <v>1849</v>
      </c>
      <c r="C1568" s="715">
        <v>97871</v>
      </c>
    </row>
    <row r="1569" spans="2:3" x14ac:dyDescent="0.25">
      <c r="B1569" s="701" t="s">
        <v>1993</v>
      </c>
      <c r="C1569" s="715">
        <v>99502</v>
      </c>
    </row>
    <row r="1570" spans="2:3" x14ac:dyDescent="0.25">
      <c r="B1570" s="701" t="s">
        <v>1854</v>
      </c>
      <c r="C1570" s="715">
        <v>97917</v>
      </c>
    </row>
    <row r="1571" spans="2:3" x14ac:dyDescent="0.25">
      <c r="B1571" s="701" t="s">
        <v>1852</v>
      </c>
      <c r="C1571" s="715">
        <v>97911</v>
      </c>
    </row>
    <row r="1572" spans="2:3" x14ac:dyDescent="0.25">
      <c r="B1572" s="701" t="s">
        <v>1738</v>
      </c>
      <c r="C1572" s="715">
        <v>96611</v>
      </c>
    </row>
    <row r="1573" spans="2:3" x14ac:dyDescent="0.25">
      <c r="B1573" s="701" t="s">
        <v>1754</v>
      </c>
      <c r="C1573" s="715">
        <v>96741</v>
      </c>
    </row>
    <row r="1574" spans="2:3" x14ac:dyDescent="0.25">
      <c r="B1574" s="701" t="s">
        <v>1824</v>
      </c>
      <c r="C1574" s="715">
        <v>97701</v>
      </c>
    </row>
    <row r="1575" spans="2:3" x14ac:dyDescent="0.25">
      <c r="B1575" s="701" t="s">
        <v>1384</v>
      </c>
      <c r="C1575" s="715">
        <v>92541</v>
      </c>
    </row>
    <row r="1576" spans="2:3" x14ac:dyDescent="0.25">
      <c r="B1576" s="701" t="s">
        <v>1543</v>
      </c>
      <c r="C1576" s="715">
        <v>94209</v>
      </c>
    </row>
    <row r="1577" spans="2:3" x14ac:dyDescent="0.25">
      <c r="B1577" s="701" t="s">
        <v>1545</v>
      </c>
      <c r="C1577" s="715">
        <v>94221</v>
      </c>
    </row>
    <row r="1578" spans="2:3" x14ac:dyDescent="0.25">
      <c r="B1578" s="701" t="s">
        <v>1709</v>
      </c>
      <c r="C1578" s="715">
        <v>96341</v>
      </c>
    </row>
    <row r="1579" spans="2:3" x14ac:dyDescent="0.25">
      <c r="B1579" s="701" t="s">
        <v>1505</v>
      </c>
      <c r="C1579" s="715">
        <v>93821</v>
      </c>
    </row>
    <row r="1580" spans="2:3" x14ac:dyDescent="0.25">
      <c r="B1580" s="701" t="s">
        <v>1667</v>
      </c>
      <c r="C1580" s="715">
        <v>95853</v>
      </c>
    </row>
    <row r="1581" spans="2:3" x14ac:dyDescent="0.25">
      <c r="B1581" s="701" t="s">
        <v>1666</v>
      </c>
      <c r="C1581" s="715">
        <v>95851</v>
      </c>
    </row>
    <row r="1582" spans="2:3" x14ac:dyDescent="0.25">
      <c r="B1582" s="701" t="s">
        <v>1832</v>
      </c>
      <c r="C1582" s="715">
        <v>97801</v>
      </c>
    </row>
    <row r="1583" spans="2:3" x14ac:dyDescent="0.25">
      <c r="B1583" s="701" t="s">
        <v>1834</v>
      </c>
      <c r="C1583" s="715">
        <v>97803</v>
      </c>
    </row>
    <row r="1584" spans="2:3" x14ac:dyDescent="0.25">
      <c r="B1584" s="701" t="s">
        <v>1835</v>
      </c>
      <c r="C1584" s="715">
        <v>97805</v>
      </c>
    </row>
    <row r="1585" spans="2:3" x14ac:dyDescent="0.25">
      <c r="B1585" s="701" t="s">
        <v>1830</v>
      </c>
      <c r="C1585" s="715">
        <v>97727</v>
      </c>
    </row>
    <row r="1586" spans="2:3" x14ac:dyDescent="0.25">
      <c r="B1586" s="701" t="s">
        <v>1851</v>
      </c>
      <c r="C1586" s="715">
        <v>97901</v>
      </c>
    </row>
    <row r="1587" spans="2:3" x14ac:dyDescent="0.25">
      <c r="B1587" s="701" t="s">
        <v>1827</v>
      </c>
      <c r="C1587" s="715">
        <v>97713</v>
      </c>
    </row>
    <row r="1588" spans="2:3" x14ac:dyDescent="0.25">
      <c r="B1588" s="701" t="s">
        <v>1826</v>
      </c>
      <c r="C1588" s="715">
        <v>97711</v>
      </c>
    </row>
    <row r="1589" spans="2:3" x14ac:dyDescent="0.25">
      <c r="B1589" s="701" t="s">
        <v>1875</v>
      </c>
      <c r="C1589" s="715">
        <v>98071</v>
      </c>
    </row>
    <row r="1590" spans="2:3" x14ac:dyDescent="0.25">
      <c r="B1590" s="701" t="s">
        <v>1457</v>
      </c>
      <c r="C1590" s="715">
        <v>93333</v>
      </c>
    </row>
    <row r="1591" spans="2:3" x14ac:dyDescent="0.25">
      <c r="B1591" s="701" t="s">
        <v>1454</v>
      </c>
      <c r="C1591" s="715">
        <v>93321</v>
      </c>
    </row>
    <row r="1592" spans="2:3" x14ac:dyDescent="0.25">
      <c r="B1592" s="701" t="s">
        <v>1455</v>
      </c>
      <c r="C1592" s="715">
        <v>93323</v>
      </c>
    </row>
    <row r="1593" spans="2:3" x14ac:dyDescent="0.25">
      <c r="B1593" s="701" t="s">
        <v>1961</v>
      </c>
      <c r="C1593" s="715">
        <v>99203</v>
      </c>
    </row>
    <row r="1594" spans="2:3" x14ac:dyDescent="0.25">
      <c r="B1594" s="701" t="s">
        <v>1990</v>
      </c>
      <c r="C1594" s="715">
        <v>99421</v>
      </c>
    </row>
    <row r="1595" spans="2:3" x14ac:dyDescent="0.25">
      <c r="B1595" s="701" t="s">
        <v>1437</v>
      </c>
      <c r="C1595" s="715">
        <v>93161</v>
      </c>
    </row>
    <row r="1596" spans="2:3" x14ac:dyDescent="0.25">
      <c r="B1596" s="701" t="s">
        <v>1896</v>
      </c>
      <c r="C1596" s="715">
        <v>98237</v>
      </c>
    </row>
    <row r="1597" spans="2:3" x14ac:dyDescent="0.25">
      <c r="B1597" s="701" t="s">
        <v>1899</v>
      </c>
      <c r="C1597" s="715">
        <v>98261</v>
      </c>
    </row>
    <row r="1598" spans="2:3" x14ac:dyDescent="0.25">
      <c r="B1598" s="701" t="s">
        <v>3459</v>
      </c>
      <c r="C1598" s="715">
        <v>98002</v>
      </c>
    </row>
    <row r="1599" spans="2:3" x14ac:dyDescent="0.25">
      <c r="B1599" s="701" t="s">
        <v>1862</v>
      </c>
      <c r="C1599" s="715">
        <v>98001</v>
      </c>
    </row>
    <row r="1600" spans="2:3" x14ac:dyDescent="0.25">
      <c r="B1600" s="701" t="s">
        <v>1865</v>
      </c>
      <c r="C1600" s="715">
        <v>98004</v>
      </c>
    </row>
    <row r="1601" spans="2:3" x14ac:dyDescent="0.25">
      <c r="B1601" s="701" t="s">
        <v>1864</v>
      </c>
      <c r="C1601" s="715">
        <v>98003</v>
      </c>
    </row>
    <row r="1602" spans="2:3" x14ac:dyDescent="0.25">
      <c r="B1602" s="701" t="s">
        <v>1866</v>
      </c>
      <c r="C1602" s="715">
        <v>98008</v>
      </c>
    </row>
    <row r="1603" spans="2:3" x14ac:dyDescent="0.25">
      <c r="B1603" s="701" t="s">
        <v>1848</v>
      </c>
      <c r="C1603" s="715">
        <v>97861</v>
      </c>
    </row>
    <row r="1604" spans="2:3" x14ac:dyDescent="0.25">
      <c r="B1604" s="701" t="s">
        <v>1789</v>
      </c>
      <c r="C1604" s="715">
        <v>97311</v>
      </c>
    </row>
    <row r="1605" spans="2:3" x14ac:dyDescent="0.25">
      <c r="B1605" s="701" t="s">
        <v>1468</v>
      </c>
      <c r="C1605" s="715">
        <v>93431</v>
      </c>
    </row>
    <row r="1606" spans="2:3" x14ac:dyDescent="0.25">
      <c r="B1606" s="701" t="s">
        <v>1273</v>
      </c>
      <c r="C1606" s="715">
        <v>91214</v>
      </c>
    </row>
    <row r="1607" spans="2:3" x14ac:dyDescent="0.25">
      <c r="B1607" s="701" t="s">
        <v>1878</v>
      </c>
      <c r="C1607" s="715">
        <v>98101</v>
      </c>
    </row>
    <row r="1608" spans="2:3" x14ac:dyDescent="0.25">
      <c r="B1608" s="701" t="s">
        <v>1880</v>
      </c>
      <c r="C1608" s="715">
        <v>98103</v>
      </c>
    </row>
    <row r="1609" spans="2:3" x14ac:dyDescent="0.25">
      <c r="B1609" s="701" t="s">
        <v>1888</v>
      </c>
      <c r="C1609" s="715">
        <v>98147</v>
      </c>
    </row>
    <row r="1610" spans="2:3" x14ac:dyDescent="0.25">
      <c r="B1610" s="701" t="s">
        <v>1887</v>
      </c>
      <c r="C1610" s="715">
        <v>98141</v>
      </c>
    </row>
    <row r="1611" spans="2:3" x14ac:dyDescent="0.25">
      <c r="B1611" s="701" t="s">
        <v>1842</v>
      </c>
      <c r="C1611" s="715">
        <v>97837</v>
      </c>
    </row>
    <row r="1612" spans="2:3" x14ac:dyDescent="0.25">
      <c r="B1612" s="701" t="s">
        <v>1894</v>
      </c>
      <c r="C1612" s="715">
        <v>98221</v>
      </c>
    </row>
    <row r="1613" spans="2:3" x14ac:dyDescent="0.25">
      <c r="B1613" s="701" t="s">
        <v>1868</v>
      </c>
      <c r="C1613" s="715">
        <v>98013</v>
      </c>
    </row>
    <row r="1614" spans="2:3" x14ac:dyDescent="0.25">
      <c r="B1614" s="701" t="s">
        <v>1867</v>
      </c>
      <c r="C1614" s="715">
        <v>98011</v>
      </c>
    </row>
    <row r="1615" spans="2:3" x14ac:dyDescent="0.25">
      <c r="B1615" s="701" t="s">
        <v>1811</v>
      </c>
      <c r="C1615" s="715">
        <v>97531</v>
      </c>
    </row>
    <row r="1616" spans="2:3" x14ac:dyDescent="0.25">
      <c r="B1616" s="701" t="s">
        <v>1890</v>
      </c>
      <c r="C1616" s="715">
        <v>98201</v>
      </c>
    </row>
    <row r="1617" spans="2:3" x14ac:dyDescent="0.25">
      <c r="B1617" s="701" t="s">
        <v>1825</v>
      </c>
      <c r="C1617" s="715">
        <v>97705</v>
      </c>
    </row>
    <row r="1618" spans="2:3" x14ac:dyDescent="0.25">
      <c r="B1618" s="701" t="s">
        <v>3460</v>
      </c>
      <c r="C1618" s="715">
        <v>96318</v>
      </c>
    </row>
    <row r="1619" spans="2:3" x14ac:dyDescent="0.25">
      <c r="B1619" s="701" t="s">
        <v>1634</v>
      </c>
      <c r="C1619" s="715">
        <v>95317</v>
      </c>
    </row>
    <row r="1620" spans="2:3" x14ac:dyDescent="0.25">
      <c r="B1620" s="701" t="s">
        <v>1633</v>
      </c>
      <c r="C1620" s="715">
        <v>95311</v>
      </c>
    </row>
    <row r="1621" spans="2:3" x14ac:dyDescent="0.25">
      <c r="B1621" s="701" t="s">
        <v>1294</v>
      </c>
      <c r="C1621" s="715">
        <v>91421</v>
      </c>
    </row>
    <row r="1622" spans="2:3" x14ac:dyDescent="0.25">
      <c r="B1622" s="701" t="s">
        <v>1901</v>
      </c>
      <c r="C1622" s="715">
        <v>98301</v>
      </c>
    </row>
    <row r="1623" spans="2:3" x14ac:dyDescent="0.25">
      <c r="B1623" s="701" t="s">
        <v>1902</v>
      </c>
      <c r="C1623" s="715">
        <v>98304</v>
      </c>
    </row>
    <row r="1624" spans="2:3" x14ac:dyDescent="0.25">
      <c r="B1624" s="701" t="s">
        <v>1547</v>
      </c>
      <c r="C1624" s="715">
        <v>94241</v>
      </c>
    </row>
    <row r="1625" spans="2:3" x14ac:dyDescent="0.25">
      <c r="B1625" s="701" t="s">
        <v>1746</v>
      </c>
      <c r="C1625" s="715">
        <v>96681</v>
      </c>
    </row>
    <row r="1626" spans="2:3" x14ac:dyDescent="0.25">
      <c r="B1626" s="701" t="s">
        <v>1619</v>
      </c>
      <c r="C1626" s="715">
        <v>95123</v>
      </c>
    </row>
    <row r="1627" spans="2:3" x14ac:dyDescent="0.25">
      <c r="B1627" s="701" t="s">
        <v>1617</v>
      </c>
      <c r="C1627" s="715">
        <v>95121</v>
      </c>
    </row>
    <row r="1628" spans="2:3" x14ac:dyDescent="0.25">
      <c r="B1628" s="701" t="s">
        <v>1999</v>
      </c>
      <c r="C1628" s="715">
        <v>99531</v>
      </c>
    </row>
    <row r="1629" spans="2:3" x14ac:dyDescent="0.25">
      <c r="B1629" s="701" t="s">
        <v>1745</v>
      </c>
      <c r="C1629" s="715">
        <v>96671</v>
      </c>
    </row>
    <row r="1630" spans="2:3" x14ac:dyDescent="0.25">
      <c r="B1630" s="701" t="s">
        <v>1240</v>
      </c>
      <c r="C1630" s="715">
        <v>91057</v>
      </c>
    </row>
    <row r="1631" spans="2:3" x14ac:dyDescent="0.25">
      <c r="B1631" s="701" t="s">
        <v>1245</v>
      </c>
      <c r="C1631" s="715">
        <v>91081</v>
      </c>
    </row>
    <row r="1632" spans="2:3" x14ac:dyDescent="0.25">
      <c r="B1632" s="701" t="s">
        <v>1723</v>
      </c>
      <c r="C1632" s="715">
        <v>96461</v>
      </c>
    </row>
    <row r="1633" spans="2:3" x14ac:dyDescent="0.25">
      <c r="B1633" s="701" t="s">
        <v>1355</v>
      </c>
      <c r="C1633" s="715">
        <v>92317</v>
      </c>
    </row>
    <row r="1634" spans="2:3" x14ac:dyDescent="0.25">
      <c r="B1634" s="701" t="s">
        <v>1354</v>
      </c>
      <c r="C1634" s="715">
        <v>92311</v>
      </c>
    </row>
    <row r="1635" spans="2:3" x14ac:dyDescent="0.25">
      <c r="B1635" s="701" t="s">
        <v>1793</v>
      </c>
      <c r="C1635" s="715">
        <v>97405</v>
      </c>
    </row>
    <row r="1636" spans="2:3" x14ac:dyDescent="0.25">
      <c r="B1636" s="701" t="s">
        <v>1339</v>
      </c>
      <c r="C1636" s="715">
        <v>91917</v>
      </c>
    </row>
    <row r="1637" spans="2:3" x14ac:dyDescent="0.25">
      <c r="B1637" s="701" t="s">
        <v>1338</v>
      </c>
      <c r="C1637" s="715">
        <v>91911</v>
      </c>
    </row>
    <row r="1638" spans="2:3" x14ac:dyDescent="0.25">
      <c r="B1638" s="701" t="s">
        <v>1806</v>
      </c>
      <c r="C1638" s="715">
        <v>97481</v>
      </c>
    </row>
    <row r="1639" spans="2:3" x14ac:dyDescent="0.25">
      <c r="B1639" s="701" t="s">
        <v>1259</v>
      </c>
      <c r="C1639" s="715">
        <v>91138</v>
      </c>
    </row>
    <row r="1640" spans="2:3" x14ac:dyDescent="0.25">
      <c r="B1640" s="701" t="s">
        <v>1616</v>
      </c>
      <c r="C1640" s="715">
        <v>95113</v>
      </c>
    </row>
    <row r="1641" spans="2:3" x14ac:dyDescent="0.25">
      <c r="B1641" s="701" t="s">
        <v>1615</v>
      </c>
      <c r="C1641" s="715">
        <v>95111</v>
      </c>
    </row>
    <row r="1642" spans="2:3" x14ac:dyDescent="0.25">
      <c r="B1642" s="701" t="s">
        <v>1606</v>
      </c>
      <c r="C1642" s="715">
        <v>95009</v>
      </c>
    </row>
    <row r="1643" spans="2:3" x14ac:dyDescent="0.25">
      <c r="B1643" s="701" t="s">
        <v>1521</v>
      </c>
      <c r="C1643" s="715">
        <v>94021</v>
      </c>
    </row>
    <row r="1644" spans="2:3" x14ac:dyDescent="0.25">
      <c r="B1644" s="701" t="s">
        <v>1510</v>
      </c>
      <c r="C1644" s="715">
        <v>93910</v>
      </c>
    </row>
    <row r="1645" spans="2:3" x14ac:dyDescent="0.25">
      <c r="B1645" s="701" t="s">
        <v>3461</v>
      </c>
      <c r="C1645" s="715">
        <v>91013</v>
      </c>
    </row>
    <row r="1646" spans="2:3" x14ac:dyDescent="0.25">
      <c r="B1646" s="701" t="s">
        <v>1213</v>
      </c>
      <c r="C1646" s="715">
        <v>90918</v>
      </c>
    </row>
    <row r="1647" spans="2:3" x14ac:dyDescent="0.25">
      <c r="B1647" s="701" t="s">
        <v>1705</v>
      </c>
      <c r="C1647" s="715">
        <v>96311</v>
      </c>
    </row>
    <row r="1648" spans="2:3" x14ac:dyDescent="0.25">
      <c r="B1648" s="701" t="s">
        <v>1411</v>
      </c>
      <c r="C1648" s="715">
        <v>92841</v>
      </c>
    </row>
    <row r="1649" spans="2:3" x14ac:dyDescent="0.25">
      <c r="B1649" s="701" t="s">
        <v>2004</v>
      </c>
      <c r="C1649" s="715">
        <v>99609</v>
      </c>
    </row>
    <row r="1650" spans="2:3" x14ac:dyDescent="0.25">
      <c r="B1650" s="701" t="s">
        <v>1229</v>
      </c>
      <c r="C1650" s="715">
        <v>91017</v>
      </c>
    </row>
    <row r="1651" spans="2:3" x14ac:dyDescent="0.25">
      <c r="B1651" s="701" t="s">
        <v>1226</v>
      </c>
      <c r="C1651" s="715">
        <v>91011</v>
      </c>
    </row>
    <row r="1652" spans="2:3" x14ac:dyDescent="0.25">
      <c r="B1652" s="701" t="s">
        <v>1605</v>
      </c>
      <c r="C1652" s="715">
        <v>95008</v>
      </c>
    </row>
    <row r="1653" spans="2:3" x14ac:dyDescent="0.25">
      <c r="B1653" s="701" t="s">
        <v>1171</v>
      </c>
      <c r="C1653" s="715">
        <v>90307</v>
      </c>
    </row>
    <row r="1654" spans="2:3" x14ac:dyDescent="0.25">
      <c r="B1654" s="701" t="s">
        <v>1147</v>
      </c>
      <c r="C1654" s="715">
        <v>72657</v>
      </c>
    </row>
    <row r="1655" spans="2:3" x14ac:dyDescent="0.25">
      <c r="B1655" s="701" t="s">
        <v>1871</v>
      </c>
      <c r="C1655" s="715">
        <v>98031</v>
      </c>
    </row>
    <row r="1656" spans="2:3" x14ac:dyDescent="0.25">
      <c r="B1656" s="701" t="s">
        <v>1885</v>
      </c>
      <c r="C1656" s="715">
        <v>98121</v>
      </c>
    </row>
    <row r="1657" spans="2:3" x14ac:dyDescent="0.25">
      <c r="B1657" s="701" t="s">
        <v>1718</v>
      </c>
      <c r="C1657" s="715">
        <v>96411</v>
      </c>
    </row>
    <row r="1658" spans="2:3" x14ac:dyDescent="0.25">
      <c r="B1658" s="701" t="s">
        <v>1400</v>
      </c>
      <c r="C1658" s="715">
        <v>92661</v>
      </c>
    </row>
    <row r="1659" spans="2:3" x14ac:dyDescent="0.25">
      <c r="B1659" s="701" t="s">
        <v>1691</v>
      </c>
      <c r="C1659" s="715">
        <v>96111</v>
      </c>
    </row>
    <row r="1660" spans="2:3" x14ac:dyDescent="0.25">
      <c r="B1660" s="701" t="s">
        <v>1235</v>
      </c>
      <c r="C1660" s="715">
        <v>91032</v>
      </c>
    </row>
    <row r="1661" spans="2:3" x14ac:dyDescent="0.25">
      <c r="B1661" s="701" t="s">
        <v>1841</v>
      </c>
      <c r="C1661" s="715">
        <v>97831</v>
      </c>
    </row>
    <row r="1662" spans="2:3" x14ac:dyDescent="0.25">
      <c r="B1662" s="701" t="s">
        <v>1686</v>
      </c>
      <c r="C1662" s="715">
        <v>96061</v>
      </c>
    </row>
    <row r="1663" spans="2:3" x14ac:dyDescent="0.25">
      <c r="B1663" s="701" t="s">
        <v>1916</v>
      </c>
      <c r="C1663" s="715">
        <v>98481</v>
      </c>
    </row>
    <row r="1664" spans="2:3" x14ac:dyDescent="0.25">
      <c r="B1664" s="701" t="s">
        <v>1483</v>
      </c>
      <c r="C1664" s="715">
        <v>93602</v>
      </c>
    </row>
    <row r="1665" spans="2:3" x14ac:dyDescent="0.25">
      <c r="B1665" s="701" t="s">
        <v>1908</v>
      </c>
      <c r="C1665" s="715">
        <v>98401</v>
      </c>
    </row>
    <row r="1666" spans="2:3" x14ac:dyDescent="0.25">
      <c r="B1666" s="701" t="s">
        <v>2025</v>
      </c>
      <c r="C1666" s="715">
        <v>99821</v>
      </c>
    </row>
    <row r="1667" spans="2:3" x14ac:dyDescent="0.25">
      <c r="B1667" s="701" t="s">
        <v>1695</v>
      </c>
      <c r="C1667" s="715">
        <v>96211</v>
      </c>
    </row>
    <row r="1668" spans="2:3" x14ac:dyDescent="0.25">
      <c r="B1668" s="701" t="s">
        <v>1596</v>
      </c>
      <c r="C1668" s="715">
        <v>94917</v>
      </c>
    </row>
    <row r="1669" spans="2:3" x14ac:dyDescent="0.25">
      <c r="B1669" s="701" t="s">
        <v>1595</v>
      </c>
      <c r="C1669" s="715">
        <v>94911</v>
      </c>
    </row>
    <row r="1670" spans="2:3" x14ac:dyDescent="0.25">
      <c r="B1670" s="701" t="s">
        <v>1396</v>
      </c>
      <c r="C1670" s="715">
        <v>92621</v>
      </c>
    </row>
    <row r="1671" spans="2:3" x14ac:dyDescent="0.25">
      <c r="B1671" s="701" t="s">
        <v>1917</v>
      </c>
      <c r="C1671" s="715">
        <v>98501</v>
      </c>
    </row>
    <row r="1672" spans="2:3" x14ac:dyDescent="0.25">
      <c r="B1672" s="701" t="s">
        <v>1856</v>
      </c>
      <c r="C1672" s="715">
        <v>97931</v>
      </c>
    </row>
    <row r="1673" spans="2:3" x14ac:dyDescent="0.25">
      <c r="B1673" s="701" t="s">
        <v>1513</v>
      </c>
      <c r="C1673" s="715">
        <v>93914</v>
      </c>
    </row>
    <row r="1674" spans="2:3" x14ac:dyDescent="0.25">
      <c r="B1674" s="701" t="s">
        <v>1192</v>
      </c>
      <c r="C1674" s="715">
        <v>90651</v>
      </c>
    </row>
    <row r="1675" spans="2:3" x14ac:dyDescent="0.25">
      <c r="B1675" s="701" t="s">
        <v>1539</v>
      </c>
      <c r="C1675" s="715">
        <v>94172</v>
      </c>
    </row>
    <row r="1676" spans="2:3" x14ac:dyDescent="0.25">
      <c r="B1676" s="701" t="s">
        <v>1538</v>
      </c>
      <c r="C1676" s="715">
        <v>94171</v>
      </c>
    </row>
    <row r="1677" spans="2:3" x14ac:dyDescent="0.25">
      <c r="B1677" s="701" t="s">
        <v>1238</v>
      </c>
      <c r="C1677" s="715">
        <v>91047</v>
      </c>
    </row>
    <row r="1678" spans="2:3" x14ac:dyDescent="0.25">
      <c r="B1678" s="701" t="s">
        <v>1236</v>
      </c>
      <c r="C1678" s="715">
        <v>91041</v>
      </c>
    </row>
    <row r="1679" spans="2:3" x14ac:dyDescent="0.25">
      <c r="B1679" s="701" t="s">
        <v>1781</v>
      </c>
      <c r="C1679" s="715">
        <v>97131</v>
      </c>
    </row>
    <row r="1680" spans="2:3" x14ac:dyDescent="0.25">
      <c r="B1680" s="701" t="s">
        <v>1921</v>
      </c>
      <c r="C1680" s="715">
        <v>98601</v>
      </c>
    </row>
    <row r="1681" spans="2:3" x14ac:dyDescent="0.25">
      <c r="B1681" s="701" t="s">
        <v>1931</v>
      </c>
      <c r="C1681" s="715">
        <v>98701</v>
      </c>
    </row>
    <row r="1682" spans="2:3" x14ac:dyDescent="0.25">
      <c r="B1682" s="701" t="s">
        <v>1751</v>
      </c>
      <c r="C1682" s="715">
        <v>96721</v>
      </c>
    </row>
    <row r="1683" spans="2:3" x14ac:dyDescent="0.25">
      <c r="B1683" s="701" t="s">
        <v>1607</v>
      </c>
      <c r="C1683" s="715">
        <v>95011</v>
      </c>
    </row>
    <row r="1684" spans="2:3" x14ac:dyDescent="0.25">
      <c r="B1684" s="701" t="s">
        <v>1371</v>
      </c>
      <c r="C1684" s="715">
        <v>92451</v>
      </c>
    </row>
    <row r="1685" spans="2:3" x14ac:dyDescent="0.25">
      <c r="B1685" s="701" t="s">
        <v>1453</v>
      </c>
      <c r="C1685" s="715">
        <v>93317</v>
      </c>
    </row>
    <row r="1686" spans="2:3" x14ac:dyDescent="0.25">
      <c r="B1686" s="701" t="s">
        <v>1452</v>
      </c>
      <c r="C1686" s="715">
        <v>93311</v>
      </c>
    </row>
    <row r="1687" spans="2:3" x14ac:dyDescent="0.25">
      <c r="B1687" s="701" t="s">
        <v>1168</v>
      </c>
      <c r="C1687" s="715">
        <v>90211</v>
      </c>
    </row>
    <row r="1688" spans="2:3" x14ac:dyDescent="0.25">
      <c r="B1688" s="701" t="s">
        <v>1701</v>
      </c>
      <c r="C1688" s="715">
        <v>96302</v>
      </c>
    </row>
    <row r="1689" spans="2:3" x14ac:dyDescent="0.25">
      <c r="B1689" s="701" t="s">
        <v>1439</v>
      </c>
      <c r="C1689" s="715">
        <v>93181</v>
      </c>
    </row>
    <row r="1690" spans="2:3" x14ac:dyDescent="0.25">
      <c r="B1690" s="701" t="s">
        <v>1350</v>
      </c>
      <c r="C1690" s="715">
        <v>92113</v>
      </c>
    </row>
    <row r="1691" spans="2:3" x14ac:dyDescent="0.25">
      <c r="B1691" s="701" t="s">
        <v>1416</v>
      </c>
      <c r="C1691" s="715">
        <v>92913</v>
      </c>
    </row>
    <row r="1692" spans="2:3" x14ac:dyDescent="0.25">
      <c r="B1692" s="701" t="s">
        <v>1415</v>
      </c>
      <c r="C1692" s="715">
        <v>92911</v>
      </c>
    </row>
    <row r="1693" spans="2:3" x14ac:dyDescent="0.25">
      <c r="B1693" s="701" t="s">
        <v>1473</v>
      </c>
      <c r="C1693" s="715">
        <v>93471</v>
      </c>
    </row>
    <row r="1694" spans="2:3" x14ac:dyDescent="0.25">
      <c r="B1694" s="701" t="s">
        <v>1153</v>
      </c>
      <c r="C1694" s="715">
        <v>90098</v>
      </c>
    </row>
    <row r="1695" spans="2:3" x14ac:dyDescent="0.25">
      <c r="B1695" s="701" t="s">
        <v>1780</v>
      </c>
      <c r="C1695" s="715">
        <v>97121</v>
      </c>
    </row>
    <row r="1696" spans="2:3" x14ac:dyDescent="0.25">
      <c r="B1696" s="701" t="s">
        <v>1364</v>
      </c>
      <c r="C1696" s="715">
        <v>92414</v>
      </c>
    </row>
    <row r="1697" spans="2:3" x14ac:dyDescent="0.25">
      <c r="B1697" s="701" t="s">
        <v>1420</v>
      </c>
      <c r="C1697" s="715">
        <v>92941</v>
      </c>
    </row>
    <row r="1698" spans="2:3" x14ac:dyDescent="0.25">
      <c r="B1698" s="701" t="s">
        <v>1233</v>
      </c>
      <c r="C1698" s="715">
        <v>91026</v>
      </c>
    </row>
    <row r="1699" spans="2:3" x14ac:dyDescent="0.25">
      <c r="B1699" s="701" t="s">
        <v>1934</v>
      </c>
      <c r="C1699" s="715">
        <v>98801</v>
      </c>
    </row>
    <row r="1700" spans="2:3" x14ac:dyDescent="0.25">
      <c r="B1700" s="701" t="s">
        <v>1382</v>
      </c>
      <c r="C1700" s="715">
        <v>92521</v>
      </c>
    </row>
    <row r="1701" spans="2:3" x14ac:dyDescent="0.25">
      <c r="B1701" s="701" t="s">
        <v>3462</v>
      </c>
      <c r="C1701" s="715">
        <v>93417</v>
      </c>
    </row>
    <row r="1702" spans="2:3" x14ac:dyDescent="0.25">
      <c r="B1702" s="701" t="s">
        <v>1447</v>
      </c>
      <c r="C1702" s="715">
        <v>93219</v>
      </c>
    </row>
    <row r="1703" spans="2:3" x14ac:dyDescent="0.25">
      <c r="B1703" s="701" t="s">
        <v>3463</v>
      </c>
      <c r="C1703" s="715">
        <v>92513</v>
      </c>
    </row>
    <row r="1704" spans="2:3" x14ac:dyDescent="0.25">
      <c r="B1704" s="701" t="s">
        <v>1823</v>
      </c>
      <c r="C1704" s="715">
        <v>97661</v>
      </c>
    </row>
    <row r="1705" spans="2:3" x14ac:dyDescent="0.25">
      <c r="B1705" s="701" t="s">
        <v>1600</v>
      </c>
      <c r="C1705" s="715">
        <v>94931</v>
      </c>
    </row>
    <row r="1706" spans="2:3" x14ac:dyDescent="0.25">
      <c r="B1706" s="701" t="s">
        <v>1696</v>
      </c>
      <c r="C1706" s="715">
        <v>96221</v>
      </c>
    </row>
    <row r="1707" spans="2:3" x14ac:dyDescent="0.25">
      <c r="B1707" s="701" t="s">
        <v>1809</v>
      </c>
      <c r="C1707" s="715">
        <v>97511</v>
      </c>
    </row>
    <row r="1708" spans="2:3" x14ac:dyDescent="0.25">
      <c r="B1708" s="701" t="s">
        <v>1603</v>
      </c>
      <c r="C1708" s="715">
        <v>95002</v>
      </c>
    </row>
    <row r="1709" spans="2:3" x14ac:dyDescent="0.25">
      <c r="B1709" s="701" t="s">
        <v>1898</v>
      </c>
      <c r="C1709" s="715">
        <v>98251</v>
      </c>
    </row>
    <row r="1710" spans="2:3" x14ac:dyDescent="0.25">
      <c r="B1710" s="701" t="s">
        <v>1937</v>
      </c>
      <c r="C1710" s="715">
        <v>98901</v>
      </c>
    </row>
    <row r="1711" spans="2:3" x14ac:dyDescent="0.25">
      <c r="B1711" s="701" t="s">
        <v>1938</v>
      </c>
      <c r="C1711" s="715">
        <v>98904</v>
      </c>
    </row>
    <row r="1712" spans="2:3" x14ac:dyDescent="0.25">
      <c r="B1712" s="701" t="s">
        <v>1940</v>
      </c>
      <c r="C1712" s="715">
        <v>99001</v>
      </c>
    </row>
    <row r="1713" spans="2:3" x14ac:dyDescent="0.25">
      <c r="B1713" s="701" t="s">
        <v>1950</v>
      </c>
      <c r="C1713" s="715">
        <v>99061</v>
      </c>
    </row>
    <row r="1714" spans="2:3" x14ac:dyDescent="0.25">
      <c r="B1714" s="701" t="s">
        <v>3464</v>
      </c>
      <c r="C1714" s="715">
        <v>93309</v>
      </c>
    </row>
    <row r="1715" spans="2:3" x14ac:dyDescent="0.25">
      <c r="B1715" s="701" t="s">
        <v>1272</v>
      </c>
      <c r="C1715" s="715">
        <v>91213</v>
      </c>
    </row>
    <row r="1716" spans="2:3" x14ac:dyDescent="0.25">
      <c r="B1716" s="701" t="s">
        <v>1271</v>
      </c>
      <c r="C1716" s="715">
        <v>91211</v>
      </c>
    </row>
    <row r="1717" spans="2:3" x14ac:dyDescent="0.25">
      <c r="B1717" s="701" t="s">
        <v>1954</v>
      </c>
      <c r="C1717" s="715">
        <v>99101</v>
      </c>
    </row>
    <row r="1718" spans="2:3" x14ac:dyDescent="0.25">
      <c r="B1718" s="701" t="s">
        <v>1955</v>
      </c>
      <c r="C1718" s="715">
        <v>99104</v>
      </c>
    </row>
    <row r="1719" spans="2:3" x14ac:dyDescent="0.25">
      <c r="B1719" s="701" t="s">
        <v>1385</v>
      </c>
      <c r="C1719" s="715">
        <v>92551</v>
      </c>
    </row>
    <row r="1720" spans="2:3" x14ac:dyDescent="0.25">
      <c r="B1720" s="701" t="s">
        <v>1707</v>
      </c>
      <c r="C1720" s="715">
        <v>96321</v>
      </c>
    </row>
    <row r="1721" spans="2:3" x14ac:dyDescent="0.25">
      <c r="B1721" s="701" t="s">
        <v>1398</v>
      </c>
      <c r="C1721" s="715">
        <v>92641</v>
      </c>
    </row>
    <row r="1722" spans="2:3" x14ac:dyDescent="0.25">
      <c r="B1722" s="701" t="s">
        <v>1175</v>
      </c>
      <c r="C1722" s="715">
        <v>90417</v>
      </c>
    </row>
    <row r="1723" spans="2:3" x14ac:dyDescent="0.25">
      <c r="B1723" s="701" t="s">
        <v>1174</v>
      </c>
      <c r="C1723" s="715">
        <v>90413</v>
      </c>
    </row>
    <row r="1724" spans="2:3" x14ac:dyDescent="0.25">
      <c r="B1724" s="701" t="s">
        <v>1173</v>
      </c>
      <c r="C1724" s="715">
        <v>90411</v>
      </c>
    </row>
    <row r="1725" spans="2:3" x14ac:dyDescent="0.25">
      <c r="B1725" s="701" t="s">
        <v>1906</v>
      </c>
      <c r="C1725" s="715">
        <v>98321</v>
      </c>
    </row>
    <row r="1726" spans="2:3" x14ac:dyDescent="0.25">
      <c r="B1726" s="701" t="s">
        <v>1959</v>
      </c>
      <c r="C1726" s="715">
        <v>99201</v>
      </c>
    </row>
    <row r="1727" spans="2:3" x14ac:dyDescent="0.25">
      <c r="B1727" s="701" t="s">
        <v>1962</v>
      </c>
      <c r="C1727" s="715">
        <v>99204</v>
      </c>
    </row>
    <row r="1728" spans="2:3" x14ac:dyDescent="0.25">
      <c r="B1728" s="701" t="s">
        <v>1964</v>
      </c>
      <c r="C1728" s="715">
        <v>99207</v>
      </c>
    </row>
    <row r="1729" spans="2:3" x14ac:dyDescent="0.25">
      <c r="B1729" s="701" t="s">
        <v>1979</v>
      </c>
      <c r="C1729" s="715">
        <v>99281</v>
      </c>
    </row>
    <row r="1730" spans="2:3" x14ac:dyDescent="0.25">
      <c r="B1730" s="701" t="s">
        <v>1472</v>
      </c>
      <c r="C1730" s="715">
        <v>93461</v>
      </c>
    </row>
    <row r="1731" spans="2:3" x14ac:dyDescent="0.25">
      <c r="B1731" s="701" t="s">
        <v>1436</v>
      </c>
      <c r="C1731" s="715">
        <v>93157</v>
      </c>
    </row>
    <row r="1732" spans="2:3" x14ac:dyDescent="0.25">
      <c r="B1732" s="701" t="s">
        <v>1435</v>
      </c>
      <c r="C1732" s="715">
        <v>93151</v>
      </c>
    </row>
    <row r="1733" spans="2:3" x14ac:dyDescent="0.25">
      <c r="B1733" s="701" t="s">
        <v>1919</v>
      </c>
      <c r="C1733" s="715">
        <v>98517</v>
      </c>
    </row>
    <row r="1734" spans="2:3" x14ac:dyDescent="0.25">
      <c r="B1734" s="701" t="s">
        <v>1918</v>
      </c>
      <c r="C1734" s="715">
        <v>98511</v>
      </c>
    </row>
    <row r="1735" spans="2:3" x14ac:dyDescent="0.25">
      <c r="B1735" s="701" t="s">
        <v>2012</v>
      </c>
      <c r="C1735" s="715">
        <v>99661</v>
      </c>
    </row>
    <row r="1736" spans="2:3" x14ac:dyDescent="0.25">
      <c r="B1736" s="701" t="s">
        <v>1522</v>
      </c>
      <c r="C1736" s="715">
        <v>94031</v>
      </c>
    </row>
    <row r="1737" spans="2:3" x14ac:dyDescent="0.25">
      <c r="B1737" s="701" t="s">
        <v>1981</v>
      </c>
      <c r="C1737" s="715">
        <v>99301</v>
      </c>
    </row>
    <row r="1738" spans="2:3" x14ac:dyDescent="0.25">
      <c r="B1738" s="701" t="s">
        <v>1982</v>
      </c>
      <c r="C1738" s="715">
        <v>99304</v>
      </c>
    </row>
    <row r="1739" spans="2:3" x14ac:dyDescent="0.25">
      <c r="B1739" s="701" t="s">
        <v>1984</v>
      </c>
      <c r="C1739" s="715">
        <v>99321</v>
      </c>
    </row>
    <row r="1740" spans="2:3" x14ac:dyDescent="0.25">
      <c r="B1740" s="701" t="s">
        <v>1433</v>
      </c>
      <c r="C1740" s="715">
        <v>93137</v>
      </c>
    </row>
    <row r="1741" spans="2:3" x14ac:dyDescent="0.25">
      <c r="B1741" s="701" t="s">
        <v>1432</v>
      </c>
      <c r="C1741" s="715">
        <v>93131</v>
      </c>
    </row>
    <row r="1742" spans="2:3" x14ac:dyDescent="0.25">
      <c r="B1742" s="701" t="s">
        <v>1985</v>
      </c>
      <c r="C1742" s="715">
        <v>99401</v>
      </c>
    </row>
    <row r="1743" spans="2:3" x14ac:dyDescent="0.25">
      <c r="B1743" s="701" t="s">
        <v>1986</v>
      </c>
      <c r="C1743" s="715">
        <v>99404</v>
      </c>
    </row>
    <row r="1744" spans="2:3" x14ac:dyDescent="0.25">
      <c r="B1744" s="701" t="s">
        <v>1200</v>
      </c>
      <c r="C1744" s="715">
        <v>90741</v>
      </c>
    </row>
    <row r="1745" spans="2:3" x14ac:dyDescent="0.25">
      <c r="B1745" s="701" t="s">
        <v>1197</v>
      </c>
      <c r="C1745" s="715">
        <v>90711</v>
      </c>
    </row>
    <row r="1746" spans="2:3" x14ac:dyDescent="0.25">
      <c r="B1746" s="701" t="s">
        <v>1992</v>
      </c>
      <c r="C1746" s="715">
        <v>99501</v>
      </c>
    </row>
    <row r="1747" spans="2:3" x14ac:dyDescent="0.25">
      <c r="B1747" s="701" t="s">
        <v>1995</v>
      </c>
      <c r="C1747" s="715">
        <v>99509</v>
      </c>
    </row>
    <row r="1748" spans="2:3" x14ac:dyDescent="0.25">
      <c r="B1748" s="701" t="s">
        <v>1282</v>
      </c>
      <c r="C1748" s="715">
        <v>91302</v>
      </c>
    </row>
    <row r="1749" spans="2:3" x14ac:dyDescent="0.25">
      <c r="B1749" s="701" t="s">
        <v>1948</v>
      </c>
      <c r="C1749" s="715">
        <v>99047</v>
      </c>
    </row>
    <row r="1750" spans="2:3" x14ac:dyDescent="0.25">
      <c r="B1750" s="701" t="s">
        <v>1947</v>
      </c>
      <c r="C1750" s="715">
        <v>99041</v>
      </c>
    </row>
    <row r="1751" spans="2:3" x14ac:dyDescent="0.25">
      <c r="B1751" s="701" t="s">
        <v>2000</v>
      </c>
      <c r="C1751" s="715">
        <v>99601</v>
      </c>
    </row>
    <row r="1752" spans="2:3" x14ac:dyDescent="0.25">
      <c r="B1752" s="701" t="s">
        <v>2003</v>
      </c>
      <c r="C1752" s="715">
        <v>99604</v>
      </c>
    </row>
    <row r="1753" spans="2:3" x14ac:dyDescent="0.25">
      <c r="B1753" s="701" t="s">
        <v>1563</v>
      </c>
      <c r="C1753" s="715">
        <v>94412</v>
      </c>
    </row>
    <row r="1754" spans="2:3" x14ac:dyDescent="0.25">
      <c r="B1754" s="701" t="s">
        <v>1562</v>
      </c>
      <c r="C1754" s="715">
        <v>94411</v>
      </c>
    </row>
    <row r="1755" spans="2:3" x14ac:dyDescent="0.25">
      <c r="B1755" s="701" t="s">
        <v>1261</v>
      </c>
      <c r="C1755" s="715">
        <v>91147</v>
      </c>
    </row>
    <row r="1756" spans="2:3" x14ac:dyDescent="0.25">
      <c r="B1756" s="701" t="s">
        <v>1260</v>
      </c>
      <c r="C1756" s="715">
        <v>91141</v>
      </c>
    </row>
    <row r="1757" spans="2:3" x14ac:dyDescent="0.25">
      <c r="B1757" s="701" t="s">
        <v>1951</v>
      </c>
      <c r="C1757" s="715">
        <v>99071</v>
      </c>
    </row>
    <row r="1758" spans="2:3" x14ac:dyDescent="0.25">
      <c r="B1758" s="701" t="s">
        <v>1546</v>
      </c>
      <c r="C1758" s="715">
        <v>94231</v>
      </c>
    </row>
    <row r="1759" spans="2:3" x14ac:dyDescent="0.25">
      <c r="B1759" s="701" t="s">
        <v>1973</v>
      </c>
      <c r="C1759" s="715">
        <v>99231</v>
      </c>
    </row>
    <row r="1760" spans="2:3" x14ac:dyDescent="0.25">
      <c r="B1760" s="701" t="s">
        <v>1953</v>
      </c>
      <c r="C1760" s="715">
        <v>99091</v>
      </c>
    </row>
    <row r="1761" spans="2:3" x14ac:dyDescent="0.25">
      <c r="B1761" s="701" t="s">
        <v>1255</v>
      </c>
      <c r="C1761" s="715">
        <v>91120</v>
      </c>
    </row>
    <row r="1762" spans="2:3" x14ac:dyDescent="0.25">
      <c r="B1762" s="701" t="s">
        <v>3465</v>
      </c>
      <c r="C1762" s="715">
        <v>92444</v>
      </c>
    </row>
    <row r="1763" spans="2:3" x14ac:dyDescent="0.25">
      <c r="B1763" s="701" t="s">
        <v>1182</v>
      </c>
      <c r="C1763" s="715">
        <v>90507</v>
      </c>
    </row>
    <row r="1764" spans="2:3" x14ac:dyDescent="0.25">
      <c r="B1764" s="701" t="s">
        <v>1184</v>
      </c>
      <c r="C1764" s="715">
        <v>90521</v>
      </c>
    </row>
    <row r="1765" spans="2:3" x14ac:dyDescent="0.25">
      <c r="B1765" s="701" t="s">
        <v>1389</v>
      </c>
      <c r="C1765" s="715">
        <v>92602</v>
      </c>
    </row>
    <row r="1766" spans="2:3" x14ac:dyDescent="0.25">
      <c r="B1766" s="701" t="s">
        <v>1305</v>
      </c>
      <c r="C1766" s="715">
        <v>91608</v>
      </c>
    </row>
    <row r="1767" spans="2:3" x14ac:dyDescent="0.25">
      <c r="B1767" s="701" t="s">
        <v>1254</v>
      </c>
      <c r="C1767" s="715">
        <v>91119</v>
      </c>
    </row>
    <row r="1768" spans="2:3" x14ac:dyDescent="0.25">
      <c r="B1768" s="701" t="s">
        <v>1250</v>
      </c>
      <c r="C1768" s="715">
        <v>91107</v>
      </c>
    </row>
    <row r="1769" spans="2:3" x14ac:dyDescent="0.25">
      <c r="B1769" s="701" t="s">
        <v>1325</v>
      </c>
      <c r="C1769" s="715">
        <v>91818</v>
      </c>
    </row>
    <row r="1770" spans="2:3" x14ac:dyDescent="0.25">
      <c r="B1770" s="701" t="s">
        <v>1326</v>
      </c>
      <c r="C1770" s="715">
        <v>91819</v>
      </c>
    </row>
    <row r="1771" spans="2:3" x14ac:dyDescent="0.25">
      <c r="B1771" s="701" t="s">
        <v>1712</v>
      </c>
      <c r="C1771" s="715">
        <v>96371</v>
      </c>
    </row>
    <row r="1772" spans="2:3" x14ac:dyDescent="0.25">
      <c r="B1772" s="701" t="s">
        <v>1721</v>
      </c>
      <c r="C1772" s="715">
        <v>96441</v>
      </c>
    </row>
    <row r="1773" spans="2:3" x14ac:dyDescent="0.25">
      <c r="B1773" s="701" t="s">
        <v>1214</v>
      </c>
      <c r="C1773" s="715">
        <v>90921</v>
      </c>
    </row>
    <row r="1774" spans="2:3" x14ac:dyDescent="0.25">
      <c r="B1774" s="701" t="s">
        <v>1365</v>
      </c>
      <c r="C1774" s="715">
        <v>92417</v>
      </c>
    </row>
    <row r="1775" spans="2:3" x14ac:dyDescent="0.25">
      <c r="B1775" s="701" t="s">
        <v>1362</v>
      </c>
      <c r="C1775" s="715">
        <v>92403</v>
      </c>
    </row>
    <row r="1776" spans="2:3" x14ac:dyDescent="0.25">
      <c r="B1776" s="701" t="s">
        <v>1363</v>
      </c>
      <c r="C1776" s="715">
        <v>92411</v>
      </c>
    </row>
    <row r="1777" spans="2:3" x14ac:dyDescent="0.25">
      <c r="B1777" s="701" t="s">
        <v>2013</v>
      </c>
      <c r="C1777" s="715">
        <v>99701</v>
      </c>
    </row>
    <row r="1778" spans="2:3" x14ac:dyDescent="0.25">
      <c r="B1778" s="701" t="s">
        <v>2018</v>
      </c>
      <c r="C1778" s="715">
        <v>99727</v>
      </c>
    </row>
    <row r="1779" spans="2:3" x14ac:dyDescent="0.25">
      <c r="B1779" s="701" t="s">
        <v>2017</v>
      </c>
      <c r="C1779" s="715">
        <v>99721</v>
      </c>
    </row>
    <row r="1780" spans="2:3" x14ac:dyDescent="0.25">
      <c r="B1780" s="701" t="s">
        <v>1662</v>
      </c>
      <c r="C1780" s="715">
        <v>95813</v>
      </c>
    </row>
    <row r="1781" spans="2:3" x14ac:dyDescent="0.25">
      <c r="B1781" s="701" t="s">
        <v>1661</v>
      </c>
      <c r="C1781" s="715">
        <v>95811</v>
      </c>
    </row>
    <row r="1782" spans="2:3" x14ac:dyDescent="0.25">
      <c r="B1782" s="701" t="s">
        <v>1726</v>
      </c>
      <c r="C1782" s="715">
        <v>96503</v>
      </c>
    </row>
    <row r="1783" spans="2:3" x14ac:dyDescent="0.25">
      <c r="B1783" s="701" t="s">
        <v>1734</v>
      </c>
      <c r="C1783" s="715">
        <v>96531</v>
      </c>
    </row>
    <row r="1784" spans="2:3" x14ac:dyDescent="0.25">
      <c r="B1784" s="701" t="s">
        <v>2019</v>
      </c>
      <c r="C1784" s="715">
        <v>99801</v>
      </c>
    </row>
    <row r="1785" spans="2:3" x14ac:dyDescent="0.25">
      <c r="B1785" s="701" t="s">
        <v>2021</v>
      </c>
      <c r="C1785" s="715">
        <v>99804</v>
      </c>
    </row>
    <row r="1786" spans="2:3" x14ac:dyDescent="0.25">
      <c r="B1786" s="701" t="s">
        <v>2020</v>
      </c>
      <c r="C1786" s="715">
        <v>99802</v>
      </c>
    </row>
    <row r="1787" spans="2:3" x14ac:dyDescent="0.25">
      <c r="B1787" s="701" t="s">
        <v>2023</v>
      </c>
      <c r="C1787" s="715">
        <v>99812</v>
      </c>
    </row>
    <row r="1788" spans="2:3" x14ac:dyDescent="0.25">
      <c r="B1788" s="701" t="s">
        <v>2022</v>
      </c>
      <c r="C1788" s="715">
        <v>99811</v>
      </c>
    </row>
    <row r="1789" spans="2:3" x14ac:dyDescent="0.25">
      <c r="B1789" s="701" t="s">
        <v>1626</v>
      </c>
      <c r="C1789" s="715">
        <v>95191</v>
      </c>
    </row>
    <row r="1790" spans="2:3" x14ac:dyDescent="0.25">
      <c r="B1790" s="701" t="s">
        <v>1207</v>
      </c>
      <c r="C1790" s="715">
        <v>90812</v>
      </c>
    </row>
    <row r="1791" spans="2:3" x14ac:dyDescent="0.25">
      <c r="B1791" s="701" t="s">
        <v>1786</v>
      </c>
      <c r="C1791" s="715">
        <v>97221</v>
      </c>
    </row>
    <row r="1792" spans="2:3" x14ac:dyDescent="0.25">
      <c r="B1792" s="701" t="s">
        <v>1946</v>
      </c>
      <c r="C1792" s="715">
        <v>99031</v>
      </c>
    </row>
    <row r="1793" spans="2:3" x14ac:dyDescent="0.25">
      <c r="B1793" s="701" t="s">
        <v>1465</v>
      </c>
      <c r="C1793" s="715">
        <v>93413</v>
      </c>
    </row>
    <row r="1794" spans="2:3" x14ac:dyDescent="0.25">
      <c r="B1794" s="701" t="s">
        <v>1464</v>
      </c>
      <c r="C1794" s="715">
        <v>93411</v>
      </c>
    </row>
    <row r="1795" spans="2:3" x14ac:dyDescent="0.25">
      <c r="B1795" s="701" t="s">
        <v>1802</v>
      </c>
      <c r="C1795" s="715">
        <v>97451</v>
      </c>
    </row>
    <row r="1796" spans="2:3" x14ac:dyDescent="0.25">
      <c r="B1796" s="701" t="s">
        <v>1585</v>
      </c>
      <c r="C1796" s="715">
        <v>94631</v>
      </c>
    </row>
    <row r="1797" spans="2:3" x14ac:dyDescent="0.25">
      <c r="B1797" s="701" t="s">
        <v>1249</v>
      </c>
      <c r="C1797" s="715">
        <v>91104</v>
      </c>
    </row>
    <row r="1798" spans="2:3" x14ac:dyDescent="0.25">
      <c r="B1798" s="701" t="s">
        <v>1252</v>
      </c>
      <c r="C1798" s="715">
        <v>91109</v>
      </c>
    </row>
    <row r="1799" spans="2:3" x14ac:dyDescent="0.25">
      <c r="B1799" s="701" t="s">
        <v>1265</v>
      </c>
      <c r="C1799" s="715">
        <v>91171</v>
      </c>
    </row>
    <row r="1800" spans="2:3" x14ac:dyDescent="0.25">
      <c r="B1800" s="701" t="s">
        <v>1740</v>
      </c>
      <c r="C1800" s="715">
        <v>96621</v>
      </c>
    </row>
    <row r="1801" spans="2:3" x14ac:dyDescent="0.25">
      <c r="B1801" s="701" t="s">
        <v>1730</v>
      </c>
      <c r="C1801" s="715">
        <v>96511</v>
      </c>
    </row>
    <row r="1802" spans="2:3" x14ac:dyDescent="0.25">
      <c r="B1802" s="701" t="s">
        <v>2029</v>
      </c>
      <c r="C1802" s="715">
        <v>99901</v>
      </c>
    </row>
    <row r="1803" spans="2:3" x14ac:dyDescent="0.25">
      <c r="B1803" s="701" t="s">
        <v>3466</v>
      </c>
      <c r="C1803" s="715">
        <v>98604</v>
      </c>
    </row>
    <row r="1804" spans="2:3" x14ac:dyDescent="0.25">
      <c r="B1804" s="701" t="s">
        <v>1923</v>
      </c>
      <c r="C1804" s="715">
        <v>98608</v>
      </c>
    </row>
    <row r="1805" spans="2:3" x14ac:dyDescent="0.25">
      <c r="B1805" s="701" t="s">
        <v>2030</v>
      </c>
      <c r="C1805" s="715">
        <v>99911</v>
      </c>
    </row>
    <row r="1806" spans="2:3" x14ac:dyDescent="0.25">
      <c r="B1806" s="701" t="s">
        <v>1148</v>
      </c>
      <c r="C1806" s="715">
        <v>90001</v>
      </c>
    </row>
    <row r="1807" spans="2:3" x14ac:dyDescent="0.25">
      <c r="B1807" s="701" t="s">
        <v>1149</v>
      </c>
      <c r="C1807" s="715">
        <v>90002</v>
      </c>
    </row>
    <row r="1808" spans="2:3" x14ac:dyDescent="0.25">
      <c r="B1808" s="701" t="s">
        <v>1319</v>
      </c>
      <c r="C1808" s="715">
        <v>91719</v>
      </c>
    </row>
    <row r="1809" spans="2:3" x14ac:dyDescent="0.25">
      <c r="B1809" s="701" t="s">
        <v>1481</v>
      </c>
      <c r="C1809" s="715">
        <v>93541</v>
      </c>
    </row>
    <row r="1810" spans="2:3" x14ac:dyDescent="0.25">
      <c r="B1810" s="701" t="s">
        <v>1974</v>
      </c>
      <c r="C1810" s="715">
        <v>99241</v>
      </c>
    </row>
    <row r="1811" spans="2:3" x14ac:dyDescent="0.25">
      <c r="B1811" s="756" t="s">
        <v>2525</v>
      </c>
      <c r="C1811" s="758" t="s">
        <v>2526</v>
      </c>
    </row>
    <row r="1812" spans="2:3" x14ac:dyDescent="0.25">
      <c r="C1812" s="757"/>
    </row>
  </sheetData>
  <pageMargins left="0" right="0" top="0.75" bottom="0.75" header="0.3" footer="0.3"/>
  <pageSetup scale="40" fitToHeight="0" orientation="landscape"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066ED-76E5-461C-B294-C4BF16AB1267}">
  <dimension ref="A1:XFD2344"/>
  <sheetViews>
    <sheetView workbookViewId="0"/>
  </sheetViews>
  <sheetFormatPr defaultColWidth="9.140625" defaultRowHeight="15" x14ac:dyDescent="0.25"/>
  <cols>
    <col min="1" max="1" width="12.140625" style="829" bestFit="1" customWidth="1"/>
    <col min="2" max="2" width="55.5703125" style="829" bestFit="1" customWidth="1"/>
    <col min="3" max="3" width="27" style="852" bestFit="1" customWidth="1"/>
    <col min="4" max="4" width="9.140625" style="829"/>
    <col min="5" max="5" width="9.140625" style="820"/>
    <col min="6" max="6" width="21" style="820" customWidth="1"/>
    <col min="7" max="16384" width="9.140625" style="820"/>
  </cols>
  <sheetData>
    <row r="1" spans="1:4" x14ac:dyDescent="0.25">
      <c r="A1" s="847" t="s">
        <v>3841</v>
      </c>
      <c r="B1" s="847" t="s">
        <v>3842</v>
      </c>
      <c r="C1" s="848" t="s">
        <v>4836</v>
      </c>
      <c r="D1" s="829" t="s">
        <v>3844</v>
      </c>
    </row>
    <row r="2" spans="1:4" x14ac:dyDescent="0.25">
      <c r="A2" s="849" t="s">
        <v>480</v>
      </c>
      <c r="B2" s="850" t="s">
        <v>2094</v>
      </c>
      <c r="C2" s="851">
        <v>0</v>
      </c>
    </row>
    <row r="3" spans="1:4" x14ac:dyDescent="0.25">
      <c r="A3" s="829">
        <v>70505</v>
      </c>
      <c r="B3" s="829" t="s">
        <v>2547</v>
      </c>
      <c r="C3" s="852">
        <v>199598.36</v>
      </c>
    </row>
    <row r="4" spans="1:4" x14ac:dyDescent="0.25">
      <c r="A4" s="829">
        <v>72265</v>
      </c>
      <c r="B4" s="829" t="s">
        <v>2549</v>
      </c>
      <c r="C4" s="852">
        <v>73112.03</v>
      </c>
    </row>
    <row r="5" spans="1:4" x14ac:dyDescent="0.25">
      <c r="A5" s="829">
        <v>72593</v>
      </c>
      <c r="B5" s="829" t="s">
        <v>3548</v>
      </c>
      <c r="C5" s="852">
        <v>2108.59</v>
      </c>
    </row>
    <row r="6" spans="1:4" x14ac:dyDescent="0.25">
      <c r="A6" s="829">
        <v>72657</v>
      </c>
      <c r="B6" s="829" t="s">
        <v>2550</v>
      </c>
      <c r="C6" s="852">
        <v>17248.68</v>
      </c>
    </row>
    <row r="7" spans="1:4" x14ac:dyDescent="0.25">
      <c r="A7" s="829">
        <v>90001</v>
      </c>
      <c r="B7" s="829" t="s">
        <v>2551</v>
      </c>
      <c r="C7" s="852">
        <v>422349.86</v>
      </c>
    </row>
    <row r="8" spans="1:4" x14ac:dyDescent="0.25">
      <c r="A8" s="829">
        <v>90002</v>
      </c>
      <c r="B8" s="829" t="s">
        <v>2552</v>
      </c>
      <c r="C8" s="852">
        <v>6507.44</v>
      </c>
    </row>
    <row r="9" spans="1:4" x14ac:dyDescent="0.25">
      <c r="A9" s="829">
        <v>90011</v>
      </c>
      <c r="B9" s="829" t="s">
        <v>2553</v>
      </c>
      <c r="C9" s="852">
        <v>89505.7</v>
      </c>
    </row>
    <row r="10" spans="1:4" x14ac:dyDescent="0.25">
      <c r="A10" s="829">
        <v>90092</v>
      </c>
      <c r="B10" s="829" t="s">
        <v>2554</v>
      </c>
      <c r="C10" s="852">
        <v>190866.47</v>
      </c>
    </row>
    <row r="11" spans="1:4" x14ac:dyDescent="0.25">
      <c r="A11" s="829">
        <v>90096</v>
      </c>
      <c r="B11" s="829" t="s">
        <v>2555</v>
      </c>
      <c r="C11" s="852">
        <v>544431.76</v>
      </c>
    </row>
    <row r="12" spans="1:4" x14ac:dyDescent="0.25">
      <c r="A12" s="829">
        <v>90098</v>
      </c>
      <c r="B12" s="829" t="s">
        <v>2556</v>
      </c>
      <c r="C12" s="852">
        <v>156011.64000000001</v>
      </c>
    </row>
    <row r="13" spans="1:4" x14ac:dyDescent="0.25">
      <c r="A13" s="829">
        <v>90099</v>
      </c>
      <c r="B13" s="829" t="s">
        <v>2557</v>
      </c>
      <c r="C13" s="852">
        <v>309544.28000000003</v>
      </c>
    </row>
    <row r="14" spans="1:4" x14ac:dyDescent="0.25">
      <c r="A14" s="829">
        <v>90101</v>
      </c>
      <c r="B14" s="829" t="s">
        <v>2558</v>
      </c>
      <c r="C14" s="852">
        <v>3133228.39</v>
      </c>
    </row>
    <row r="15" spans="1:4" x14ac:dyDescent="0.25">
      <c r="A15" s="829">
        <v>90111</v>
      </c>
      <c r="B15" s="829" t="s">
        <v>2559</v>
      </c>
      <c r="C15" s="852">
        <v>2405333.15</v>
      </c>
    </row>
    <row r="16" spans="1:4" x14ac:dyDescent="0.25">
      <c r="A16" s="829">
        <v>90114</v>
      </c>
      <c r="B16" s="829" t="s">
        <v>2560</v>
      </c>
      <c r="C16" s="852">
        <v>1198986.54</v>
      </c>
    </row>
    <row r="17" spans="1:3" x14ac:dyDescent="0.25">
      <c r="A17" s="829">
        <v>90117</v>
      </c>
      <c r="B17" s="829" t="s">
        <v>2561</v>
      </c>
      <c r="C17" s="852">
        <v>88275.02</v>
      </c>
    </row>
    <row r="18" spans="1:3" x14ac:dyDescent="0.25">
      <c r="A18" s="829">
        <v>90121</v>
      </c>
      <c r="B18" s="829" t="s">
        <v>2562</v>
      </c>
      <c r="C18" s="852">
        <v>462400.57</v>
      </c>
    </row>
    <row r="19" spans="1:3" x14ac:dyDescent="0.25">
      <c r="A19" s="829">
        <v>90131</v>
      </c>
      <c r="B19" s="829" t="s">
        <v>2563</v>
      </c>
      <c r="C19" s="852">
        <v>219611.64</v>
      </c>
    </row>
    <row r="20" spans="1:3" x14ac:dyDescent="0.25">
      <c r="A20" s="829">
        <v>90141</v>
      </c>
      <c r="B20" s="829" t="s">
        <v>2564</v>
      </c>
      <c r="C20" s="852">
        <v>68863.360000000001</v>
      </c>
    </row>
    <row r="21" spans="1:3" x14ac:dyDescent="0.25">
      <c r="A21" s="829">
        <v>90151</v>
      </c>
      <c r="B21" s="829" t="s">
        <v>2565</v>
      </c>
      <c r="C21" s="852">
        <v>3287.64</v>
      </c>
    </row>
    <row r="22" spans="1:3" x14ac:dyDescent="0.25">
      <c r="A22" s="829">
        <v>90161</v>
      </c>
      <c r="B22" s="829" t="s">
        <v>2566</v>
      </c>
      <c r="C22" s="852">
        <v>16093.92</v>
      </c>
    </row>
    <row r="23" spans="1:3" x14ac:dyDescent="0.25">
      <c r="A23" s="829">
        <v>90201</v>
      </c>
      <c r="B23" s="829" t="s">
        <v>2567</v>
      </c>
      <c r="C23" s="852">
        <v>578316.75</v>
      </c>
    </row>
    <row r="24" spans="1:3" x14ac:dyDescent="0.25">
      <c r="A24" s="829">
        <v>90203</v>
      </c>
      <c r="B24" s="829" t="s">
        <v>2568</v>
      </c>
      <c r="C24" s="852">
        <v>101603.37</v>
      </c>
    </row>
    <row r="25" spans="1:3" x14ac:dyDescent="0.25">
      <c r="A25" s="829">
        <v>90205</v>
      </c>
      <c r="B25" s="829" t="s">
        <v>2569</v>
      </c>
      <c r="C25" s="852">
        <v>16633.099999999999</v>
      </c>
    </row>
    <row r="26" spans="1:3" x14ac:dyDescent="0.25">
      <c r="A26" s="829">
        <v>90206</v>
      </c>
      <c r="B26" s="829" t="s">
        <v>2570</v>
      </c>
      <c r="C26" s="852">
        <v>199183.31</v>
      </c>
    </row>
    <row r="27" spans="1:3" x14ac:dyDescent="0.25">
      <c r="A27" s="829">
        <v>90211</v>
      </c>
      <c r="B27" s="829" t="s">
        <v>2571</v>
      </c>
      <c r="C27" s="852">
        <v>79199.97</v>
      </c>
    </row>
    <row r="28" spans="1:3" x14ac:dyDescent="0.25">
      <c r="A28" s="829">
        <v>90301</v>
      </c>
      <c r="B28" s="829" t="s">
        <v>2572</v>
      </c>
      <c r="C28" s="852">
        <v>305923.24</v>
      </c>
    </row>
    <row r="29" spans="1:3" x14ac:dyDescent="0.25">
      <c r="A29" s="829">
        <v>90305</v>
      </c>
      <c r="B29" s="829" t="s">
        <v>2573</v>
      </c>
      <c r="C29" s="852">
        <v>86244.7</v>
      </c>
    </row>
    <row r="30" spans="1:3" x14ac:dyDescent="0.25">
      <c r="A30" s="829">
        <v>90307</v>
      </c>
      <c r="B30" s="829" t="s">
        <v>2574</v>
      </c>
      <c r="C30" s="852">
        <v>4263.08</v>
      </c>
    </row>
    <row r="31" spans="1:3" x14ac:dyDescent="0.25">
      <c r="A31" s="829">
        <v>90401</v>
      </c>
      <c r="B31" s="829" t="s">
        <v>2575</v>
      </c>
      <c r="C31" s="852">
        <v>665185.52</v>
      </c>
    </row>
    <row r="32" spans="1:3" x14ac:dyDescent="0.25">
      <c r="A32" s="829">
        <v>90411</v>
      </c>
      <c r="B32" s="829" t="s">
        <v>2576</v>
      </c>
      <c r="C32" s="852">
        <v>159556.95000000001</v>
      </c>
    </row>
    <row r="33" spans="1:3" x14ac:dyDescent="0.25">
      <c r="A33" s="829">
        <v>90413</v>
      </c>
      <c r="B33" s="829" t="s">
        <v>2577</v>
      </c>
      <c r="C33" s="852">
        <v>19071.849999999999</v>
      </c>
    </row>
    <row r="34" spans="1:3" x14ac:dyDescent="0.25">
      <c r="A34" s="829">
        <v>90417</v>
      </c>
      <c r="B34" s="829" t="s">
        <v>2578</v>
      </c>
      <c r="C34" s="852">
        <v>8909.31</v>
      </c>
    </row>
    <row r="35" spans="1:3" x14ac:dyDescent="0.25">
      <c r="A35" s="829">
        <v>90421</v>
      </c>
      <c r="B35" s="829" t="s">
        <v>2579</v>
      </c>
      <c r="C35" s="852">
        <v>8994.9</v>
      </c>
    </row>
    <row r="36" spans="1:3" x14ac:dyDescent="0.25">
      <c r="A36" s="829">
        <v>90431</v>
      </c>
      <c r="B36" s="829" t="s">
        <v>2580</v>
      </c>
      <c r="C36" s="852">
        <v>23132.46</v>
      </c>
    </row>
    <row r="37" spans="1:3" x14ac:dyDescent="0.25">
      <c r="A37" s="829">
        <v>90441</v>
      </c>
      <c r="B37" s="829" t="s">
        <v>2581</v>
      </c>
      <c r="C37" s="852">
        <v>5251.99</v>
      </c>
    </row>
    <row r="38" spans="1:3" x14ac:dyDescent="0.25">
      <c r="A38" s="829">
        <v>90451</v>
      </c>
      <c r="B38" s="829" t="s">
        <v>2582</v>
      </c>
      <c r="C38" s="852">
        <v>9876.26</v>
      </c>
    </row>
    <row r="39" spans="1:3" x14ac:dyDescent="0.25">
      <c r="A39" s="829">
        <v>90461</v>
      </c>
      <c r="B39" s="829" t="s">
        <v>2583</v>
      </c>
      <c r="C39" s="852">
        <v>4462.04</v>
      </c>
    </row>
    <row r="40" spans="1:3" x14ac:dyDescent="0.25">
      <c r="A40" s="829">
        <v>90501</v>
      </c>
      <c r="B40" s="829" t="s">
        <v>2584</v>
      </c>
      <c r="C40" s="852">
        <v>706559.67</v>
      </c>
    </row>
    <row r="41" spans="1:3" x14ac:dyDescent="0.25">
      <c r="A41" s="829">
        <v>90507</v>
      </c>
      <c r="B41" s="829" t="s">
        <v>1182</v>
      </c>
      <c r="C41" s="852">
        <v>10999.19</v>
      </c>
    </row>
    <row r="42" spans="1:3" x14ac:dyDescent="0.25">
      <c r="A42" s="829">
        <v>90511</v>
      </c>
      <c r="B42" s="829" t="s">
        <v>2585</v>
      </c>
      <c r="C42" s="852">
        <v>54677.3</v>
      </c>
    </row>
    <row r="43" spans="1:3" x14ac:dyDescent="0.25">
      <c r="A43" s="829">
        <v>90521</v>
      </c>
      <c r="B43" s="829" t="s">
        <v>2586</v>
      </c>
      <c r="C43" s="852">
        <v>56165.440000000002</v>
      </c>
    </row>
    <row r="44" spans="1:3" x14ac:dyDescent="0.25">
      <c r="A44" s="829">
        <v>90601</v>
      </c>
      <c r="B44" s="829" t="s">
        <v>2587</v>
      </c>
      <c r="C44" s="852">
        <v>569631.02</v>
      </c>
    </row>
    <row r="45" spans="1:3" x14ac:dyDescent="0.25">
      <c r="A45" s="829">
        <v>90602</v>
      </c>
      <c r="B45" s="829" t="s">
        <v>2095</v>
      </c>
      <c r="C45" s="852">
        <v>43992.959999999999</v>
      </c>
    </row>
    <row r="46" spans="1:3" x14ac:dyDescent="0.25">
      <c r="A46" s="829">
        <v>90605</v>
      </c>
      <c r="B46" s="829" t="s">
        <v>2588</v>
      </c>
      <c r="C46" s="852">
        <v>27630.29</v>
      </c>
    </row>
    <row r="47" spans="1:3" x14ac:dyDescent="0.25">
      <c r="A47" s="829">
        <v>90611</v>
      </c>
      <c r="B47" s="829" t="s">
        <v>2589</v>
      </c>
      <c r="C47" s="852">
        <v>65699.09</v>
      </c>
    </row>
    <row r="48" spans="1:3" x14ac:dyDescent="0.25">
      <c r="A48" s="829">
        <v>90617</v>
      </c>
      <c r="B48" s="829" t="s">
        <v>2590</v>
      </c>
      <c r="C48" s="852">
        <v>14672.75</v>
      </c>
    </row>
    <row r="49" spans="1:3" x14ac:dyDescent="0.25">
      <c r="A49" s="829">
        <v>90621</v>
      </c>
      <c r="B49" s="829" t="s">
        <v>2591</v>
      </c>
      <c r="C49" s="852">
        <v>27186.65</v>
      </c>
    </row>
    <row r="50" spans="1:3" x14ac:dyDescent="0.25">
      <c r="A50" s="829">
        <v>90631</v>
      </c>
      <c r="B50" s="829" t="s">
        <v>2592</v>
      </c>
      <c r="C50" s="852">
        <v>183176.35</v>
      </c>
    </row>
    <row r="51" spans="1:3" x14ac:dyDescent="0.25">
      <c r="A51" s="829">
        <v>90641</v>
      </c>
      <c r="B51" s="829" t="s">
        <v>2593</v>
      </c>
      <c r="C51" s="852">
        <v>7183.64</v>
      </c>
    </row>
    <row r="52" spans="1:3" x14ac:dyDescent="0.25">
      <c r="A52" s="829">
        <v>90651</v>
      </c>
      <c r="B52" s="829" t="s">
        <v>4837</v>
      </c>
      <c r="C52" s="852">
        <v>102653.54</v>
      </c>
    </row>
    <row r="53" spans="1:3" x14ac:dyDescent="0.25">
      <c r="A53" s="829">
        <v>90701</v>
      </c>
      <c r="B53" s="829" t="s">
        <v>3549</v>
      </c>
      <c r="C53" s="852">
        <v>1197981.55</v>
      </c>
    </row>
    <row r="54" spans="1:3" x14ac:dyDescent="0.25">
      <c r="A54" s="829">
        <v>90704</v>
      </c>
      <c r="B54" s="829" t="s">
        <v>2596</v>
      </c>
      <c r="C54" s="852">
        <v>27041.13</v>
      </c>
    </row>
    <row r="55" spans="1:3" x14ac:dyDescent="0.25">
      <c r="A55" s="829">
        <v>90705</v>
      </c>
      <c r="B55" s="829" t="s">
        <v>2597</v>
      </c>
      <c r="C55" s="852">
        <v>23511.61</v>
      </c>
    </row>
    <row r="56" spans="1:3" x14ac:dyDescent="0.25">
      <c r="A56" s="829">
        <v>90709</v>
      </c>
      <c r="B56" s="829" t="s">
        <v>2598</v>
      </c>
      <c r="C56" s="852">
        <v>93850.66</v>
      </c>
    </row>
    <row r="57" spans="1:3" x14ac:dyDescent="0.25">
      <c r="A57" s="829">
        <v>90711</v>
      </c>
      <c r="B57" s="829" t="s">
        <v>2599</v>
      </c>
      <c r="C57" s="852">
        <v>779300.72</v>
      </c>
    </row>
    <row r="58" spans="1:3" x14ac:dyDescent="0.25">
      <c r="A58" s="829">
        <v>90721</v>
      </c>
      <c r="B58" s="829" t="s">
        <v>2600</v>
      </c>
      <c r="C58" s="852">
        <v>14420.6</v>
      </c>
    </row>
    <row r="59" spans="1:3" x14ac:dyDescent="0.25">
      <c r="A59" s="829">
        <v>90731</v>
      </c>
      <c r="B59" s="829" t="s">
        <v>2601</v>
      </c>
      <c r="C59" s="852">
        <v>79076.149999999994</v>
      </c>
    </row>
    <row r="60" spans="1:3" x14ac:dyDescent="0.25">
      <c r="A60" s="829">
        <v>90741</v>
      </c>
      <c r="B60" s="829" t="s">
        <v>2602</v>
      </c>
      <c r="C60" s="852">
        <v>7000.11</v>
      </c>
    </row>
    <row r="61" spans="1:3" x14ac:dyDescent="0.25">
      <c r="A61" s="829">
        <v>90751</v>
      </c>
      <c r="B61" s="829" t="s">
        <v>2603</v>
      </c>
      <c r="C61" s="852">
        <v>32337.1</v>
      </c>
    </row>
    <row r="62" spans="1:3" x14ac:dyDescent="0.25">
      <c r="A62" s="829">
        <v>90801</v>
      </c>
      <c r="B62" s="829" t="s">
        <v>2604</v>
      </c>
      <c r="C62" s="852">
        <v>563452.01</v>
      </c>
    </row>
    <row r="63" spans="1:3" x14ac:dyDescent="0.25">
      <c r="A63" s="829">
        <v>90804</v>
      </c>
      <c r="B63" s="829" t="s">
        <v>2605</v>
      </c>
      <c r="C63" s="852">
        <v>2846.16</v>
      </c>
    </row>
    <row r="64" spans="1:3" x14ac:dyDescent="0.25">
      <c r="A64" s="829">
        <v>90805</v>
      </c>
      <c r="B64" s="829" t="s">
        <v>2606</v>
      </c>
      <c r="C64" s="852">
        <v>40885.440000000002</v>
      </c>
    </row>
    <row r="65" spans="1:3" x14ac:dyDescent="0.25">
      <c r="A65" s="829">
        <v>90808</v>
      </c>
      <c r="B65" s="829" t="s">
        <v>2607</v>
      </c>
      <c r="C65" s="852">
        <v>59800.12</v>
      </c>
    </row>
    <row r="66" spans="1:3" x14ac:dyDescent="0.25">
      <c r="A66" s="829">
        <v>90811</v>
      </c>
      <c r="B66" s="829" t="s">
        <v>2608</v>
      </c>
      <c r="C66" s="852">
        <v>11840</v>
      </c>
    </row>
    <row r="67" spans="1:3" x14ac:dyDescent="0.25">
      <c r="A67" s="829">
        <v>90812</v>
      </c>
      <c r="B67" s="829" t="s">
        <v>2609</v>
      </c>
      <c r="C67" s="852">
        <v>108049.17</v>
      </c>
    </row>
    <row r="68" spans="1:3" x14ac:dyDescent="0.25">
      <c r="A68" s="829">
        <v>90813</v>
      </c>
      <c r="B68" s="829" t="s">
        <v>2610</v>
      </c>
      <c r="C68" s="852">
        <v>2202.62</v>
      </c>
    </row>
    <row r="69" spans="1:3" x14ac:dyDescent="0.25">
      <c r="A69" s="829">
        <v>90861</v>
      </c>
      <c r="B69" s="829" t="s">
        <v>2611</v>
      </c>
      <c r="C69" s="852">
        <v>6397.63</v>
      </c>
    </row>
    <row r="70" spans="1:3" x14ac:dyDescent="0.25">
      <c r="A70" s="829">
        <v>90901</v>
      </c>
      <c r="B70" s="829" t="s">
        <v>2612</v>
      </c>
      <c r="C70" s="852">
        <v>1076135.98</v>
      </c>
    </row>
    <row r="71" spans="1:3" x14ac:dyDescent="0.25">
      <c r="A71" s="829">
        <v>90911</v>
      </c>
      <c r="B71" s="829" t="s">
        <v>2613</v>
      </c>
      <c r="C71" s="852">
        <v>172044.33</v>
      </c>
    </row>
    <row r="72" spans="1:3" x14ac:dyDescent="0.25">
      <c r="A72" s="829">
        <v>90917</v>
      </c>
      <c r="B72" s="829" t="s">
        <v>2614</v>
      </c>
      <c r="C72" s="852">
        <v>6378.08</v>
      </c>
    </row>
    <row r="73" spans="1:3" x14ac:dyDescent="0.25">
      <c r="A73" s="829">
        <v>90918</v>
      </c>
      <c r="B73" s="829" t="s">
        <v>2615</v>
      </c>
      <c r="C73" s="852">
        <v>5036.16</v>
      </c>
    </row>
    <row r="74" spans="1:3" x14ac:dyDescent="0.25">
      <c r="A74" s="829">
        <v>90921</v>
      </c>
      <c r="B74" s="829" t="s">
        <v>2616</v>
      </c>
      <c r="C74" s="852">
        <v>62914.78</v>
      </c>
    </row>
    <row r="75" spans="1:3" x14ac:dyDescent="0.25">
      <c r="A75" s="829">
        <v>90931</v>
      </c>
      <c r="B75" s="829" t="s">
        <v>2617</v>
      </c>
      <c r="C75" s="852">
        <v>16352.75</v>
      </c>
    </row>
    <row r="76" spans="1:3" x14ac:dyDescent="0.25">
      <c r="A76" s="829">
        <v>90941</v>
      </c>
      <c r="B76" s="829" t="s">
        <v>2618</v>
      </c>
      <c r="C76" s="852">
        <v>39056.300000000003</v>
      </c>
    </row>
    <row r="77" spans="1:3" x14ac:dyDescent="0.25">
      <c r="A77" s="829">
        <v>91001</v>
      </c>
      <c r="B77" s="829" t="s">
        <v>2619</v>
      </c>
      <c r="C77" s="852">
        <v>3090374.08</v>
      </c>
    </row>
    <row r="78" spans="1:3" x14ac:dyDescent="0.25">
      <c r="A78" s="829">
        <v>91002</v>
      </c>
      <c r="B78" s="829" t="s">
        <v>2620</v>
      </c>
      <c r="C78" s="852">
        <v>407170.49</v>
      </c>
    </row>
    <row r="79" spans="1:3" x14ac:dyDescent="0.25">
      <c r="A79" s="829">
        <v>91003</v>
      </c>
      <c r="B79" s="829" t="s">
        <v>2621</v>
      </c>
      <c r="C79" s="852">
        <v>270617.24</v>
      </c>
    </row>
    <row r="80" spans="1:3" x14ac:dyDescent="0.25">
      <c r="A80" s="829">
        <v>91004</v>
      </c>
      <c r="B80" s="829" t="s">
        <v>2622</v>
      </c>
      <c r="C80" s="852">
        <v>17386.82</v>
      </c>
    </row>
    <row r="81" spans="1:3" x14ac:dyDescent="0.25">
      <c r="A81" s="829">
        <v>91006</v>
      </c>
      <c r="B81" s="829" t="s">
        <v>2623</v>
      </c>
      <c r="C81" s="852">
        <v>473853.03</v>
      </c>
    </row>
    <row r="82" spans="1:3" x14ac:dyDescent="0.25">
      <c r="A82" s="829">
        <v>91007</v>
      </c>
      <c r="B82" s="829" t="s">
        <v>2624</v>
      </c>
      <c r="C82" s="852">
        <v>5144.54</v>
      </c>
    </row>
    <row r="83" spans="1:3" x14ac:dyDescent="0.25">
      <c r="A83" s="829">
        <v>91008</v>
      </c>
      <c r="B83" s="829" t="s">
        <v>2625</v>
      </c>
      <c r="C83" s="852">
        <v>75095.399999999994</v>
      </c>
    </row>
    <row r="84" spans="1:3" x14ac:dyDescent="0.25">
      <c r="A84" s="829">
        <v>91009</v>
      </c>
      <c r="B84" s="829" t="s">
        <v>2626</v>
      </c>
      <c r="C84" s="852">
        <v>11581.2</v>
      </c>
    </row>
    <row r="85" spans="1:3" x14ac:dyDescent="0.25">
      <c r="A85" s="829">
        <v>91010</v>
      </c>
      <c r="B85" s="829" t="s">
        <v>2627</v>
      </c>
      <c r="C85" s="852">
        <v>30525.27</v>
      </c>
    </row>
    <row r="86" spans="1:3" x14ac:dyDescent="0.25">
      <c r="A86" s="829">
        <v>91011</v>
      </c>
      <c r="B86" s="829" t="s">
        <v>2628</v>
      </c>
      <c r="C86" s="852">
        <v>170093.99</v>
      </c>
    </row>
    <row r="87" spans="1:3" x14ac:dyDescent="0.25">
      <c r="A87" s="829">
        <v>91012</v>
      </c>
      <c r="B87" s="829" t="s">
        <v>2629</v>
      </c>
      <c r="C87" s="852">
        <v>7628.71</v>
      </c>
    </row>
    <row r="88" spans="1:3" x14ac:dyDescent="0.25">
      <c r="A88" s="829">
        <v>91013</v>
      </c>
      <c r="B88" s="829" t="s">
        <v>2630</v>
      </c>
      <c r="C88" s="852">
        <v>33972.910000000003</v>
      </c>
    </row>
    <row r="89" spans="1:3" x14ac:dyDescent="0.25">
      <c r="A89" s="829">
        <v>91014</v>
      </c>
      <c r="B89" s="829" t="s">
        <v>2631</v>
      </c>
      <c r="C89" s="852">
        <v>98530.09</v>
      </c>
    </row>
    <row r="90" spans="1:3" x14ac:dyDescent="0.25">
      <c r="A90" s="829">
        <v>91015</v>
      </c>
      <c r="B90" s="829" t="s">
        <v>3845</v>
      </c>
      <c r="C90" s="852">
        <v>17475.47</v>
      </c>
    </row>
    <row r="91" spans="1:3" x14ac:dyDescent="0.25">
      <c r="A91" s="829">
        <v>91017</v>
      </c>
      <c r="B91" s="829" t="s">
        <v>2632</v>
      </c>
      <c r="C91" s="852">
        <v>13122.92</v>
      </c>
    </row>
    <row r="92" spans="1:3" x14ac:dyDescent="0.25">
      <c r="A92" s="829">
        <v>91020</v>
      </c>
      <c r="B92" s="829" t="s">
        <v>2633</v>
      </c>
      <c r="C92" s="852">
        <v>13714.62</v>
      </c>
    </row>
    <row r="93" spans="1:3" x14ac:dyDescent="0.25">
      <c r="A93" s="829">
        <v>91021</v>
      </c>
      <c r="B93" s="829" t="s">
        <v>2634</v>
      </c>
      <c r="C93" s="852">
        <v>437293.88</v>
      </c>
    </row>
    <row r="94" spans="1:3" x14ac:dyDescent="0.25">
      <c r="A94" s="829">
        <v>91024</v>
      </c>
      <c r="B94" s="829" t="s">
        <v>2635</v>
      </c>
      <c r="C94" s="852">
        <v>47198.87</v>
      </c>
    </row>
    <row r="95" spans="1:3" x14ac:dyDescent="0.25">
      <c r="A95" s="829">
        <v>91026</v>
      </c>
      <c r="B95" s="829" t="s">
        <v>1233</v>
      </c>
      <c r="C95" s="852">
        <v>47235.53</v>
      </c>
    </row>
    <row r="96" spans="1:3" x14ac:dyDescent="0.25">
      <c r="A96" s="829">
        <v>91027</v>
      </c>
      <c r="B96" s="829" t="s">
        <v>2636</v>
      </c>
      <c r="C96" s="852">
        <v>14495.89</v>
      </c>
    </row>
    <row r="97" spans="1:3" x14ac:dyDescent="0.25">
      <c r="A97" s="829">
        <v>91032</v>
      </c>
      <c r="B97" s="829" t="s">
        <v>2637</v>
      </c>
      <c r="C97" s="852">
        <v>19389.87</v>
      </c>
    </row>
    <row r="98" spans="1:3" x14ac:dyDescent="0.25">
      <c r="A98" s="829">
        <v>91041</v>
      </c>
      <c r="B98" s="829" t="s">
        <v>2638</v>
      </c>
      <c r="C98" s="852">
        <v>178639.54</v>
      </c>
    </row>
    <row r="99" spans="1:3" x14ac:dyDescent="0.25">
      <c r="A99" s="829">
        <v>91042</v>
      </c>
      <c r="B99" s="829" t="s">
        <v>2639</v>
      </c>
      <c r="C99" s="852">
        <v>115345.57</v>
      </c>
    </row>
    <row r="100" spans="1:3" x14ac:dyDescent="0.25">
      <c r="A100" s="829">
        <v>91047</v>
      </c>
      <c r="B100" s="829" t="s">
        <v>2640</v>
      </c>
      <c r="C100" s="852">
        <v>18028.490000000002</v>
      </c>
    </row>
    <row r="101" spans="1:3" x14ac:dyDescent="0.25">
      <c r="A101" s="829">
        <v>91051</v>
      </c>
      <c r="B101" s="829" t="s">
        <v>2641</v>
      </c>
      <c r="C101" s="852">
        <v>33299.519999999997</v>
      </c>
    </row>
    <row r="102" spans="1:3" x14ac:dyDescent="0.25">
      <c r="A102" s="829">
        <v>91057</v>
      </c>
      <c r="B102" s="829" t="s">
        <v>2642</v>
      </c>
      <c r="C102" s="852">
        <v>10701.43</v>
      </c>
    </row>
    <row r="103" spans="1:3" x14ac:dyDescent="0.25">
      <c r="A103" s="829">
        <v>91061</v>
      </c>
      <c r="B103" s="829" t="s">
        <v>2643</v>
      </c>
      <c r="C103" s="852">
        <v>185817.86</v>
      </c>
    </row>
    <row r="104" spans="1:3" x14ac:dyDescent="0.25">
      <c r="A104" s="829">
        <v>91067</v>
      </c>
      <c r="B104" s="829" t="s">
        <v>2644</v>
      </c>
      <c r="C104" s="852">
        <v>9145.5</v>
      </c>
    </row>
    <row r="105" spans="1:3" x14ac:dyDescent="0.25">
      <c r="A105" s="829">
        <v>91071</v>
      </c>
      <c r="B105" s="829" t="s">
        <v>2645</v>
      </c>
      <c r="C105" s="852">
        <v>107390.02</v>
      </c>
    </row>
    <row r="106" spans="1:3" x14ac:dyDescent="0.25">
      <c r="A106" s="829">
        <v>91077</v>
      </c>
      <c r="B106" s="829" t="s">
        <v>2646</v>
      </c>
      <c r="C106" s="852">
        <v>2844.76</v>
      </c>
    </row>
    <row r="107" spans="1:3" x14ac:dyDescent="0.25">
      <c r="A107" s="829">
        <v>91081</v>
      </c>
      <c r="B107" s="829" t="s">
        <v>2647</v>
      </c>
      <c r="C107" s="852">
        <v>190608.11</v>
      </c>
    </row>
    <row r="108" spans="1:3" x14ac:dyDescent="0.25">
      <c r="A108" s="829">
        <v>91091</v>
      </c>
      <c r="B108" s="829" t="s">
        <v>2648</v>
      </c>
      <c r="C108" s="852">
        <v>242147.15</v>
      </c>
    </row>
    <row r="109" spans="1:3" x14ac:dyDescent="0.25">
      <c r="A109" s="829">
        <v>91101</v>
      </c>
      <c r="B109" s="829" t="s">
        <v>2649</v>
      </c>
      <c r="C109" s="852">
        <v>6369471.71</v>
      </c>
    </row>
    <row r="110" spans="1:3" x14ac:dyDescent="0.25">
      <c r="A110" s="829">
        <v>91102</v>
      </c>
      <c r="B110" s="829" t="s">
        <v>2650</v>
      </c>
      <c r="C110" s="852">
        <v>161217.85999999999</v>
      </c>
    </row>
    <row r="111" spans="1:3" x14ac:dyDescent="0.25">
      <c r="A111" s="829">
        <v>91104</v>
      </c>
      <c r="B111" s="829" t="s">
        <v>2651</v>
      </c>
      <c r="C111" s="852">
        <v>7841.5</v>
      </c>
    </row>
    <row r="112" spans="1:3" x14ac:dyDescent="0.25">
      <c r="A112" s="829">
        <v>91107</v>
      </c>
      <c r="B112" s="829" t="s">
        <v>3550</v>
      </c>
      <c r="C112" s="852">
        <v>35656.78</v>
      </c>
    </row>
    <row r="113" spans="1:3" x14ac:dyDescent="0.25">
      <c r="A113" s="829">
        <v>91108</v>
      </c>
      <c r="B113" s="829" t="s">
        <v>2653</v>
      </c>
      <c r="C113" s="852">
        <v>653593.38</v>
      </c>
    </row>
    <row r="114" spans="1:3" x14ac:dyDescent="0.25">
      <c r="A114" s="829">
        <v>91109</v>
      </c>
      <c r="B114" s="829" t="s">
        <v>2654</v>
      </c>
      <c r="C114" s="852">
        <v>52821.48</v>
      </c>
    </row>
    <row r="115" spans="1:3" x14ac:dyDescent="0.25">
      <c r="A115" s="829">
        <v>91111</v>
      </c>
      <c r="B115" s="829" t="s">
        <v>2655</v>
      </c>
      <c r="C115" s="852">
        <v>113814.14</v>
      </c>
    </row>
    <row r="116" spans="1:3" x14ac:dyDescent="0.25">
      <c r="A116" s="829">
        <v>91120</v>
      </c>
      <c r="B116" s="829" t="s">
        <v>2656</v>
      </c>
      <c r="C116" s="852">
        <v>51466.63</v>
      </c>
    </row>
    <row r="117" spans="1:3" x14ac:dyDescent="0.25">
      <c r="A117" s="829">
        <v>91121</v>
      </c>
      <c r="B117" s="829" t="s">
        <v>2657</v>
      </c>
      <c r="C117" s="852">
        <v>4668215.2</v>
      </c>
    </row>
    <row r="118" spans="1:3" x14ac:dyDescent="0.25">
      <c r="A118" s="829">
        <v>91127</v>
      </c>
      <c r="B118" s="829" t="s">
        <v>2658</v>
      </c>
      <c r="C118" s="852">
        <v>160012.03</v>
      </c>
    </row>
    <row r="119" spans="1:3" x14ac:dyDescent="0.25">
      <c r="A119" s="829">
        <v>91128</v>
      </c>
      <c r="B119" s="829" t="s">
        <v>2659</v>
      </c>
      <c r="C119" s="852">
        <v>247626.75</v>
      </c>
    </row>
    <row r="120" spans="1:3" x14ac:dyDescent="0.25">
      <c r="A120" s="829">
        <v>91138</v>
      </c>
      <c r="B120" s="829" t="s">
        <v>2660</v>
      </c>
      <c r="C120" s="852">
        <v>195822.78</v>
      </c>
    </row>
    <row r="121" spans="1:3" x14ac:dyDescent="0.25">
      <c r="A121" s="829">
        <v>91141</v>
      </c>
      <c r="B121" s="829" t="s">
        <v>2661</v>
      </c>
      <c r="C121" s="852">
        <v>259024.41</v>
      </c>
    </row>
    <row r="122" spans="1:3" x14ac:dyDescent="0.25">
      <c r="A122" s="829">
        <v>91147</v>
      </c>
      <c r="B122" s="829" t="s">
        <v>2662</v>
      </c>
      <c r="C122" s="852">
        <v>14428.59</v>
      </c>
    </row>
    <row r="123" spans="1:3" x14ac:dyDescent="0.25">
      <c r="A123" s="829">
        <v>91151</v>
      </c>
      <c r="B123" s="829" t="s">
        <v>2663</v>
      </c>
      <c r="C123" s="852">
        <v>265563.67</v>
      </c>
    </row>
    <row r="124" spans="1:3" x14ac:dyDescent="0.25">
      <c r="A124" s="829">
        <v>91154</v>
      </c>
      <c r="B124" s="829" t="s">
        <v>2664</v>
      </c>
      <c r="C124" s="852">
        <v>11031.76</v>
      </c>
    </row>
    <row r="125" spans="1:3" x14ac:dyDescent="0.25">
      <c r="A125" s="829">
        <v>91161</v>
      </c>
      <c r="B125" s="829" t="s">
        <v>2665</v>
      </c>
      <c r="C125" s="852">
        <v>39612.639999999999</v>
      </c>
    </row>
    <row r="126" spans="1:3" x14ac:dyDescent="0.25">
      <c r="A126" s="829">
        <v>91171</v>
      </c>
      <c r="B126" s="829" t="s">
        <v>2666</v>
      </c>
      <c r="C126" s="852">
        <v>108457.15</v>
      </c>
    </row>
    <row r="127" spans="1:3" x14ac:dyDescent="0.25">
      <c r="A127" s="829">
        <v>91201</v>
      </c>
      <c r="B127" s="829" t="s">
        <v>2667</v>
      </c>
      <c r="C127" s="852">
        <v>1055634.83</v>
      </c>
    </row>
    <row r="128" spans="1:3" x14ac:dyDescent="0.25">
      <c r="A128" s="829">
        <v>91202</v>
      </c>
      <c r="B128" s="829" t="s">
        <v>2668</v>
      </c>
      <c r="C128" s="852">
        <v>98483.79</v>
      </c>
    </row>
    <row r="129" spans="1:3" x14ac:dyDescent="0.25">
      <c r="A129" s="829">
        <v>91203</v>
      </c>
      <c r="B129" s="829" t="s">
        <v>2669</v>
      </c>
      <c r="C129" s="852">
        <v>137099.06</v>
      </c>
    </row>
    <row r="130" spans="1:3" x14ac:dyDescent="0.25">
      <c r="A130" s="829">
        <v>91206</v>
      </c>
      <c r="B130" s="829" t="s">
        <v>2670</v>
      </c>
      <c r="C130" s="852">
        <v>441655</v>
      </c>
    </row>
    <row r="131" spans="1:3" x14ac:dyDescent="0.25">
      <c r="A131" s="829">
        <v>91208</v>
      </c>
      <c r="B131" s="829" t="s">
        <v>2671</v>
      </c>
      <c r="C131" s="852">
        <v>6701.2</v>
      </c>
    </row>
    <row r="132" spans="1:3" x14ac:dyDescent="0.25">
      <c r="A132" s="829">
        <v>91211</v>
      </c>
      <c r="B132" s="829" t="s">
        <v>2672</v>
      </c>
      <c r="C132" s="852">
        <v>205268.23</v>
      </c>
    </row>
    <row r="133" spans="1:3" x14ac:dyDescent="0.25">
      <c r="A133" s="829">
        <v>91213</v>
      </c>
      <c r="B133" s="829" t="s">
        <v>2673</v>
      </c>
      <c r="C133" s="852">
        <v>11721.01</v>
      </c>
    </row>
    <row r="134" spans="1:3" x14ac:dyDescent="0.25">
      <c r="A134" s="829">
        <v>91214</v>
      </c>
      <c r="B134" s="829" t="s">
        <v>2674</v>
      </c>
      <c r="C134" s="852">
        <v>11806.91</v>
      </c>
    </row>
    <row r="135" spans="1:3" x14ac:dyDescent="0.25">
      <c r="A135" s="829">
        <v>91217</v>
      </c>
      <c r="B135" s="829" t="s">
        <v>2675</v>
      </c>
      <c r="C135" s="852">
        <v>14531.74</v>
      </c>
    </row>
    <row r="136" spans="1:3" x14ac:dyDescent="0.25">
      <c r="A136" s="829">
        <v>91221</v>
      </c>
      <c r="B136" s="829" t="s">
        <v>2676</v>
      </c>
      <c r="C136" s="852">
        <v>57643.74</v>
      </c>
    </row>
    <row r="137" spans="1:3" x14ac:dyDescent="0.25">
      <c r="A137" s="829">
        <v>91231</v>
      </c>
      <c r="B137" s="829" t="s">
        <v>2677</v>
      </c>
      <c r="C137" s="852">
        <v>907952.12</v>
      </c>
    </row>
    <row r="138" spans="1:3" x14ac:dyDescent="0.25">
      <c r="A138" s="829">
        <v>91233</v>
      </c>
      <c r="B138" s="829" t="s">
        <v>2678</v>
      </c>
      <c r="C138" s="852">
        <v>22381.89</v>
      </c>
    </row>
    <row r="139" spans="1:3" x14ac:dyDescent="0.25">
      <c r="A139" s="829">
        <v>91241</v>
      </c>
      <c r="B139" s="829" t="s">
        <v>2679</v>
      </c>
      <c r="C139" s="852">
        <v>29020.19</v>
      </c>
    </row>
    <row r="140" spans="1:3" x14ac:dyDescent="0.25">
      <c r="A140" s="829">
        <v>91251</v>
      </c>
      <c r="B140" s="829" t="s">
        <v>2680</v>
      </c>
      <c r="C140" s="852">
        <v>17207.91</v>
      </c>
    </row>
    <row r="141" spans="1:3" x14ac:dyDescent="0.25">
      <c r="A141" s="829">
        <v>91261</v>
      </c>
      <c r="B141" s="829" t="s">
        <v>2681</v>
      </c>
      <c r="C141" s="852">
        <v>4921.62</v>
      </c>
    </row>
    <row r="142" spans="1:3" x14ac:dyDescent="0.25">
      <c r="A142" s="829">
        <v>91301</v>
      </c>
      <c r="B142" s="829" t="s">
        <v>2682</v>
      </c>
      <c r="C142" s="852">
        <v>3634284.41</v>
      </c>
    </row>
    <row r="143" spans="1:3" x14ac:dyDescent="0.25">
      <c r="A143" s="829">
        <v>91302</v>
      </c>
      <c r="B143" s="829" t="s">
        <v>3551</v>
      </c>
      <c r="C143" s="852">
        <v>256040.47</v>
      </c>
    </row>
    <row r="144" spans="1:3" x14ac:dyDescent="0.25">
      <c r="A144" s="829">
        <v>91306</v>
      </c>
      <c r="B144" s="829" t="s">
        <v>2684</v>
      </c>
      <c r="C144" s="852">
        <v>913944.23</v>
      </c>
    </row>
    <row r="145" spans="1:3" x14ac:dyDescent="0.25">
      <c r="A145" s="829">
        <v>91308</v>
      </c>
      <c r="B145" s="829" t="s">
        <v>2685</v>
      </c>
      <c r="C145" s="852">
        <v>81846.03</v>
      </c>
    </row>
    <row r="146" spans="1:3" x14ac:dyDescent="0.25">
      <c r="A146" s="829">
        <v>91311</v>
      </c>
      <c r="B146" s="829" t="s">
        <v>2686</v>
      </c>
      <c r="C146" s="852">
        <v>3635419.91</v>
      </c>
    </row>
    <row r="147" spans="1:3" x14ac:dyDescent="0.25">
      <c r="A147" s="829">
        <v>91317</v>
      </c>
      <c r="B147" s="829" t="s">
        <v>2687</v>
      </c>
      <c r="C147" s="852">
        <v>55268.480000000003</v>
      </c>
    </row>
    <row r="148" spans="1:3" x14ac:dyDescent="0.25">
      <c r="A148" s="829">
        <v>91321</v>
      </c>
      <c r="B148" s="829" t="s">
        <v>2688</v>
      </c>
      <c r="C148" s="852">
        <v>46430.78</v>
      </c>
    </row>
    <row r="149" spans="1:3" x14ac:dyDescent="0.25">
      <c r="A149" s="829">
        <v>91327</v>
      </c>
      <c r="B149" s="829" t="s">
        <v>2689</v>
      </c>
      <c r="C149" s="852">
        <v>4873.43</v>
      </c>
    </row>
    <row r="150" spans="1:3" x14ac:dyDescent="0.25">
      <c r="A150" s="829">
        <v>91331</v>
      </c>
      <c r="B150" s="829" t="s">
        <v>2690</v>
      </c>
      <c r="C150" s="852">
        <v>1293706.05</v>
      </c>
    </row>
    <row r="151" spans="1:3" x14ac:dyDescent="0.25">
      <c r="A151" s="829">
        <v>91341</v>
      </c>
      <c r="B151" s="829" t="s">
        <v>2691</v>
      </c>
      <c r="C151" s="852">
        <v>14437.97</v>
      </c>
    </row>
    <row r="152" spans="1:3" x14ac:dyDescent="0.25">
      <c r="A152" s="829">
        <v>91401</v>
      </c>
      <c r="B152" s="829" t="s">
        <v>2692</v>
      </c>
      <c r="C152" s="852">
        <v>1665858.47</v>
      </c>
    </row>
    <row r="153" spans="1:3" x14ac:dyDescent="0.25">
      <c r="A153" s="829">
        <v>91411</v>
      </c>
      <c r="B153" s="829" t="s">
        <v>2693</v>
      </c>
      <c r="C153" s="852">
        <v>184234.83</v>
      </c>
    </row>
    <row r="154" spans="1:3" x14ac:dyDescent="0.25">
      <c r="A154" s="829">
        <v>91417</v>
      </c>
      <c r="B154" s="829" t="s">
        <v>2694</v>
      </c>
      <c r="C154" s="852">
        <v>5523.81</v>
      </c>
    </row>
    <row r="155" spans="1:3" x14ac:dyDescent="0.25">
      <c r="A155" s="829">
        <v>91421</v>
      </c>
      <c r="B155" s="829" t="s">
        <v>2695</v>
      </c>
      <c r="C155" s="852">
        <v>38840.82</v>
      </c>
    </row>
    <row r="156" spans="1:3" x14ac:dyDescent="0.25">
      <c r="A156" s="829">
        <v>91423</v>
      </c>
      <c r="B156" s="829" t="s">
        <v>2696</v>
      </c>
      <c r="C156" s="852">
        <v>19786.169999999998</v>
      </c>
    </row>
    <row r="157" spans="1:3" x14ac:dyDescent="0.25">
      <c r="A157" s="829">
        <v>91431</v>
      </c>
      <c r="B157" s="829" t="s">
        <v>2697</v>
      </c>
      <c r="C157" s="852">
        <v>88726.05</v>
      </c>
    </row>
    <row r="158" spans="1:3" x14ac:dyDescent="0.25">
      <c r="A158" s="829">
        <v>91441</v>
      </c>
      <c r="B158" s="829" t="s">
        <v>2698</v>
      </c>
      <c r="C158" s="852">
        <v>350488.21</v>
      </c>
    </row>
    <row r="159" spans="1:3" x14ac:dyDescent="0.25">
      <c r="A159" s="829">
        <v>91451</v>
      </c>
      <c r="B159" s="829" t="s">
        <v>2699</v>
      </c>
      <c r="C159" s="852">
        <v>719186.38</v>
      </c>
    </row>
    <row r="160" spans="1:3" x14ac:dyDescent="0.25">
      <c r="A160" s="829">
        <v>91457</v>
      </c>
      <c r="B160" s="829" t="s">
        <v>2700</v>
      </c>
      <c r="C160" s="852">
        <v>29814.83</v>
      </c>
    </row>
    <row r="161" spans="1:3" x14ac:dyDescent="0.25">
      <c r="A161" s="829">
        <v>91461</v>
      </c>
      <c r="B161" s="829" t="s">
        <v>2701</v>
      </c>
      <c r="C161" s="852">
        <v>3124.44</v>
      </c>
    </row>
    <row r="162" spans="1:3" x14ac:dyDescent="0.25">
      <c r="A162" s="829">
        <v>91501</v>
      </c>
      <c r="B162" s="829" t="s">
        <v>2702</v>
      </c>
      <c r="C162" s="852">
        <v>236941.69</v>
      </c>
    </row>
    <row r="163" spans="1:3" x14ac:dyDescent="0.25">
      <c r="A163" s="829">
        <v>91504</v>
      </c>
      <c r="B163" s="829" t="s">
        <v>2703</v>
      </c>
      <c r="C163" s="852">
        <v>6938.79</v>
      </c>
    </row>
    <row r="164" spans="1:3" x14ac:dyDescent="0.25">
      <c r="A164" s="829">
        <v>91601</v>
      </c>
      <c r="B164" s="829" t="s">
        <v>2704</v>
      </c>
      <c r="C164" s="852">
        <v>1390327.92</v>
      </c>
    </row>
    <row r="165" spans="1:3" x14ac:dyDescent="0.25">
      <c r="A165" s="829">
        <v>91604</v>
      </c>
      <c r="B165" s="829" t="s">
        <v>2705</v>
      </c>
      <c r="C165" s="852">
        <v>55839.06</v>
      </c>
    </row>
    <row r="166" spans="1:3" x14ac:dyDescent="0.25">
      <c r="A166" s="829">
        <v>91608</v>
      </c>
      <c r="B166" s="829" t="s">
        <v>2706</v>
      </c>
      <c r="C166" s="852">
        <v>52378.559999999998</v>
      </c>
    </row>
    <row r="167" spans="1:3" x14ac:dyDescent="0.25">
      <c r="A167" s="829">
        <v>91611</v>
      </c>
      <c r="B167" s="829" t="s">
        <v>2707</v>
      </c>
      <c r="C167" s="852">
        <v>614656.17000000004</v>
      </c>
    </row>
    <row r="168" spans="1:3" x14ac:dyDescent="0.25">
      <c r="A168" s="829">
        <v>91621</v>
      </c>
      <c r="B168" s="829" t="s">
        <v>2708</v>
      </c>
      <c r="C168" s="852">
        <v>124283.42</v>
      </c>
    </row>
    <row r="169" spans="1:3" x14ac:dyDescent="0.25">
      <c r="A169" s="829">
        <v>91631</v>
      </c>
      <c r="B169" s="829" t="s">
        <v>2709</v>
      </c>
      <c r="C169" s="852">
        <v>239433.46</v>
      </c>
    </row>
    <row r="170" spans="1:3" x14ac:dyDescent="0.25">
      <c r="A170" s="829">
        <v>91633</v>
      </c>
      <c r="B170" s="829" t="s">
        <v>2710</v>
      </c>
      <c r="C170" s="852">
        <v>10219.19</v>
      </c>
    </row>
    <row r="171" spans="1:3" x14ac:dyDescent="0.25">
      <c r="A171" s="829">
        <v>91641</v>
      </c>
      <c r="B171" s="829" t="s">
        <v>2711</v>
      </c>
      <c r="C171" s="852">
        <v>115065.09</v>
      </c>
    </row>
    <row r="172" spans="1:3" x14ac:dyDescent="0.25">
      <c r="A172" s="829">
        <v>91651</v>
      </c>
      <c r="B172" s="829" t="s">
        <v>2712</v>
      </c>
      <c r="C172" s="852">
        <v>238247.14</v>
      </c>
    </row>
    <row r="173" spans="1:3" x14ac:dyDescent="0.25">
      <c r="A173" s="829">
        <v>91661</v>
      </c>
      <c r="B173" s="829" t="s">
        <v>2713</v>
      </c>
      <c r="C173" s="852">
        <v>66913.820000000007</v>
      </c>
    </row>
    <row r="174" spans="1:3" x14ac:dyDescent="0.25">
      <c r="A174" s="829">
        <v>91671</v>
      </c>
      <c r="B174" s="829" t="s">
        <v>2714</v>
      </c>
      <c r="C174" s="852">
        <v>47244.94</v>
      </c>
    </row>
    <row r="175" spans="1:3" x14ac:dyDescent="0.25">
      <c r="A175" s="829">
        <v>91681</v>
      </c>
      <c r="B175" s="829" t="s">
        <v>2715</v>
      </c>
      <c r="C175" s="852">
        <v>400102.46</v>
      </c>
    </row>
    <row r="176" spans="1:3" x14ac:dyDescent="0.25">
      <c r="A176" s="829">
        <v>91691</v>
      </c>
      <c r="B176" s="829" t="s">
        <v>2716</v>
      </c>
      <c r="C176" s="852">
        <v>11105.62</v>
      </c>
    </row>
    <row r="177" spans="1:3" x14ac:dyDescent="0.25">
      <c r="A177" s="829">
        <v>91701</v>
      </c>
      <c r="B177" s="829" t="s">
        <v>2717</v>
      </c>
      <c r="C177" s="852">
        <v>564446.93000000005</v>
      </c>
    </row>
    <row r="178" spans="1:3" x14ac:dyDescent="0.25">
      <c r="A178" s="829">
        <v>91704</v>
      </c>
      <c r="B178" s="829" t="s">
        <v>2718</v>
      </c>
      <c r="C178" s="852">
        <v>8607.86</v>
      </c>
    </row>
    <row r="179" spans="1:3" x14ac:dyDescent="0.25">
      <c r="A179" s="829">
        <v>91706</v>
      </c>
      <c r="B179" s="829" t="s">
        <v>2719</v>
      </c>
      <c r="C179" s="852">
        <v>166002.10999999999</v>
      </c>
    </row>
    <row r="180" spans="1:3" x14ac:dyDescent="0.25">
      <c r="A180" s="829">
        <v>91719</v>
      </c>
      <c r="B180" s="829" t="s">
        <v>2720</v>
      </c>
      <c r="C180" s="852">
        <v>22115.77</v>
      </c>
    </row>
    <row r="181" spans="1:3" x14ac:dyDescent="0.25">
      <c r="A181" s="829">
        <v>91801</v>
      </c>
      <c r="B181" s="829" t="s">
        <v>2721</v>
      </c>
      <c r="C181" s="852">
        <v>3845158.35</v>
      </c>
    </row>
    <row r="182" spans="1:3" x14ac:dyDescent="0.25">
      <c r="A182" s="829">
        <v>91804</v>
      </c>
      <c r="B182" s="829" t="s">
        <v>2722</v>
      </c>
      <c r="C182" s="852">
        <v>105464.52</v>
      </c>
    </row>
    <row r="183" spans="1:3" x14ac:dyDescent="0.25">
      <c r="A183" s="829">
        <v>91811</v>
      </c>
      <c r="B183" s="829" t="s">
        <v>2723</v>
      </c>
      <c r="C183" s="852">
        <v>2056779.12</v>
      </c>
    </row>
    <row r="184" spans="1:3" x14ac:dyDescent="0.25">
      <c r="A184" s="829">
        <v>91812</v>
      </c>
      <c r="B184" s="829" t="s">
        <v>2724</v>
      </c>
      <c r="C184" s="852">
        <v>28370.39</v>
      </c>
    </row>
    <row r="185" spans="1:3" x14ac:dyDescent="0.25">
      <c r="A185" s="829">
        <v>91813</v>
      </c>
      <c r="B185" s="829" t="s">
        <v>2725</v>
      </c>
      <c r="C185" s="852">
        <v>41692.79</v>
      </c>
    </row>
    <row r="186" spans="1:3" x14ac:dyDescent="0.25">
      <c r="A186" s="829">
        <v>91818</v>
      </c>
      <c r="B186" s="829" t="s">
        <v>2726</v>
      </c>
      <c r="C186" s="852">
        <v>468317.05</v>
      </c>
    </row>
    <row r="187" spans="1:3" x14ac:dyDescent="0.25">
      <c r="A187" s="829">
        <v>91819</v>
      </c>
      <c r="B187" s="829" t="s">
        <v>2727</v>
      </c>
      <c r="C187" s="852">
        <v>156994.41</v>
      </c>
    </row>
    <row r="188" spans="1:3" x14ac:dyDescent="0.25">
      <c r="A188" s="829">
        <v>91821</v>
      </c>
      <c r="B188" s="829" t="s">
        <v>2728</v>
      </c>
      <c r="C188" s="852">
        <v>75806.77</v>
      </c>
    </row>
    <row r="189" spans="1:3" x14ac:dyDescent="0.25">
      <c r="A189" s="829">
        <v>91831</v>
      </c>
      <c r="B189" s="829" t="s">
        <v>2729</v>
      </c>
      <c r="C189" s="852">
        <v>165489.25</v>
      </c>
    </row>
    <row r="190" spans="1:3" x14ac:dyDescent="0.25">
      <c r="A190" s="829">
        <v>91841</v>
      </c>
      <c r="B190" s="829" t="s">
        <v>2730</v>
      </c>
      <c r="C190" s="852">
        <v>125257.59</v>
      </c>
    </row>
    <row r="191" spans="1:3" x14ac:dyDescent="0.25">
      <c r="A191" s="829">
        <v>91851</v>
      </c>
      <c r="B191" s="829" t="s">
        <v>2731</v>
      </c>
      <c r="C191" s="852">
        <v>362200.99</v>
      </c>
    </row>
    <row r="192" spans="1:3" x14ac:dyDescent="0.25">
      <c r="A192" s="829">
        <v>91861</v>
      </c>
      <c r="B192" s="829" t="s">
        <v>2732</v>
      </c>
      <c r="C192" s="852">
        <v>7332.89</v>
      </c>
    </row>
    <row r="193" spans="1:3" x14ac:dyDescent="0.25">
      <c r="A193" s="829">
        <v>91871</v>
      </c>
      <c r="B193" s="829" t="s">
        <v>2733</v>
      </c>
      <c r="C193" s="852">
        <v>615146.46</v>
      </c>
    </row>
    <row r="194" spans="1:3" x14ac:dyDescent="0.25">
      <c r="A194" s="829">
        <v>91881</v>
      </c>
      <c r="B194" s="829" t="s">
        <v>2734</v>
      </c>
      <c r="C194" s="852">
        <v>5098.6400000000003</v>
      </c>
    </row>
    <row r="195" spans="1:3" x14ac:dyDescent="0.25">
      <c r="A195" s="829">
        <v>91901</v>
      </c>
      <c r="B195" s="829" t="s">
        <v>2735</v>
      </c>
      <c r="C195" s="852">
        <v>1743893.92</v>
      </c>
    </row>
    <row r="196" spans="1:3" x14ac:dyDescent="0.25">
      <c r="A196" s="829">
        <v>91903</v>
      </c>
      <c r="B196" s="829" t="s">
        <v>2736</v>
      </c>
      <c r="C196" s="852">
        <v>6537</v>
      </c>
    </row>
    <row r="197" spans="1:3" x14ac:dyDescent="0.25">
      <c r="A197" s="829">
        <v>91904</v>
      </c>
      <c r="B197" s="829" t="s">
        <v>2737</v>
      </c>
      <c r="C197" s="852">
        <v>16612.080000000002</v>
      </c>
    </row>
    <row r="198" spans="1:3" x14ac:dyDescent="0.25">
      <c r="A198" s="829">
        <v>91908</v>
      </c>
      <c r="B198" s="829" t="s">
        <v>2738</v>
      </c>
      <c r="C198" s="852">
        <v>5166.92</v>
      </c>
    </row>
    <row r="199" spans="1:3" x14ac:dyDescent="0.25">
      <c r="A199" s="829">
        <v>91911</v>
      </c>
      <c r="B199" s="829" t="s">
        <v>2739</v>
      </c>
      <c r="C199" s="852">
        <v>231598.93</v>
      </c>
    </row>
    <row r="200" spans="1:3" x14ac:dyDescent="0.25">
      <c r="A200" s="829">
        <v>91917</v>
      </c>
      <c r="B200" s="829" t="s">
        <v>2740</v>
      </c>
      <c r="C200" s="852">
        <v>6945.38</v>
      </c>
    </row>
    <row r="201" spans="1:3" x14ac:dyDescent="0.25">
      <c r="A201" s="829">
        <v>91921</v>
      </c>
      <c r="B201" s="829" t="s">
        <v>2741</v>
      </c>
      <c r="C201" s="852">
        <v>166029.18</v>
      </c>
    </row>
    <row r="202" spans="1:3" x14ac:dyDescent="0.25">
      <c r="A202" s="829">
        <v>92001</v>
      </c>
      <c r="B202" s="829" t="s">
        <v>2742</v>
      </c>
      <c r="C202" s="852">
        <v>863075.18</v>
      </c>
    </row>
    <row r="203" spans="1:3" x14ac:dyDescent="0.25">
      <c r="A203" s="829">
        <v>92005</v>
      </c>
      <c r="B203" s="829" t="s">
        <v>2743</v>
      </c>
      <c r="C203" s="852">
        <v>23807.88</v>
      </c>
    </row>
    <row r="204" spans="1:3" x14ac:dyDescent="0.25">
      <c r="A204" s="829">
        <v>92011</v>
      </c>
      <c r="B204" s="829" t="s">
        <v>2744</v>
      </c>
      <c r="C204" s="852">
        <v>94487.1</v>
      </c>
    </row>
    <row r="205" spans="1:3" x14ac:dyDescent="0.25">
      <c r="A205" s="829">
        <v>92017</v>
      </c>
      <c r="B205" s="829" t="s">
        <v>2745</v>
      </c>
      <c r="C205" s="852">
        <v>18378.2</v>
      </c>
    </row>
    <row r="206" spans="1:3" x14ac:dyDescent="0.25">
      <c r="A206" s="829">
        <v>92021</v>
      </c>
      <c r="B206" s="829" t="s">
        <v>2746</v>
      </c>
      <c r="C206" s="852">
        <v>56797.99</v>
      </c>
    </row>
    <row r="207" spans="1:3" x14ac:dyDescent="0.25">
      <c r="A207" s="829">
        <v>92101</v>
      </c>
      <c r="B207" s="829" t="s">
        <v>2747</v>
      </c>
      <c r="C207" s="852">
        <v>385403.07</v>
      </c>
    </row>
    <row r="208" spans="1:3" x14ac:dyDescent="0.25">
      <c r="A208" s="829">
        <v>92104</v>
      </c>
      <c r="B208" s="829" t="s">
        <v>2748</v>
      </c>
      <c r="C208" s="852">
        <v>5362.87</v>
      </c>
    </row>
    <row r="209" spans="1:3" x14ac:dyDescent="0.25">
      <c r="A209" s="829">
        <v>92109</v>
      </c>
      <c r="B209" s="829" t="s">
        <v>2749</v>
      </c>
      <c r="C209" s="852">
        <v>81663.56</v>
      </c>
    </row>
    <row r="210" spans="1:3" x14ac:dyDescent="0.25">
      <c r="A210" s="829">
        <v>92111</v>
      </c>
      <c r="B210" s="829" t="s">
        <v>2750</v>
      </c>
      <c r="C210" s="852">
        <v>241524.03</v>
      </c>
    </row>
    <row r="211" spans="1:3" x14ac:dyDescent="0.25">
      <c r="A211" s="829">
        <v>92113</v>
      </c>
      <c r="B211" s="829" t="s">
        <v>2751</v>
      </c>
      <c r="C211" s="852">
        <v>12477</v>
      </c>
    </row>
    <row r="212" spans="1:3" x14ac:dyDescent="0.25">
      <c r="A212" s="829">
        <v>92201</v>
      </c>
      <c r="B212" s="829" t="s">
        <v>2752</v>
      </c>
      <c r="C212" s="852">
        <v>466555.83</v>
      </c>
    </row>
    <row r="213" spans="1:3" x14ac:dyDescent="0.25">
      <c r="A213" s="829">
        <v>92214</v>
      </c>
      <c r="B213" s="829" t="s">
        <v>4033</v>
      </c>
      <c r="C213" s="852">
        <v>9828.8799999999992</v>
      </c>
    </row>
    <row r="214" spans="1:3" x14ac:dyDescent="0.25">
      <c r="A214" s="829">
        <v>92301</v>
      </c>
      <c r="B214" s="829" t="s">
        <v>2753</v>
      </c>
      <c r="C214" s="852">
        <v>2605917.56</v>
      </c>
    </row>
    <row r="215" spans="1:3" x14ac:dyDescent="0.25">
      <c r="A215" s="829">
        <v>92302</v>
      </c>
      <c r="B215" s="829" t="s">
        <v>3552</v>
      </c>
      <c r="C215" s="852">
        <v>142815.22</v>
      </c>
    </row>
    <row r="216" spans="1:3" x14ac:dyDescent="0.25">
      <c r="A216" s="829">
        <v>92311</v>
      </c>
      <c r="B216" s="829" t="s">
        <v>2755</v>
      </c>
      <c r="C216" s="852">
        <v>1034114.67</v>
      </c>
    </row>
    <row r="217" spans="1:3" x14ac:dyDescent="0.25">
      <c r="A217" s="829">
        <v>92317</v>
      </c>
      <c r="B217" s="829" t="s">
        <v>2756</v>
      </c>
      <c r="C217" s="852">
        <v>22934.21</v>
      </c>
    </row>
    <row r="218" spans="1:3" x14ac:dyDescent="0.25">
      <c r="A218" s="829">
        <v>92321</v>
      </c>
      <c r="B218" s="829" t="s">
        <v>2757</v>
      </c>
      <c r="C218" s="852">
        <v>602728.48</v>
      </c>
    </row>
    <row r="219" spans="1:3" x14ac:dyDescent="0.25">
      <c r="A219" s="829">
        <v>92327</v>
      </c>
      <c r="B219" s="829" t="s">
        <v>2758</v>
      </c>
      <c r="C219" s="852">
        <v>7041.69</v>
      </c>
    </row>
    <row r="220" spans="1:3" x14ac:dyDescent="0.25">
      <c r="A220" s="829">
        <v>92331</v>
      </c>
      <c r="B220" s="829" t="s">
        <v>2759</v>
      </c>
      <c r="C220" s="852">
        <v>66231.38</v>
      </c>
    </row>
    <row r="221" spans="1:3" x14ac:dyDescent="0.25">
      <c r="A221" s="829">
        <v>92341</v>
      </c>
      <c r="B221" s="829" t="s">
        <v>2760</v>
      </c>
      <c r="C221" s="852">
        <v>3267.72</v>
      </c>
    </row>
    <row r="222" spans="1:3" x14ac:dyDescent="0.25">
      <c r="A222" s="829">
        <v>92351</v>
      </c>
      <c r="B222" s="829" t="s">
        <v>2761</v>
      </c>
      <c r="C222" s="852">
        <v>12788.92</v>
      </c>
    </row>
    <row r="223" spans="1:3" x14ac:dyDescent="0.25">
      <c r="A223" s="829">
        <v>92401</v>
      </c>
      <c r="B223" s="829" t="s">
        <v>2762</v>
      </c>
      <c r="C223" s="852">
        <v>1332379.25</v>
      </c>
    </row>
    <row r="224" spans="1:3" x14ac:dyDescent="0.25">
      <c r="A224" s="829">
        <v>92403</v>
      </c>
      <c r="B224" s="829" t="s">
        <v>2763</v>
      </c>
      <c r="C224" s="852">
        <v>6224.4</v>
      </c>
    </row>
    <row r="225" spans="1:3" x14ac:dyDescent="0.25">
      <c r="A225" s="829">
        <v>92411</v>
      </c>
      <c r="B225" s="829" t="s">
        <v>2764</v>
      </c>
      <c r="C225" s="852">
        <v>212765.28</v>
      </c>
    </row>
    <row r="226" spans="1:3" x14ac:dyDescent="0.25">
      <c r="A226" s="829">
        <v>92417</v>
      </c>
      <c r="B226" s="829" t="s">
        <v>2765</v>
      </c>
      <c r="C226" s="852">
        <v>6522.41</v>
      </c>
    </row>
    <row r="227" spans="1:3" x14ac:dyDescent="0.25">
      <c r="A227" s="829">
        <v>92421</v>
      </c>
      <c r="B227" s="829" t="s">
        <v>2766</v>
      </c>
      <c r="C227" s="852">
        <v>9320.2999999999993</v>
      </c>
    </row>
    <row r="228" spans="1:3" x14ac:dyDescent="0.25">
      <c r="A228" s="829">
        <v>92427</v>
      </c>
      <c r="B228" s="829" t="s">
        <v>2767</v>
      </c>
      <c r="C228" s="852">
        <v>1693.16</v>
      </c>
    </row>
    <row r="229" spans="1:3" x14ac:dyDescent="0.25">
      <c r="A229" s="829">
        <v>92431</v>
      </c>
      <c r="B229" s="829" t="s">
        <v>2768</v>
      </c>
      <c r="C229" s="852">
        <v>16532.62</v>
      </c>
    </row>
    <row r="230" spans="1:3" x14ac:dyDescent="0.25">
      <c r="A230" s="829">
        <v>92441</v>
      </c>
      <c r="B230" s="829" t="s">
        <v>2769</v>
      </c>
      <c r="C230" s="852">
        <v>48364.15</v>
      </c>
    </row>
    <row r="231" spans="1:3" x14ac:dyDescent="0.25">
      <c r="A231" s="829">
        <v>92444</v>
      </c>
      <c r="B231" s="829" t="s">
        <v>2770</v>
      </c>
      <c r="C231" s="852">
        <v>3182.44</v>
      </c>
    </row>
    <row r="232" spans="1:3" x14ac:dyDescent="0.25">
      <c r="A232" s="829">
        <v>92451</v>
      </c>
      <c r="B232" s="829" t="s">
        <v>2771</v>
      </c>
      <c r="C232" s="852">
        <v>79859.87</v>
      </c>
    </row>
    <row r="233" spans="1:3" x14ac:dyDescent="0.25">
      <c r="A233" s="829">
        <v>92461</v>
      </c>
      <c r="B233" s="829" t="s">
        <v>2772</v>
      </c>
      <c r="C233" s="852">
        <v>43080.7</v>
      </c>
    </row>
    <row r="234" spans="1:3" x14ac:dyDescent="0.25">
      <c r="A234" s="829">
        <v>92501</v>
      </c>
      <c r="B234" s="829" t="s">
        <v>2773</v>
      </c>
      <c r="C234" s="852">
        <v>2001121.78</v>
      </c>
    </row>
    <row r="235" spans="1:3" x14ac:dyDescent="0.25">
      <c r="A235" s="829">
        <v>92502</v>
      </c>
      <c r="B235" s="829" t="s">
        <v>2774</v>
      </c>
      <c r="C235" s="852">
        <v>15228.84</v>
      </c>
    </row>
    <row r="236" spans="1:3" x14ac:dyDescent="0.25">
      <c r="A236" s="829">
        <v>92504</v>
      </c>
      <c r="B236" s="829" t="s">
        <v>2775</v>
      </c>
      <c r="C236" s="852">
        <v>50659.74</v>
      </c>
    </row>
    <row r="237" spans="1:3" x14ac:dyDescent="0.25">
      <c r="A237" s="829">
        <v>92505</v>
      </c>
      <c r="B237" s="829" t="s">
        <v>2776</v>
      </c>
      <c r="C237" s="852">
        <v>127842.43</v>
      </c>
    </row>
    <row r="238" spans="1:3" x14ac:dyDescent="0.25">
      <c r="A238" s="829">
        <v>92506</v>
      </c>
      <c r="B238" s="829" t="s">
        <v>2777</v>
      </c>
      <c r="C238" s="852">
        <v>34609.71</v>
      </c>
    </row>
    <row r="239" spans="1:3" x14ac:dyDescent="0.25">
      <c r="A239" s="829">
        <v>92507</v>
      </c>
      <c r="B239" s="829" t="s">
        <v>2778</v>
      </c>
      <c r="C239" s="852">
        <v>38660.58</v>
      </c>
    </row>
    <row r="240" spans="1:3" x14ac:dyDescent="0.25">
      <c r="A240" s="829">
        <v>92508</v>
      </c>
      <c r="B240" s="829" t="s">
        <v>2779</v>
      </c>
      <c r="C240" s="852">
        <v>159816</v>
      </c>
    </row>
    <row r="241" spans="1:16384" x14ac:dyDescent="0.25">
      <c r="A241" s="853" t="s">
        <v>4046</v>
      </c>
      <c r="B241" s="814" t="s">
        <v>4465</v>
      </c>
      <c r="C241" s="852">
        <v>0</v>
      </c>
      <c r="D241" s="814"/>
      <c r="E241" s="813"/>
      <c r="F241" s="814"/>
      <c r="G241" s="813"/>
      <c r="H241" s="814"/>
      <c r="I241" s="813"/>
      <c r="J241" s="814"/>
      <c r="K241" s="813"/>
      <c r="L241" s="814"/>
      <c r="M241" s="813"/>
      <c r="N241" s="814"/>
      <c r="O241" s="813"/>
      <c r="P241" s="814"/>
      <c r="Q241" s="813"/>
      <c r="R241" s="814"/>
      <c r="S241" s="813"/>
      <c r="T241" s="814"/>
      <c r="U241" s="813"/>
      <c r="V241" s="814"/>
      <c r="W241" s="813"/>
      <c r="X241" s="814"/>
      <c r="Y241" s="813"/>
      <c r="Z241" s="814"/>
      <c r="AA241" s="813"/>
      <c r="AB241" s="814"/>
      <c r="AC241" s="813"/>
      <c r="AD241" s="814"/>
      <c r="AE241" s="813"/>
      <c r="AF241" s="814"/>
      <c r="AG241" s="813"/>
      <c r="AH241" s="814"/>
      <c r="AI241" s="813"/>
      <c r="AJ241" s="814"/>
      <c r="AK241" s="813"/>
      <c r="AL241" s="814"/>
      <c r="AM241" s="813"/>
      <c r="AN241" s="814"/>
      <c r="AO241" s="813"/>
      <c r="AP241" s="814"/>
      <c r="AQ241" s="813"/>
      <c r="AR241" s="814"/>
      <c r="AS241" s="813"/>
      <c r="AT241" s="814"/>
      <c r="AU241" s="813"/>
      <c r="AV241" s="814"/>
      <c r="AW241" s="813"/>
      <c r="AX241" s="814"/>
      <c r="AY241" s="813"/>
      <c r="AZ241" s="814"/>
      <c r="BA241" s="813"/>
      <c r="BB241" s="814"/>
      <c r="BC241" s="813"/>
      <c r="BD241" s="814"/>
      <c r="BE241" s="813"/>
      <c r="BF241" s="814"/>
      <c r="BG241" s="813"/>
      <c r="BH241" s="814"/>
      <c r="BI241" s="813"/>
      <c r="BJ241" s="814"/>
      <c r="BK241" s="813"/>
      <c r="BL241" s="814"/>
      <c r="BM241" s="813"/>
      <c r="BN241" s="814"/>
      <c r="BO241" s="813"/>
      <c r="BP241" s="814"/>
      <c r="BQ241" s="813"/>
      <c r="BR241" s="814"/>
      <c r="BS241" s="813"/>
      <c r="BT241" s="814"/>
      <c r="BU241" s="813"/>
      <c r="BV241" s="814"/>
      <c r="BW241" s="813"/>
      <c r="BX241" s="814"/>
      <c r="BY241" s="813"/>
      <c r="BZ241" s="814"/>
      <c r="CA241" s="813"/>
      <c r="CB241" s="814"/>
      <c r="CC241" s="813"/>
      <c r="CD241" s="814"/>
      <c r="CE241" s="813"/>
      <c r="CF241" s="814"/>
      <c r="CG241" s="813"/>
      <c r="CH241" s="814"/>
      <c r="CI241" s="813"/>
      <c r="CJ241" s="814"/>
      <c r="CK241" s="813"/>
      <c r="CL241" s="814"/>
      <c r="CM241" s="813"/>
      <c r="CN241" s="814"/>
      <c r="CO241" s="813"/>
      <c r="CP241" s="814"/>
      <c r="CQ241" s="813"/>
      <c r="CR241" s="814"/>
      <c r="CS241" s="813"/>
      <c r="CT241" s="814"/>
      <c r="CU241" s="813"/>
      <c r="CV241" s="814"/>
      <c r="CW241" s="813"/>
      <c r="CX241" s="814"/>
      <c r="CY241" s="813"/>
      <c r="CZ241" s="814"/>
      <c r="DA241" s="813"/>
      <c r="DB241" s="814"/>
      <c r="DC241" s="813"/>
      <c r="DD241" s="814"/>
      <c r="DE241" s="813"/>
      <c r="DF241" s="814"/>
      <c r="DG241" s="813"/>
      <c r="DH241" s="814"/>
      <c r="DI241" s="813"/>
      <c r="DJ241" s="814"/>
      <c r="DK241" s="813"/>
      <c r="DL241" s="814"/>
      <c r="DM241" s="813"/>
      <c r="DN241" s="814"/>
      <c r="DO241" s="813"/>
      <c r="DP241" s="814"/>
      <c r="DQ241" s="813"/>
      <c r="DR241" s="814"/>
      <c r="DS241" s="813"/>
      <c r="DT241" s="814"/>
      <c r="DU241" s="813"/>
      <c r="DV241" s="814"/>
      <c r="DW241" s="813"/>
      <c r="DX241" s="814"/>
      <c r="DY241" s="813"/>
      <c r="DZ241" s="814"/>
      <c r="EA241" s="813"/>
      <c r="EB241" s="814"/>
      <c r="EC241" s="813"/>
      <c r="ED241" s="814"/>
      <c r="EE241" s="813"/>
      <c r="EF241" s="814"/>
      <c r="EG241" s="813"/>
      <c r="EH241" s="814"/>
      <c r="EI241" s="813"/>
      <c r="EJ241" s="814"/>
      <c r="EK241" s="813"/>
      <c r="EL241" s="814"/>
      <c r="EM241" s="813"/>
      <c r="EN241" s="814"/>
      <c r="EO241" s="813"/>
      <c r="EP241" s="814"/>
      <c r="EQ241" s="813"/>
      <c r="ER241" s="814"/>
      <c r="ES241" s="813"/>
      <c r="ET241" s="814"/>
      <c r="EU241" s="813"/>
      <c r="EV241" s="814"/>
      <c r="EW241" s="813"/>
      <c r="EX241" s="814"/>
      <c r="EY241" s="813"/>
      <c r="EZ241" s="814"/>
      <c r="FA241" s="813"/>
      <c r="FB241" s="814"/>
      <c r="FC241" s="813"/>
      <c r="FD241" s="814"/>
      <c r="FE241" s="813"/>
      <c r="FF241" s="814"/>
      <c r="FG241" s="813"/>
      <c r="FH241" s="814"/>
      <c r="FI241" s="813"/>
      <c r="FJ241" s="814"/>
      <c r="FK241" s="813"/>
      <c r="FL241" s="814"/>
      <c r="FM241" s="813"/>
      <c r="FN241" s="814"/>
      <c r="FO241" s="813"/>
      <c r="FP241" s="814"/>
      <c r="FQ241" s="813"/>
      <c r="FR241" s="814"/>
      <c r="FS241" s="813"/>
      <c r="FT241" s="814"/>
      <c r="FU241" s="813"/>
      <c r="FV241" s="814"/>
      <c r="FW241" s="813"/>
      <c r="FX241" s="814"/>
      <c r="FY241" s="813"/>
      <c r="FZ241" s="814"/>
      <c r="GA241" s="813"/>
      <c r="GB241" s="814"/>
      <c r="GC241" s="813"/>
      <c r="GD241" s="814"/>
      <c r="GE241" s="813"/>
      <c r="GF241" s="814"/>
      <c r="GG241" s="813"/>
      <c r="GH241" s="814"/>
      <c r="GI241" s="813"/>
      <c r="GJ241" s="814"/>
      <c r="GK241" s="813"/>
      <c r="GL241" s="814"/>
      <c r="GM241" s="813"/>
      <c r="GN241" s="814"/>
      <c r="GO241" s="813"/>
      <c r="GP241" s="814"/>
      <c r="GQ241" s="813"/>
      <c r="GR241" s="814"/>
      <c r="GS241" s="813"/>
      <c r="GT241" s="814"/>
      <c r="GU241" s="813"/>
      <c r="GV241" s="814"/>
      <c r="GW241" s="813"/>
      <c r="GX241" s="814"/>
      <c r="GY241" s="813"/>
      <c r="GZ241" s="814"/>
      <c r="HA241" s="813"/>
      <c r="HB241" s="814"/>
      <c r="HC241" s="813"/>
      <c r="HD241" s="814"/>
      <c r="HE241" s="813"/>
      <c r="HF241" s="814"/>
      <c r="HG241" s="813"/>
      <c r="HH241" s="814"/>
      <c r="HI241" s="813"/>
      <c r="HJ241" s="814"/>
      <c r="HK241" s="813"/>
      <c r="HL241" s="814"/>
      <c r="HM241" s="813"/>
      <c r="HN241" s="814"/>
      <c r="HO241" s="813"/>
      <c r="HP241" s="814"/>
      <c r="HQ241" s="813"/>
      <c r="HR241" s="814"/>
      <c r="HS241" s="813"/>
      <c r="HT241" s="814"/>
      <c r="HU241" s="813"/>
      <c r="HV241" s="814"/>
      <c r="HW241" s="813"/>
      <c r="HX241" s="814"/>
      <c r="HY241" s="813"/>
      <c r="HZ241" s="814"/>
      <c r="IA241" s="813"/>
      <c r="IB241" s="814"/>
      <c r="IC241" s="813"/>
      <c r="ID241" s="814"/>
      <c r="IE241" s="813"/>
      <c r="IF241" s="814"/>
      <c r="IG241" s="813"/>
      <c r="IH241" s="814"/>
      <c r="II241" s="813"/>
      <c r="IJ241" s="814"/>
      <c r="IK241" s="813"/>
      <c r="IL241" s="814"/>
      <c r="IM241" s="813"/>
      <c r="IN241" s="814"/>
      <c r="IO241" s="813"/>
      <c r="IP241" s="814"/>
      <c r="IQ241" s="813"/>
      <c r="IR241" s="814"/>
      <c r="IS241" s="813"/>
      <c r="IT241" s="814"/>
      <c r="IU241" s="813"/>
      <c r="IV241" s="814"/>
      <c r="IW241" s="813"/>
      <c r="IX241" s="814"/>
      <c r="IY241" s="813"/>
      <c r="IZ241" s="814"/>
      <c r="JA241" s="813"/>
      <c r="JB241" s="814"/>
      <c r="JC241" s="813"/>
      <c r="JD241" s="814"/>
      <c r="JE241" s="813"/>
      <c r="JF241" s="814"/>
      <c r="JG241" s="813"/>
      <c r="JH241" s="814"/>
      <c r="JI241" s="813"/>
      <c r="JJ241" s="814"/>
      <c r="JK241" s="813"/>
      <c r="JL241" s="814"/>
      <c r="JM241" s="813"/>
      <c r="JN241" s="814"/>
      <c r="JO241" s="813"/>
      <c r="JP241" s="814"/>
      <c r="JQ241" s="813"/>
      <c r="JR241" s="814"/>
      <c r="JS241" s="813"/>
      <c r="JT241" s="814"/>
      <c r="JU241" s="813"/>
      <c r="JV241" s="814"/>
      <c r="JW241" s="813"/>
      <c r="JX241" s="814"/>
      <c r="JY241" s="813"/>
      <c r="JZ241" s="814"/>
      <c r="KA241" s="813"/>
      <c r="KB241" s="814"/>
      <c r="KC241" s="813"/>
      <c r="KD241" s="814"/>
      <c r="KE241" s="813"/>
      <c r="KF241" s="814"/>
      <c r="KG241" s="813"/>
      <c r="KH241" s="814"/>
      <c r="KI241" s="813"/>
      <c r="KJ241" s="814"/>
      <c r="KK241" s="813"/>
      <c r="KL241" s="814"/>
      <c r="KM241" s="813"/>
      <c r="KN241" s="814"/>
      <c r="KO241" s="813"/>
      <c r="KP241" s="814"/>
      <c r="KQ241" s="813"/>
      <c r="KR241" s="814"/>
      <c r="KS241" s="813"/>
      <c r="KT241" s="814"/>
      <c r="KU241" s="813"/>
      <c r="KV241" s="814"/>
      <c r="KW241" s="813"/>
      <c r="KX241" s="814"/>
      <c r="KY241" s="813"/>
      <c r="KZ241" s="814"/>
      <c r="LA241" s="813"/>
      <c r="LB241" s="814"/>
      <c r="LC241" s="813"/>
      <c r="LD241" s="814"/>
      <c r="LE241" s="813"/>
      <c r="LF241" s="814"/>
      <c r="LG241" s="813"/>
      <c r="LH241" s="814"/>
      <c r="LI241" s="813"/>
      <c r="LJ241" s="814"/>
      <c r="LK241" s="813"/>
      <c r="LL241" s="814"/>
      <c r="LM241" s="813"/>
      <c r="LN241" s="814"/>
      <c r="LO241" s="813"/>
      <c r="LP241" s="814"/>
      <c r="LQ241" s="813"/>
      <c r="LR241" s="814"/>
      <c r="LS241" s="813"/>
      <c r="LT241" s="814"/>
      <c r="LU241" s="813"/>
      <c r="LV241" s="814"/>
      <c r="LW241" s="813"/>
      <c r="LX241" s="814"/>
      <c r="LY241" s="813"/>
      <c r="LZ241" s="814"/>
      <c r="MA241" s="813"/>
      <c r="MB241" s="814"/>
      <c r="MC241" s="813"/>
      <c r="MD241" s="814"/>
      <c r="ME241" s="813"/>
      <c r="MF241" s="814"/>
      <c r="MG241" s="813"/>
      <c r="MH241" s="814"/>
      <c r="MI241" s="813"/>
      <c r="MJ241" s="814"/>
      <c r="MK241" s="813"/>
      <c r="ML241" s="814"/>
      <c r="MM241" s="813"/>
      <c r="MN241" s="814"/>
      <c r="MO241" s="813"/>
      <c r="MP241" s="814"/>
      <c r="MQ241" s="813"/>
      <c r="MR241" s="814"/>
      <c r="MS241" s="813"/>
      <c r="MT241" s="814"/>
      <c r="MU241" s="813"/>
      <c r="MV241" s="814"/>
      <c r="MW241" s="813"/>
      <c r="MX241" s="814"/>
      <c r="MY241" s="813"/>
      <c r="MZ241" s="814"/>
      <c r="NA241" s="813"/>
      <c r="NB241" s="814"/>
      <c r="NC241" s="813"/>
      <c r="ND241" s="814"/>
      <c r="NE241" s="813"/>
      <c r="NF241" s="814"/>
      <c r="NG241" s="813"/>
      <c r="NH241" s="814"/>
      <c r="NI241" s="813"/>
      <c r="NJ241" s="814"/>
      <c r="NK241" s="813"/>
      <c r="NL241" s="814"/>
      <c r="NM241" s="813"/>
      <c r="NN241" s="814"/>
      <c r="NO241" s="813"/>
      <c r="NP241" s="814"/>
      <c r="NQ241" s="813"/>
      <c r="NR241" s="814"/>
      <c r="NS241" s="813"/>
      <c r="NT241" s="814"/>
      <c r="NU241" s="813"/>
      <c r="NV241" s="814"/>
      <c r="NW241" s="813"/>
      <c r="NX241" s="814"/>
      <c r="NY241" s="813"/>
      <c r="NZ241" s="814"/>
      <c r="OA241" s="813"/>
      <c r="OB241" s="814"/>
      <c r="OC241" s="813"/>
      <c r="OD241" s="814"/>
      <c r="OE241" s="813"/>
      <c r="OF241" s="814"/>
      <c r="OG241" s="813"/>
      <c r="OH241" s="814"/>
      <c r="OI241" s="813"/>
      <c r="OJ241" s="814"/>
      <c r="OK241" s="813"/>
      <c r="OL241" s="814"/>
      <c r="OM241" s="813"/>
      <c r="ON241" s="814"/>
      <c r="OO241" s="813"/>
      <c r="OP241" s="814"/>
      <c r="OQ241" s="813"/>
      <c r="OR241" s="814"/>
      <c r="OS241" s="813"/>
      <c r="OT241" s="814"/>
      <c r="OU241" s="813"/>
      <c r="OV241" s="814"/>
      <c r="OW241" s="813"/>
      <c r="OX241" s="814"/>
      <c r="OY241" s="813"/>
      <c r="OZ241" s="814"/>
      <c r="PA241" s="813"/>
      <c r="PB241" s="814"/>
      <c r="PC241" s="813"/>
      <c r="PD241" s="814"/>
      <c r="PE241" s="813"/>
      <c r="PF241" s="814"/>
      <c r="PG241" s="813"/>
      <c r="PH241" s="814"/>
      <c r="PI241" s="813"/>
      <c r="PJ241" s="814"/>
      <c r="PK241" s="813"/>
      <c r="PL241" s="814"/>
      <c r="PM241" s="813"/>
      <c r="PN241" s="814"/>
      <c r="PO241" s="813"/>
      <c r="PP241" s="814"/>
      <c r="PQ241" s="813"/>
      <c r="PR241" s="814"/>
      <c r="PS241" s="813"/>
      <c r="PT241" s="814"/>
      <c r="PU241" s="813"/>
      <c r="PV241" s="814"/>
      <c r="PW241" s="813"/>
      <c r="PX241" s="814"/>
      <c r="PY241" s="813"/>
      <c r="PZ241" s="814"/>
      <c r="QA241" s="813"/>
      <c r="QB241" s="814"/>
      <c r="QC241" s="813"/>
      <c r="QD241" s="814"/>
      <c r="QE241" s="813"/>
      <c r="QF241" s="814"/>
      <c r="QG241" s="813"/>
      <c r="QH241" s="814"/>
      <c r="QI241" s="813"/>
      <c r="QJ241" s="814"/>
      <c r="QK241" s="813"/>
      <c r="QL241" s="814"/>
      <c r="QM241" s="813"/>
      <c r="QN241" s="814"/>
      <c r="QO241" s="813"/>
      <c r="QP241" s="814"/>
      <c r="QQ241" s="813"/>
      <c r="QR241" s="814"/>
      <c r="QS241" s="813"/>
      <c r="QT241" s="814"/>
      <c r="QU241" s="813"/>
      <c r="QV241" s="814"/>
      <c r="QW241" s="813"/>
      <c r="QX241" s="814"/>
      <c r="QY241" s="813"/>
      <c r="QZ241" s="814"/>
      <c r="RA241" s="813"/>
      <c r="RB241" s="814"/>
      <c r="RC241" s="813"/>
      <c r="RD241" s="814"/>
      <c r="RE241" s="813"/>
      <c r="RF241" s="814"/>
      <c r="RG241" s="813"/>
      <c r="RH241" s="814"/>
      <c r="RI241" s="813"/>
      <c r="RJ241" s="814"/>
      <c r="RK241" s="813"/>
      <c r="RL241" s="814"/>
      <c r="RM241" s="813"/>
      <c r="RN241" s="814"/>
      <c r="RO241" s="813"/>
      <c r="RP241" s="814"/>
      <c r="RQ241" s="813"/>
      <c r="RR241" s="814"/>
      <c r="RS241" s="813"/>
      <c r="RT241" s="814"/>
      <c r="RU241" s="813"/>
      <c r="RV241" s="814"/>
      <c r="RW241" s="813"/>
      <c r="RX241" s="814"/>
      <c r="RY241" s="813"/>
      <c r="RZ241" s="814"/>
      <c r="SA241" s="813"/>
      <c r="SB241" s="814"/>
      <c r="SC241" s="813"/>
      <c r="SD241" s="814"/>
      <c r="SE241" s="813"/>
      <c r="SF241" s="814"/>
      <c r="SG241" s="813"/>
      <c r="SH241" s="814"/>
      <c r="SI241" s="813"/>
      <c r="SJ241" s="814"/>
      <c r="SK241" s="813"/>
      <c r="SL241" s="814"/>
      <c r="SM241" s="813"/>
      <c r="SN241" s="814"/>
      <c r="SO241" s="813"/>
      <c r="SP241" s="814"/>
      <c r="SQ241" s="813"/>
      <c r="SR241" s="814"/>
      <c r="SS241" s="813"/>
      <c r="ST241" s="814"/>
      <c r="SU241" s="813"/>
      <c r="SV241" s="814"/>
      <c r="SW241" s="813"/>
      <c r="SX241" s="814"/>
      <c r="SY241" s="813"/>
      <c r="SZ241" s="814"/>
      <c r="TA241" s="813"/>
      <c r="TB241" s="814"/>
      <c r="TC241" s="813"/>
      <c r="TD241" s="814"/>
      <c r="TE241" s="813"/>
      <c r="TF241" s="814"/>
      <c r="TG241" s="813"/>
      <c r="TH241" s="814"/>
      <c r="TI241" s="813"/>
      <c r="TJ241" s="814"/>
      <c r="TK241" s="813"/>
      <c r="TL241" s="814"/>
      <c r="TM241" s="813"/>
      <c r="TN241" s="814"/>
      <c r="TO241" s="813"/>
      <c r="TP241" s="814"/>
      <c r="TQ241" s="813"/>
      <c r="TR241" s="814"/>
      <c r="TS241" s="813"/>
      <c r="TT241" s="814"/>
      <c r="TU241" s="813"/>
      <c r="TV241" s="814"/>
      <c r="TW241" s="813"/>
      <c r="TX241" s="814"/>
      <c r="TY241" s="813"/>
      <c r="TZ241" s="814"/>
      <c r="UA241" s="813"/>
      <c r="UB241" s="814"/>
      <c r="UC241" s="813"/>
      <c r="UD241" s="814"/>
      <c r="UE241" s="813"/>
      <c r="UF241" s="814"/>
      <c r="UG241" s="813"/>
      <c r="UH241" s="814"/>
      <c r="UI241" s="813"/>
      <c r="UJ241" s="814"/>
      <c r="UK241" s="813"/>
      <c r="UL241" s="814"/>
      <c r="UM241" s="813"/>
      <c r="UN241" s="814"/>
      <c r="UO241" s="813"/>
      <c r="UP241" s="814"/>
      <c r="UQ241" s="813"/>
      <c r="UR241" s="814"/>
      <c r="US241" s="813"/>
      <c r="UT241" s="814"/>
      <c r="UU241" s="813"/>
      <c r="UV241" s="814"/>
      <c r="UW241" s="813"/>
      <c r="UX241" s="814"/>
      <c r="UY241" s="813"/>
      <c r="UZ241" s="814"/>
      <c r="VA241" s="813"/>
      <c r="VB241" s="814"/>
      <c r="VC241" s="813"/>
      <c r="VD241" s="814"/>
      <c r="VE241" s="813"/>
      <c r="VF241" s="814"/>
      <c r="VG241" s="813"/>
      <c r="VH241" s="814"/>
      <c r="VI241" s="813"/>
      <c r="VJ241" s="814"/>
      <c r="VK241" s="813"/>
      <c r="VL241" s="814"/>
      <c r="VM241" s="813"/>
      <c r="VN241" s="814"/>
      <c r="VO241" s="813"/>
      <c r="VP241" s="814"/>
      <c r="VQ241" s="813"/>
      <c r="VR241" s="814"/>
      <c r="VS241" s="813"/>
      <c r="VT241" s="814"/>
      <c r="VU241" s="813"/>
      <c r="VV241" s="814"/>
      <c r="VW241" s="813"/>
      <c r="VX241" s="814"/>
      <c r="VY241" s="813"/>
      <c r="VZ241" s="814"/>
      <c r="WA241" s="813"/>
      <c r="WB241" s="814"/>
      <c r="WC241" s="813"/>
      <c r="WD241" s="814"/>
      <c r="WE241" s="813"/>
      <c r="WF241" s="814"/>
      <c r="WG241" s="813"/>
      <c r="WH241" s="814"/>
      <c r="WI241" s="813"/>
      <c r="WJ241" s="814"/>
      <c r="WK241" s="813"/>
      <c r="WL241" s="814"/>
      <c r="WM241" s="813"/>
      <c r="WN241" s="814"/>
      <c r="WO241" s="813"/>
      <c r="WP241" s="814"/>
      <c r="WQ241" s="813"/>
      <c r="WR241" s="814"/>
      <c r="WS241" s="813"/>
      <c r="WT241" s="814"/>
      <c r="WU241" s="813"/>
      <c r="WV241" s="814"/>
      <c r="WW241" s="813"/>
      <c r="WX241" s="814"/>
      <c r="WY241" s="813"/>
      <c r="WZ241" s="814"/>
      <c r="XA241" s="813"/>
      <c r="XB241" s="814"/>
      <c r="XC241" s="813"/>
      <c r="XD241" s="814"/>
      <c r="XE241" s="813"/>
      <c r="XF241" s="814"/>
      <c r="XG241" s="813"/>
      <c r="XH241" s="814"/>
      <c r="XI241" s="813"/>
      <c r="XJ241" s="814"/>
      <c r="XK241" s="813"/>
      <c r="XL241" s="814"/>
      <c r="XM241" s="813"/>
      <c r="XN241" s="814"/>
      <c r="XO241" s="813"/>
      <c r="XP241" s="814"/>
      <c r="XQ241" s="813"/>
      <c r="XR241" s="814"/>
      <c r="XS241" s="813"/>
      <c r="XT241" s="814"/>
      <c r="XU241" s="813"/>
      <c r="XV241" s="814"/>
      <c r="XW241" s="813"/>
      <c r="XX241" s="814"/>
      <c r="XY241" s="813"/>
      <c r="XZ241" s="814"/>
      <c r="YA241" s="813"/>
      <c r="YB241" s="814"/>
      <c r="YC241" s="813"/>
      <c r="YD241" s="814"/>
      <c r="YE241" s="813"/>
      <c r="YF241" s="814"/>
      <c r="YG241" s="813"/>
      <c r="YH241" s="814"/>
      <c r="YI241" s="813"/>
      <c r="YJ241" s="814"/>
      <c r="YK241" s="813"/>
      <c r="YL241" s="814"/>
      <c r="YM241" s="813"/>
      <c r="YN241" s="814"/>
      <c r="YO241" s="813"/>
      <c r="YP241" s="814"/>
      <c r="YQ241" s="813"/>
      <c r="YR241" s="814"/>
      <c r="YS241" s="813"/>
      <c r="YT241" s="814"/>
      <c r="YU241" s="813"/>
      <c r="YV241" s="814"/>
      <c r="YW241" s="813"/>
      <c r="YX241" s="814"/>
      <c r="YY241" s="813"/>
      <c r="YZ241" s="814"/>
      <c r="ZA241" s="813"/>
      <c r="ZB241" s="814"/>
      <c r="ZC241" s="813"/>
      <c r="ZD241" s="814"/>
      <c r="ZE241" s="813"/>
      <c r="ZF241" s="814"/>
      <c r="ZG241" s="813"/>
      <c r="ZH241" s="814"/>
      <c r="ZI241" s="813"/>
      <c r="ZJ241" s="814"/>
      <c r="ZK241" s="813"/>
      <c r="ZL241" s="814"/>
      <c r="ZM241" s="813"/>
      <c r="ZN241" s="814"/>
      <c r="ZO241" s="813"/>
      <c r="ZP241" s="814"/>
      <c r="ZQ241" s="813"/>
      <c r="ZR241" s="814"/>
      <c r="ZS241" s="813"/>
      <c r="ZT241" s="814"/>
      <c r="ZU241" s="813"/>
      <c r="ZV241" s="814"/>
      <c r="ZW241" s="813"/>
      <c r="ZX241" s="814"/>
      <c r="ZY241" s="813"/>
      <c r="ZZ241" s="814"/>
      <c r="AAA241" s="813"/>
      <c r="AAB241" s="814"/>
      <c r="AAC241" s="813"/>
      <c r="AAD241" s="814"/>
      <c r="AAE241" s="813"/>
      <c r="AAF241" s="814"/>
      <c r="AAG241" s="813"/>
      <c r="AAH241" s="814"/>
      <c r="AAI241" s="813"/>
      <c r="AAJ241" s="814"/>
      <c r="AAK241" s="813"/>
      <c r="AAL241" s="814"/>
      <c r="AAM241" s="813"/>
      <c r="AAN241" s="814"/>
      <c r="AAO241" s="813"/>
      <c r="AAP241" s="814"/>
      <c r="AAQ241" s="813"/>
      <c r="AAR241" s="814"/>
      <c r="AAS241" s="813"/>
      <c r="AAT241" s="814"/>
      <c r="AAU241" s="813"/>
      <c r="AAV241" s="814"/>
      <c r="AAW241" s="813"/>
      <c r="AAX241" s="814"/>
      <c r="AAY241" s="813"/>
      <c r="AAZ241" s="814"/>
      <c r="ABA241" s="813"/>
      <c r="ABB241" s="814"/>
      <c r="ABC241" s="813"/>
      <c r="ABD241" s="814"/>
      <c r="ABE241" s="813"/>
      <c r="ABF241" s="814"/>
      <c r="ABG241" s="813"/>
      <c r="ABH241" s="814"/>
      <c r="ABI241" s="813"/>
      <c r="ABJ241" s="814"/>
      <c r="ABK241" s="813"/>
      <c r="ABL241" s="814"/>
      <c r="ABM241" s="813"/>
      <c r="ABN241" s="814"/>
      <c r="ABO241" s="813"/>
      <c r="ABP241" s="814"/>
      <c r="ABQ241" s="813"/>
      <c r="ABR241" s="814"/>
      <c r="ABS241" s="813"/>
      <c r="ABT241" s="814"/>
      <c r="ABU241" s="813"/>
      <c r="ABV241" s="814"/>
      <c r="ABW241" s="813"/>
      <c r="ABX241" s="814"/>
      <c r="ABY241" s="813"/>
      <c r="ABZ241" s="814"/>
      <c r="ACA241" s="813"/>
      <c r="ACB241" s="814"/>
      <c r="ACC241" s="813"/>
      <c r="ACD241" s="814"/>
      <c r="ACE241" s="813"/>
      <c r="ACF241" s="814"/>
      <c r="ACG241" s="813"/>
      <c r="ACH241" s="814"/>
      <c r="ACI241" s="813"/>
      <c r="ACJ241" s="814"/>
      <c r="ACK241" s="813"/>
      <c r="ACL241" s="814"/>
      <c r="ACM241" s="813"/>
      <c r="ACN241" s="814"/>
      <c r="ACO241" s="813"/>
      <c r="ACP241" s="814"/>
      <c r="ACQ241" s="813"/>
      <c r="ACR241" s="814"/>
      <c r="ACS241" s="813"/>
      <c r="ACT241" s="814"/>
      <c r="ACU241" s="813"/>
      <c r="ACV241" s="814"/>
      <c r="ACW241" s="813"/>
      <c r="ACX241" s="814"/>
      <c r="ACY241" s="813"/>
      <c r="ACZ241" s="814"/>
      <c r="ADA241" s="813"/>
      <c r="ADB241" s="814"/>
      <c r="ADC241" s="813"/>
      <c r="ADD241" s="814"/>
      <c r="ADE241" s="813"/>
      <c r="ADF241" s="814"/>
      <c r="ADG241" s="813"/>
      <c r="ADH241" s="814"/>
      <c r="ADI241" s="813"/>
      <c r="ADJ241" s="814"/>
      <c r="ADK241" s="813"/>
      <c r="ADL241" s="814"/>
      <c r="ADM241" s="813"/>
      <c r="ADN241" s="814"/>
      <c r="ADO241" s="813"/>
      <c r="ADP241" s="814"/>
      <c r="ADQ241" s="813"/>
      <c r="ADR241" s="814"/>
      <c r="ADS241" s="813"/>
      <c r="ADT241" s="814"/>
      <c r="ADU241" s="813"/>
      <c r="ADV241" s="814"/>
      <c r="ADW241" s="813"/>
      <c r="ADX241" s="814"/>
      <c r="ADY241" s="813"/>
      <c r="ADZ241" s="814"/>
      <c r="AEA241" s="813"/>
      <c r="AEB241" s="814"/>
      <c r="AEC241" s="813"/>
      <c r="AED241" s="814"/>
      <c r="AEE241" s="813"/>
      <c r="AEF241" s="814"/>
      <c r="AEG241" s="813"/>
      <c r="AEH241" s="814"/>
      <c r="AEI241" s="813"/>
      <c r="AEJ241" s="814"/>
      <c r="AEK241" s="813"/>
      <c r="AEL241" s="814"/>
      <c r="AEM241" s="813"/>
      <c r="AEN241" s="814"/>
      <c r="AEO241" s="813"/>
      <c r="AEP241" s="814"/>
      <c r="AEQ241" s="813"/>
      <c r="AER241" s="814"/>
      <c r="AES241" s="813"/>
      <c r="AET241" s="814"/>
      <c r="AEU241" s="813"/>
      <c r="AEV241" s="814"/>
      <c r="AEW241" s="813"/>
      <c r="AEX241" s="814"/>
      <c r="AEY241" s="813"/>
      <c r="AEZ241" s="814"/>
      <c r="AFA241" s="813"/>
      <c r="AFB241" s="814"/>
      <c r="AFC241" s="813"/>
      <c r="AFD241" s="814"/>
      <c r="AFE241" s="813"/>
      <c r="AFF241" s="814"/>
      <c r="AFG241" s="813"/>
      <c r="AFH241" s="814"/>
      <c r="AFI241" s="813"/>
      <c r="AFJ241" s="814"/>
      <c r="AFK241" s="813"/>
      <c r="AFL241" s="814"/>
      <c r="AFM241" s="813"/>
      <c r="AFN241" s="814"/>
      <c r="AFO241" s="813"/>
      <c r="AFP241" s="814"/>
      <c r="AFQ241" s="813"/>
      <c r="AFR241" s="814"/>
      <c r="AFS241" s="813"/>
      <c r="AFT241" s="814"/>
      <c r="AFU241" s="813"/>
      <c r="AFV241" s="814"/>
      <c r="AFW241" s="813"/>
      <c r="AFX241" s="814"/>
      <c r="AFY241" s="813"/>
      <c r="AFZ241" s="814"/>
      <c r="AGA241" s="813"/>
      <c r="AGB241" s="814"/>
      <c r="AGC241" s="813"/>
      <c r="AGD241" s="814"/>
      <c r="AGE241" s="813"/>
      <c r="AGF241" s="814"/>
      <c r="AGG241" s="813"/>
      <c r="AGH241" s="814"/>
      <c r="AGI241" s="813"/>
      <c r="AGJ241" s="814"/>
      <c r="AGK241" s="813"/>
      <c r="AGL241" s="814"/>
      <c r="AGM241" s="813"/>
      <c r="AGN241" s="814"/>
      <c r="AGO241" s="813"/>
      <c r="AGP241" s="814"/>
      <c r="AGQ241" s="813"/>
      <c r="AGR241" s="814"/>
      <c r="AGS241" s="813"/>
      <c r="AGT241" s="814"/>
      <c r="AGU241" s="813"/>
      <c r="AGV241" s="814"/>
      <c r="AGW241" s="813"/>
      <c r="AGX241" s="814"/>
      <c r="AGY241" s="813"/>
      <c r="AGZ241" s="814"/>
      <c r="AHA241" s="813"/>
      <c r="AHB241" s="814"/>
      <c r="AHC241" s="813"/>
      <c r="AHD241" s="814"/>
      <c r="AHE241" s="813"/>
      <c r="AHF241" s="814"/>
      <c r="AHG241" s="813"/>
      <c r="AHH241" s="814"/>
      <c r="AHI241" s="813"/>
      <c r="AHJ241" s="814"/>
      <c r="AHK241" s="813"/>
      <c r="AHL241" s="814"/>
      <c r="AHM241" s="813"/>
      <c r="AHN241" s="814"/>
      <c r="AHO241" s="813"/>
      <c r="AHP241" s="814"/>
      <c r="AHQ241" s="813"/>
      <c r="AHR241" s="814"/>
      <c r="AHS241" s="813"/>
      <c r="AHT241" s="814"/>
      <c r="AHU241" s="813"/>
      <c r="AHV241" s="814"/>
      <c r="AHW241" s="813"/>
      <c r="AHX241" s="814"/>
      <c r="AHY241" s="813"/>
      <c r="AHZ241" s="814"/>
      <c r="AIA241" s="813"/>
      <c r="AIB241" s="814"/>
      <c r="AIC241" s="813"/>
      <c r="AID241" s="814"/>
      <c r="AIE241" s="813"/>
      <c r="AIF241" s="814"/>
      <c r="AIG241" s="813"/>
      <c r="AIH241" s="814"/>
      <c r="AII241" s="813"/>
      <c r="AIJ241" s="814"/>
      <c r="AIK241" s="813"/>
      <c r="AIL241" s="814"/>
      <c r="AIM241" s="813"/>
      <c r="AIN241" s="814"/>
      <c r="AIO241" s="813"/>
      <c r="AIP241" s="814"/>
      <c r="AIQ241" s="813"/>
      <c r="AIR241" s="814"/>
      <c r="AIS241" s="813"/>
      <c r="AIT241" s="814"/>
      <c r="AIU241" s="813"/>
      <c r="AIV241" s="814"/>
      <c r="AIW241" s="813"/>
      <c r="AIX241" s="814"/>
      <c r="AIY241" s="813"/>
      <c r="AIZ241" s="814"/>
      <c r="AJA241" s="813"/>
      <c r="AJB241" s="814"/>
      <c r="AJC241" s="813"/>
      <c r="AJD241" s="814"/>
      <c r="AJE241" s="813"/>
      <c r="AJF241" s="814"/>
      <c r="AJG241" s="813"/>
      <c r="AJH241" s="814"/>
      <c r="AJI241" s="813"/>
      <c r="AJJ241" s="814"/>
      <c r="AJK241" s="813"/>
      <c r="AJL241" s="814"/>
      <c r="AJM241" s="813"/>
      <c r="AJN241" s="814"/>
      <c r="AJO241" s="813"/>
      <c r="AJP241" s="814"/>
      <c r="AJQ241" s="813"/>
      <c r="AJR241" s="814"/>
      <c r="AJS241" s="813"/>
      <c r="AJT241" s="814"/>
      <c r="AJU241" s="813"/>
      <c r="AJV241" s="814"/>
      <c r="AJW241" s="813"/>
      <c r="AJX241" s="814"/>
      <c r="AJY241" s="813"/>
      <c r="AJZ241" s="814"/>
      <c r="AKA241" s="813"/>
      <c r="AKB241" s="814"/>
      <c r="AKC241" s="813"/>
      <c r="AKD241" s="814"/>
      <c r="AKE241" s="813"/>
      <c r="AKF241" s="814"/>
      <c r="AKG241" s="813"/>
      <c r="AKH241" s="814"/>
      <c r="AKI241" s="813"/>
      <c r="AKJ241" s="814"/>
      <c r="AKK241" s="813"/>
      <c r="AKL241" s="814"/>
      <c r="AKM241" s="813"/>
      <c r="AKN241" s="814"/>
      <c r="AKO241" s="813"/>
      <c r="AKP241" s="814"/>
      <c r="AKQ241" s="813"/>
      <c r="AKR241" s="814"/>
      <c r="AKS241" s="813"/>
      <c r="AKT241" s="814"/>
      <c r="AKU241" s="813"/>
      <c r="AKV241" s="814"/>
      <c r="AKW241" s="813"/>
      <c r="AKX241" s="814"/>
      <c r="AKY241" s="813"/>
      <c r="AKZ241" s="814"/>
      <c r="ALA241" s="813"/>
      <c r="ALB241" s="814"/>
      <c r="ALC241" s="813"/>
      <c r="ALD241" s="814"/>
      <c r="ALE241" s="813"/>
      <c r="ALF241" s="814"/>
      <c r="ALG241" s="813"/>
      <c r="ALH241" s="814"/>
      <c r="ALI241" s="813"/>
      <c r="ALJ241" s="814"/>
      <c r="ALK241" s="813"/>
      <c r="ALL241" s="814"/>
      <c r="ALM241" s="813"/>
      <c r="ALN241" s="814"/>
      <c r="ALO241" s="813"/>
      <c r="ALP241" s="814"/>
      <c r="ALQ241" s="813"/>
      <c r="ALR241" s="814"/>
      <c r="ALS241" s="813"/>
      <c r="ALT241" s="814"/>
      <c r="ALU241" s="813"/>
      <c r="ALV241" s="814"/>
      <c r="ALW241" s="813"/>
      <c r="ALX241" s="814"/>
      <c r="ALY241" s="813"/>
      <c r="ALZ241" s="814"/>
      <c r="AMA241" s="813"/>
      <c r="AMB241" s="814"/>
      <c r="AMC241" s="813"/>
      <c r="AMD241" s="814"/>
      <c r="AME241" s="813"/>
      <c r="AMF241" s="814"/>
      <c r="AMG241" s="813"/>
      <c r="AMH241" s="814"/>
      <c r="AMI241" s="813"/>
      <c r="AMJ241" s="814"/>
      <c r="AMK241" s="813"/>
      <c r="AML241" s="814"/>
      <c r="AMM241" s="813"/>
      <c r="AMN241" s="814"/>
      <c r="AMO241" s="813"/>
      <c r="AMP241" s="814"/>
      <c r="AMQ241" s="813"/>
      <c r="AMR241" s="814"/>
      <c r="AMS241" s="813"/>
      <c r="AMT241" s="814"/>
      <c r="AMU241" s="813"/>
      <c r="AMV241" s="814"/>
      <c r="AMW241" s="813"/>
      <c r="AMX241" s="814"/>
      <c r="AMY241" s="813"/>
      <c r="AMZ241" s="814"/>
      <c r="ANA241" s="813"/>
      <c r="ANB241" s="814"/>
      <c r="ANC241" s="813"/>
      <c r="AND241" s="814"/>
      <c r="ANE241" s="813"/>
      <c r="ANF241" s="814"/>
      <c r="ANG241" s="813"/>
      <c r="ANH241" s="814"/>
      <c r="ANI241" s="813"/>
      <c r="ANJ241" s="814"/>
      <c r="ANK241" s="813"/>
      <c r="ANL241" s="814"/>
      <c r="ANM241" s="813"/>
      <c r="ANN241" s="814"/>
      <c r="ANO241" s="813"/>
      <c r="ANP241" s="814"/>
      <c r="ANQ241" s="813"/>
      <c r="ANR241" s="814"/>
      <c r="ANS241" s="813"/>
      <c r="ANT241" s="814"/>
      <c r="ANU241" s="813"/>
      <c r="ANV241" s="814"/>
      <c r="ANW241" s="813"/>
      <c r="ANX241" s="814"/>
      <c r="ANY241" s="813"/>
      <c r="ANZ241" s="814"/>
      <c r="AOA241" s="813"/>
      <c r="AOB241" s="814"/>
      <c r="AOC241" s="813"/>
      <c r="AOD241" s="814"/>
      <c r="AOE241" s="813"/>
      <c r="AOF241" s="814"/>
      <c r="AOG241" s="813"/>
      <c r="AOH241" s="814"/>
      <c r="AOI241" s="813"/>
      <c r="AOJ241" s="814"/>
      <c r="AOK241" s="813"/>
      <c r="AOL241" s="814"/>
      <c r="AOM241" s="813"/>
      <c r="AON241" s="814"/>
      <c r="AOO241" s="813"/>
      <c r="AOP241" s="814"/>
      <c r="AOQ241" s="813"/>
      <c r="AOR241" s="814"/>
      <c r="AOS241" s="813"/>
      <c r="AOT241" s="814"/>
      <c r="AOU241" s="813"/>
      <c r="AOV241" s="814"/>
      <c r="AOW241" s="813"/>
      <c r="AOX241" s="814"/>
      <c r="AOY241" s="813"/>
      <c r="AOZ241" s="814"/>
      <c r="APA241" s="813"/>
      <c r="APB241" s="814"/>
      <c r="APC241" s="813"/>
      <c r="APD241" s="814"/>
      <c r="APE241" s="813"/>
      <c r="APF241" s="814"/>
      <c r="APG241" s="813"/>
      <c r="APH241" s="814"/>
      <c r="API241" s="813"/>
      <c r="APJ241" s="814"/>
      <c r="APK241" s="813"/>
      <c r="APL241" s="814"/>
      <c r="APM241" s="813"/>
      <c r="APN241" s="814"/>
      <c r="APO241" s="813"/>
      <c r="APP241" s="814"/>
      <c r="APQ241" s="813"/>
      <c r="APR241" s="814"/>
      <c r="APS241" s="813"/>
      <c r="APT241" s="814"/>
      <c r="APU241" s="813"/>
      <c r="APV241" s="814"/>
      <c r="APW241" s="813"/>
      <c r="APX241" s="814"/>
      <c r="APY241" s="813"/>
      <c r="APZ241" s="814"/>
      <c r="AQA241" s="813"/>
      <c r="AQB241" s="814"/>
      <c r="AQC241" s="813"/>
      <c r="AQD241" s="814"/>
      <c r="AQE241" s="813"/>
      <c r="AQF241" s="814"/>
      <c r="AQG241" s="813"/>
      <c r="AQH241" s="814"/>
      <c r="AQI241" s="813"/>
      <c r="AQJ241" s="814"/>
      <c r="AQK241" s="813"/>
      <c r="AQL241" s="814"/>
      <c r="AQM241" s="813"/>
      <c r="AQN241" s="814"/>
      <c r="AQO241" s="813"/>
      <c r="AQP241" s="814"/>
      <c r="AQQ241" s="813"/>
      <c r="AQR241" s="814"/>
      <c r="AQS241" s="813"/>
      <c r="AQT241" s="814"/>
      <c r="AQU241" s="813"/>
      <c r="AQV241" s="814"/>
      <c r="AQW241" s="813"/>
      <c r="AQX241" s="814"/>
      <c r="AQY241" s="813"/>
      <c r="AQZ241" s="814"/>
      <c r="ARA241" s="813"/>
      <c r="ARB241" s="814"/>
      <c r="ARC241" s="813"/>
      <c r="ARD241" s="814"/>
      <c r="ARE241" s="813"/>
      <c r="ARF241" s="814"/>
      <c r="ARG241" s="813"/>
      <c r="ARH241" s="814"/>
      <c r="ARI241" s="813"/>
      <c r="ARJ241" s="814"/>
      <c r="ARK241" s="813"/>
      <c r="ARL241" s="814"/>
      <c r="ARM241" s="813"/>
      <c r="ARN241" s="814"/>
      <c r="ARO241" s="813"/>
      <c r="ARP241" s="814"/>
      <c r="ARQ241" s="813"/>
      <c r="ARR241" s="814"/>
      <c r="ARS241" s="813"/>
      <c r="ART241" s="814"/>
      <c r="ARU241" s="813"/>
      <c r="ARV241" s="814"/>
      <c r="ARW241" s="813"/>
      <c r="ARX241" s="814"/>
      <c r="ARY241" s="813"/>
      <c r="ARZ241" s="814"/>
      <c r="ASA241" s="813"/>
      <c r="ASB241" s="814"/>
      <c r="ASC241" s="813"/>
      <c r="ASD241" s="814"/>
      <c r="ASE241" s="813"/>
      <c r="ASF241" s="814"/>
      <c r="ASG241" s="813"/>
      <c r="ASH241" s="814"/>
      <c r="ASI241" s="813"/>
      <c r="ASJ241" s="814"/>
      <c r="ASK241" s="813"/>
      <c r="ASL241" s="814"/>
      <c r="ASM241" s="813"/>
      <c r="ASN241" s="814"/>
      <c r="ASO241" s="813"/>
      <c r="ASP241" s="814"/>
      <c r="ASQ241" s="813"/>
      <c r="ASR241" s="814"/>
      <c r="ASS241" s="813"/>
      <c r="AST241" s="814"/>
      <c r="ASU241" s="813"/>
      <c r="ASV241" s="814"/>
      <c r="ASW241" s="813"/>
      <c r="ASX241" s="814"/>
      <c r="ASY241" s="813"/>
      <c r="ASZ241" s="814"/>
      <c r="ATA241" s="813"/>
      <c r="ATB241" s="814"/>
      <c r="ATC241" s="813"/>
      <c r="ATD241" s="814"/>
      <c r="ATE241" s="813"/>
      <c r="ATF241" s="814"/>
      <c r="ATG241" s="813"/>
      <c r="ATH241" s="814"/>
      <c r="ATI241" s="813"/>
      <c r="ATJ241" s="814"/>
      <c r="ATK241" s="813"/>
      <c r="ATL241" s="814"/>
      <c r="ATM241" s="813"/>
      <c r="ATN241" s="814"/>
      <c r="ATO241" s="813"/>
      <c r="ATP241" s="814"/>
      <c r="ATQ241" s="813"/>
      <c r="ATR241" s="814"/>
      <c r="ATS241" s="813"/>
      <c r="ATT241" s="814"/>
      <c r="ATU241" s="813"/>
      <c r="ATV241" s="814"/>
      <c r="ATW241" s="813"/>
      <c r="ATX241" s="814"/>
      <c r="ATY241" s="813"/>
      <c r="ATZ241" s="814"/>
      <c r="AUA241" s="813"/>
      <c r="AUB241" s="814"/>
      <c r="AUC241" s="813"/>
      <c r="AUD241" s="814"/>
      <c r="AUE241" s="813"/>
      <c r="AUF241" s="814"/>
      <c r="AUG241" s="813"/>
      <c r="AUH241" s="814"/>
      <c r="AUI241" s="813"/>
      <c r="AUJ241" s="814"/>
      <c r="AUK241" s="813"/>
      <c r="AUL241" s="814"/>
      <c r="AUM241" s="813"/>
      <c r="AUN241" s="814"/>
      <c r="AUO241" s="813"/>
      <c r="AUP241" s="814"/>
      <c r="AUQ241" s="813"/>
      <c r="AUR241" s="814"/>
      <c r="AUS241" s="813"/>
      <c r="AUT241" s="814"/>
      <c r="AUU241" s="813"/>
      <c r="AUV241" s="814"/>
      <c r="AUW241" s="813"/>
      <c r="AUX241" s="814"/>
      <c r="AUY241" s="813"/>
      <c r="AUZ241" s="814"/>
      <c r="AVA241" s="813"/>
      <c r="AVB241" s="814"/>
      <c r="AVC241" s="813"/>
      <c r="AVD241" s="814"/>
      <c r="AVE241" s="813"/>
      <c r="AVF241" s="814"/>
      <c r="AVG241" s="813"/>
      <c r="AVH241" s="814"/>
      <c r="AVI241" s="813"/>
      <c r="AVJ241" s="814"/>
      <c r="AVK241" s="813"/>
      <c r="AVL241" s="814"/>
      <c r="AVM241" s="813"/>
      <c r="AVN241" s="814"/>
      <c r="AVO241" s="813"/>
      <c r="AVP241" s="814"/>
      <c r="AVQ241" s="813"/>
      <c r="AVR241" s="814"/>
      <c r="AVS241" s="813"/>
      <c r="AVT241" s="814"/>
      <c r="AVU241" s="813"/>
      <c r="AVV241" s="814"/>
      <c r="AVW241" s="813"/>
      <c r="AVX241" s="814"/>
      <c r="AVY241" s="813"/>
      <c r="AVZ241" s="814"/>
      <c r="AWA241" s="813"/>
      <c r="AWB241" s="814"/>
      <c r="AWC241" s="813"/>
      <c r="AWD241" s="814"/>
      <c r="AWE241" s="813"/>
      <c r="AWF241" s="814"/>
      <c r="AWG241" s="813"/>
      <c r="AWH241" s="814"/>
      <c r="AWI241" s="813"/>
      <c r="AWJ241" s="814"/>
      <c r="AWK241" s="813"/>
      <c r="AWL241" s="814"/>
      <c r="AWM241" s="813"/>
      <c r="AWN241" s="814"/>
      <c r="AWO241" s="813"/>
      <c r="AWP241" s="814"/>
      <c r="AWQ241" s="813"/>
      <c r="AWR241" s="814"/>
      <c r="AWS241" s="813"/>
      <c r="AWT241" s="814"/>
      <c r="AWU241" s="813"/>
      <c r="AWV241" s="814"/>
      <c r="AWW241" s="813"/>
      <c r="AWX241" s="814"/>
      <c r="AWY241" s="813"/>
      <c r="AWZ241" s="814"/>
      <c r="AXA241" s="813"/>
      <c r="AXB241" s="814"/>
      <c r="AXC241" s="813"/>
      <c r="AXD241" s="814"/>
      <c r="AXE241" s="813"/>
      <c r="AXF241" s="814"/>
      <c r="AXG241" s="813"/>
      <c r="AXH241" s="814"/>
      <c r="AXI241" s="813"/>
      <c r="AXJ241" s="814"/>
      <c r="AXK241" s="813"/>
      <c r="AXL241" s="814"/>
      <c r="AXM241" s="813"/>
      <c r="AXN241" s="814"/>
      <c r="AXO241" s="813"/>
      <c r="AXP241" s="814"/>
      <c r="AXQ241" s="813"/>
      <c r="AXR241" s="814"/>
      <c r="AXS241" s="813"/>
      <c r="AXT241" s="814"/>
      <c r="AXU241" s="813"/>
      <c r="AXV241" s="814"/>
      <c r="AXW241" s="813"/>
      <c r="AXX241" s="814"/>
      <c r="AXY241" s="813"/>
      <c r="AXZ241" s="814"/>
      <c r="AYA241" s="813"/>
      <c r="AYB241" s="814"/>
      <c r="AYC241" s="813"/>
      <c r="AYD241" s="814"/>
      <c r="AYE241" s="813"/>
      <c r="AYF241" s="814"/>
      <c r="AYG241" s="813"/>
      <c r="AYH241" s="814"/>
      <c r="AYI241" s="813"/>
      <c r="AYJ241" s="814"/>
      <c r="AYK241" s="813"/>
      <c r="AYL241" s="814"/>
      <c r="AYM241" s="813"/>
      <c r="AYN241" s="814"/>
      <c r="AYO241" s="813"/>
      <c r="AYP241" s="814"/>
      <c r="AYQ241" s="813"/>
      <c r="AYR241" s="814"/>
      <c r="AYS241" s="813"/>
      <c r="AYT241" s="814"/>
      <c r="AYU241" s="813"/>
      <c r="AYV241" s="814"/>
      <c r="AYW241" s="813"/>
      <c r="AYX241" s="814"/>
      <c r="AYY241" s="813"/>
      <c r="AYZ241" s="814"/>
      <c r="AZA241" s="813"/>
      <c r="AZB241" s="814"/>
      <c r="AZC241" s="813"/>
      <c r="AZD241" s="814"/>
      <c r="AZE241" s="813"/>
      <c r="AZF241" s="814"/>
      <c r="AZG241" s="813"/>
      <c r="AZH241" s="814"/>
      <c r="AZI241" s="813"/>
      <c r="AZJ241" s="814"/>
      <c r="AZK241" s="813"/>
      <c r="AZL241" s="814"/>
      <c r="AZM241" s="813"/>
      <c r="AZN241" s="814"/>
      <c r="AZO241" s="813"/>
      <c r="AZP241" s="814"/>
      <c r="AZQ241" s="813"/>
      <c r="AZR241" s="814"/>
      <c r="AZS241" s="813"/>
      <c r="AZT241" s="814"/>
      <c r="AZU241" s="813"/>
      <c r="AZV241" s="814"/>
      <c r="AZW241" s="813"/>
      <c r="AZX241" s="814"/>
      <c r="AZY241" s="813"/>
      <c r="AZZ241" s="814"/>
      <c r="BAA241" s="813"/>
      <c r="BAB241" s="814"/>
      <c r="BAC241" s="813"/>
      <c r="BAD241" s="814"/>
      <c r="BAE241" s="813"/>
      <c r="BAF241" s="814"/>
      <c r="BAG241" s="813"/>
      <c r="BAH241" s="814"/>
      <c r="BAI241" s="813"/>
      <c r="BAJ241" s="814"/>
      <c r="BAK241" s="813"/>
      <c r="BAL241" s="814"/>
      <c r="BAM241" s="813"/>
      <c r="BAN241" s="814"/>
      <c r="BAO241" s="813"/>
      <c r="BAP241" s="814"/>
      <c r="BAQ241" s="813"/>
      <c r="BAR241" s="814"/>
      <c r="BAS241" s="813"/>
      <c r="BAT241" s="814"/>
      <c r="BAU241" s="813"/>
      <c r="BAV241" s="814"/>
      <c r="BAW241" s="813"/>
      <c r="BAX241" s="814"/>
      <c r="BAY241" s="813"/>
      <c r="BAZ241" s="814"/>
      <c r="BBA241" s="813"/>
      <c r="BBB241" s="814"/>
      <c r="BBC241" s="813"/>
      <c r="BBD241" s="814"/>
      <c r="BBE241" s="813"/>
      <c r="BBF241" s="814"/>
      <c r="BBG241" s="813"/>
      <c r="BBH241" s="814"/>
      <c r="BBI241" s="813"/>
      <c r="BBJ241" s="814"/>
      <c r="BBK241" s="813"/>
      <c r="BBL241" s="814"/>
      <c r="BBM241" s="813"/>
      <c r="BBN241" s="814"/>
      <c r="BBO241" s="813"/>
      <c r="BBP241" s="814"/>
      <c r="BBQ241" s="813"/>
      <c r="BBR241" s="814"/>
      <c r="BBS241" s="813"/>
      <c r="BBT241" s="814"/>
      <c r="BBU241" s="813"/>
      <c r="BBV241" s="814"/>
      <c r="BBW241" s="813"/>
      <c r="BBX241" s="814"/>
      <c r="BBY241" s="813"/>
      <c r="BBZ241" s="814"/>
      <c r="BCA241" s="813"/>
      <c r="BCB241" s="814"/>
      <c r="BCC241" s="813"/>
      <c r="BCD241" s="814"/>
      <c r="BCE241" s="813"/>
      <c r="BCF241" s="814"/>
      <c r="BCG241" s="813"/>
      <c r="BCH241" s="814"/>
      <c r="BCI241" s="813"/>
      <c r="BCJ241" s="814"/>
      <c r="BCK241" s="813"/>
      <c r="BCL241" s="814"/>
      <c r="BCM241" s="813"/>
      <c r="BCN241" s="814"/>
      <c r="BCO241" s="813"/>
      <c r="BCP241" s="814"/>
      <c r="BCQ241" s="813"/>
      <c r="BCR241" s="814"/>
      <c r="BCS241" s="813"/>
      <c r="BCT241" s="814"/>
      <c r="BCU241" s="813"/>
      <c r="BCV241" s="814"/>
      <c r="BCW241" s="813"/>
      <c r="BCX241" s="814"/>
      <c r="BCY241" s="813"/>
      <c r="BCZ241" s="814"/>
      <c r="BDA241" s="813"/>
      <c r="BDB241" s="814"/>
      <c r="BDC241" s="813"/>
      <c r="BDD241" s="814"/>
      <c r="BDE241" s="813"/>
      <c r="BDF241" s="814"/>
      <c r="BDG241" s="813"/>
      <c r="BDH241" s="814"/>
      <c r="BDI241" s="813"/>
      <c r="BDJ241" s="814"/>
      <c r="BDK241" s="813"/>
      <c r="BDL241" s="814"/>
      <c r="BDM241" s="813"/>
      <c r="BDN241" s="814"/>
      <c r="BDO241" s="813"/>
      <c r="BDP241" s="814"/>
      <c r="BDQ241" s="813"/>
      <c r="BDR241" s="814"/>
      <c r="BDS241" s="813"/>
      <c r="BDT241" s="814"/>
      <c r="BDU241" s="813"/>
      <c r="BDV241" s="814"/>
      <c r="BDW241" s="813"/>
      <c r="BDX241" s="814"/>
      <c r="BDY241" s="813"/>
      <c r="BDZ241" s="814"/>
      <c r="BEA241" s="813"/>
      <c r="BEB241" s="814"/>
      <c r="BEC241" s="813"/>
      <c r="BED241" s="814"/>
      <c r="BEE241" s="813"/>
      <c r="BEF241" s="814"/>
      <c r="BEG241" s="813"/>
      <c r="BEH241" s="814"/>
      <c r="BEI241" s="813"/>
      <c r="BEJ241" s="814"/>
      <c r="BEK241" s="813"/>
      <c r="BEL241" s="814"/>
      <c r="BEM241" s="813"/>
      <c r="BEN241" s="814"/>
      <c r="BEO241" s="813"/>
      <c r="BEP241" s="814"/>
      <c r="BEQ241" s="813"/>
      <c r="BER241" s="814"/>
      <c r="BES241" s="813"/>
      <c r="BET241" s="814"/>
      <c r="BEU241" s="813"/>
      <c r="BEV241" s="814"/>
      <c r="BEW241" s="813"/>
      <c r="BEX241" s="814"/>
      <c r="BEY241" s="813"/>
      <c r="BEZ241" s="814"/>
      <c r="BFA241" s="813"/>
      <c r="BFB241" s="814"/>
      <c r="BFC241" s="813"/>
      <c r="BFD241" s="814"/>
      <c r="BFE241" s="813"/>
      <c r="BFF241" s="814"/>
      <c r="BFG241" s="813"/>
      <c r="BFH241" s="814"/>
      <c r="BFI241" s="813"/>
      <c r="BFJ241" s="814"/>
      <c r="BFK241" s="813"/>
      <c r="BFL241" s="814"/>
      <c r="BFM241" s="813"/>
      <c r="BFN241" s="814"/>
      <c r="BFO241" s="813"/>
      <c r="BFP241" s="814"/>
      <c r="BFQ241" s="813"/>
      <c r="BFR241" s="814"/>
      <c r="BFS241" s="813"/>
      <c r="BFT241" s="814"/>
      <c r="BFU241" s="813"/>
      <c r="BFV241" s="814"/>
      <c r="BFW241" s="813"/>
      <c r="BFX241" s="814"/>
      <c r="BFY241" s="813"/>
      <c r="BFZ241" s="814"/>
      <c r="BGA241" s="813"/>
      <c r="BGB241" s="814"/>
      <c r="BGC241" s="813"/>
      <c r="BGD241" s="814"/>
      <c r="BGE241" s="813"/>
      <c r="BGF241" s="814"/>
      <c r="BGG241" s="813"/>
      <c r="BGH241" s="814"/>
      <c r="BGI241" s="813"/>
      <c r="BGJ241" s="814"/>
      <c r="BGK241" s="813"/>
      <c r="BGL241" s="814"/>
      <c r="BGM241" s="813"/>
      <c r="BGN241" s="814"/>
      <c r="BGO241" s="813"/>
      <c r="BGP241" s="814"/>
      <c r="BGQ241" s="813"/>
      <c r="BGR241" s="814"/>
      <c r="BGS241" s="813"/>
      <c r="BGT241" s="814"/>
      <c r="BGU241" s="813"/>
      <c r="BGV241" s="814"/>
      <c r="BGW241" s="813"/>
      <c r="BGX241" s="814"/>
      <c r="BGY241" s="813"/>
      <c r="BGZ241" s="814"/>
      <c r="BHA241" s="813"/>
      <c r="BHB241" s="814"/>
      <c r="BHC241" s="813"/>
      <c r="BHD241" s="814"/>
      <c r="BHE241" s="813"/>
      <c r="BHF241" s="814"/>
      <c r="BHG241" s="813"/>
      <c r="BHH241" s="814"/>
      <c r="BHI241" s="813"/>
      <c r="BHJ241" s="814"/>
      <c r="BHK241" s="813"/>
      <c r="BHL241" s="814"/>
      <c r="BHM241" s="813"/>
      <c r="BHN241" s="814"/>
      <c r="BHO241" s="813"/>
      <c r="BHP241" s="814"/>
      <c r="BHQ241" s="813"/>
      <c r="BHR241" s="814"/>
      <c r="BHS241" s="813"/>
      <c r="BHT241" s="814"/>
      <c r="BHU241" s="813"/>
      <c r="BHV241" s="814"/>
      <c r="BHW241" s="813"/>
      <c r="BHX241" s="814"/>
      <c r="BHY241" s="813"/>
      <c r="BHZ241" s="814"/>
      <c r="BIA241" s="813"/>
      <c r="BIB241" s="814"/>
      <c r="BIC241" s="813"/>
      <c r="BID241" s="814"/>
      <c r="BIE241" s="813"/>
      <c r="BIF241" s="814"/>
      <c r="BIG241" s="813"/>
      <c r="BIH241" s="814"/>
      <c r="BII241" s="813"/>
      <c r="BIJ241" s="814"/>
      <c r="BIK241" s="813"/>
      <c r="BIL241" s="814"/>
      <c r="BIM241" s="813"/>
      <c r="BIN241" s="814"/>
      <c r="BIO241" s="813"/>
      <c r="BIP241" s="814"/>
      <c r="BIQ241" s="813"/>
      <c r="BIR241" s="814"/>
      <c r="BIS241" s="813"/>
      <c r="BIT241" s="814"/>
      <c r="BIU241" s="813"/>
      <c r="BIV241" s="814"/>
      <c r="BIW241" s="813"/>
      <c r="BIX241" s="814"/>
      <c r="BIY241" s="813"/>
      <c r="BIZ241" s="814"/>
      <c r="BJA241" s="813"/>
      <c r="BJB241" s="814"/>
      <c r="BJC241" s="813"/>
      <c r="BJD241" s="814"/>
      <c r="BJE241" s="813"/>
      <c r="BJF241" s="814"/>
      <c r="BJG241" s="813"/>
      <c r="BJH241" s="814"/>
      <c r="BJI241" s="813"/>
      <c r="BJJ241" s="814"/>
      <c r="BJK241" s="813"/>
      <c r="BJL241" s="814"/>
      <c r="BJM241" s="813"/>
      <c r="BJN241" s="814"/>
      <c r="BJO241" s="813"/>
      <c r="BJP241" s="814"/>
      <c r="BJQ241" s="813"/>
      <c r="BJR241" s="814"/>
      <c r="BJS241" s="813"/>
      <c r="BJT241" s="814"/>
      <c r="BJU241" s="813"/>
      <c r="BJV241" s="814"/>
      <c r="BJW241" s="813"/>
      <c r="BJX241" s="814"/>
      <c r="BJY241" s="813"/>
      <c r="BJZ241" s="814"/>
      <c r="BKA241" s="813"/>
      <c r="BKB241" s="814"/>
      <c r="BKC241" s="813"/>
      <c r="BKD241" s="814"/>
      <c r="BKE241" s="813"/>
      <c r="BKF241" s="814"/>
      <c r="BKG241" s="813"/>
      <c r="BKH241" s="814"/>
      <c r="BKI241" s="813"/>
      <c r="BKJ241" s="814"/>
      <c r="BKK241" s="813"/>
      <c r="BKL241" s="814"/>
      <c r="BKM241" s="813"/>
      <c r="BKN241" s="814"/>
      <c r="BKO241" s="813"/>
      <c r="BKP241" s="814"/>
      <c r="BKQ241" s="813"/>
      <c r="BKR241" s="814"/>
      <c r="BKS241" s="813"/>
      <c r="BKT241" s="814"/>
      <c r="BKU241" s="813"/>
      <c r="BKV241" s="814"/>
      <c r="BKW241" s="813"/>
      <c r="BKX241" s="814"/>
      <c r="BKY241" s="813"/>
      <c r="BKZ241" s="814"/>
      <c r="BLA241" s="813"/>
      <c r="BLB241" s="814"/>
      <c r="BLC241" s="813"/>
      <c r="BLD241" s="814"/>
      <c r="BLE241" s="813"/>
      <c r="BLF241" s="814"/>
      <c r="BLG241" s="813"/>
      <c r="BLH241" s="814"/>
      <c r="BLI241" s="813"/>
      <c r="BLJ241" s="814"/>
      <c r="BLK241" s="813"/>
      <c r="BLL241" s="814"/>
      <c r="BLM241" s="813"/>
      <c r="BLN241" s="814"/>
      <c r="BLO241" s="813"/>
      <c r="BLP241" s="814"/>
      <c r="BLQ241" s="813"/>
      <c r="BLR241" s="814"/>
      <c r="BLS241" s="813"/>
      <c r="BLT241" s="814"/>
      <c r="BLU241" s="813"/>
      <c r="BLV241" s="814"/>
      <c r="BLW241" s="813"/>
      <c r="BLX241" s="814"/>
      <c r="BLY241" s="813"/>
      <c r="BLZ241" s="814"/>
      <c r="BMA241" s="813"/>
      <c r="BMB241" s="814"/>
      <c r="BMC241" s="813"/>
      <c r="BMD241" s="814"/>
      <c r="BME241" s="813"/>
      <c r="BMF241" s="814"/>
      <c r="BMG241" s="813"/>
      <c r="BMH241" s="814"/>
      <c r="BMI241" s="813"/>
      <c r="BMJ241" s="814"/>
      <c r="BMK241" s="813"/>
      <c r="BML241" s="814"/>
      <c r="BMM241" s="813"/>
      <c r="BMN241" s="814"/>
      <c r="BMO241" s="813"/>
      <c r="BMP241" s="814"/>
      <c r="BMQ241" s="813"/>
      <c r="BMR241" s="814"/>
      <c r="BMS241" s="813"/>
      <c r="BMT241" s="814"/>
      <c r="BMU241" s="813"/>
      <c r="BMV241" s="814"/>
      <c r="BMW241" s="813"/>
      <c r="BMX241" s="814"/>
      <c r="BMY241" s="813"/>
      <c r="BMZ241" s="814"/>
      <c r="BNA241" s="813"/>
      <c r="BNB241" s="814"/>
      <c r="BNC241" s="813"/>
      <c r="BND241" s="814"/>
      <c r="BNE241" s="813"/>
      <c r="BNF241" s="814"/>
      <c r="BNG241" s="813"/>
      <c r="BNH241" s="814"/>
      <c r="BNI241" s="813"/>
      <c r="BNJ241" s="814"/>
      <c r="BNK241" s="813"/>
      <c r="BNL241" s="814"/>
      <c r="BNM241" s="813"/>
      <c r="BNN241" s="814"/>
      <c r="BNO241" s="813"/>
      <c r="BNP241" s="814"/>
      <c r="BNQ241" s="813"/>
      <c r="BNR241" s="814"/>
      <c r="BNS241" s="813"/>
      <c r="BNT241" s="814"/>
      <c r="BNU241" s="813"/>
      <c r="BNV241" s="814"/>
      <c r="BNW241" s="813"/>
      <c r="BNX241" s="814"/>
      <c r="BNY241" s="813"/>
      <c r="BNZ241" s="814"/>
      <c r="BOA241" s="813"/>
      <c r="BOB241" s="814"/>
      <c r="BOC241" s="813"/>
      <c r="BOD241" s="814"/>
      <c r="BOE241" s="813"/>
      <c r="BOF241" s="814"/>
      <c r="BOG241" s="813"/>
      <c r="BOH241" s="814"/>
      <c r="BOI241" s="813"/>
      <c r="BOJ241" s="814"/>
      <c r="BOK241" s="813"/>
      <c r="BOL241" s="814"/>
      <c r="BOM241" s="813"/>
      <c r="BON241" s="814"/>
      <c r="BOO241" s="813"/>
      <c r="BOP241" s="814"/>
      <c r="BOQ241" s="813"/>
      <c r="BOR241" s="814"/>
      <c r="BOS241" s="813"/>
      <c r="BOT241" s="814"/>
      <c r="BOU241" s="813"/>
      <c r="BOV241" s="814"/>
      <c r="BOW241" s="813"/>
      <c r="BOX241" s="814"/>
      <c r="BOY241" s="813"/>
      <c r="BOZ241" s="814"/>
      <c r="BPA241" s="813"/>
      <c r="BPB241" s="814"/>
      <c r="BPC241" s="813"/>
      <c r="BPD241" s="814"/>
      <c r="BPE241" s="813"/>
      <c r="BPF241" s="814"/>
      <c r="BPG241" s="813"/>
      <c r="BPH241" s="814"/>
      <c r="BPI241" s="813"/>
      <c r="BPJ241" s="814"/>
      <c r="BPK241" s="813"/>
      <c r="BPL241" s="814"/>
      <c r="BPM241" s="813"/>
      <c r="BPN241" s="814"/>
      <c r="BPO241" s="813"/>
      <c r="BPP241" s="814"/>
      <c r="BPQ241" s="813"/>
      <c r="BPR241" s="814"/>
      <c r="BPS241" s="813"/>
      <c r="BPT241" s="814"/>
      <c r="BPU241" s="813"/>
      <c r="BPV241" s="814"/>
      <c r="BPW241" s="813"/>
      <c r="BPX241" s="814"/>
      <c r="BPY241" s="813"/>
      <c r="BPZ241" s="814"/>
      <c r="BQA241" s="813"/>
      <c r="BQB241" s="814"/>
      <c r="BQC241" s="813"/>
      <c r="BQD241" s="814"/>
      <c r="BQE241" s="813"/>
      <c r="BQF241" s="814"/>
      <c r="BQG241" s="813"/>
      <c r="BQH241" s="814"/>
      <c r="BQI241" s="813"/>
      <c r="BQJ241" s="814"/>
      <c r="BQK241" s="813"/>
      <c r="BQL241" s="814"/>
      <c r="BQM241" s="813"/>
      <c r="BQN241" s="814"/>
      <c r="BQO241" s="813"/>
      <c r="BQP241" s="814"/>
      <c r="BQQ241" s="813"/>
      <c r="BQR241" s="814"/>
      <c r="BQS241" s="813"/>
      <c r="BQT241" s="814"/>
      <c r="BQU241" s="813"/>
      <c r="BQV241" s="814"/>
      <c r="BQW241" s="813"/>
      <c r="BQX241" s="814"/>
      <c r="BQY241" s="813"/>
      <c r="BQZ241" s="814"/>
      <c r="BRA241" s="813"/>
      <c r="BRB241" s="814"/>
      <c r="BRC241" s="813"/>
      <c r="BRD241" s="814"/>
      <c r="BRE241" s="813"/>
      <c r="BRF241" s="814"/>
      <c r="BRG241" s="813"/>
      <c r="BRH241" s="814"/>
      <c r="BRI241" s="813"/>
      <c r="BRJ241" s="814"/>
      <c r="BRK241" s="813"/>
      <c r="BRL241" s="814"/>
      <c r="BRM241" s="813"/>
      <c r="BRN241" s="814"/>
      <c r="BRO241" s="813"/>
      <c r="BRP241" s="814"/>
      <c r="BRQ241" s="813"/>
      <c r="BRR241" s="814"/>
      <c r="BRS241" s="813"/>
      <c r="BRT241" s="814"/>
      <c r="BRU241" s="813"/>
      <c r="BRV241" s="814"/>
      <c r="BRW241" s="813"/>
      <c r="BRX241" s="814"/>
      <c r="BRY241" s="813"/>
      <c r="BRZ241" s="814"/>
      <c r="BSA241" s="813"/>
      <c r="BSB241" s="814"/>
      <c r="BSC241" s="813"/>
      <c r="BSD241" s="814"/>
      <c r="BSE241" s="813"/>
      <c r="BSF241" s="814"/>
      <c r="BSG241" s="813"/>
      <c r="BSH241" s="814"/>
      <c r="BSI241" s="813"/>
      <c r="BSJ241" s="814"/>
      <c r="BSK241" s="813"/>
      <c r="BSL241" s="814"/>
      <c r="BSM241" s="813"/>
      <c r="BSN241" s="814"/>
      <c r="BSO241" s="813"/>
      <c r="BSP241" s="814"/>
      <c r="BSQ241" s="813"/>
      <c r="BSR241" s="814"/>
      <c r="BSS241" s="813"/>
      <c r="BST241" s="814"/>
      <c r="BSU241" s="813"/>
      <c r="BSV241" s="814"/>
      <c r="BSW241" s="813"/>
      <c r="BSX241" s="814"/>
      <c r="BSY241" s="813"/>
      <c r="BSZ241" s="814"/>
      <c r="BTA241" s="813"/>
      <c r="BTB241" s="814"/>
      <c r="BTC241" s="813"/>
      <c r="BTD241" s="814"/>
      <c r="BTE241" s="813"/>
      <c r="BTF241" s="814"/>
      <c r="BTG241" s="813"/>
      <c r="BTH241" s="814"/>
      <c r="BTI241" s="813"/>
      <c r="BTJ241" s="814"/>
      <c r="BTK241" s="813"/>
      <c r="BTL241" s="814"/>
      <c r="BTM241" s="813"/>
      <c r="BTN241" s="814"/>
      <c r="BTO241" s="813"/>
      <c r="BTP241" s="814"/>
      <c r="BTQ241" s="813"/>
      <c r="BTR241" s="814"/>
      <c r="BTS241" s="813"/>
      <c r="BTT241" s="814"/>
      <c r="BTU241" s="813"/>
      <c r="BTV241" s="814"/>
      <c r="BTW241" s="813"/>
      <c r="BTX241" s="814"/>
      <c r="BTY241" s="813"/>
      <c r="BTZ241" s="814"/>
      <c r="BUA241" s="813"/>
      <c r="BUB241" s="814"/>
      <c r="BUC241" s="813"/>
      <c r="BUD241" s="814"/>
      <c r="BUE241" s="813"/>
      <c r="BUF241" s="814"/>
      <c r="BUG241" s="813"/>
      <c r="BUH241" s="814"/>
      <c r="BUI241" s="813"/>
      <c r="BUJ241" s="814"/>
      <c r="BUK241" s="813"/>
      <c r="BUL241" s="814"/>
      <c r="BUM241" s="813"/>
      <c r="BUN241" s="814"/>
      <c r="BUO241" s="813"/>
      <c r="BUP241" s="814"/>
      <c r="BUQ241" s="813"/>
      <c r="BUR241" s="814"/>
      <c r="BUS241" s="813"/>
      <c r="BUT241" s="814"/>
      <c r="BUU241" s="813"/>
      <c r="BUV241" s="814"/>
      <c r="BUW241" s="813"/>
      <c r="BUX241" s="814"/>
      <c r="BUY241" s="813"/>
      <c r="BUZ241" s="814"/>
      <c r="BVA241" s="813"/>
      <c r="BVB241" s="814"/>
      <c r="BVC241" s="813"/>
      <c r="BVD241" s="814"/>
      <c r="BVE241" s="813"/>
      <c r="BVF241" s="814"/>
      <c r="BVG241" s="813"/>
      <c r="BVH241" s="814"/>
      <c r="BVI241" s="813"/>
      <c r="BVJ241" s="814"/>
      <c r="BVK241" s="813"/>
      <c r="BVL241" s="814"/>
      <c r="BVM241" s="813"/>
      <c r="BVN241" s="814"/>
      <c r="BVO241" s="813"/>
      <c r="BVP241" s="814"/>
      <c r="BVQ241" s="813"/>
      <c r="BVR241" s="814"/>
      <c r="BVS241" s="813"/>
      <c r="BVT241" s="814"/>
      <c r="BVU241" s="813"/>
      <c r="BVV241" s="814"/>
      <c r="BVW241" s="813"/>
      <c r="BVX241" s="814"/>
      <c r="BVY241" s="813"/>
      <c r="BVZ241" s="814"/>
      <c r="BWA241" s="813"/>
      <c r="BWB241" s="814"/>
      <c r="BWC241" s="813"/>
      <c r="BWD241" s="814"/>
      <c r="BWE241" s="813"/>
      <c r="BWF241" s="814"/>
      <c r="BWG241" s="813"/>
      <c r="BWH241" s="814"/>
      <c r="BWI241" s="813"/>
      <c r="BWJ241" s="814"/>
      <c r="BWK241" s="813"/>
      <c r="BWL241" s="814"/>
      <c r="BWM241" s="813"/>
      <c r="BWN241" s="814"/>
      <c r="BWO241" s="813"/>
      <c r="BWP241" s="814"/>
      <c r="BWQ241" s="813"/>
      <c r="BWR241" s="814"/>
      <c r="BWS241" s="813"/>
      <c r="BWT241" s="814"/>
      <c r="BWU241" s="813"/>
      <c r="BWV241" s="814"/>
      <c r="BWW241" s="813"/>
      <c r="BWX241" s="814"/>
      <c r="BWY241" s="813"/>
      <c r="BWZ241" s="814"/>
      <c r="BXA241" s="813"/>
      <c r="BXB241" s="814"/>
      <c r="BXC241" s="813"/>
      <c r="BXD241" s="814"/>
      <c r="BXE241" s="813"/>
      <c r="BXF241" s="814"/>
      <c r="BXG241" s="813"/>
      <c r="BXH241" s="814"/>
      <c r="BXI241" s="813"/>
      <c r="BXJ241" s="814"/>
      <c r="BXK241" s="813"/>
      <c r="BXL241" s="814"/>
      <c r="BXM241" s="813"/>
      <c r="BXN241" s="814"/>
      <c r="BXO241" s="813"/>
      <c r="BXP241" s="814"/>
      <c r="BXQ241" s="813"/>
      <c r="BXR241" s="814"/>
      <c r="BXS241" s="813"/>
      <c r="BXT241" s="814"/>
      <c r="BXU241" s="813"/>
      <c r="BXV241" s="814"/>
      <c r="BXW241" s="813"/>
      <c r="BXX241" s="814"/>
      <c r="BXY241" s="813"/>
      <c r="BXZ241" s="814"/>
      <c r="BYA241" s="813"/>
      <c r="BYB241" s="814"/>
      <c r="BYC241" s="813"/>
      <c r="BYD241" s="814"/>
      <c r="BYE241" s="813"/>
      <c r="BYF241" s="814"/>
      <c r="BYG241" s="813"/>
      <c r="BYH241" s="814"/>
      <c r="BYI241" s="813"/>
      <c r="BYJ241" s="814"/>
      <c r="BYK241" s="813"/>
      <c r="BYL241" s="814"/>
      <c r="BYM241" s="813"/>
      <c r="BYN241" s="814"/>
      <c r="BYO241" s="813"/>
      <c r="BYP241" s="814"/>
      <c r="BYQ241" s="813"/>
      <c r="BYR241" s="814"/>
      <c r="BYS241" s="813"/>
      <c r="BYT241" s="814"/>
      <c r="BYU241" s="813"/>
      <c r="BYV241" s="814"/>
      <c r="BYW241" s="813"/>
      <c r="BYX241" s="814"/>
      <c r="BYY241" s="813"/>
      <c r="BYZ241" s="814"/>
      <c r="BZA241" s="813"/>
      <c r="BZB241" s="814"/>
      <c r="BZC241" s="813"/>
      <c r="BZD241" s="814"/>
      <c r="BZE241" s="813"/>
      <c r="BZF241" s="814"/>
      <c r="BZG241" s="813"/>
      <c r="BZH241" s="814"/>
      <c r="BZI241" s="813"/>
      <c r="BZJ241" s="814"/>
      <c r="BZK241" s="813"/>
      <c r="BZL241" s="814"/>
      <c r="BZM241" s="813"/>
      <c r="BZN241" s="814"/>
      <c r="BZO241" s="813"/>
      <c r="BZP241" s="814"/>
      <c r="BZQ241" s="813"/>
      <c r="BZR241" s="814"/>
      <c r="BZS241" s="813"/>
      <c r="BZT241" s="814"/>
      <c r="BZU241" s="813"/>
      <c r="BZV241" s="814"/>
      <c r="BZW241" s="813"/>
      <c r="BZX241" s="814"/>
      <c r="BZY241" s="813"/>
      <c r="BZZ241" s="814"/>
      <c r="CAA241" s="813"/>
      <c r="CAB241" s="814"/>
      <c r="CAC241" s="813"/>
      <c r="CAD241" s="814"/>
      <c r="CAE241" s="813"/>
      <c r="CAF241" s="814"/>
      <c r="CAG241" s="813"/>
      <c r="CAH241" s="814"/>
      <c r="CAI241" s="813"/>
      <c r="CAJ241" s="814"/>
      <c r="CAK241" s="813"/>
      <c r="CAL241" s="814"/>
      <c r="CAM241" s="813"/>
      <c r="CAN241" s="814"/>
      <c r="CAO241" s="813"/>
      <c r="CAP241" s="814"/>
      <c r="CAQ241" s="813"/>
      <c r="CAR241" s="814"/>
      <c r="CAS241" s="813"/>
      <c r="CAT241" s="814"/>
      <c r="CAU241" s="813"/>
      <c r="CAV241" s="814"/>
      <c r="CAW241" s="813"/>
      <c r="CAX241" s="814"/>
      <c r="CAY241" s="813"/>
      <c r="CAZ241" s="814"/>
      <c r="CBA241" s="813"/>
      <c r="CBB241" s="814"/>
      <c r="CBC241" s="813"/>
      <c r="CBD241" s="814"/>
      <c r="CBE241" s="813"/>
      <c r="CBF241" s="814"/>
      <c r="CBG241" s="813"/>
      <c r="CBH241" s="814"/>
      <c r="CBI241" s="813"/>
      <c r="CBJ241" s="814"/>
      <c r="CBK241" s="813"/>
      <c r="CBL241" s="814"/>
      <c r="CBM241" s="813"/>
      <c r="CBN241" s="814"/>
      <c r="CBO241" s="813"/>
      <c r="CBP241" s="814"/>
      <c r="CBQ241" s="813"/>
      <c r="CBR241" s="814"/>
      <c r="CBS241" s="813"/>
      <c r="CBT241" s="814"/>
      <c r="CBU241" s="813"/>
      <c r="CBV241" s="814"/>
      <c r="CBW241" s="813"/>
      <c r="CBX241" s="814"/>
      <c r="CBY241" s="813"/>
      <c r="CBZ241" s="814"/>
      <c r="CCA241" s="813"/>
      <c r="CCB241" s="814"/>
      <c r="CCC241" s="813"/>
      <c r="CCD241" s="814"/>
      <c r="CCE241" s="813"/>
      <c r="CCF241" s="814"/>
      <c r="CCG241" s="813"/>
      <c r="CCH241" s="814"/>
      <c r="CCI241" s="813"/>
      <c r="CCJ241" s="814"/>
      <c r="CCK241" s="813"/>
      <c r="CCL241" s="814"/>
      <c r="CCM241" s="813"/>
      <c r="CCN241" s="814"/>
      <c r="CCO241" s="813"/>
      <c r="CCP241" s="814"/>
      <c r="CCQ241" s="813"/>
      <c r="CCR241" s="814"/>
      <c r="CCS241" s="813"/>
      <c r="CCT241" s="814"/>
      <c r="CCU241" s="813"/>
      <c r="CCV241" s="814"/>
      <c r="CCW241" s="813"/>
      <c r="CCX241" s="814"/>
      <c r="CCY241" s="813"/>
      <c r="CCZ241" s="814"/>
      <c r="CDA241" s="813"/>
      <c r="CDB241" s="814"/>
      <c r="CDC241" s="813"/>
      <c r="CDD241" s="814"/>
      <c r="CDE241" s="813"/>
      <c r="CDF241" s="814"/>
      <c r="CDG241" s="813"/>
      <c r="CDH241" s="814"/>
      <c r="CDI241" s="813"/>
      <c r="CDJ241" s="814"/>
      <c r="CDK241" s="813"/>
      <c r="CDL241" s="814"/>
      <c r="CDM241" s="813"/>
      <c r="CDN241" s="814"/>
      <c r="CDO241" s="813"/>
      <c r="CDP241" s="814"/>
      <c r="CDQ241" s="813"/>
      <c r="CDR241" s="814"/>
      <c r="CDS241" s="813"/>
      <c r="CDT241" s="814"/>
      <c r="CDU241" s="813"/>
      <c r="CDV241" s="814"/>
      <c r="CDW241" s="813"/>
      <c r="CDX241" s="814"/>
      <c r="CDY241" s="813"/>
      <c r="CDZ241" s="814"/>
      <c r="CEA241" s="813"/>
      <c r="CEB241" s="814"/>
      <c r="CEC241" s="813"/>
      <c r="CED241" s="814"/>
      <c r="CEE241" s="813"/>
      <c r="CEF241" s="814"/>
      <c r="CEG241" s="813"/>
      <c r="CEH241" s="814"/>
      <c r="CEI241" s="813"/>
      <c r="CEJ241" s="814"/>
      <c r="CEK241" s="813"/>
      <c r="CEL241" s="814"/>
      <c r="CEM241" s="813"/>
      <c r="CEN241" s="814"/>
      <c r="CEO241" s="813"/>
      <c r="CEP241" s="814"/>
      <c r="CEQ241" s="813"/>
      <c r="CER241" s="814"/>
      <c r="CES241" s="813"/>
      <c r="CET241" s="814"/>
      <c r="CEU241" s="813"/>
      <c r="CEV241" s="814"/>
      <c r="CEW241" s="813"/>
      <c r="CEX241" s="814"/>
      <c r="CEY241" s="813"/>
      <c r="CEZ241" s="814"/>
      <c r="CFA241" s="813"/>
      <c r="CFB241" s="814"/>
      <c r="CFC241" s="813"/>
      <c r="CFD241" s="814"/>
      <c r="CFE241" s="813"/>
      <c r="CFF241" s="814"/>
      <c r="CFG241" s="813"/>
      <c r="CFH241" s="814"/>
      <c r="CFI241" s="813"/>
      <c r="CFJ241" s="814"/>
      <c r="CFK241" s="813"/>
      <c r="CFL241" s="814"/>
      <c r="CFM241" s="813"/>
      <c r="CFN241" s="814"/>
      <c r="CFO241" s="813"/>
      <c r="CFP241" s="814"/>
      <c r="CFQ241" s="813"/>
      <c r="CFR241" s="814"/>
      <c r="CFS241" s="813"/>
      <c r="CFT241" s="814"/>
      <c r="CFU241" s="813"/>
      <c r="CFV241" s="814"/>
      <c r="CFW241" s="813"/>
      <c r="CFX241" s="814"/>
      <c r="CFY241" s="813"/>
      <c r="CFZ241" s="814"/>
      <c r="CGA241" s="813"/>
      <c r="CGB241" s="814"/>
      <c r="CGC241" s="813"/>
      <c r="CGD241" s="814"/>
      <c r="CGE241" s="813"/>
      <c r="CGF241" s="814"/>
      <c r="CGG241" s="813"/>
      <c r="CGH241" s="814"/>
      <c r="CGI241" s="813"/>
      <c r="CGJ241" s="814"/>
      <c r="CGK241" s="813"/>
      <c r="CGL241" s="814"/>
      <c r="CGM241" s="813"/>
      <c r="CGN241" s="814"/>
      <c r="CGO241" s="813"/>
      <c r="CGP241" s="814"/>
      <c r="CGQ241" s="813"/>
      <c r="CGR241" s="814"/>
      <c r="CGS241" s="813"/>
      <c r="CGT241" s="814"/>
      <c r="CGU241" s="813"/>
      <c r="CGV241" s="814"/>
      <c r="CGW241" s="813"/>
      <c r="CGX241" s="814"/>
      <c r="CGY241" s="813"/>
      <c r="CGZ241" s="814"/>
      <c r="CHA241" s="813"/>
      <c r="CHB241" s="814"/>
      <c r="CHC241" s="813"/>
      <c r="CHD241" s="814"/>
      <c r="CHE241" s="813"/>
      <c r="CHF241" s="814"/>
      <c r="CHG241" s="813"/>
      <c r="CHH241" s="814"/>
      <c r="CHI241" s="813"/>
      <c r="CHJ241" s="814"/>
      <c r="CHK241" s="813"/>
      <c r="CHL241" s="814"/>
      <c r="CHM241" s="813"/>
      <c r="CHN241" s="814"/>
      <c r="CHO241" s="813"/>
      <c r="CHP241" s="814"/>
      <c r="CHQ241" s="813"/>
      <c r="CHR241" s="814"/>
      <c r="CHS241" s="813"/>
      <c r="CHT241" s="814"/>
      <c r="CHU241" s="813"/>
      <c r="CHV241" s="814"/>
      <c r="CHW241" s="813"/>
      <c r="CHX241" s="814"/>
      <c r="CHY241" s="813"/>
      <c r="CHZ241" s="814"/>
      <c r="CIA241" s="813"/>
      <c r="CIB241" s="814"/>
      <c r="CIC241" s="813"/>
      <c r="CID241" s="814"/>
      <c r="CIE241" s="813"/>
      <c r="CIF241" s="814"/>
      <c r="CIG241" s="813"/>
      <c r="CIH241" s="814"/>
      <c r="CII241" s="813"/>
      <c r="CIJ241" s="814"/>
      <c r="CIK241" s="813"/>
      <c r="CIL241" s="814"/>
      <c r="CIM241" s="813"/>
      <c r="CIN241" s="814"/>
      <c r="CIO241" s="813"/>
      <c r="CIP241" s="814"/>
      <c r="CIQ241" s="813"/>
      <c r="CIR241" s="814"/>
      <c r="CIS241" s="813"/>
      <c r="CIT241" s="814"/>
      <c r="CIU241" s="813"/>
      <c r="CIV241" s="814"/>
      <c r="CIW241" s="813"/>
      <c r="CIX241" s="814"/>
      <c r="CIY241" s="813"/>
      <c r="CIZ241" s="814"/>
      <c r="CJA241" s="813"/>
      <c r="CJB241" s="814"/>
      <c r="CJC241" s="813"/>
      <c r="CJD241" s="814"/>
      <c r="CJE241" s="813"/>
      <c r="CJF241" s="814"/>
      <c r="CJG241" s="813"/>
      <c r="CJH241" s="814"/>
      <c r="CJI241" s="813"/>
      <c r="CJJ241" s="814"/>
      <c r="CJK241" s="813"/>
      <c r="CJL241" s="814"/>
      <c r="CJM241" s="813"/>
      <c r="CJN241" s="814"/>
      <c r="CJO241" s="813"/>
      <c r="CJP241" s="814"/>
      <c r="CJQ241" s="813"/>
      <c r="CJR241" s="814"/>
      <c r="CJS241" s="813"/>
      <c r="CJT241" s="814"/>
      <c r="CJU241" s="813"/>
      <c r="CJV241" s="814"/>
      <c r="CJW241" s="813"/>
      <c r="CJX241" s="814"/>
      <c r="CJY241" s="813"/>
      <c r="CJZ241" s="814"/>
      <c r="CKA241" s="813"/>
      <c r="CKB241" s="814"/>
      <c r="CKC241" s="813"/>
      <c r="CKD241" s="814"/>
      <c r="CKE241" s="813"/>
      <c r="CKF241" s="814"/>
      <c r="CKG241" s="813"/>
      <c r="CKH241" s="814"/>
      <c r="CKI241" s="813"/>
      <c r="CKJ241" s="814"/>
      <c r="CKK241" s="813"/>
      <c r="CKL241" s="814"/>
      <c r="CKM241" s="813"/>
      <c r="CKN241" s="814"/>
      <c r="CKO241" s="813"/>
      <c r="CKP241" s="814"/>
      <c r="CKQ241" s="813"/>
      <c r="CKR241" s="814"/>
      <c r="CKS241" s="813"/>
      <c r="CKT241" s="814"/>
      <c r="CKU241" s="813"/>
      <c r="CKV241" s="814"/>
      <c r="CKW241" s="813"/>
      <c r="CKX241" s="814"/>
      <c r="CKY241" s="813"/>
      <c r="CKZ241" s="814"/>
      <c r="CLA241" s="813"/>
      <c r="CLB241" s="814"/>
      <c r="CLC241" s="813"/>
      <c r="CLD241" s="814"/>
      <c r="CLE241" s="813"/>
      <c r="CLF241" s="814"/>
      <c r="CLG241" s="813"/>
      <c r="CLH241" s="814"/>
      <c r="CLI241" s="813"/>
      <c r="CLJ241" s="814"/>
      <c r="CLK241" s="813"/>
      <c r="CLL241" s="814"/>
      <c r="CLM241" s="813"/>
      <c r="CLN241" s="814"/>
      <c r="CLO241" s="813"/>
      <c r="CLP241" s="814"/>
      <c r="CLQ241" s="813"/>
      <c r="CLR241" s="814"/>
      <c r="CLS241" s="813"/>
      <c r="CLT241" s="814"/>
      <c r="CLU241" s="813"/>
      <c r="CLV241" s="814"/>
      <c r="CLW241" s="813"/>
      <c r="CLX241" s="814"/>
      <c r="CLY241" s="813"/>
      <c r="CLZ241" s="814"/>
      <c r="CMA241" s="813"/>
      <c r="CMB241" s="814"/>
      <c r="CMC241" s="813"/>
      <c r="CMD241" s="814"/>
      <c r="CME241" s="813"/>
      <c r="CMF241" s="814"/>
      <c r="CMG241" s="813"/>
      <c r="CMH241" s="814"/>
      <c r="CMI241" s="813"/>
      <c r="CMJ241" s="814"/>
      <c r="CMK241" s="813"/>
      <c r="CML241" s="814"/>
      <c r="CMM241" s="813"/>
      <c r="CMN241" s="814"/>
      <c r="CMO241" s="813"/>
      <c r="CMP241" s="814"/>
      <c r="CMQ241" s="813"/>
      <c r="CMR241" s="814"/>
      <c r="CMS241" s="813"/>
      <c r="CMT241" s="814"/>
      <c r="CMU241" s="813"/>
      <c r="CMV241" s="814"/>
      <c r="CMW241" s="813"/>
      <c r="CMX241" s="814"/>
      <c r="CMY241" s="813"/>
      <c r="CMZ241" s="814"/>
      <c r="CNA241" s="813"/>
      <c r="CNB241" s="814"/>
      <c r="CNC241" s="813"/>
      <c r="CND241" s="814"/>
      <c r="CNE241" s="813"/>
      <c r="CNF241" s="814"/>
      <c r="CNG241" s="813"/>
      <c r="CNH241" s="814"/>
      <c r="CNI241" s="813"/>
      <c r="CNJ241" s="814"/>
      <c r="CNK241" s="813"/>
      <c r="CNL241" s="814"/>
      <c r="CNM241" s="813"/>
      <c r="CNN241" s="814"/>
      <c r="CNO241" s="813"/>
      <c r="CNP241" s="814"/>
      <c r="CNQ241" s="813"/>
      <c r="CNR241" s="814"/>
      <c r="CNS241" s="813"/>
      <c r="CNT241" s="814"/>
      <c r="CNU241" s="813"/>
      <c r="CNV241" s="814"/>
      <c r="CNW241" s="813"/>
      <c r="CNX241" s="814"/>
      <c r="CNY241" s="813"/>
      <c r="CNZ241" s="814"/>
      <c r="COA241" s="813"/>
      <c r="COB241" s="814"/>
      <c r="COC241" s="813"/>
      <c r="COD241" s="814"/>
      <c r="COE241" s="813"/>
      <c r="COF241" s="814"/>
      <c r="COG241" s="813"/>
      <c r="COH241" s="814"/>
      <c r="COI241" s="813"/>
      <c r="COJ241" s="814"/>
      <c r="COK241" s="813"/>
      <c r="COL241" s="814"/>
      <c r="COM241" s="813"/>
      <c r="CON241" s="814"/>
      <c r="COO241" s="813"/>
      <c r="COP241" s="814"/>
      <c r="COQ241" s="813"/>
      <c r="COR241" s="814"/>
      <c r="COS241" s="813"/>
      <c r="COT241" s="814"/>
      <c r="COU241" s="813"/>
      <c r="COV241" s="814"/>
      <c r="COW241" s="813"/>
      <c r="COX241" s="814"/>
      <c r="COY241" s="813"/>
      <c r="COZ241" s="814"/>
      <c r="CPA241" s="813"/>
      <c r="CPB241" s="814"/>
      <c r="CPC241" s="813"/>
      <c r="CPD241" s="814"/>
      <c r="CPE241" s="813"/>
      <c r="CPF241" s="814"/>
      <c r="CPG241" s="813"/>
      <c r="CPH241" s="814"/>
      <c r="CPI241" s="813"/>
      <c r="CPJ241" s="814"/>
      <c r="CPK241" s="813"/>
      <c r="CPL241" s="814"/>
      <c r="CPM241" s="813"/>
      <c r="CPN241" s="814"/>
      <c r="CPO241" s="813"/>
      <c r="CPP241" s="814"/>
      <c r="CPQ241" s="813"/>
      <c r="CPR241" s="814"/>
      <c r="CPS241" s="813"/>
      <c r="CPT241" s="814"/>
      <c r="CPU241" s="813"/>
      <c r="CPV241" s="814"/>
      <c r="CPW241" s="813"/>
      <c r="CPX241" s="814"/>
      <c r="CPY241" s="813"/>
      <c r="CPZ241" s="814"/>
      <c r="CQA241" s="813"/>
      <c r="CQB241" s="814"/>
      <c r="CQC241" s="813"/>
      <c r="CQD241" s="814"/>
      <c r="CQE241" s="813"/>
      <c r="CQF241" s="814"/>
      <c r="CQG241" s="813"/>
      <c r="CQH241" s="814"/>
      <c r="CQI241" s="813"/>
      <c r="CQJ241" s="814"/>
      <c r="CQK241" s="813"/>
      <c r="CQL241" s="814"/>
      <c r="CQM241" s="813"/>
      <c r="CQN241" s="814"/>
      <c r="CQO241" s="813"/>
      <c r="CQP241" s="814"/>
      <c r="CQQ241" s="813"/>
      <c r="CQR241" s="814"/>
      <c r="CQS241" s="813"/>
      <c r="CQT241" s="814"/>
      <c r="CQU241" s="813"/>
      <c r="CQV241" s="814"/>
      <c r="CQW241" s="813"/>
      <c r="CQX241" s="814"/>
      <c r="CQY241" s="813"/>
      <c r="CQZ241" s="814"/>
      <c r="CRA241" s="813"/>
      <c r="CRB241" s="814"/>
      <c r="CRC241" s="813"/>
      <c r="CRD241" s="814"/>
      <c r="CRE241" s="813"/>
      <c r="CRF241" s="814"/>
      <c r="CRG241" s="813"/>
      <c r="CRH241" s="814"/>
      <c r="CRI241" s="813"/>
      <c r="CRJ241" s="814"/>
      <c r="CRK241" s="813"/>
      <c r="CRL241" s="814"/>
      <c r="CRM241" s="813"/>
      <c r="CRN241" s="814"/>
      <c r="CRO241" s="813"/>
      <c r="CRP241" s="814"/>
      <c r="CRQ241" s="813"/>
      <c r="CRR241" s="814"/>
      <c r="CRS241" s="813"/>
      <c r="CRT241" s="814"/>
      <c r="CRU241" s="813"/>
      <c r="CRV241" s="814"/>
      <c r="CRW241" s="813"/>
      <c r="CRX241" s="814"/>
      <c r="CRY241" s="813"/>
      <c r="CRZ241" s="814"/>
      <c r="CSA241" s="813"/>
      <c r="CSB241" s="814"/>
      <c r="CSC241" s="813"/>
      <c r="CSD241" s="814"/>
      <c r="CSE241" s="813"/>
      <c r="CSF241" s="814"/>
      <c r="CSG241" s="813"/>
      <c r="CSH241" s="814"/>
      <c r="CSI241" s="813"/>
      <c r="CSJ241" s="814"/>
      <c r="CSK241" s="813"/>
      <c r="CSL241" s="814"/>
      <c r="CSM241" s="813"/>
      <c r="CSN241" s="814"/>
      <c r="CSO241" s="813"/>
      <c r="CSP241" s="814"/>
      <c r="CSQ241" s="813"/>
      <c r="CSR241" s="814"/>
      <c r="CSS241" s="813"/>
      <c r="CST241" s="814"/>
      <c r="CSU241" s="813"/>
      <c r="CSV241" s="814"/>
      <c r="CSW241" s="813"/>
      <c r="CSX241" s="814"/>
      <c r="CSY241" s="813"/>
      <c r="CSZ241" s="814"/>
      <c r="CTA241" s="813"/>
      <c r="CTB241" s="814"/>
      <c r="CTC241" s="813"/>
      <c r="CTD241" s="814"/>
      <c r="CTE241" s="813"/>
      <c r="CTF241" s="814"/>
      <c r="CTG241" s="813"/>
      <c r="CTH241" s="814"/>
      <c r="CTI241" s="813"/>
      <c r="CTJ241" s="814"/>
      <c r="CTK241" s="813"/>
      <c r="CTL241" s="814"/>
      <c r="CTM241" s="813"/>
      <c r="CTN241" s="814"/>
      <c r="CTO241" s="813"/>
      <c r="CTP241" s="814"/>
      <c r="CTQ241" s="813"/>
      <c r="CTR241" s="814"/>
      <c r="CTS241" s="813"/>
      <c r="CTT241" s="814"/>
      <c r="CTU241" s="813"/>
      <c r="CTV241" s="814"/>
      <c r="CTW241" s="813"/>
      <c r="CTX241" s="814"/>
      <c r="CTY241" s="813"/>
      <c r="CTZ241" s="814"/>
      <c r="CUA241" s="813"/>
      <c r="CUB241" s="814"/>
      <c r="CUC241" s="813"/>
      <c r="CUD241" s="814"/>
      <c r="CUE241" s="813"/>
      <c r="CUF241" s="814"/>
      <c r="CUG241" s="813"/>
      <c r="CUH241" s="814"/>
      <c r="CUI241" s="813"/>
      <c r="CUJ241" s="814"/>
      <c r="CUK241" s="813"/>
      <c r="CUL241" s="814"/>
      <c r="CUM241" s="813"/>
      <c r="CUN241" s="814"/>
      <c r="CUO241" s="813"/>
      <c r="CUP241" s="814"/>
      <c r="CUQ241" s="813"/>
      <c r="CUR241" s="814"/>
      <c r="CUS241" s="813"/>
      <c r="CUT241" s="814"/>
      <c r="CUU241" s="813"/>
      <c r="CUV241" s="814"/>
      <c r="CUW241" s="813"/>
      <c r="CUX241" s="814"/>
      <c r="CUY241" s="813"/>
      <c r="CUZ241" s="814"/>
      <c r="CVA241" s="813"/>
      <c r="CVB241" s="814"/>
      <c r="CVC241" s="813"/>
      <c r="CVD241" s="814"/>
      <c r="CVE241" s="813"/>
      <c r="CVF241" s="814"/>
      <c r="CVG241" s="813"/>
      <c r="CVH241" s="814"/>
      <c r="CVI241" s="813"/>
      <c r="CVJ241" s="814"/>
      <c r="CVK241" s="813"/>
      <c r="CVL241" s="814"/>
      <c r="CVM241" s="813"/>
      <c r="CVN241" s="814"/>
      <c r="CVO241" s="813"/>
      <c r="CVP241" s="814"/>
      <c r="CVQ241" s="813"/>
      <c r="CVR241" s="814"/>
      <c r="CVS241" s="813"/>
      <c r="CVT241" s="814"/>
      <c r="CVU241" s="813"/>
      <c r="CVV241" s="814"/>
      <c r="CVW241" s="813"/>
      <c r="CVX241" s="814"/>
      <c r="CVY241" s="813"/>
      <c r="CVZ241" s="814"/>
      <c r="CWA241" s="813"/>
      <c r="CWB241" s="814"/>
      <c r="CWC241" s="813"/>
      <c r="CWD241" s="814"/>
      <c r="CWE241" s="813"/>
      <c r="CWF241" s="814"/>
      <c r="CWG241" s="813"/>
      <c r="CWH241" s="814"/>
      <c r="CWI241" s="813"/>
      <c r="CWJ241" s="814"/>
      <c r="CWK241" s="813"/>
      <c r="CWL241" s="814"/>
      <c r="CWM241" s="813"/>
      <c r="CWN241" s="814"/>
      <c r="CWO241" s="813"/>
      <c r="CWP241" s="814"/>
      <c r="CWQ241" s="813"/>
      <c r="CWR241" s="814"/>
      <c r="CWS241" s="813"/>
      <c r="CWT241" s="814"/>
      <c r="CWU241" s="813"/>
      <c r="CWV241" s="814"/>
      <c r="CWW241" s="813"/>
      <c r="CWX241" s="814"/>
      <c r="CWY241" s="813"/>
      <c r="CWZ241" s="814"/>
      <c r="CXA241" s="813"/>
      <c r="CXB241" s="814"/>
      <c r="CXC241" s="813"/>
      <c r="CXD241" s="814"/>
      <c r="CXE241" s="813"/>
      <c r="CXF241" s="814"/>
      <c r="CXG241" s="813"/>
      <c r="CXH241" s="814"/>
      <c r="CXI241" s="813"/>
      <c r="CXJ241" s="814"/>
      <c r="CXK241" s="813"/>
      <c r="CXL241" s="814"/>
      <c r="CXM241" s="813"/>
      <c r="CXN241" s="814"/>
      <c r="CXO241" s="813"/>
      <c r="CXP241" s="814"/>
      <c r="CXQ241" s="813"/>
      <c r="CXR241" s="814"/>
      <c r="CXS241" s="813"/>
      <c r="CXT241" s="814"/>
      <c r="CXU241" s="813"/>
      <c r="CXV241" s="814"/>
      <c r="CXW241" s="813"/>
      <c r="CXX241" s="814"/>
      <c r="CXY241" s="813"/>
      <c r="CXZ241" s="814"/>
      <c r="CYA241" s="813"/>
      <c r="CYB241" s="814"/>
      <c r="CYC241" s="813"/>
      <c r="CYD241" s="814"/>
      <c r="CYE241" s="813"/>
      <c r="CYF241" s="814"/>
      <c r="CYG241" s="813"/>
      <c r="CYH241" s="814"/>
      <c r="CYI241" s="813"/>
      <c r="CYJ241" s="814"/>
      <c r="CYK241" s="813"/>
      <c r="CYL241" s="814"/>
      <c r="CYM241" s="813"/>
      <c r="CYN241" s="814"/>
      <c r="CYO241" s="813"/>
      <c r="CYP241" s="814"/>
      <c r="CYQ241" s="813"/>
      <c r="CYR241" s="814"/>
      <c r="CYS241" s="813"/>
      <c r="CYT241" s="814"/>
      <c r="CYU241" s="813"/>
      <c r="CYV241" s="814"/>
      <c r="CYW241" s="813"/>
      <c r="CYX241" s="814"/>
      <c r="CYY241" s="813"/>
      <c r="CYZ241" s="814"/>
      <c r="CZA241" s="813"/>
      <c r="CZB241" s="814"/>
      <c r="CZC241" s="813"/>
      <c r="CZD241" s="814"/>
      <c r="CZE241" s="813"/>
      <c r="CZF241" s="814"/>
      <c r="CZG241" s="813"/>
      <c r="CZH241" s="814"/>
      <c r="CZI241" s="813"/>
      <c r="CZJ241" s="814"/>
      <c r="CZK241" s="813"/>
      <c r="CZL241" s="814"/>
      <c r="CZM241" s="813"/>
      <c r="CZN241" s="814"/>
      <c r="CZO241" s="813"/>
      <c r="CZP241" s="814"/>
      <c r="CZQ241" s="813"/>
      <c r="CZR241" s="814"/>
      <c r="CZS241" s="813"/>
      <c r="CZT241" s="814"/>
      <c r="CZU241" s="813"/>
      <c r="CZV241" s="814"/>
      <c r="CZW241" s="813"/>
      <c r="CZX241" s="814"/>
      <c r="CZY241" s="813"/>
      <c r="CZZ241" s="814"/>
      <c r="DAA241" s="813"/>
      <c r="DAB241" s="814"/>
      <c r="DAC241" s="813"/>
      <c r="DAD241" s="814"/>
      <c r="DAE241" s="813"/>
      <c r="DAF241" s="814"/>
      <c r="DAG241" s="813"/>
      <c r="DAH241" s="814"/>
      <c r="DAI241" s="813"/>
      <c r="DAJ241" s="814"/>
      <c r="DAK241" s="813"/>
      <c r="DAL241" s="814"/>
      <c r="DAM241" s="813"/>
      <c r="DAN241" s="814"/>
      <c r="DAO241" s="813"/>
      <c r="DAP241" s="814"/>
      <c r="DAQ241" s="813"/>
      <c r="DAR241" s="814"/>
      <c r="DAS241" s="813"/>
      <c r="DAT241" s="814"/>
      <c r="DAU241" s="813"/>
      <c r="DAV241" s="814"/>
      <c r="DAW241" s="813"/>
      <c r="DAX241" s="814"/>
      <c r="DAY241" s="813"/>
      <c r="DAZ241" s="814"/>
      <c r="DBA241" s="813"/>
      <c r="DBB241" s="814"/>
      <c r="DBC241" s="813"/>
      <c r="DBD241" s="814"/>
      <c r="DBE241" s="813"/>
      <c r="DBF241" s="814"/>
      <c r="DBG241" s="813"/>
      <c r="DBH241" s="814"/>
      <c r="DBI241" s="813"/>
      <c r="DBJ241" s="814"/>
      <c r="DBK241" s="813"/>
      <c r="DBL241" s="814"/>
      <c r="DBM241" s="813"/>
      <c r="DBN241" s="814"/>
      <c r="DBO241" s="813"/>
      <c r="DBP241" s="814"/>
      <c r="DBQ241" s="813"/>
      <c r="DBR241" s="814"/>
      <c r="DBS241" s="813"/>
      <c r="DBT241" s="814"/>
      <c r="DBU241" s="813"/>
      <c r="DBV241" s="814"/>
      <c r="DBW241" s="813"/>
      <c r="DBX241" s="814"/>
      <c r="DBY241" s="813"/>
      <c r="DBZ241" s="814"/>
      <c r="DCA241" s="813"/>
      <c r="DCB241" s="814"/>
      <c r="DCC241" s="813"/>
      <c r="DCD241" s="814"/>
      <c r="DCE241" s="813"/>
      <c r="DCF241" s="814"/>
      <c r="DCG241" s="813"/>
      <c r="DCH241" s="814"/>
      <c r="DCI241" s="813"/>
      <c r="DCJ241" s="814"/>
      <c r="DCK241" s="813"/>
      <c r="DCL241" s="814"/>
      <c r="DCM241" s="813"/>
      <c r="DCN241" s="814"/>
      <c r="DCO241" s="813"/>
      <c r="DCP241" s="814"/>
      <c r="DCQ241" s="813"/>
      <c r="DCR241" s="814"/>
      <c r="DCS241" s="813"/>
      <c r="DCT241" s="814"/>
      <c r="DCU241" s="813"/>
      <c r="DCV241" s="814"/>
      <c r="DCW241" s="813"/>
      <c r="DCX241" s="814"/>
      <c r="DCY241" s="813"/>
      <c r="DCZ241" s="814"/>
      <c r="DDA241" s="813"/>
      <c r="DDB241" s="814"/>
      <c r="DDC241" s="813"/>
      <c r="DDD241" s="814"/>
      <c r="DDE241" s="813"/>
      <c r="DDF241" s="814"/>
      <c r="DDG241" s="813"/>
      <c r="DDH241" s="814"/>
      <c r="DDI241" s="813"/>
      <c r="DDJ241" s="814"/>
      <c r="DDK241" s="813"/>
      <c r="DDL241" s="814"/>
      <c r="DDM241" s="813"/>
      <c r="DDN241" s="814"/>
      <c r="DDO241" s="813"/>
      <c r="DDP241" s="814"/>
      <c r="DDQ241" s="813"/>
      <c r="DDR241" s="814"/>
      <c r="DDS241" s="813"/>
      <c r="DDT241" s="814"/>
      <c r="DDU241" s="813"/>
      <c r="DDV241" s="814"/>
      <c r="DDW241" s="813"/>
      <c r="DDX241" s="814"/>
      <c r="DDY241" s="813"/>
      <c r="DDZ241" s="814"/>
      <c r="DEA241" s="813"/>
      <c r="DEB241" s="814"/>
      <c r="DEC241" s="813"/>
      <c r="DED241" s="814"/>
      <c r="DEE241" s="813"/>
      <c r="DEF241" s="814"/>
      <c r="DEG241" s="813"/>
      <c r="DEH241" s="814"/>
      <c r="DEI241" s="813"/>
      <c r="DEJ241" s="814"/>
      <c r="DEK241" s="813"/>
      <c r="DEL241" s="814"/>
      <c r="DEM241" s="813"/>
      <c r="DEN241" s="814"/>
      <c r="DEO241" s="813"/>
      <c r="DEP241" s="814"/>
      <c r="DEQ241" s="813"/>
      <c r="DER241" s="814"/>
      <c r="DES241" s="813"/>
      <c r="DET241" s="814"/>
      <c r="DEU241" s="813"/>
      <c r="DEV241" s="814"/>
      <c r="DEW241" s="813"/>
      <c r="DEX241" s="814"/>
      <c r="DEY241" s="813"/>
      <c r="DEZ241" s="814"/>
      <c r="DFA241" s="813"/>
      <c r="DFB241" s="814"/>
      <c r="DFC241" s="813"/>
      <c r="DFD241" s="814"/>
      <c r="DFE241" s="813"/>
      <c r="DFF241" s="814"/>
      <c r="DFG241" s="813"/>
      <c r="DFH241" s="814"/>
      <c r="DFI241" s="813"/>
      <c r="DFJ241" s="814"/>
      <c r="DFK241" s="813"/>
      <c r="DFL241" s="814"/>
      <c r="DFM241" s="813"/>
      <c r="DFN241" s="814"/>
      <c r="DFO241" s="813"/>
      <c r="DFP241" s="814"/>
      <c r="DFQ241" s="813"/>
      <c r="DFR241" s="814"/>
      <c r="DFS241" s="813"/>
      <c r="DFT241" s="814"/>
      <c r="DFU241" s="813"/>
      <c r="DFV241" s="814"/>
      <c r="DFW241" s="813"/>
      <c r="DFX241" s="814"/>
      <c r="DFY241" s="813"/>
      <c r="DFZ241" s="814"/>
      <c r="DGA241" s="813"/>
      <c r="DGB241" s="814"/>
      <c r="DGC241" s="813"/>
      <c r="DGD241" s="814"/>
      <c r="DGE241" s="813"/>
      <c r="DGF241" s="814"/>
      <c r="DGG241" s="813"/>
      <c r="DGH241" s="814"/>
      <c r="DGI241" s="813"/>
      <c r="DGJ241" s="814"/>
      <c r="DGK241" s="813"/>
      <c r="DGL241" s="814"/>
      <c r="DGM241" s="813"/>
      <c r="DGN241" s="814"/>
      <c r="DGO241" s="813"/>
      <c r="DGP241" s="814"/>
      <c r="DGQ241" s="813"/>
      <c r="DGR241" s="814"/>
      <c r="DGS241" s="813"/>
      <c r="DGT241" s="814"/>
      <c r="DGU241" s="813"/>
      <c r="DGV241" s="814"/>
      <c r="DGW241" s="813"/>
      <c r="DGX241" s="814"/>
      <c r="DGY241" s="813"/>
      <c r="DGZ241" s="814"/>
      <c r="DHA241" s="813"/>
      <c r="DHB241" s="814"/>
      <c r="DHC241" s="813"/>
      <c r="DHD241" s="814"/>
      <c r="DHE241" s="813"/>
      <c r="DHF241" s="814"/>
      <c r="DHG241" s="813"/>
      <c r="DHH241" s="814"/>
      <c r="DHI241" s="813"/>
      <c r="DHJ241" s="814"/>
      <c r="DHK241" s="813"/>
      <c r="DHL241" s="814"/>
      <c r="DHM241" s="813"/>
      <c r="DHN241" s="814"/>
      <c r="DHO241" s="813"/>
      <c r="DHP241" s="814"/>
      <c r="DHQ241" s="813"/>
      <c r="DHR241" s="814"/>
      <c r="DHS241" s="813"/>
      <c r="DHT241" s="814"/>
      <c r="DHU241" s="813"/>
      <c r="DHV241" s="814"/>
      <c r="DHW241" s="813"/>
      <c r="DHX241" s="814"/>
      <c r="DHY241" s="813"/>
      <c r="DHZ241" s="814"/>
      <c r="DIA241" s="813"/>
      <c r="DIB241" s="814"/>
      <c r="DIC241" s="813"/>
      <c r="DID241" s="814"/>
      <c r="DIE241" s="813"/>
      <c r="DIF241" s="814"/>
      <c r="DIG241" s="813"/>
      <c r="DIH241" s="814"/>
      <c r="DII241" s="813"/>
      <c r="DIJ241" s="814"/>
      <c r="DIK241" s="813"/>
      <c r="DIL241" s="814"/>
      <c r="DIM241" s="813"/>
      <c r="DIN241" s="814"/>
      <c r="DIO241" s="813"/>
      <c r="DIP241" s="814"/>
      <c r="DIQ241" s="813"/>
      <c r="DIR241" s="814"/>
      <c r="DIS241" s="813"/>
      <c r="DIT241" s="814"/>
      <c r="DIU241" s="813"/>
      <c r="DIV241" s="814"/>
      <c r="DIW241" s="813"/>
      <c r="DIX241" s="814"/>
      <c r="DIY241" s="813"/>
      <c r="DIZ241" s="814"/>
      <c r="DJA241" s="813"/>
      <c r="DJB241" s="814"/>
      <c r="DJC241" s="813"/>
      <c r="DJD241" s="814"/>
      <c r="DJE241" s="813"/>
      <c r="DJF241" s="814"/>
      <c r="DJG241" s="813"/>
      <c r="DJH241" s="814"/>
      <c r="DJI241" s="813"/>
      <c r="DJJ241" s="814"/>
      <c r="DJK241" s="813"/>
      <c r="DJL241" s="814"/>
      <c r="DJM241" s="813"/>
      <c r="DJN241" s="814"/>
      <c r="DJO241" s="813"/>
      <c r="DJP241" s="814"/>
      <c r="DJQ241" s="813"/>
      <c r="DJR241" s="814"/>
      <c r="DJS241" s="813"/>
      <c r="DJT241" s="814"/>
      <c r="DJU241" s="813"/>
      <c r="DJV241" s="814"/>
      <c r="DJW241" s="813"/>
      <c r="DJX241" s="814"/>
      <c r="DJY241" s="813"/>
      <c r="DJZ241" s="814"/>
      <c r="DKA241" s="813"/>
      <c r="DKB241" s="814"/>
      <c r="DKC241" s="813"/>
      <c r="DKD241" s="814"/>
      <c r="DKE241" s="813"/>
      <c r="DKF241" s="814"/>
      <c r="DKG241" s="813"/>
      <c r="DKH241" s="814"/>
      <c r="DKI241" s="813"/>
      <c r="DKJ241" s="814"/>
      <c r="DKK241" s="813"/>
      <c r="DKL241" s="814"/>
      <c r="DKM241" s="813"/>
      <c r="DKN241" s="814"/>
      <c r="DKO241" s="813"/>
      <c r="DKP241" s="814"/>
      <c r="DKQ241" s="813"/>
      <c r="DKR241" s="814"/>
      <c r="DKS241" s="813"/>
      <c r="DKT241" s="814"/>
      <c r="DKU241" s="813"/>
      <c r="DKV241" s="814"/>
      <c r="DKW241" s="813"/>
      <c r="DKX241" s="814"/>
      <c r="DKY241" s="813"/>
      <c r="DKZ241" s="814"/>
      <c r="DLA241" s="813"/>
      <c r="DLB241" s="814"/>
      <c r="DLC241" s="813"/>
      <c r="DLD241" s="814"/>
      <c r="DLE241" s="813"/>
      <c r="DLF241" s="814"/>
      <c r="DLG241" s="813"/>
      <c r="DLH241" s="814"/>
      <c r="DLI241" s="813"/>
      <c r="DLJ241" s="814"/>
      <c r="DLK241" s="813"/>
      <c r="DLL241" s="814"/>
      <c r="DLM241" s="813"/>
      <c r="DLN241" s="814"/>
      <c r="DLO241" s="813"/>
      <c r="DLP241" s="814"/>
      <c r="DLQ241" s="813"/>
      <c r="DLR241" s="814"/>
      <c r="DLS241" s="813"/>
      <c r="DLT241" s="814"/>
      <c r="DLU241" s="813"/>
      <c r="DLV241" s="814"/>
      <c r="DLW241" s="813"/>
      <c r="DLX241" s="814"/>
      <c r="DLY241" s="813"/>
      <c r="DLZ241" s="814"/>
      <c r="DMA241" s="813"/>
      <c r="DMB241" s="814"/>
      <c r="DMC241" s="813"/>
      <c r="DMD241" s="814"/>
      <c r="DME241" s="813"/>
      <c r="DMF241" s="814"/>
      <c r="DMG241" s="813"/>
      <c r="DMH241" s="814"/>
      <c r="DMI241" s="813"/>
      <c r="DMJ241" s="814"/>
      <c r="DMK241" s="813"/>
      <c r="DML241" s="814"/>
      <c r="DMM241" s="813"/>
      <c r="DMN241" s="814"/>
      <c r="DMO241" s="813"/>
      <c r="DMP241" s="814"/>
      <c r="DMQ241" s="813"/>
      <c r="DMR241" s="814"/>
      <c r="DMS241" s="813"/>
      <c r="DMT241" s="814"/>
      <c r="DMU241" s="813"/>
      <c r="DMV241" s="814"/>
      <c r="DMW241" s="813"/>
      <c r="DMX241" s="814"/>
      <c r="DMY241" s="813"/>
      <c r="DMZ241" s="814"/>
      <c r="DNA241" s="813"/>
      <c r="DNB241" s="814"/>
      <c r="DNC241" s="813"/>
      <c r="DND241" s="814"/>
      <c r="DNE241" s="813"/>
      <c r="DNF241" s="814"/>
      <c r="DNG241" s="813"/>
      <c r="DNH241" s="814"/>
      <c r="DNI241" s="813"/>
      <c r="DNJ241" s="814"/>
      <c r="DNK241" s="813"/>
      <c r="DNL241" s="814"/>
      <c r="DNM241" s="813"/>
      <c r="DNN241" s="814"/>
      <c r="DNO241" s="813"/>
      <c r="DNP241" s="814"/>
      <c r="DNQ241" s="813"/>
      <c r="DNR241" s="814"/>
      <c r="DNS241" s="813"/>
      <c r="DNT241" s="814"/>
      <c r="DNU241" s="813"/>
      <c r="DNV241" s="814"/>
      <c r="DNW241" s="813"/>
      <c r="DNX241" s="814"/>
      <c r="DNY241" s="813"/>
      <c r="DNZ241" s="814"/>
      <c r="DOA241" s="813"/>
      <c r="DOB241" s="814"/>
      <c r="DOC241" s="813"/>
      <c r="DOD241" s="814"/>
      <c r="DOE241" s="813"/>
      <c r="DOF241" s="814"/>
      <c r="DOG241" s="813"/>
      <c r="DOH241" s="814"/>
      <c r="DOI241" s="813"/>
      <c r="DOJ241" s="814"/>
      <c r="DOK241" s="813"/>
      <c r="DOL241" s="814"/>
      <c r="DOM241" s="813"/>
      <c r="DON241" s="814"/>
      <c r="DOO241" s="813"/>
      <c r="DOP241" s="814"/>
      <c r="DOQ241" s="813"/>
      <c r="DOR241" s="814"/>
      <c r="DOS241" s="813"/>
      <c r="DOT241" s="814"/>
      <c r="DOU241" s="813"/>
      <c r="DOV241" s="814"/>
      <c r="DOW241" s="813"/>
      <c r="DOX241" s="814"/>
      <c r="DOY241" s="813"/>
      <c r="DOZ241" s="814"/>
      <c r="DPA241" s="813"/>
      <c r="DPB241" s="814"/>
      <c r="DPC241" s="813"/>
      <c r="DPD241" s="814"/>
      <c r="DPE241" s="813"/>
      <c r="DPF241" s="814"/>
      <c r="DPG241" s="813"/>
      <c r="DPH241" s="814"/>
      <c r="DPI241" s="813"/>
      <c r="DPJ241" s="814"/>
      <c r="DPK241" s="813"/>
      <c r="DPL241" s="814"/>
      <c r="DPM241" s="813"/>
      <c r="DPN241" s="814"/>
      <c r="DPO241" s="813"/>
      <c r="DPP241" s="814"/>
      <c r="DPQ241" s="813"/>
      <c r="DPR241" s="814"/>
      <c r="DPS241" s="813"/>
      <c r="DPT241" s="814"/>
      <c r="DPU241" s="813"/>
      <c r="DPV241" s="814"/>
      <c r="DPW241" s="813"/>
      <c r="DPX241" s="814"/>
      <c r="DPY241" s="813"/>
      <c r="DPZ241" s="814"/>
      <c r="DQA241" s="813"/>
      <c r="DQB241" s="814"/>
      <c r="DQC241" s="813"/>
      <c r="DQD241" s="814"/>
      <c r="DQE241" s="813"/>
      <c r="DQF241" s="814"/>
      <c r="DQG241" s="813"/>
      <c r="DQH241" s="814"/>
      <c r="DQI241" s="813"/>
      <c r="DQJ241" s="814"/>
      <c r="DQK241" s="813"/>
      <c r="DQL241" s="814"/>
      <c r="DQM241" s="813"/>
      <c r="DQN241" s="814"/>
      <c r="DQO241" s="813"/>
      <c r="DQP241" s="814"/>
      <c r="DQQ241" s="813"/>
      <c r="DQR241" s="814"/>
      <c r="DQS241" s="813"/>
      <c r="DQT241" s="814"/>
      <c r="DQU241" s="813"/>
      <c r="DQV241" s="814"/>
      <c r="DQW241" s="813"/>
      <c r="DQX241" s="814"/>
      <c r="DQY241" s="813"/>
      <c r="DQZ241" s="814"/>
      <c r="DRA241" s="813"/>
      <c r="DRB241" s="814"/>
      <c r="DRC241" s="813"/>
      <c r="DRD241" s="814"/>
      <c r="DRE241" s="813"/>
      <c r="DRF241" s="814"/>
      <c r="DRG241" s="813"/>
      <c r="DRH241" s="814"/>
      <c r="DRI241" s="813"/>
      <c r="DRJ241" s="814"/>
      <c r="DRK241" s="813"/>
      <c r="DRL241" s="814"/>
      <c r="DRM241" s="813"/>
      <c r="DRN241" s="814"/>
      <c r="DRO241" s="813"/>
      <c r="DRP241" s="814"/>
      <c r="DRQ241" s="813"/>
      <c r="DRR241" s="814"/>
      <c r="DRS241" s="813"/>
      <c r="DRT241" s="814"/>
      <c r="DRU241" s="813"/>
      <c r="DRV241" s="814"/>
      <c r="DRW241" s="813"/>
      <c r="DRX241" s="814"/>
      <c r="DRY241" s="813"/>
      <c r="DRZ241" s="814"/>
      <c r="DSA241" s="813"/>
      <c r="DSB241" s="814"/>
      <c r="DSC241" s="813"/>
      <c r="DSD241" s="814"/>
      <c r="DSE241" s="813"/>
      <c r="DSF241" s="814"/>
      <c r="DSG241" s="813"/>
      <c r="DSH241" s="814"/>
      <c r="DSI241" s="813"/>
      <c r="DSJ241" s="814"/>
      <c r="DSK241" s="813"/>
      <c r="DSL241" s="814"/>
      <c r="DSM241" s="813"/>
      <c r="DSN241" s="814"/>
      <c r="DSO241" s="813"/>
      <c r="DSP241" s="814"/>
      <c r="DSQ241" s="813"/>
      <c r="DSR241" s="814"/>
      <c r="DSS241" s="813"/>
      <c r="DST241" s="814"/>
      <c r="DSU241" s="813"/>
      <c r="DSV241" s="814"/>
      <c r="DSW241" s="813"/>
      <c r="DSX241" s="814"/>
      <c r="DSY241" s="813"/>
      <c r="DSZ241" s="814"/>
      <c r="DTA241" s="813"/>
      <c r="DTB241" s="814"/>
      <c r="DTC241" s="813"/>
      <c r="DTD241" s="814"/>
      <c r="DTE241" s="813"/>
      <c r="DTF241" s="814"/>
      <c r="DTG241" s="813"/>
      <c r="DTH241" s="814"/>
      <c r="DTI241" s="813"/>
      <c r="DTJ241" s="814"/>
      <c r="DTK241" s="813"/>
      <c r="DTL241" s="814"/>
      <c r="DTM241" s="813"/>
      <c r="DTN241" s="814"/>
      <c r="DTO241" s="813"/>
      <c r="DTP241" s="814"/>
      <c r="DTQ241" s="813"/>
      <c r="DTR241" s="814"/>
      <c r="DTS241" s="813"/>
      <c r="DTT241" s="814"/>
      <c r="DTU241" s="813"/>
      <c r="DTV241" s="814"/>
      <c r="DTW241" s="813"/>
      <c r="DTX241" s="814"/>
      <c r="DTY241" s="813"/>
      <c r="DTZ241" s="814"/>
      <c r="DUA241" s="813"/>
      <c r="DUB241" s="814"/>
      <c r="DUC241" s="813"/>
      <c r="DUD241" s="814"/>
      <c r="DUE241" s="813"/>
      <c r="DUF241" s="814"/>
      <c r="DUG241" s="813"/>
      <c r="DUH241" s="814"/>
      <c r="DUI241" s="813"/>
      <c r="DUJ241" s="814"/>
      <c r="DUK241" s="813"/>
      <c r="DUL241" s="814"/>
      <c r="DUM241" s="813"/>
      <c r="DUN241" s="814"/>
      <c r="DUO241" s="813"/>
      <c r="DUP241" s="814"/>
      <c r="DUQ241" s="813"/>
      <c r="DUR241" s="814"/>
      <c r="DUS241" s="813"/>
      <c r="DUT241" s="814"/>
      <c r="DUU241" s="813"/>
      <c r="DUV241" s="814"/>
      <c r="DUW241" s="813"/>
      <c r="DUX241" s="814"/>
      <c r="DUY241" s="813"/>
      <c r="DUZ241" s="814"/>
      <c r="DVA241" s="813"/>
      <c r="DVB241" s="814"/>
      <c r="DVC241" s="813"/>
      <c r="DVD241" s="814"/>
      <c r="DVE241" s="813"/>
      <c r="DVF241" s="814"/>
      <c r="DVG241" s="813"/>
      <c r="DVH241" s="814"/>
      <c r="DVI241" s="813"/>
      <c r="DVJ241" s="814"/>
      <c r="DVK241" s="813"/>
      <c r="DVL241" s="814"/>
      <c r="DVM241" s="813"/>
      <c r="DVN241" s="814"/>
      <c r="DVO241" s="813"/>
      <c r="DVP241" s="814"/>
      <c r="DVQ241" s="813"/>
      <c r="DVR241" s="814"/>
      <c r="DVS241" s="813"/>
      <c r="DVT241" s="814"/>
      <c r="DVU241" s="813"/>
      <c r="DVV241" s="814"/>
      <c r="DVW241" s="813"/>
      <c r="DVX241" s="814"/>
      <c r="DVY241" s="813"/>
      <c r="DVZ241" s="814"/>
      <c r="DWA241" s="813"/>
      <c r="DWB241" s="814"/>
      <c r="DWC241" s="813"/>
      <c r="DWD241" s="814"/>
      <c r="DWE241" s="813"/>
      <c r="DWF241" s="814"/>
      <c r="DWG241" s="813"/>
      <c r="DWH241" s="814"/>
      <c r="DWI241" s="813"/>
      <c r="DWJ241" s="814"/>
      <c r="DWK241" s="813"/>
      <c r="DWL241" s="814"/>
      <c r="DWM241" s="813"/>
      <c r="DWN241" s="814"/>
      <c r="DWO241" s="813"/>
      <c r="DWP241" s="814"/>
      <c r="DWQ241" s="813"/>
      <c r="DWR241" s="814"/>
      <c r="DWS241" s="813"/>
      <c r="DWT241" s="814"/>
      <c r="DWU241" s="813"/>
      <c r="DWV241" s="814"/>
      <c r="DWW241" s="813"/>
      <c r="DWX241" s="814"/>
      <c r="DWY241" s="813"/>
      <c r="DWZ241" s="814"/>
      <c r="DXA241" s="813"/>
      <c r="DXB241" s="814"/>
      <c r="DXC241" s="813"/>
      <c r="DXD241" s="814"/>
      <c r="DXE241" s="813"/>
      <c r="DXF241" s="814"/>
      <c r="DXG241" s="813"/>
      <c r="DXH241" s="814"/>
      <c r="DXI241" s="813"/>
      <c r="DXJ241" s="814"/>
      <c r="DXK241" s="813"/>
      <c r="DXL241" s="814"/>
      <c r="DXM241" s="813"/>
      <c r="DXN241" s="814"/>
      <c r="DXO241" s="813"/>
      <c r="DXP241" s="814"/>
      <c r="DXQ241" s="813"/>
      <c r="DXR241" s="814"/>
      <c r="DXS241" s="813"/>
      <c r="DXT241" s="814"/>
      <c r="DXU241" s="813"/>
      <c r="DXV241" s="814"/>
      <c r="DXW241" s="813"/>
      <c r="DXX241" s="814"/>
      <c r="DXY241" s="813"/>
      <c r="DXZ241" s="814"/>
      <c r="DYA241" s="813"/>
      <c r="DYB241" s="814"/>
      <c r="DYC241" s="813"/>
      <c r="DYD241" s="814"/>
      <c r="DYE241" s="813"/>
      <c r="DYF241" s="814"/>
      <c r="DYG241" s="813"/>
      <c r="DYH241" s="814"/>
      <c r="DYI241" s="813"/>
      <c r="DYJ241" s="814"/>
      <c r="DYK241" s="813"/>
      <c r="DYL241" s="814"/>
      <c r="DYM241" s="813"/>
      <c r="DYN241" s="814"/>
      <c r="DYO241" s="813"/>
      <c r="DYP241" s="814"/>
      <c r="DYQ241" s="813"/>
      <c r="DYR241" s="814"/>
      <c r="DYS241" s="813"/>
      <c r="DYT241" s="814"/>
      <c r="DYU241" s="813"/>
      <c r="DYV241" s="814"/>
      <c r="DYW241" s="813"/>
      <c r="DYX241" s="814"/>
      <c r="DYY241" s="813"/>
      <c r="DYZ241" s="814"/>
      <c r="DZA241" s="813"/>
      <c r="DZB241" s="814"/>
      <c r="DZC241" s="813"/>
      <c r="DZD241" s="814"/>
      <c r="DZE241" s="813"/>
      <c r="DZF241" s="814"/>
      <c r="DZG241" s="813"/>
      <c r="DZH241" s="814"/>
      <c r="DZI241" s="813"/>
      <c r="DZJ241" s="814"/>
      <c r="DZK241" s="813"/>
      <c r="DZL241" s="814"/>
      <c r="DZM241" s="813"/>
      <c r="DZN241" s="814"/>
      <c r="DZO241" s="813"/>
      <c r="DZP241" s="814"/>
      <c r="DZQ241" s="813"/>
      <c r="DZR241" s="814"/>
      <c r="DZS241" s="813"/>
      <c r="DZT241" s="814"/>
      <c r="DZU241" s="813"/>
      <c r="DZV241" s="814"/>
      <c r="DZW241" s="813"/>
      <c r="DZX241" s="814"/>
      <c r="DZY241" s="813"/>
      <c r="DZZ241" s="814"/>
      <c r="EAA241" s="813"/>
      <c r="EAB241" s="814"/>
      <c r="EAC241" s="813"/>
      <c r="EAD241" s="814"/>
      <c r="EAE241" s="813"/>
      <c r="EAF241" s="814"/>
      <c r="EAG241" s="813"/>
      <c r="EAH241" s="814"/>
      <c r="EAI241" s="813"/>
      <c r="EAJ241" s="814"/>
      <c r="EAK241" s="813"/>
      <c r="EAL241" s="814"/>
      <c r="EAM241" s="813"/>
      <c r="EAN241" s="814"/>
      <c r="EAO241" s="813"/>
      <c r="EAP241" s="814"/>
      <c r="EAQ241" s="813"/>
      <c r="EAR241" s="814"/>
      <c r="EAS241" s="813"/>
      <c r="EAT241" s="814"/>
      <c r="EAU241" s="813"/>
      <c r="EAV241" s="814"/>
      <c r="EAW241" s="813"/>
      <c r="EAX241" s="814"/>
      <c r="EAY241" s="813"/>
      <c r="EAZ241" s="814"/>
      <c r="EBA241" s="813"/>
      <c r="EBB241" s="814"/>
      <c r="EBC241" s="813"/>
      <c r="EBD241" s="814"/>
      <c r="EBE241" s="813"/>
      <c r="EBF241" s="814"/>
      <c r="EBG241" s="813"/>
      <c r="EBH241" s="814"/>
      <c r="EBI241" s="813"/>
      <c r="EBJ241" s="814"/>
      <c r="EBK241" s="813"/>
      <c r="EBL241" s="814"/>
      <c r="EBM241" s="813"/>
      <c r="EBN241" s="814"/>
      <c r="EBO241" s="813"/>
      <c r="EBP241" s="814"/>
      <c r="EBQ241" s="813"/>
      <c r="EBR241" s="814"/>
      <c r="EBS241" s="813"/>
      <c r="EBT241" s="814"/>
      <c r="EBU241" s="813"/>
      <c r="EBV241" s="814"/>
      <c r="EBW241" s="813"/>
      <c r="EBX241" s="814"/>
      <c r="EBY241" s="813"/>
      <c r="EBZ241" s="814"/>
      <c r="ECA241" s="813"/>
      <c r="ECB241" s="814"/>
      <c r="ECC241" s="813"/>
      <c r="ECD241" s="814"/>
      <c r="ECE241" s="813"/>
      <c r="ECF241" s="814"/>
      <c r="ECG241" s="813"/>
      <c r="ECH241" s="814"/>
      <c r="ECI241" s="813"/>
      <c r="ECJ241" s="814"/>
      <c r="ECK241" s="813"/>
      <c r="ECL241" s="814"/>
      <c r="ECM241" s="813"/>
      <c r="ECN241" s="814"/>
      <c r="ECO241" s="813"/>
      <c r="ECP241" s="814"/>
      <c r="ECQ241" s="813"/>
      <c r="ECR241" s="814"/>
      <c r="ECS241" s="813"/>
      <c r="ECT241" s="814"/>
      <c r="ECU241" s="813"/>
      <c r="ECV241" s="814"/>
      <c r="ECW241" s="813"/>
      <c r="ECX241" s="814"/>
      <c r="ECY241" s="813"/>
      <c r="ECZ241" s="814"/>
      <c r="EDA241" s="813"/>
      <c r="EDB241" s="814"/>
      <c r="EDC241" s="813"/>
      <c r="EDD241" s="814"/>
      <c r="EDE241" s="813"/>
      <c r="EDF241" s="814"/>
      <c r="EDG241" s="813"/>
      <c r="EDH241" s="814"/>
      <c r="EDI241" s="813"/>
      <c r="EDJ241" s="814"/>
      <c r="EDK241" s="813"/>
      <c r="EDL241" s="814"/>
      <c r="EDM241" s="813"/>
      <c r="EDN241" s="814"/>
      <c r="EDO241" s="813"/>
      <c r="EDP241" s="814"/>
      <c r="EDQ241" s="813"/>
      <c r="EDR241" s="814"/>
      <c r="EDS241" s="813"/>
      <c r="EDT241" s="814"/>
      <c r="EDU241" s="813"/>
      <c r="EDV241" s="814"/>
      <c r="EDW241" s="813"/>
      <c r="EDX241" s="814"/>
      <c r="EDY241" s="813"/>
      <c r="EDZ241" s="814"/>
      <c r="EEA241" s="813"/>
      <c r="EEB241" s="814"/>
      <c r="EEC241" s="813"/>
      <c r="EED241" s="814"/>
      <c r="EEE241" s="813"/>
      <c r="EEF241" s="814"/>
      <c r="EEG241" s="813"/>
      <c r="EEH241" s="814"/>
      <c r="EEI241" s="813"/>
      <c r="EEJ241" s="814"/>
      <c r="EEK241" s="813"/>
      <c r="EEL241" s="814"/>
      <c r="EEM241" s="813"/>
      <c r="EEN241" s="814"/>
      <c r="EEO241" s="813"/>
      <c r="EEP241" s="814"/>
      <c r="EEQ241" s="813"/>
      <c r="EER241" s="814"/>
      <c r="EES241" s="813"/>
      <c r="EET241" s="814"/>
      <c r="EEU241" s="813"/>
      <c r="EEV241" s="814"/>
      <c r="EEW241" s="813"/>
      <c r="EEX241" s="814"/>
      <c r="EEY241" s="813"/>
      <c r="EEZ241" s="814"/>
      <c r="EFA241" s="813"/>
      <c r="EFB241" s="814"/>
      <c r="EFC241" s="813"/>
      <c r="EFD241" s="814"/>
      <c r="EFE241" s="813"/>
      <c r="EFF241" s="814"/>
      <c r="EFG241" s="813"/>
      <c r="EFH241" s="814"/>
      <c r="EFI241" s="813"/>
      <c r="EFJ241" s="814"/>
      <c r="EFK241" s="813"/>
      <c r="EFL241" s="814"/>
      <c r="EFM241" s="813"/>
      <c r="EFN241" s="814"/>
      <c r="EFO241" s="813"/>
      <c r="EFP241" s="814"/>
      <c r="EFQ241" s="813"/>
      <c r="EFR241" s="814"/>
      <c r="EFS241" s="813"/>
      <c r="EFT241" s="814"/>
      <c r="EFU241" s="813"/>
      <c r="EFV241" s="814"/>
      <c r="EFW241" s="813"/>
      <c r="EFX241" s="814"/>
      <c r="EFY241" s="813"/>
      <c r="EFZ241" s="814"/>
      <c r="EGA241" s="813"/>
      <c r="EGB241" s="814"/>
      <c r="EGC241" s="813"/>
      <c r="EGD241" s="814"/>
      <c r="EGE241" s="813"/>
      <c r="EGF241" s="814"/>
      <c r="EGG241" s="813"/>
      <c r="EGH241" s="814"/>
      <c r="EGI241" s="813"/>
      <c r="EGJ241" s="814"/>
      <c r="EGK241" s="813"/>
      <c r="EGL241" s="814"/>
      <c r="EGM241" s="813"/>
      <c r="EGN241" s="814"/>
      <c r="EGO241" s="813"/>
      <c r="EGP241" s="814"/>
      <c r="EGQ241" s="813"/>
      <c r="EGR241" s="814"/>
      <c r="EGS241" s="813"/>
      <c r="EGT241" s="814"/>
      <c r="EGU241" s="813"/>
      <c r="EGV241" s="814"/>
      <c r="EGW241" s="813"/>
      <c r="EGX241" s="814"/>
      <c r="EGY241" s="813"/>
      <c r="EGZ241" s="814"/>
      <c r="EHA241" s="813"/>
      <c r="EHB241" s="814"/>
      <c r="EHC241" s="813"/>
      <c r="EHD241" s="814"/>
      <c r="EHE241" s="813"/>
      <c r="EHF241" s="814"/>
      <c r="EHG241" s="813"/>
      <c r="EHH241" s="814"/>
      <c r="EHI241" s="813"/>
      <c r="EHJ241" s="814"/>
      <c r="EHK241" s="813"/>
      <c r="EHL241" s="814"/>
      <c r="EHM241" s="813"/>
      <c r="EHN241" s="814"/>
      <c r="EHO241" s="813"/>
      <c r="EHP241" s="814"/>
      <c r="EHQ241" s="813"/>
      <c r="EHR241" s="814"/>
      <c r="EHS241" s="813"/>
      <c r="EHT241" s="814"/>
      <c r="EHU241" s="813"/>
      <c r="EHV241" s="814"/>
      <c r="EHW241" s="813"/>
      <c r="EHX241" s="814"/>
      <c r="EHY241" s="813"/>
      <c r="EHZ241" s="814"/>
      <c r="EIA241" s="813"/>
      <c r="EIB241" s="814"/>
      <c r="EIC241" s="813"/>
      <c r="EID241" s="814"/>
      <c r="EIE241" s="813"/>
      <c r="EIF241" s="814"/>
      <c r="EIG241" s="813"/>
      <c r="EIH241" s="814"/>
      <c r="EII241" s="813"/>
      <c r="EIJ241" s="814"/>
      <c r="EIK241" s="813"/>
      <c r="EIL241" s="814"/>
      <c r="EIM241" s="813"/>
      <c r="EIN241" s="814"/>
      <c r="EIO241" s="813"/>
      <c r="EIP241" s="814"/>
      <c r="EIQ241" s="813"/>
      <c r="EIR241" s="814"/>
      <c r="EIS241" s="813"/>
      <c r="EIT241" s="814"/>
      <c r="EIU241" s="813"/>
      <c r="EIV241" s="814"/>
      <c r="EIW241" s="813"/>
      <c r="EIX241" s="814"/>
      <c r="EIY241" s="813"/>
      <c r="EIZ241" s="814"/>
      <c r="EJA241" s="813"/>
      <c r="EJB241" s="814"/>
      <c r="EJC241" s="813"/>
      <c r="EJD241" s="814"/>
      <c r="EJE241" s="813"/>
      <c r="EJF241" s="814"/>
      <c r="EJG241" s="813"/>
      <c r="EJH241" s="814"/>
      <c r="EJI241" s="813"/>
      <c r="EJJ241" s="814"/>
      <c r="EJK241" s="813"/>
      <c r="EJL241" s="814"/>
      <c r="EJM241" s="813"/>
      <c r="EJN241" s="814"/>
      <c r="EJO241" s="813"/>
      <c r="EJP241" s="814"/>
      <c r="EJQ241" s="813"/>
      <c r="EJR241" s="814"/>
      <c r="EJS241" s="813"/>
      <c r="EJT241" s="814"/>
      <c r="EJU241" s="813"/>
      <c r="EJV241" s="814"/>
      <c r="EJW241" s="813"/>
      <c r="EJX241" s="814"/>
      <c r="EJY241" s="813"/>
      <c r="EJZ241" s="814"/>
      <c r="EKA241" s="813"/>
      <c r="EKB241" s="814"/>
      <c r="EKC241" s="813"/>
      <c r="EKD241" s="814"/>
      <c r="EKE241" s="813"/>
      <c r="EKF241" s="814"/>
      <c r="EKG241" s="813"/>
      <c r="EKH241" s="814"/>
      <c r="EKI241" s="813"/>
      <c r="EKJ241" s="814"/>
      <c r="EKK241" s="813"/>
      <c r="EKL241" s="814"/>
      <c r="EKM241" s="813"/>
      <c r="EKN241" s="814"/>
      <c r="EKO241" s="813"/>
      <c r="EKP241" s="814"/>
      <c r="EKQ241" s="813"/>
      <c r="EKR241" s="814"/>
      <c r="EKS241" s="813"/>
      <c r="EKT241" s="814"/>
      <c r="EKU241" s="813"/>
      <c r="EKV241" s="814"/>
      <c r="EKW241" s="813"/>
      <c r="EKX241" s="814"/>
      <c r="EKY241" s="813"/>
      <c r="EKZ241" s="814"/>
      <c r="ELA241" s="813"/>
      <c r="ELB241" s="814"/>
      <c r="ELC241" s="813"/>
      <c r="ELD241" s="814"/>
      <c r="ELE241" s="813"/>
      <c r="ELF241" s="814"/>
      <c r="ELG241" s="813"/>
      <c r="ELH241" s="814"/>
      <c r="ELI241" s="813"/>
      <c r="ELJ241" s="814"/>
      <c r="ELK241" s="813"/>
      <c r="ELL241" s="814"/>
      <c r="ELM241" s="813"/>
      <c r="ELN241" s="814"/>
      <c r="ELO241" s="813"/>
      <c r="ELP241" s="814"/>
      <c r="ELQ241" s="813"/>
      <c r="ELR241" s="814"/>
      <c r="ELS241" s="813"/>
      <c r="ELT241" s="814"/>
      <c r="ELU241" s="813"/>
      <c r="ELV241" s="814"/>
      <c r="ELW241" s="813"/>
      <c r="ELX241" s="814"/>
      <c r="ELY241" s="813"/>
      <c r="ELZ241" s="814"/>
      <c r="EMA241" s="813"/>
      <c r="EMB241" s="814"/>
      <c r="EMC241" s="813"/>
      <c r="EMD241" s="814"/>
      <c r="EME241" s="813"/>
      <c r="EMF241" s="814"/>
      <c r="EMG241" s="813"/>
      <c r="EMH241" s="814"/>
      <c r="EMI241" s="813"/>
      <c r="EMJ241" s="814"/>
      <c r="EMK241" s="813"/>
      <c r="EML241" s="814"/>
      <c r="EMM241" s="813"/>
      <c r="EMN241" s="814"/>
      <c r="EMO241" s="813"/>
      <c r="EMP241" s="814"/>
      <c r="EMQ241" s="813"/>
      <c r="EMR241" s="814"/>
      <c r="EMS241" s="813"/>
      <c r="EMT241" s="814"/>
      <c r="EMU241" s="813"/>
      <c r="EMV241" s="814"/>
      <c r="EMW241" s="813"/>
      <c r="EMX241" s="814"/>
      <c r="EMY241" s="813"/>
      <c r="EMZ241" s="814"/>
      <c r="ENA241" s="813"/>
      <c r="ENB241" s="814"/>
      <c r="ENC241" s="813"/>
      <c r="END241" s="814"/>
      <c r="ENE241" s="813"/>
      <c r="ENF241" s="814"/>
      <c r="ENG241" s="813"/>
      <c r="ENH241" s="814"/>
      <c r="ENI241" s="813"/>
      <c r="ENJ241" s="814"/>
      <c r="ENK241" s="813"/>
      <c r="ENL241" s="814"/>
      <c r="ENM241" s="813"/>
      <c r="ENN241" s="814"/>
      <c r="ENO241" s="813"/>
      <c r="ENP241" s="814"/>
      <c r="ENQ241" s="813"/>
      <c r="ENR241" s="814"/>
      <c r="ENS241" s="813"/>
      <c r="ENT241" s="814"/>
      <c r="ENU241" s="813"/>
      <c r="ENV241" s="814"/>
      <c r="ENW241" s="813"/>
      <c r="ENX241" s="814"/>
      <c r="ENY241" s="813"/>
      <c r="ENZ241" s="814"/>
      <c r="EOA241" s="813"/>
      <c r="EOB241" s="814"/>
      <c r="EOC241" s="813"/>
      <c r="EOD241" s="814"/>
      <c r="EOE241" s="813"/>
      <c r="EOF241" s="814"/>
      <c r="EOG241" s="813"/>
      <c r="EOH241" s="814"/>
      <c r="EOI241" s="813"/>
      <c r="EOJ241" s="814"/>
      <c r="EOK241" s="813"/>
      <c r="EOL241" s="814"/>
      <c r="EOM241" s="813"/>
      <c r="EON241" s="814"/>
      <c r="EOO241" s="813"/>
      <c r="EOP241" s="814"/>
      <c r="EOQ241" s="813"/>
      <c r="EOR241" s="814"/>
      <c r="EOS241" s="813"/>
      <c r="EOT241" s="814"/>
      <c r="EOU241" s="813"/>
      <c r="EOV241" s="814"/>
      <c r="EOW241" s="813"/>
      <c r="EOX241" s="814"/>
      <c r="EOY241" s="813"/>
      <c r="EOZ241" s="814"/>
      <c r="EPA241" s="813"/>
      <c r="EPB241" s="814"/>
      <c r="EPC241" s="813"/>
      <c r="EPD241" s="814"/>
      <c r="EPE241" s="813"/>
      <c r="EPF241" s="814"/>
      <c r="EPG241" s="813"/>
      <c r="EPH241" s="814"/>
      <c r="EPI241" s="813"/>
      <c r="EPJ241" s="814"/>
      <c r="EPK241" s="813"/>
      <c r="EPL241" s="814"/>
      <c r="EPM241" s="813"/>
      <c r="EPN241" s="814"/>
      <c r="EPO241" s="813"/>
      <c r="EPP241" s="814"/>
      <c r="EPQ241" s="813"/>
      <c r="EPR241" s="814"/>
      <c r="EPS241" s="813"/>
      <c r="EPT241" s="814"/>
      <c r="EPU241" s="813"/>
      <c r="EPV241" s="814"/>
      <c r="EPW241" s="813"/>
      <c r="EPX241" s="814"/>
      <c r="EPY241" s="813"/>
      <c r="EPZ241" s="814"/>
      <c r="EQA241" s="813"/>
      <c r="EQB241" s="814"/>
      <c r="EQC241" s="813"/>
      <c r="EQD241" s="814"/>
      <c r="EQE241" s="813"/>
      <c r="EQF241" s="814"/>
      <c r="EQG241" s="813"/>
      <c r="EQH241" s="814"/>
      <c r="EQI241" s="813"/>
      <c r="EQJ241" s="814"/>
      <c r="EQK241" s="813"/>
      <c r="EQL241" s="814"/>
      <c r="EQM241" s="813"/>
      <c r="EQN241" s="814"/>
      <c r="EQO241" s="813"/>
      <c r="EQP241" s="814"/>
      <c r="EQQ241" s="813"/>
      <c r="EQR241" s="814"/>
      <c r="EQS241" s="813"/>
      <c r="EQT241" s="814"/>
      <c r="EQU241" s="813"/>
      <c r="EQV241" s="814"/>
      <c r="EQW241" s="813"/>
      <c r="EQX241" s="814"/>
      <c r="EQY241" s="813"/>
      <c r="EQZ241" s="814"/>
      <c r="ERA241" s="813"/>
      <c r="ERB241" s="814"/>
      <c r="ERC241" s="813"/>
      <c r="ERD241" s="814"/>
      <c r="ERE241" s="813"/>
      <c r="ERF241" s="814"/>
      <c r="ERG241" s="813"/>
      <c r="ERH241" s="814"/>
      <c r="ERI241" s="813"/>
      <c r="ERJ241" s="814"/>
      <c r="ERK241" s="813"/>
      <c r="ERL241" s="814"/>
      <c r="ERM241" s="813"/>
      <c r="ERN241" s="814"/>
      <c r="ERO241" s="813"/>
      <c r="ERP241" s="814"/>
      <c r="ERQ241" s="813"/>
      <c r="ERR241" s="814"/>
      <c r="ERS241" s="813"/>
      <c r="ERT241" s="814"/>
      <c r="ERU241" s="813"/>
      <c r="ERV241" s="814"/>
      <c r="ERW241" s="813"/>
      <c r="ERX241" s="814"/>
      <c r="ERY241" s="813"/>
      <c r="ERZ241" s="814"/>
      <c r="ESA241" s="813"/>
      <c r="ESB241" s="814"/>
      <c r="ESC241" s="813"/>
      <c r="ESD241" s="814"/>
      <c r="ESE241" s="813"/>
      <c r="ESF241" s="814"/>
      <c r="ESG241" s="813"/>
      <c r="ESH241" s="814"/>
      <c r="ESI241" s="813"/>
      <c r="ESJ241" s="814"/>
      <c r="ESK241" s="813"/>
      <c r="ESL241" s="814"/>
      <c r="ESM241" s="813"/>
      <c r="ESN241" s="814"/>
      <c r="ESO241" s="813"/>
      <c r="ESP241" s="814"/>
      <c r="ESQ241" s="813"/>
      <c r="ESR241" s="814"/>
      <c r="ESS241" s="813"/>
      <c r="EST241" s="814"/>
      <c r="ESU241" s="813"/>
      <c r="ESV241" s="814"/>
      <c r="ESW241" s="813"/>
      <c r="ESX241" s="814"/>
      <c r="ESY241" s="813"/>
      <c r="ESZ241" s="814"/>
      <c r="ETA241" s="813"/>
      <c r="ETB241" s="814"/>
      <c r="ETC241" s="813"/>
      <c r="ETD241" s="814"/>
      <c r="ETE241" s="813"/>
      <c r="ETF241" s="814"/>
      <c r="ETG241" s="813"/>
      <c r="ETH241" s="814"/>
      <c r="ETI241" s="813"/>
      <c r="ETJ241" s="814"/>
      <c r="ETK241" s="813"/>
      <c r="ETL241" s="814"/>
      <c r="ETM241" s="813"/>
      <c r="ETN241" s="814"/>
      <c r="ETO241" s="813"/>
      <c r="ETP241" s="814"/>
      <c r="ETQ241" s="813"/>
      <c r="ETR241" s="814"/>
      <c r="ETS241" s="813"/>
      <c r="ETT241" s="814"/>
      <c r="ETU241" s="813"/>
      <c r="ETV241" s="814"/>
      <c r="ETW241" s="813"/>
      <c r="ETX241" s="814"/>
      <c r="ETY241" s="813"/>
      <c r="ETZ241" s="814"/>
      <c r="EUA241" s="813"/>
      <c r="EUB241" s="814"/>
      <c r="EUC241" s="813"/>
      <c r="EUD241" s="814"/>
      <c r="EUE241" s="813"/>
      <c r="EUF241" s="814"/>
      <c r="EUG241" s="813"/>
      <c r="EUH241" s="814"/>
      <c r="EUI241" s="813"/>
      <c r="EUJ241" s="814"/>
      <c r="EUK241" s="813"/>
      <c r="EUL241" s="814"/>
      <c r="EUM241" s="813"/>
      <c r="EUN241" s="814"/>
      <c r="EUO241" s="813"/>
      <c r="EUP241" s="814"/>
      <c r="EUQ241" s="813"/>
      <c r="EUR241" s="814"/>
      <c r="EUS241" s="813"/>
      <c r="EUT241" s="814"/>
      <c r="EUU241" s="813"/>
      <c r="EUV241" s="814"/>
      <c r="EUW241" s="813"/>
      <c r="EUX241" s="814"/>
      <c r="EUY241" s="813"/>
      <c r="EUZ241" s="814"/>
      <c r="EVA241" s="813"/>
      <c r="EVB241" s="814"/>
      <c r="EVC241" s="813"/>
      <c r="EVD241" s="814"/>
      <c r="EVE241" s="813"/>
      <c r="EVF241" s="814"/>
      <c r="EVG241" s="813"/>
      <c r="EVH241" s="814"/>
      <c r="EVI241" s="813"/>
      <c r="EVJ241" s="814"/>
      <c r="EVK241" s="813"/>
      <c r="EVL241" s="814"/>
      <c r="EVM241" s="813"/>
      <c r="EVN241" s="814"/>
      <c r="EVO241" s="813"/>
      <c r="EVP241" s="814"/>
      <c r="EVQ241" s="813"/>
      <c r="EVR241" s="814"/>
      <c r="EVS241" s="813"/>
      <c r="EVT241" s="814"/>
      <c r="EVU241" s="813"/>
      <c r="EVV241" s="814"/>
      <c r="EVW241" s="813"/>
      <c r="EVX241" s="814"/>
      <c r="EVY241" s="813"/>
      <c r="EVZ241" s="814"/>
      <c r="EWA241" s="813"/>
      <c r="EWB241" s="814"/>
      <c r="EWC241" s="813"/>
      <c r="EWD241" s="814"/>
      <c r="EWE241" s="813"/>
      <c r="EWF241" s="814"/>
      <c r="EWG241" s="813"/>
      <c r="EWH241" s="814"/>
      <c r="EWI241" s="813"/>
      <c r="EWJ241" s="814"/>
      <c r="EWK241" s="813"/>
      <c r="EWL241" s="814"/>
      <c r="EWM241" s="813"/>
      <c r="EWN241" s="814"/>
      <c r="EWO241" s="813"/>
      <c r="EWP241" s="814"/>
      <c r="EWQ241" s="813"/>
      <c r="EWR241" s="814"/>
      <c r="EWS241" s="813"/>
      <c r="EWT241" s="814"/>
      <c r="EWU241" s="813"/>
      <c r="EWV241" s="814"/>
      <c r="EWW241" s="813"/>
      <c r="EWX241" s="814"/>
      <c r="EWY241" s="813"/>
      <c r="EWZ241" s="814"/>
      <c r="EXA241" s="813"/>
      <c r="EXB241" s="814"/>
      <c r="EXC241" s="813"/>
      <c r="EXD241" s="814"/>
      <c r="EXE241" s="813"/>
      <c r="EXF241" s="814"/>
      <c r="EXG241" s="813"/>
      <c r="EXH241" s="814"/>
      <c r="EXI241" s="813"/>
      <c r="EXJ241" s="814"/>
      <c r="EXK241" s="813"/>
      <c r="EXL241" s="814"/>
      <c r="EXM241" s="813"/>
      <c r="EXN241" s="814"/>
      <c r="EXO241" s="813"/>
      <c r="EXP241" s="814"/>
      <c r="EXQ241" s="813"/>
      <c r="EXR241" s="814"/>
      <c r="EXS241" s="813"/>
      <c r="EXT241" s="814"/>
      <c r="EXU241" s="813"/>
      <c r="EXV241" s="814"/>
      <c r="EXW241" s="813"/>
      <c r="EXX241" s="814"/>
      <c r="EXY241" s="813"/>
      <c r="EXZ241" s="814"/>
      <c r="EYA241" s="813"/>
      <c r="EYB241" s="814"/>
      <c r="EYC241" s="813"/>
      <c r="EYD241" s="814"/>
      <c r="EYE241" s="813"/>
      <c r="EYF241" s="814"/>
      <c r="EYG241" s="813"/>
      <c r="EYH241" s="814"/>
      <c r="EYI241" s="813"/>
      <c r="EYJ241" s="814"/>
      <c r="EYK241" s="813"/>
      <c r="EYL241" s="814"/>
      <c r="EYM241" s="813"/>
      <c r="EYN241" s="814"/>
      <c r="EYO241" s="813"/>
      <c r="EYP241" s="814"/>
      <c r="EYQ241" s="813"/>
      <c r="EYR241" s="814"/>
      <c r="EYS241" s="813"/>
      <c r="EYT241" s="814"/>
      <c r="EYU241" s="813"/>
      <c r="EYV241" s="814"/>
      <c r="EYW241" s="813"/>
      <c r="EYX241" s="814"/>
      <c r="EYY241" s="813"/>
      <c r="EYZ241" s="814"/>
      <c r="EZA241" s="813"/>
      <c r="EZB241" s="814"/>
      <c r="EZC241" s="813"/>
      <c r="EZD241" s="814"/>
      <c r="EZE241" s="813"/>
      <c r="EZF241" s="814"/>
      <c r="EZG241" s="813"/>
      <c r="EZH241" s="814"/>
      <c r="EZI241" s="813"/>
      <c r="EZJ241" s="814"/>
      <c r="EZK241" s="813"/>
      <c r="EZL241" s="814"/>
      <c r="EZM241" s="813"/>
      <c r="EZN241" s="814"/>
      <c r="EZO241" s="813"/>
      <c r="EZP241" s="814"/>
      <c r="EZQ241" s="813"/>
      <c r="EZR241" s="814"/>
      <c r="EZS241" s="813"/>
      <c r="EZT241" s="814"/>
      <c r="EZU241" s="813"/>
      <c r="EZV241" s="814"/>
      <c r="EZW241" s="813"/>
      <c r="EZX241" s="814"/>
      <c r="EZY241" s="813"/>
      <c r="EZZ241" s="814"/>
      <c r="FAA241" s="813"/>
      <c r="FAB241" s="814"/>
      <c r="FAC241" s="813"/>
      <c r="FAD241" s="814"/>
      <c r="FAE241" s="813"/>
      <c r="FAF241" s="814"/>
      <c r="FAG241" s="813"/>
      <c r="FAH241" s="814"/>
      <c r="FAI241" s="813"/>
      <c r="FAJ241" s="814"/>
      <c r="FAK241" s="813"/>
      <c r="FAL241" s="814"/>
      <c r="FAM241" s="813"/>
      <c r="FAN241" s="814"/>
      <c r="FAO241" s="813"/>
      <c r="FAP241" s="814"/>
      <c r="FAQ241" s="813"/>
      <c r="FAR241" s="814"/>
      <c r="FAS241" s="813"/>
      <c r="FAT241" s="814"/>
      <c r="FAU241" s="813"/>
      <c r="FAV241" s="814"/>
      <c r="FAW241" s="813"/>
      <c r="FAX241" s="814"/>
      <c r="FAY241" s="813"/>
      <c r="FAZ241" s="814"/>
      <c r="FBA241" s="813"/>
      <c r="FBB241" s="814"/>
      <c r="FBC241" s="813"/>
      <c r="FBD241" s="814"/>
      <c r="FBE241" s="813"/>
      <c r="FBF241" s="814"/>
      <c r="FBG241" s="813"/>
      <c r="FBH241" s="814"/>
      <c r="FBI241" s="813"/>
      <c r="FBJ241" s="814"/>
      <c r="FBK241" s="813"/>
      <c r="FBL241" s="814"/>
      <c r="FBM241" s="813"/>
      <c r="FBN241" s="814"/>
      <c r="FBO241" s="813"/>
      <c r="FBP241" s="814"/>
      <c r="FBQ241" s="813"/>
      <c r="FBR241" s="814"/>
      <c r="FBS241" s="813"/>
      <c r="FBT241" s="814"/>
      <c r="FBU241" s="813"/>
      <c r="FBV241" s="814"/>
      <c r="FBW241" s="813"/>
      <c r="FBX241" s="814"/>
      <c r="FBY241" s="813"/>
      <c r="FBZ241" s="814"/>
      <c r="FCA241" s="813"/>
      <c r="FCB241" s="814"/>
      <c r="FCC241" s="813"/>
      <c r="FCD241" s="814"/>
      <c r="FCE241" s="813"/>
      <c r="FCF241" s="814"/>
      <c r="FCG241" s="813"/>
      <c r="FCH241" s="814"/>
      <c r="FCI241" s="813"/>
      <c r="FCJ241" s="814"/>
      <c r="FCK241" s="813"/>
      <c r="FCL241" s="814"/>
      <c r="FCM241" s="813"/>
      <c r="FCN241" s="814"/>
      <c r="FCO241" s="813"/>
      <c r="FCP241" s="814"/>
      <c r="FCQ241" s="813"/>
      <c r="FCR241" s="814"/>
      <c r="FCS241" s="813"/>
      <c r="FCT241" s="814"/>
      <c r="FCU241" s="813"/>
      <c r="FCV241" s="814"/>
      <c r="FCW241" s="813"/>
      <c r="FCX241" s="814"/>
      <c r="FCY241" s="813"/>
      <c r="FCZ241" s="814"/>
      <c r="FDA241" s="813"/>
      <c r="FDB241" s="814"/>
      <c r="FDC241" s="813"/>
      <c r="FDD241" s="814"/>
      <c r="FDE241" s="813"/>
      <c r="FDF241" s="814"/>
      <c r="FDG241" s="813"/>
      <c r="FDH241" s="814"/>
      <c r="FDI241" s="813"/>
      <c r="FDJ241" s="814"/>
      <c r="FDK241" s="813"/>
      <c r="FDL241" s="814"/>
      <c r="FDM241" s="813"/>
      <c r="FDN241" s="814"/>
      <c r="FDO241" s="813"/>
      <c r="FDP241" s="814"/>
      <c r="FDQ241" s="813"/>
      <c r="FDR241" s="814"/>
      <c r="FDS241" s="813"/>
      <c r="FDT241" s="814"/>
      <c r="FDU241" s="813"/>
      <c r="FDV241" s="814"/>
      <c r="FDW241" s="813"/>
      <c r="FDX241" s="814"/>
      <c r="FDY241" s="813"/>
      <c r="FDZ241" s="814"/>
      <c r="FEA241" s="813"/>
      <c r="FEB241" s="814"/>
      <c r="FEC241" s="813"/>
      <c r="FED241" s="814"/>
      <c r="FEE241" s="813"/>
      <c r="FEF241" s="814"/>
      <c r="FEG241" s="813"/>
      <c r="FEH241" s="814"/>
      <c r="FEI241" s="813"/>
      <c r="FEJ241" s="814"/>
      <c r="FEK241" s="813"/>
      <c r="FEL241" s="814"/>
      <c r="FEM241" s="813"/>
      <c r="FEN241" s="814"/>
      <c r="FEO241" s="813"/>
      <c r="FEP241" s="814"/>
      <c r="FEQ241" s="813"/>
      <c r="FER241" s="814"/>
      <c r="FES241" s="813"/>
      <c r="FET241" s="814"/>
      <c r="FEU241" s="813"/>
      <c r="FEV241" s="814"/>
      <c r="FEW241" s="813"/>
      <c r="FEX241" s="814"/>
      <c r="FEY241" s="813"/>
      <c r="FEZ241" s="814"/>
      <c r="FFA241" s="813"/>
      <c r="FFB241" s="814"/>
      <c r="FFC241" s="813"/>
      <c r="FFD241" s="814"/>
      <c r="FFE241" s="813"/>
      <c r="FFF241" s="814"/>
      <c r="FFG241" s="813"/>
      <c r="FFH241" s="814"/>
      <c r="FFI241" s="813"/>
      <c r="FFJ241" s="814"/>
      <c r="FFK241" s="813"/>
      <c r="FFL241" s="814"/>
      <c r="FFM241" s="813"/>
      <c r="FFN241" s="814"/>
      <c r="FFO241" s="813"/>
      <c r="FFP241" s="814"/>
      <c r="FFQ241" s="813"/>
      <c r="FFR241" s="814"/>
      <c r="FFS241" s="813"/>
      <c r="FFT241" s="814"/>
      <c r="FFU241" s="813"/>
      <c r="FFV241" s="814"/>
      <c r="FFW241" s="813"/>
      <c r="FFX241" s="814"/>
      <c r="FFY241" s="813"/>
      <c r="FFZ241" s="814"/>
      <c r="FGA241" s="813"/>
      <c r="FGB241" s="814"/>
      <c r="FGC241" s="813"/>
      <c r="FGD241" s="814"/>
      <c r="FGE241" s="813"/>
      <c r="FGF241" s="814"/>
      <c r="FGG241" s="813"/>
      <c r="FGH241" s="814"/>
      <c r="FGI241" s="813"/>
      <c r="FGJ241" s="814"/>
      <c r="FGK241" s="813"/>
      <c r="FGL241" s="814"/>
      <c r="FGM241" s="813"/>
      <c r="FGN241" s="814"/>
      <c r="FGO241" s="813"/>
      <c r="FGP241" s="814"/>
      <c r="FGQ241" s="813"/>
      <c r="FGR241" s="814"/>
      <c r="FGS241" s="813"/>
      <c r="FGT241" s="814"/>
      <c r="FGU241" s="813"/>
      <c r="FGV241" s="814"/>
      <c r="FGW241" s="813"/>
      <c r="FGX241" s="814"/>
      <c r="FGY241" s="813"/>
      <c r="FGZ241" s="814"/>
      <c r="FHA241" s="813"/>
      <c r="FHB241" s="814"/>
      <c r="FHC241" s="813"/>
      <c r="FHD241" s="814"/>
      <c r="FHE241" s="813"/>
      <c r="FHF241" s="814"/>
      <c r="FHG241" s="813"/>
      <c r="FHH241" s="814"/>
      <c r="FHI241" s="813"/>
      <c r="FHJ241" s="814"/>
      <c r="FHK241" s="813"/>
      <c r="FHL241" s="814"/>
      <c r="FHM241" s="813"/>
      <c r="FHN241" s="814"/>
      <c r="FHO241" s="813"/>
      <c r="FHP241" s="814"/>
      <c r="FHQ241" s="813"/>
      <c r="FHR241" s="814"/>
      <c r="FHS241" s="813"/>
      <c r="FHT241" s="814"/>
      <c r="FHU241" s="813"/>
      <c r="FHV241" s="814"/>
      <c r="FHW241" s="813"/>
      <c r="FHX241" s="814"/>
      <c r="FHY241" s="813"/>
      <c r="FHZ241" s="814"/>
      <c r="FIA241" s="813"/>
      <c r="FIB241" s="814"/>
      <c r="FIC241" s="813"/>
      <c r="FID241" s="814"/>
      <c r="FIE241" s="813"/>
      <c r="FIF241" s="814"/>
      <c r="FIG241" s="813"/>
      <c r="FIH241" s="814"/>
      <c r="FII241" s="813"/>
      <c r="FIJ241" s="814"/>
      <c r="FIK241" s="813"/>
      <c r="FIL241" s="814"/>
      <c r="FIM241" s="813"/>
      <c r="FIN241" s="814"/>
      <c r="FIO241" s="813"/>
      <c r="FIP241" s="814"/>
      <c r="FIQ241" s="813"/>
      <c r="FIR241" s="814"/>
      <c r="FIS241" s="813"/>
      <c r="FIT241" s="814"/>
      <c r="FIU241" s="813"/>
      <c r="FIV241" s="814"/>
      <c r="FIW241" s="813"/>
      <c r="FIX241" s="814"/>
      <c r="FIY241" s="813"/>
      <c r="FIZ241" s="814"/>
      <c r="FJA241" s="813"/>
      <c r="FJB241" s="814"/>
      <c r="FJC241" s="813"/>
      <c r="FJD241" s="814"/>
      <c r="FJE241" s="813"/>
      <c r="FJF241" s="814"/>
      <c r="FJG241" s="813"/>
      <c r="FJH241" s="814"/>
      <c r="FJI241" s="813"/>
      <c r="FJJ241" s="814"/>
      <c r="FJK241" s="813"/>
      <c r="FJL241" s="814"/>
      <c r="FJM241" s="813"/>
      <c r="FJN241" s="814"/>
      <c r="FJO241" s="813"/>
      <c r="FJP241" s="814"/>
      <c r="FJQ241" s="813"/>
      <c r="FJR241" s="814"/>
      <c r="FJS241" s="813"/>
      <c r="FJT241" s="814"/>
      <c r="FJU241" s="813"/>
      <c r="FJV241" s="814"/>
      <c r="FJW241" s="813"/>
      <c r="FJX241" s="814"/>
      <c r="FJY241" s="813"/>
      <c r="FJZ241" s="814"/>
      <c r="FKA241" s="813"/>
      <c r="FKB241" s="814"/>
      <c r="FKC241" s="813"/>
      <c r="FKD241" s="814"/>
      <c r="FKE241" s="813"/>
      <c r="FKF241" s="814"/>
      <c r="FKG241" s="813"/>
      <c r="FKH241" s="814"/>
      <c r="FKI241" s="813"/>
      <c r="FKJ241" s="814"/>
      <c r="FKK241" s="813"/>
      <c r="FKL241" s="814"/>
      <c r="FKM241" s="813"/>
      <c r="FKN241" s="814"/>
      <c r="FKO241" s="813"/>
      <c r="FKP241" s="814"/>
      <c r="FKQ241" s="813"/>
      <c r="FKR241" s="814"/>
      <c r="FKS241" s="813"/>
      <c r="FKT241" s="814"/>
      <c r="FKU241" s="813"/>
      <c r="FKV241" s="814"/>
      <c r="FKW241" s="813"/>
      <c r="FKX241" s="814"/>
      <c r="FKY241" s="813"/>
      <c r="FKZ241" s="814"/>
      <c r="FLA241" s="813"/>
      <c r="FLB241" s="814"/>
      <c r="FLC241" s="813"/>
      <c r="FLD241" s="814"/>
      <c r="FLE241" s="813"/>
      <c r="FLF241" s="814"/>
      <c r="FLG241" s="813"/>
      <c r="FLH241" s="814"/>
      <c r="FLI241" s="813"/>
      <c r="FLJ241" s="814"/>
      <c r="FLK241" s="813"/>
      <c r="FLL241" s="814"/>
      <c r="FLM241" s="813"/>
      <c r="FLN241" s="814"/>
      <c r="FLO241" s="813"/>
      <c r="FLP241" s="814"/>
      <c r="FLQ241" s="813"/>
      <c r="FLR241" s="814"/>
      <c r="FLS241" s="813"/>
      <c r="FLT241" s="814"/>
      <c r="FLU241" s="813"/>
      <c r="FLV241" s="814"/>
      <c r="FLW241" s="813"/>
      <c r="FLX241" s="814"/>
      <c r="FLY241" s="813"/>
      <c r="FLZ241" s="814"/>
      <c r="FMA241" s="813"/>
      <c r="FMB241" s="814"/>
      <c r="FMC241" s="813"/>
      <c r="FMD241" s="814"/>
      <c r="FME241" s="813"/>
      <c r="FMF241" s="814"/>
      <c r="FMG241" s="813"/>
      <c r="FMH241" s="814"/>
      <c r="FMI241" s="813"/>
      <c r="FMJ241" s="814"/>
      <c r="FMK241" s="813"/>
      <c r="FML241" s="814"/>
      <c r="FMM241" s="813"/>
      <c r="FMN241" s="814"/>
      <c r="FMO241" s="813"/>
      <c r="FMP241" s="814"/>
      <c r="FMQ241" s="813"/>
      <c r="FMR241" s="814"/>
      <c r="FMS241" s="813"/>
      <c r="FMT241" s="814"/>
      <c r="FMU241" s="813"/>
      <c r="FMV241" s="814"/>
      <c r="FMW241" s="813"/>
      <c r="FMX241" s="814"/>
      <c r="FMY241" s="813"/>
      <c r="FMZ241" s="814"/>
      <c r="FNA241" s="813"/>
      <c r="FNB241" s="814"/>
      <c r="FNC241" s="813"/>
      <c r="FND241" s="814"/>
      <c r="FNE241" s="813"/>
      <c r="FNF241" s="814"/>
      <c r="FNG241" s="813"/>
      <c r="FNH241" s="814"/>
      <c r="FNI241" s="813"/>
      <c r="FNJ241" s="814"/>
      <c r="FNK241" s="813"/>
      <c r="FNL241" s="814"/>
      <c r="FNM241" s="813"/>
      <c r="FNN241" s="814"/>
      <c r="FNO241" s="813"/>
      <c r="FNP241" s="814"/>
      <c r="FNQ241" s="813"/>
      <c r="FNR241" s="814"/>
      <c r="FNS241" s="813"/>
      <c r="FNT241" s="814"/>
      <c r="FNU241" s="813"/>
      <c r="FNV241" s="814"/>
      <c r="FNW241" s="813"/>
      <c r="FNX241" s="814"/>
      <c r="FNY241" s="813"/>
      <c r="FNZ241" s="814"/>
      <c r="FOA241" s="813"/>
      <c r="FOB241" s="814"/>
      <c r="FOC241" s="813"/>
      <c r="FOD241" s="814"/>
      <c r="FOE241" s="813"/>
      <c r="FOF241" s="814"/>
      <c r="FOG241" s="813"/>
      <c r="FOH241" s="814"/>
      <c r="FOI241" s="813"/>
      <c r="FOJ241" s="814"/>
      <c r="FOK241" s="813"/>
      <c r="FOL241" s="814"/>
      <c r="FOM241" s="813"/>
      <c r="FON241" s="814"/>
      <c r="FOO241" s="813"/>
      <c r="FOP241" s="814"/>
      <c r="FOQ241" s="813"/>
      <c r="FOR241" s="814"/>
      <c r="FOS241" s="813"/>
      <c r="FOT241" s="814"/>
      <c r="FOU241" s="813"/>
      <c r="FOV241" s="814"/>
      <c r="FOW241" s="813"/>
      <c r="FOX241" s="814"/>
      <c r="FOY241" s="813"/>
      <c r="FOZ241" s="814"/>
      <c r="FPA241" s="813"/>
      <c r="FPB241" s="814"/>
      <c r="FPC241" s="813"/>
      <c r="FPD241" s="814"/>
      <c r="FPE241" s="813"/>
      <c r="FPF241" s="814"/>
      <c r="FPG241" s="813"/>
      <c r="FPH241" s="814"/>
      <c r="FPI241" s="813"/>
      <c r="FPJ241" s="814"/>
      <c r="FPK241" s="813"/>
      <c r="FPL241" s="814"/>
      <c r="FPM241" s="813"/>
      <c r="FPN241" s="814"/>
      <c r="FPO241" s="813"/>
      <c r="FPP241" s="814"/>
      <c r="FPQ241" s="813"/>
      <c r="FPR241" s="814"/>
      <c r="FPS241" s="813"/>
      <c r="FPT241" s="814"/>
      <c r="FPU241" s="813"/>
      <c r="FPV241" s="814"/>
      <c r="FPW241" s="813"/>
      <c r="FPX241" s="814"/>
      <c r="FPY241" s="813"/>
      <c r="FPZ241" s="814"/>
      <c r="FQA241" s="813"/>
      <c r="FQB241" s="814"/>
      <c r="FQC241" s="813"/>
      <c r="FQD241" s="814"/>
      <c r="FQE241" s="813"/>
      <c r="FQF241" s="814"/>
      <c r="FQG241" s="813"/>
      <c r="FQH241" s="814"/>
      <c r="FQI241" s="813"/>
      <c r="FQJ241" s="814"/>
      <c r="FQK241" s="813"/>
      <c r="FQL241" s="814"/>
      <c r="FQM241" s="813"/>
      <c r="FQN241" s="814"/>
      <c r="FQO241" s="813"/>
      <c r="FQP241" s="814"/>
      <c r="FQQ241" s="813"/>
      <c r="FQR241" s="814"/>
      <c r="FQS241" s="813"/>
      <c r="FQT241" s="814"/>
      <c r="FQU241" s="813"/>
      <c r="FQV241" s="814"/>
      <c r="FQW241" s="813"/>
      <c r="FQX241" s="814"/>
      <c r="FQY241" s="813"/>
      <c r="FQZ241" s="814"/>
      <c r="FRA241" s="813"/>
      <c r="FRB241" s="814"/>
      <c r="FRC241" s="813"/>
      <c r="FRD241" s="814"/>
      <c r="FRE241" s="813"/>
      <c r="FRF241" s="814"/>
      <c r="FRG241" s="813"/>
      <c r="FRH241" s="814"/>
      <c r="FRI241" s="813"/>
      <c r="FRJ241" s="814"/>
      <c r="FRK241" s="813"/>
      <c r="FRL241" s="814"/>
      <c r="FRM241" s="813"/>
      <c r="FRN241" s="814"/>
      <c r="FRO241" s="813"/>
      <c r="FRP241" s="814"/>
      <c r="FRQ241" s="813"/>
      <c r="FRR241" s="814"/>
      <c r="FRS241" s="813"/>
      <c r="FRT241" s="814"/>
      <c r="FRU241" s="813"/>
      <c r="FRV241" s="814"/>
      <c r="FRW241" s="813"/>
      <c r="FRX241" s="814"/>
      <c r="FRY241" s="813"/>
      <c r="FRZ241" s="814"/>
      <c r="FSA241" s="813"/>
      <c r="FSB241" s="814"/>
      <c r="FSC241" s="813"/>
      <c r="FSD241" s="814"/>
      <c r="FSE241" s="813"/>
      <c r="FSF241" s="814"/>
      <c r="FSG241" s="813"/>
      <c r="FSH241" s="814"/>
      <c r="FSI241" s="813"/>
      <c r="FSJ241" s="814"/>
      <c r="FSK241" s="813"/>
      <c r="FSL241" s="814"/>
      <c r="FSM241" s="813"/>
      <c r="FSN241" s="814"/>
      <c r="FSO241" s="813"/>
      <c r="FSP241" s="814"/>
      <c r="FSQ241" s="813"/>
      <c r="FSR241" s="814"/>
      <c r="FSS241" s="813"/>
      <c r="FST241" s="814"/>
      <c r="FSU241" s="813"/>
      <c r="FSV241" s="814"/>
      <c r="FSW241" s="813"/>
      <c r="FSX241" s="814"/>
      <c r="FSY241" s="813"/>
      <c r="FSZ241" s="814"/>
      <c r="FTA241" s="813"/>
      <c r="FTB241" s="814"/>
      <c r="FTC241" s="813"/>
      <c r="FTD241" s="814"/>
      <c r="FTE241" s="813"/>
      <c r="FTF241" s="814"/>
      <c r="FTG241" s="813"/>
      <c r="FTH241" s="814"/>
      <c r="FTI241" s="813"/>
      <c r="FTJ241" s="814"/>
      <c r="FTK241" s="813"/>
      <c r="FTL241" s="814"/>
      <c r="FTM241" s="813"/>
      <c r="FTN241" s="814"/>
      <c r="FTO241" s="813"/>
      <c r="FTP241" s="814"/>
      <c r="FTQ241" s="813"/>
      <c r="FTR241" s="814"/>
      <c r="FTS241" s="813"/>
      <c r="FTT241" s="814"/>
      <c r="FTU241" s="813"/>
      <c r="FTV241" s="814"/>
      <c r="FTW241" s="813"/>
      <c r="FTX241" s="814"/>
      <c r="FTY241" s="813"/>
      <c r="FTZ241" s="814"/>
      <c r="FUA241" s="813"/>
      <c r="FUB241" s="814"/>
      <c r="FUC241" s="813"/>
      <c r="FUD241" s="814"/>
      <c r="FUE241" s="813"/>
      <c r="FUF241" s="814"/>
      <c r="FUG241" s="813"/>
      <c r="FUH241" s="814"/>
      <c r="FUI241" s="813"/>
      <c r="FUJ241" s="814"/>
      <c r="FUK241" s="813"/>
      <c r="FUL241" s="814"/>
      <c r="FUM241" s="813"/>
      <c r="FUN241" s="814"/>
      <c r="FUO241" s="813"/>
      <c r="FUP241" s="814"/>
      <c r="FUQ241" s="813"/>
      <c r="FUR241" s="814"/>
      <c r="FUS241" s="813"/>
      <c r="FUT241" s="814"/>
      <c r="FUU241" s="813"/>
      <c r="FUV241" s="814"/>
      <c r="FUW241" s="813"/>
      <c r="FUX241" s="814"/>
      <c r="FUY241" s="813"/>
      <c r="FUZ241" s="814"/>
      <c r="FVA241" s="813"/>
      <c r="FVB241" s="814"/>
      <c r="FVC241" s="813"/>
      <c r="FVD241" s="814"/>
      <c r="FVE241" s="813"/>
      <c r="FVF241" s="814"/>
      <c r="FVG241" s="813"/>
      <c r="FVH241" s="814"/>
      <c r="FVI241" s="813"/>
      <c r="FVJ241" s="814"/>
      <c r="FVK241" s="813"/>
      <c r="FVL241" s="814"/>
      <c r="FVM241" s="813"/>
      <c r="FVN241" s="814"/>
      <c r="FVO241" s="813"/>
      <c r="FVP241" s="814"/>
      <c r="FVQ241" s="813"/>
      <c r="FVR241" s="814"/>
      <c r="FVS241" s="813"/>
      <c r="FVT241" s="814"/>
      <c r="FVU241" s="813"/>
      <c r="FVV241" s="814"/>
      <c r="FVW241" s="813"/>
      <c r="FVX241" s="814"/>
      <c r="FVY241" s="813"/>
      <c r="FVZ241" s="814"/>
      <c r="FWA241" s="813"/>
      <c r="FWB241" s="814"/>
      <c r="FWC241" s="813"/>
      <c r="FWD241" s="814"/>
      <c r="FWE241" s="813"/>
      <c r="FWF241" s="814"/>
      <c r="FWG241" s="813"/>
      <c r="FWH241" s="814"/>
      <c r="FWI241" s="813"/>
      <c r="FWJ241" s="814"/>
      <c r="FWK241" s="813"/>
      <c r="FWL241" s="814"/>
      <c r="FWM241" s="813"/>
      <c r="FWN241" s="814"/>
      <c r="FWO241" s="813"/>
      <c r="FWP241" s="814"/>
      <c r="FWQ241" s="813"/>
      <c r="FWR241" s="814"/>
      <c r="FWS241" s="813"/>
      <c r="FWT241" s="814"/>
      <c r="FWU241" s="813"/>
      <c r="FWV241" s="814"/>
      <c r="FWW241" s="813"/>
      <c r="FWX241" s="814"/>
      <c r="FWY241" s="813"/>
      <c r="FWZ241" s="814"/>
      <c r="FXA241" s="813"/>
      <c r="FXB241" s="814"/>
      <c r="FXC241" s="813"/>
      <c r="FXD241" s="814"/>
      <c r="FXE241" s="813"/>
      <c r="FXF241" s="814"/>
      <c r="FXG241" s="813"/>
      <c r="FXH241" s="814"/>
      <c r="FXI241" s="813"/>
      <c r="FXJ241" s="814"/>
      <c r="FXK241" s="813"/>
      <c r="FXL241" s="814"/>
      <c r="FXM241" s="813"/>
      <c r="FXN241" s="814"/>
      <c r="FXO241" s="813"/>
      <c r="FXP241" s="814"/>
      <c r="FXQ241" s="813"/>
      <c r="FXR241" s="814"/>
      <c r="FXS241" s="813"/>
      <c r="FXT241" s="814"/>
      <c r="FXU241" s="813"/>
      <c r="FXV241" s="814"/>
      <c r="FXW241" s="813"/>
      <c r="FXX241" s="814"/>
      <c r="FXY241" s="813"/>
      <c r="FXZ241" s="814"/>
      <c r="FYA241" s="813"/>
      <c r="FYB241" s="814"/>
      <c r="FYC241" s="813"/>
      <c r="FYD241" s="814"/>
      <c r="FYE241" s="813"/>
      <c r="FYF241" s="814"/>
      <c r="FYG241" s="813"/>
      <c r="FYH241" s="814"/>
      <c r="FYI241" s="813"/>
      <c r="FYJ241" s="814"/>
      <c r="FYK241" s="813"/>
      <c r="FYL241" s="814"/>
      <c r="FYM241" s="813"/>
      <c r="FYN241" s="814"/>
      <c r="FYO241" s="813"/>
      <c r="FYP241" s="814"/>
      <c r="FYQ241" s="813"/>
      <c r="FYR241" s="814"/>
      <c r="FYS241" s="813"/>
      <c r="FYT241" s="814"/>
      <c r="FYU241" s="813"/>
      <c r="FYV241" s="814"/>
      <c r="FYW241" s="813"/>
      <c r="FYX241" s="814"/>
      <c r="FYY241" s="813"/>
      <c r="FYZ241" s="814"/>
      <c r="FZA241" s="813"/>
      <c r="FZB241" s="814"/>
      <c r="FZC241" s="813"/>
      <c r="FZD241" s="814"/>
      <c r="FZE241" s="813"/>
      <c r="FZF241" s="814"/>
      <c r="FZG241" s="813"/>
      <c r="FZH241" s="814"/>
      <c r="FZI241" s="813"/>
      <c r="FZJ241" s="814"/>
      <c r="FZK241" s="813"/>
      <c r="FZL241" s="814"/>
      <c r="FZM241" s="813"/>
      <c r="FZN241" s="814"/>
      <c r="FZO241" s="813"/>
      <c r="FZP241" s="814"/>
      <c r="FZQ241" s="813"/>
      <c r="FZR241" s="814"/>
      <c r="FZS241" s="813"/>
      <c r="FZT241" s="814"/>
      <c r="FZU241" s="813"/>
      <c r="FZV241" s="814"/>
      <c r="FZW241" s="813"/>
      <c r="FZX241" s="814"/>
      <c r="FZY241" s="813"/>
      <c r="FZZ241" s="814"/>
      <c r="GAA241" s="813"/>
      <c r="GAB241" s="814"/>
      <c r="GAC241" s="813"/>
      <c r="GAD241" s="814"/>
      <c r="GAE241" s="813"/>
      <c r="GAF241" s="814"/>
      <c r="GAG241" s="813"/>
      <c r="GAH241" s="814"/>
      <c r="GAI241" s="813"/>
      <c r="GAJ241" s="814"/>
      <c r="GAK241" s="813"/>
      <c r="GAL241" s="814"/>
      <c r="GAM241" s="813"/>
      <c r="GAN241" s="814"/>
      <c r="GAO241" s="813"/>
      <c r="GAP241" s="814"/>
      <c r="GAQ241" s="813"/>
      <c r="GAR241" s="814"/>
      <c r="GAS241" s="813"/>
      <c r="GAT241" s="814"/>
      <c r="GAU241" s="813"/>
      <c r="GAV241" s="814"/>
      <c r="GAW241" s="813"/>
      <c r="GAX241" s="814"/>
      <c r="GAY241" s="813"/>
      <c r="GAZ241" s="814"/>
      <c r="GBA241" s="813"/>
      <c r="GBB241" s="814"/>
      <c r="GBC241" s="813"/>
      <c r="GBD241" s="814"/>
      <c r="GBE241" s="813"/>
      <c r="GBF241" s="814"/>
      <c r="GBG241" s="813"/>
      <c r="GBH241" s="814"/>
      <c r="GBI241" s="813"/>
      <c r="GBJ241" s="814"/>
      <c r="GBK241" s="813"/>
      <c r="GBL241" s="814"/>
      <c r="GBM241" s="813"/>
      <c r="GBN241" s="814"/>
      <c r="GBO241" s="813"/>
      <c r="GBP241" s="814"/>
      <c r="GBQ241" s="813"/>
      <c r="GBR241" s="814"/>
      <c r="GBS241" s="813"/>
      <c r="GBT241" s="814"/>
      <c r="GBU241" s="813"/>
      <c r="GBV241" s="814"/>
      <c r="GBW241" s="813"/>
      <c r="GBX241" s="814"/>
      <c r="GBY241" s="813"/>
      <c r="GBZ241" s="814"/>
      <c r="GCA241" s="813"/>
      <c r="GCB241" s="814"/>
      <c r="GCC241" s="813"/>
      <c r="GCD241" s="814"/>
      <c r="GCE241" s="813"/>
      <c r="GCF241" s="814"/>
      <c r="GCG241" s="813"/>
      <c r="GCH241" s="814"/>
      <c r="GCI241" s="813"/>
      <c r="GCJ241" s="814"/>
      <c r="GCK241" s="813"/>
      <c r="GCL241" s="814"/>
      <c r="GCM241" s="813"/>
      <c r="GCN241" s="814"/>
      <c r="GCO241" s="813"/>
      <c r="GCP241" s="814"/>
      <c r="GCQ241" s="813"/>
      <c r="GCR241" s="814"/>
      <c r="GCS241" s="813"/>
      <c r="GCT241" s="814"/>
      <c r="GCU241" s="813"/>
      <c r="GCV241" s="814"/>
      <c r="GCW241" s="813"/>
      <c r="GCX241" s="814"/>
      <c r="GCY241" s="813"/>
      <c r="GCZ241" s="814"/>
      <c r="GDA241" s="813"/>
      <c r="GDB241" s="814"/>
      <c r="GDC241" s="813"/>
      <c r="GDD241" s="814"/>
      <c r="GDE241" s="813"/>
      <c r="GDF241" s="814"/>
      <c r="GDG241" s="813"/>
      <c r="GDH241" s="814"/>
      <c r="GDI241" s="813"/>
      <c r="GDJ241" s="814"/>
      <c r="GDK241" s="813"/>
      <c r="GDL241" s="814"/>
      <c r="GDM241" s="813"/>
      <c r="GDN241" s="814"/>
      <c r="GDO241" s="813"/>
      <c r="GDP241" s="814"/>
      <c r="GDQ241" s="813"/>
      <c r="GDR241" s="814"/>
      <c r="GDS241" s="813"/>
      <c r="GDT241" s="814"/>
      <c r="GDU241" s="813"/>
      <c r="GDV241" s="814"/>
      <c r="GDW241" s="813"/>
      <c r="GDX241" s="814"/>
      <c r="GDY241" s="813"/>
      <c r="GDZ241" s="814"/>
      <c r="GEA241" s="813"/>
      <c r="GEB241" s="814"/>
      <c r="GEC241" s="813"/>
      <c r="GED241" s="814"/>
      <c r="GEE241" s="813"/>
      <c r="GEF241" s="814"/>
      <c r="GEG241" s="813"/>
      <c r="GEH241" s="814"/>
      <c r="GEI241" s="813"/>
      <c r="GEJ241" s="814"/>
      <c r="GEK241" s="813"/>
      <c r="GEL241" s="814"/>
      <c r="GEM241" s="813"/>
      <c r="GEN241" s="814"/>
      <c r="GEO241" s="813"/>
      <c r="GEP241" s="814"/>
      <c r="GEQ241" s="813"/>
      <c r="GER241" s="814"/>
      <c r="GES241" s="813"/>
      <c r="GET241" s="814"/>
      <c r="GEU241" s="813"/>
      <c r="GEV241" s="814"/>
      <c r="GEW241" s="813"/>
      <c r="GEX241" s="814"/>
      <c r="GEY241" s="813"/>
      <c r="GEZ241" s="814"/>
      <c r="GFA241" s="813"/>
      <c r="GFB241" s="814"/>
      <c r="GFC241" s="813"/>
      <c r="GFD241" s="814"/>
      <c r="GFE241" s="813"/>
      <c r="GFF241" s="814"/>
      <c r="GFG241" s="813"/>
      <c r="GFH241" s="814"/>
      <c r="GFI241" s="813"/>
      <c r="GFJ241" s="814"/>
      <c r="GFK241" s="813"/>
      <c r="GFL241" s="814"/>
      <c r="GFM241" s="813"/>
      <c r="GFN241" s="814"/>
      <c r="GFO241" s="813"/>
      <c r="GFP241" s="814"/>
      <c r="GFQ241" s="813"/>
      <c r="GFR241" s="814"/>
      <c r="GFS241" s="813"/>
      <c r="GFT241" s="814"/>
      <c r="GFU241" s="813"/>
      <c r="GFV241" s="814"/>
      <c r="GFW241" s="813"/>
      <c r="GFX241" s="814"/>
      <c r="GFY241" s="813"/>
      <c r="GFZ241" s="814"/>
      <c r="GGA241" s="813"/>
      <c r="GGB241" s="814"/>
      <c r="GGC241" s="813"/>
      <c r="GGD241" s="814"/>
      <c r="GGE241" s="813"/>
      <c r="GGF241" s="814"/>
      <c r="GGG241" s="813"/>
      <c r="GGH241" s="814"/>
      <c r="GGI241" s="813"/>
      <c r="GGJ241" s="814"/>
      <c r="GGK241" s="813"/>
      <c r="GGL241" s="814"/>
      <c r="GGM241" s="813"/>
      <c r="GGN241" s="814"/>
      <c r="GGO241" s="813"/>
      <c r="GGP241" s="814"/>
      <c r="GGQ241" s="813"/>
      <c r="GGR241" s="814"/>
      <c r="GGS241" s="813"/>
      <c r="GGT241" s="814"/>
      <c r="GGU241" s="813"/>
      <c r="GGV241" s="814"/>
      <c r="GGW241" s="813"/>
      <c r="GGX241" s="814"/>
      <c r="GGY241" s="813"/>
      <c r="GGZ241" s="814"/>
      <c r="GHA241" s="813"/>
      <c r="GHB241" s="814"/>
      <c r="GHC241" s="813"/>
      <c r="GHD241" s="814"/>
      <c r="GHE241" s="813"/>
      <c r="GHF241" s="814"/>
      <c r="GHG241" s="813"/>
      <c r="GHH241" s="814"/>
      <c r="GHI241" s="813"/>
      <c r="GHJ241" s="814"/>
      <c r="GHK241" s="813"/>
      <c r="GHL241" s="814"/>
      <c r="GHM241" s="813"/>
      <c r="GHN241" s="814"/>
      <c r="GHO241" s="813"/>
      <c r="GHP241" s="814"/>
      <c r="GHQ241" s="813"/>
      <c r="GHR241" s="814"/>
      <c r="GHS241" s="813"/>
      <c r="GHT241" s="814"/>
      <c r="GHU241" s="813"/>
      <c r="GHV241" s="814"/>
      <c r="GHW241" s="813"/>
      <c r="GHX241" s="814"/>
      <c r="GHY241" s="813"/>
      <c r="GHZ241" s="814"/>
      <c r="GIA241" s="813"/>
      <c r="GIB241" s="814"/>
      <c r="GIC241" s="813"/>
      <c r="GID241" s="814"/>
      <c r="GIE241" s="813"/>
      <c r="GIF241" s="814"/>
      <c r="GIG241" s="813"/>
      <c r="GIH241" s="814"/>
      <c r="GII241" s="813"/>
      <c r="GIJ241" s="814"/>
      <c r="GIK241" s="813"/>
      <c r="GIL241" s="814"/>
      <c r="GIM241" s="813"/>
      <c r="GIN241" s="814"/>
      <c r="GIO241" s="813"/>
      <c r="GIP241" s="814"/>
      <c r="GIQ241" s="813"/>
      <c r="GIR241" s="814"/>
      <c r="GIS241" s="813"/>
      <c r="GIT241" s="814"/>
      <c r="GIU241" s="813"/>
      <c r="GIV241" s="814"/>
      <c r="GIW241" s="813"/>
      <c r="GIX241" s="814"/>
      <c r="GIY241" s="813"/>
      <c r="GIZ241" s="814"/>
      <c r="GJA241" s="813"/>
      <c r="GJB241" s="814"/>
      <c r="GJC241" s="813"/>
      <c r="GJD241" s="814"/>
      <c r="GJE241" s="813"/>
      <c r="GJF241" s="814"/>
      <c r="GJG241" s="813"/>
      <c r="GJH241" s="814"/>
      <c r="GJI241" s="813"/>
      <c r="GJJ241" s="814"/>
      <c r="GJK241" s="813"/>
      <c r="GJL241" s="814"/>
      <c r="GJM241" s="813"/>
      <c r="GJN241" s="814"/>
      <c r="GJO241" s="813"/>
      <c r="GJP241" s="814"/>
      <c r="GJQ241" s="813"/>
      <c r="GJR241" s="814"/>
      <c r="GJS241" s="813"/>
      <c r="GJT241" s="814"/>
      <c r="GJU241" s="813"/>
      <c r="GJV241" s="814"/>
      <c r="GJW241" s="813"/>
      <c r="GJX241" s="814"/>
      <c r="GJY241" s="813"/>
      <c r="GJZ241" s="814"/>
      <c r="GKA241" s="813"/>
      <c r="GKB241" s="814"/>
      <c r="GKC241" s="813"/>
      <c r="GKD241" s="814"/>
      <c r="GKE241" s="813"/>
      <c r="GKF241" s="814"/>
      <c r="GKG241" s="813"/>
      <c r="GKH241" s="814"/>
      <c r="GKI241" s="813"/>
      <c r="GKJ241" s="814"/>
      <c r="GKK241" s="813"/>
      <c r="GKL241" s="814"/>
      <c r="GKM241" s="813"/>
      <c r="GKN241" s="814"/>
      <c r="GKO241" s="813"/>
      <c r="GKP241" s="814"/>
      <c r="GKQ241" s="813"/>
      <c r="GKR241" s="814"/>
      <c r="GKS241" s="813"/>
      <c r="GKT241" s="814"/>
      <c r="GKU241" s="813"/>
      <c r="GKV241" s="814"/>
      <c r="GKW241" s="813"/>
      <c r="GKX241" s="814"/>
      <c r="GKY241" s="813"/>
      <c r="GKZ241" s="814"/>
      <c r="GLA241" s="813"/>
      <c r="GLB241" s="814"/>
      <c r="GLC241" s="813"/>
      <c r="GLD241" s="814"/>
      <c r="GLE241" s="813"/>
      <c r="GLF241" s="814"/>
      <c r="GLG241" s="813"/>
      <c r="GLH241" s="814"/>
      <c r="GLI241" s="813"/>
      <c r="GLJ241" s="814"/>
      <c r="GLK241" s="813"/>
      <c r="GLL241" s="814"/>
      <c r="GLM241" s="813"/>
      <c r="GLN241" s="814"/>
      <c r="GLO241" s="813"/>
      <c r="GLP241" s="814"/>
      <c r="GLQ241" s="813"/>
      <c r="GLR241" s="814"/>
      <c r="GLS241" s="813"/>
      <c r="GLT241" s="814"/>
      <c r="GLU241" s="813"/>
      <c r="GLV241" s="814"/>
      <c r="GLW241" s="813"/>
      <c r="GLX241" s="814"/>
      <c r="GLY241" s="813"/>
      <c r="GLZ241" s="814"/>
      <c r="GMA241" s="813"/>
      <c r="GMB241" s="814"/>
      <c r="GMC241" s="813"/>
      <c r="GMD241" s="814"/>
      <c r="GME241" s="813"/>
      <c r="GMF241" s="814"/>
      <c r="GMG241" s="813"/>
      <c r="GMH241" s="814"/>
      <c r="GMI241" s="813"/>
      <c r="GMJ241" s="814"/>
      <c r="GMK241" s="813"/>
      <c r="GML241" s="814"/>
      <c r="GMM241" s="813"/>
      <c r="GMN241" s="814"/>
      <c r="GMO241" s="813"/>
      <c r="GMP241" s="814"/>
      <c r="GMQ241" s="813"/>
      <c r="GMR241" s="814"/>
      <c r="GMS241" s="813"/>
      <c r="GMT241" s="814"/>
      <c r="GMU241" s="813"/>
      <c r="GMV241" s="814"/>
      <c r="GMW241" s="813"/>
      <c r="GMX241" s="814"/>
      <c r="GMY241" s="813"/>
      <c r="GMZ241" s="814"/>
      <c r="GNA241" s="813"/>
      <c r="GNB241" s="814"/>
      <c r="GNC241" s="813"/>
      <c r="GND241" s="814"/>
      <c r="GNE241" s="813"/>
      <c r="GNF241" s="814"/>
      <c r="GNG241" s="813"/>
      <c r="GNH241" s="814"/>
      <c r="GNI241" s="813"/>
      <c r="GNJ241" s="814"/>
      <c r="GNK241" s="813"/>
      <c r="GNL241" s="814"/>
      <c r="GNM241" s="813"/>
      <c r="GNN241" s="814"/>
      <c r="GNO241" s="813"/>
      <c r="GNP241" s="814"/>
      <c r="GNQ241" s="813"/>
      <c r="GNR241" s="814"/>
      <c r="GNS241" s="813"/>
      <c r="GNT241" s="814"/>
      <c r="GNU241" s="813"/>
      <c r="GNV241" s="814"/>
      <c r="GNW241" s="813"/>
      <c r="GNX241" s="814"/>
      <c r="GNY241" s="813"/>
      <c r="GNZ241" s="814"/>
      <c r="GOA241" s="813"/>
      <c r="GOB241" s="814"/>
      <c r="GOC241" s="813"/>
      <c r="GOD241" s="814"/>
      <c r="GOE241" s="813"/>
      <c r="GOF241" s="814"/>
      <c r="GOG241" s="813"/>
      <c r="GOH241" s="814"/>
      <c r="GOI241" s="813"/>
      <c r="GOJ241" s="814"/>
      <c r="GOK241" s="813"/>
      <c r="GOL241" s="814"/>
      <c r="GOM241" s="813"/>
      <c r="GON241" s="814"/>
      <c r="GOO241" s="813"/>
      <c r="GOP241" s="814"/>
      <c r="GOQ241" s="813"/>
      <c r="GOR241" s="814"/>
      <c r="GOS241" s="813"/>
      <c r="GOT241" s="814"/>
      <c r="GOU241" s="813"/>
      <c r="GOV241" s="814"/>
      <c r="GOW241" s="813"/>
      <c r="GOX241" s="814"/>
      <c r="GOY241" s="813"/>
      <c r="GOZ241" s="814"/>
      <c r="GPA241" s="813"/>
      <c r="GPB241" s="814"/>
      <c r="GPC241" s="813"/>
      <c r="GPD241" s="814"/>
      <c r="GPE241" s="813"/>
      <c r="GPF241" s="814"/>
      <c r="GPG241" s="813"/>
      <c r="GPH241" s="814"/>
      <c r="GPI241" s="813"/>
      <c r="GPJ241" s="814"/>
      <c r="GPK241" s="813"/>
      <c r="GPL241" s="814"/>
      <c r="GPM241" s="813"/>
      <c r="GPN241" s="814"/>
      <c r="GPO241" s="813"/>
      <c r="GPP241" s="814"/>
      <c r="GPQ241" s="813"/>
      <c r="GPR241" s="814"/>
      <c r="GPS241" s="813"/>
      <c r="GPT241" s="814"/>
      <c r="GPU241" s="813"/>
      <c r="GPV241" s="814"/>
      <c r="GPW241" s="813"/>
      <c r="GPX241" s="814"/>
      <c r="GPY241" s="813"/>
      <c r="GPZ241" s="814"/>
      <c r="GQA241" s="813"/>
      <c r="GQB241" s="814"/>
      <c r="GQC241" s="813"/>
      <c r="GQD241" s="814"/>
      <c r="GQE241" s="813"/>
      <c r="GQF241" s="814"/>
      <c r="GQG241" s="813"/>
      <c r="GQH241" s="814"/>
      <c r="GQI241" s="813"/>
      <c r="GQJ241" s="814"/>
      <c r="GQK241" s="813"/>
      <c r="GQL241" s="814"/>
      <c r="GQM241" s="813"/>
      <c r="GQN241" s="814"/>
      <c r="GQO241" s="813"/>
      <c r="GQP241" s="814"/>
      <c r="GQQ241" s="813"/>
      <c r="GQR241" s="814"/>
      <c r="GQS241" s="813"/>
      <c r="GQT241" s="814"/>
      <c r="GQU241" s="813"/>
      <c r="GQV241" s="814"/>
      <c r="GQW241" s="813"/>
      <c r="GQX241" s="814"/>
      <c r="GQY241" s="813"/>
      <c r="GQZ241" s="814"/>
      <c r="GRA241" s="813"/>
      <c r="GRB241" s="814"/>
      <c r="GRC241" s="813"/>
      <c r="GRD241" s="814"/>
      <c r="GRE241" s="813"/>
      <c r="GRF241" s="814"/>
      <c r="GRG241" s="813"/>
      <c r="GRH241" s="814"/>
      <c r="GRI241" s="813"/>
      <c r="GRJ241" s="814"/>
      <c r="GRK241" s="813"/>
      <c r="GRL241" s="814"/>
      <c r="GRM241" s="813"/>
      <c r="GRN241" s="814"/>
      <c r="GRO241" s="813"/>
      <c r="GRP241" s="814"/>
      <c r="GRQ241" s="813"/>
      <c r="GRR241" s="814"/>
      <c r="GRS241" s="813"/>
      <c r="GRT241" s="814"/>
      <c r="GRU241" s="813"/>
      <c r="GRV241" s="814"/>
      <c r="GRW241" s="813"/>
      <c r="GRX241" s="814"/>
      <c r="GRY241" s="813"/>
      <c r="GRZ241" s="814"/>
      <c r="GSA241" s="813"/>
      <c r="GSB241" s="814"/>
      <c r="GSC241" s="813"/>
      <c r="GSD241" s="814"/>
      <c r="GSE241" s="813"/>
      <c r="GSF241" s="814"/>
      <c r="GSG241" s="813"/>
      <c r="GSH241" s="814"/>
      <c r="GSI241" s="813"/>
      <c r="GSJ241" s="814"/>
      <c r="GSK241" s="813"/>
      <c r="GSL241" s="814"/>
      <c r="GSM241" s="813"/>
      <c r="GSN241" s="814"/>
      <c r="GSO241" s="813"/>
      <c r="GSP241" s="814"/>
      <c r="GSQ241" s="813"/>
      <c r="GSR241" s="814"/>
      <c r="GSS241" s="813"/>
      <c r="GST241" s="814"/>
      <c r="GSU241" s="813"/>
      <c r="GSV241" s="814"/>
      <c r="GSW241" s="813"/>
      <c r="GSX241" s="814"/>
      <c r="GSY241" s="813"/>
      <c r="GSZ241" s="814"/>
      <c r="GTA241" s="813"/>
      <c r="GTB241" s="814"/>
      <c r="GTC241" s="813"/>
      <c r="GTD241" s="814"/>
      <c r="GTE241" s="813"/>
      <c r="GTF241" s="814"/>
      <c r="GTG241" s="813"/>
      <c r="GTH241" s="814"/>
      <c r="GTI241" s="813"/>
      <c r="GTJ241" s="814"/>
      <c r="GTK241" s="813"/>
      <c r="GTL241" s="814"/>
      <c r="GTM241" s="813"/>
      <c r="GTN241" s="814"/>
      <c r="GTO241" s="813"/>
      <c r="GTP241" s="814"/>
      <c r="GTQ241" s="813"/>
      <c r="GTR241" s="814"/>
      <c r="GTS241" s="813"/>
      <c r="GTT241" s="814"/>
      <c r="GTU241" s="813"/>
      <c r="GTV241" s="814"/>
      <c r="GTW241" s="813"/>
      <c r="GTX241" s="814"/>
      <c r="GTY241" s="813"/>
      <c r="GTZ241" s="814"/>
      <c r="GUA241" s="813"/>
      <c r="GUB241" s="814"/>
      <c r="GUC241" s="813"/>
      <c r="GUD241" s="814"/>
      <c r="GUE241" s="813"/>
      <c r="GUF241" s="814"/>
      <c r="GUG241" s="813"/>
      <c r="GUH241" s="814"/>
      <c r="GUI241" s="813"/>
      <c r="GUJ241" s="814"/>
      <c r="GUK241" s="813"/>
      <c r="GUL241" s="814"/>
      <c r="GUM241" s="813"/>
      <c r="GUN241" s="814"/>
      <c r="GUO241" s="813"/>
      <c r="GUP241" s="814"/>
      <c r="GUQ241" s="813"/>
      <c r="GUR241" s="814"/>
      <c r="GUS241" s="813"/>
      <c r="GUT241" s="814"/>
      <c r="GUU241" s="813"/>
      <c r="GUV241" s="814"/>
      <c r="GUW241" s="813"/>
      <c r="GUX241" s="814"/>
      <c r="GUY241" s="813"/>
      <c r="GUZ241" s="814"/>
      <c r="GVA241" s="813"/>
      <c r="GVB241" s="814"/>
      <c r="GVC241" s="813"/>
      <c r="GVD241" s="814"/>
      <c r="GVE241" s="813"/>
      <c r="GVF241" s="814"/>
      <c r="GVG241" s="813"/>
      <c r="GVH241" s="814"/>
      <c r="GVI241" s="813"/>
      <c r="GVJ241" s="814"/>
      <c r="GVK241" s="813"/>
      <c r="GVL241" s="814"/>
      <c r="GVM241" s="813"/>
      <c r="GVN241" s="814"/>
      <c r="GVO241" s="813"/>
      <c r="GVP241" s="814"/>
      <c r="GVQ241" s="813"/>
      <c r="GVR241" s="814"/>
      <c r="GVS241" s="813"/>
      <c r="GVT241" s="814"/>
      <c r="GVU241" s="813"/>
      <c r="GVV241" s="814"/>
      <c r="GVW241" s="813"/>
      <c r="GVX241" s="814"/>
      <c r="GVY241" s="813"/>
      <c r="GVZ241" s="814"/>
      <c r="GWA241" s="813"/>
      <c r="GWB241" s="814"/>
      <c r="GWC241" s="813"/>
      <c r="GWD241" s="814"/>
      <c r="GWE241" s="813"/>
      <c r="GWF241" s="814"/>
      <c r="GWG241" s="813"/>
      <c r="GWH241" s="814"/>
      <c r="GWI241" s="813"/>
      <c r="GWJ241" s="814"/>
      <c r="GWK241" s="813"/>
      <c r="GWL241" s="814"/>
      <c r="GWM241" s="813"/>
      <c r="GWN241" s="814"/>
      <c r="GWO241" s="813"/>
      <c r="GWP241" s="814"/>
      <c r="GWQ241" s="813"/>
      <c r="GWR241" s="814"/>
      <c r="GWS241" s="813"/>
      <c r="GWT241" s="814"/>
      <c r="GWU241" s="813"/>
      <c r="GWV241" s="814"/>
      <c r="GWW241" s="813"/>
      <c r="GWX241" s="814"/>
      <c r="GWY241" s="813"/>
      <c r="GWZ241" s="814"/>
      <c r="GXA241" s="813"/>
      <c r="GXB241" s="814"/>
      <c r="GXC241" s="813"/>
      <c r="GXD241" s="814"/>
      <c r="GXE241" s="813"/>
      <c r="GXF241" s="814"/>
      <c r="GXG241" s="813"/>
      <c r="GXH241" s="814"/>
      <c r="GXI241" s="813"/>
      <c r="GXJ241" s="814"/>
      <c r="GXK241" s="813"/>
      <c r="GXL241" s="814"/>
      <c r="GXM241" s="813"/>
      <c r="GXN241" s="814"/>
      <c r="GXO241" s="813"/>
      <c r="GXP241" s="814"/>
      <c r="GXQ241" s="813"/>
      <c r="GXR241" s="814"/>
      <c r="GXS241" s="813"/>
      <c r="GXT241" s="814"/>
      <c r="GXU241" s="813"/>
      <c r="GXV241" s="814"/>
      <c r="GXW241" s="813"/>
      <c r="GXX241" s="814"/>
      <c r="GXY241" s="813"/>
      <c r="GXZ241" s="814"/>
      <c r="GYA241" s="813"/>
      <c r="GYB241" s="814"/>
      <c r="GYC241" s="813"/>
      <c r="GYD241" s="814"/>
      <c r="GYE241" s="813"/>
      <c r="GYF241" s="814"/>
      <c r="GYG241" s="813"/>
      <c r="GYH241" s="814"/>
      <c r="GYI241" s="813"/>
      <c r="GYJ241" s="814"/>
      <c r="GYK241" s="813"/>
      <c r="GYL241" s="814"/>
      <c r="GYM241" s="813"/>
      <c r="GYN241" s="814"/>
      <c r="GYO241" s="813"/>
      <c r="GYP241" s="814"/>
      <c r="GYQ241" s="813"/>
      <c r="GYR241" s="814"/>
      <c r="GYS241" s="813"/>
      <c r="GYT241" s="814"/>
      <c r="GYU241" s="813"/>
      <c r="GYV241" s="814"/>
      <c r="GYW241" s="813"/>
      <c r="GYX241" s="814"/>
      <c r="GYY241" s="813"/>
      <c r="GYZ241" s="814"/>
      <c r="GZA241" s="813"/>
      <c r="GZB241" s="814"/>
      <c r="GZC241" s="813"/>
      <c r="GZD241" s="814"/>
      <c r="GZE241" s="813"/>
      <c r="GZF241" s="814"/>
      <c r="GZG241" s="813"/>
      <c r="GZH241" s="814"/>
      <c r="GZI241" s="813"/>
      <c r="GZJ241" s="814"/>
      <c r="GZK241" s="813"/>
      <c r="GZL241" s="814"/>
      <c r="GZM241" s="813"/>
      <c r="GZN241" s="814"/>
      <c r="GZO241" s="813"/>
      <c r="GZP241" s="814"/>
      <c r="GZQ241" s="813"/>
      <c r="GZR241" s="814"/>
      <c r="GZS241" s="813"/>
      <c r="GZT241" s="814"/>
      <c r="GZU241" s="813"/>
      <c r="GZV241" s="814"/>
      <c r="GZW241" s="813"/>
      <c r="GZX241" s="814"/>
      <c r="GZY241" s="813"/>
      <c r="GZZ241" s="814"/>
      <c r="HAA241" s="813"/>
      <c r="HAB241" s="814"/>
      <c r="HAC241" s="813"/>
      <c r="HAD241" s="814"/>
      <c r="HAE241" s="813"/>
      <c r="HAF241" s="814"/>
      <c r="HAG241" s="813"/>
      <c r="HAH241" s="814"/>
      <c r="HAI241" s="813"/>
      <c r="HAJ241" s="814"/>
      <c r="HAK241" s="813"/>
      <c r="HAL241" s="814"/>
      <c r="HAM241" s="813"/>
      <c r="HAN241" s="814"/>
      <c r="HAO241" s="813"/>
      <c r="HAP241" s="814"/>
      <c r="HAQ241" s="813"/>
      <c r="HAR241" s="814"/>
      <c r="HAS241" s="813"/>
      <c r="HAT241" s="814"/>
      <c r="HAU241" s="813"/>
      <c r="HAV241" s="814"/>
      <c r="HAW241" s="813"/>
      <c r="HAX241" s="814"/>
      <c r="HAY241" s="813"/>
      <c r="HAZ241" s="814"/>
      <c r="HBA241" s="813"/>
      <c r="HBB241" s="814"/>
      <c r="HBC241" s="813"/>
      <c r="HBD241" s="814"/>
      <c r="HBE241" s="813"/>
      <c r="HBF241" s="814"/>
      <c r="HBG241" s="813"/>
      <c r="HBH241" s="814"/>
      <c r="HBI241" s="813"/>
      <c r="HBJ241" s="814"/>
      <c r="HBK241" s="813"/>
      <c r="HBL241" s="814"/>
      <c r="HBM241" s="813"/>
      <c r="HBN241" s="814"/>
      <c r="HBO241" s="813"/>
      <c r="HBP241" s="814"/>
      <c r="HBQ241" s="813"/>
      <c r="HBR241" s="814"/>
      <c r="HBS241" s="813"/>
      <c r="HBT241" s="814"/>
      <c r="HBU241" s="813"/>
      <c r="HBV241" s="814"/>
      <c r="HBW241" s="813"/>
      <c r="HBX241" s="814"/>
      <c r="HBY241" s="813"/>
      <c r="HBZ241" s="814"/>
      <c r="HCA241" s="813"/>
      <c r="HCB241" s="814"/>
      <c r="HCC241" s="813"/>
      <c r="HCD241" s="814"/>
      <c r="HCE241" s="813"/>
      <c r="HCF241" s="814"/>
      <c r="HCG241" s="813"/>
      <c r="HCH241" s="814"/>
      <c r="HCI241" s="813"/>
      <c r="HCJ241" s="814"/>
      <c r="HCK241" s="813"/>
      <c r="HCL241" s="814"/>
      <c r="HCM241" s="813"/>
      <c r="HCN241" s="814"/>
      <c r="HCO241" s="813"/>
      <c r="HCP241" s="814"/>
      <c r="HCQ241" s="813"/>
      <c r="HCR241" s="814"/>
      <c r="HCS241" s="813"/>
      <c r="HCT241" s="814"/>
      <c r="HCU241" s="813"/>
      <c r="HCV241" s="814"/>
      <c r="HCW241" s="813"/>
      <c r="HCX241" s="814"/>
      <c r="HCY241" s="813"/>
      <c r="HCZ241" s="814"/>
      <c r="HDA241" s="813"/>
      <c r="HDB241" s="814"/>
      <c r="HDC241" s="813"/>
      <c r="HDD241" s="814"/>
      <c r="HDE241" s="813"/>
      <c r="HDF241" s="814"/>
      <c r="HDG241" s="813"/>
      <c r="HDH241" s="814"/>
      <c r="HDI241" s="813"/>
      <c r="HDJ241" s="814"/>
      <c r="HDK241" s="813"/>
      <c r="HDL241" s="814"/>
      <c r="HDM241" s="813"/>
      <c r="HDN241" s="814"/>
      <c r="HDO241" s="813"/>
      <c r="HDP241" s="814"/>
      <c r="HDQ241" s="813"/>
      <c r="HDR241" s="814"/>
      <c r="HDS241" s="813"/>
      <c r="HDT241" s="814"/>
      <c r="HDU241" s="813"/>
      <c r="HDV241" s="814"/>
      <c r="HDW241" s="813"/>
      <c r="HDX241" s="814"/>
      <c r="HDY241" s="813"/>
      <c r="HDZ241" s="814"/>
      <c r="HEA241" s="813"/>
      <c r="HEB241" s="814"/>
      <c r="HEC241" s="813"/>
      <c r="HED241" s="814"/>
      <c r="HEE241" s="813"/>
      <c r="HEF241" s="814"/>
      <c r="HEG241" s="813"/>
      <c r="HEH241" s="814"/>
      <c r="HEI241" s="813"/>
      <c r="HEJ241" s="814"/>
      <c r="HEK241" s="813"/>
      <c r="HEL241" s="814"/>
      <c r="HEM241" s="813"/>
      <c r="HEN241" s="814"/>
      <c r="HEO241" s="813"/>
      <c r="HEP241" s="814"/>
      <c r="HEQ241" s="813"/>
      <c r="HER241" s="814"/>
      <c r="HES241" s="813"/>
      <c r="HET241" s="814"/>
      <c r="HEU241" s="813"/>
      <c r="HEV241" s="814"/>
      <c r="HEW241" s="813"/>
      <c r="HEX241" s="814"/>
      <c r="HEY241" s="813"/>
      <c r="HEZ241" s="814"/>
      <c r="HFA241" s="813"/>
      <c r="HFB241" s="814"/>
      <c r="HFC241" s="813"/>
      <c r="HFD241" s="814"/>
      <c r="HFE241" s="813"/>
      <c r="HFF241" s="814"/>
      <c r="HFG241" s="813"/>
      <c r="HFH241" s="814"/>
      <c r="HFI241" s="813"/>
      <c r="HFJ241" s="814"/>
      <c r="HFK241" s="813"/>
      <c r="HFL241" s="814"/>
      <c r="HFM241" s="813"/>
      <c r="HFN241" s="814"/>
      <c r="HFO241" s="813"/>
      <c r="HFP241" s="814"/>
      <c r="HFQ241" s="813"/>
      <c r="HFR241" s="814"/>
      <c r="HFS241" s="813"/>
      <c r="HFT241" s="814"/>
      <c r="HFU241" s="813"/>
      <c r="HFV241" s="814"/>
      <c r="HFW241" s="813"/>
      <c r="HFX241" s="814"/>
      <c r="HFY241" s="813"/>
      <c r="HFZ241" s="814"/>
      <c r="HGA241" s="813"/>
      <c r="HGB241" s="814"/>
      <c r="HGC241" s="813"/>
      <c r="HGD241" s="814"/>
      <c r="HGE241" s="813"/>
      <c r="HGF241" s="814"/>
      <c r="HGG241" s="813"/>
      <c r="HGH241" s="814"/>
      <c r="HGI241" s="813"/>
      <c r="HGJ241" s="814"/>
      <c r="HGK241" s="813"/>
      <c r="HGL241" s="814"/>
      <c r="HGM241" s="813"/>
      <c r="HGN241" s="814"/>
      <c r="HGO241" s="813"/>
      <c r="HGP241" s="814"/>
      <c r="HGQ241" s="813"/>
      <c r="HGR241" s="814"/>
      <c r="HGS241" s="813"/>
      <c r="HGT241" s="814"/>
      <c r="HGU241" s="813"/>
      <c r="HGV241" s="814"/>
      <c r="HGW241" s="813"/>
      <c r="HGX241" s="814"/>
      <c r="HGY241" s="813"/>
      <c r="HGZ241" s="814"/>
      <c r="HHA241" s="813"/>
      <c r="HHB241" s="814"/>
      <c r="HHC241" s="813"/>
      <c r="HHD241" s="814"/>
      <c r="HHE241" s="813"/>
      <c r="HHF241" s="814"/>
      <c r="HHG241" s="813"/>
      <c r="HHH241" s="814"/>
      <c r="HHI241" s="813"/>
      <c r="HHJ241" s="814"/>
      <c r="HHK241" s="813"/>
      <c r="HHL241" s="814"/>
      <c r="HHM241" s="813"/>
      <c r="HHN241" s="814"/>
      <c r="HHO241" s="813"/>
      <c r="HHP241" s="814"/>
      <c r="HHQ241" s="813"/>
      <c r="HHR241" s="814"/>
      <c r="HHS241" s="813"/>
      <c r="HHT241" s="814"/>
      <c r="HHU241" s="813"/>
      <c r="HHV241" s="814"/>
      <c r="HHW241" s="813"/>
      <c r="HHX241" s="814"/>
      <c r="HHY241" s="813"/>
      <c r="HHZ241" s="814"/>
      <c r="HIA241" s="813"/>
      <c r="HIB241" s="814"/>
      <c r="HIC241" s="813"/>
      <c r="HID241" s="814"/>
      <c r="HIE241" s="813"/>
      <c r="HIF241" s="814"/>
      <c r="HIG241" s="813"/>
      <c r="HIH241" s="814"/>
      <c r="HII241" s="813"/>
      <c r="HIJ241" s="814"/>
      <c r="HIK241" s="813"/>
      <c r="HIL241" s="814"/>
      <c r="HIM241" s="813"/>
      <c r="HIN241" s="814"/>
      <c r="HIO241" s="813"/>
      <c r="HIP241" s="814"/>
      <c r="HIQ241" s="813"/>
      <c r="HIR241" s="814"/>
      <c r="HIS241" s="813"/>
      <c r="HIT241" s="814"/>
      <c r="HIU241" s="813"/>
      <c r="HIV241" s="814"/>
      <c r="HIW241" s="813"/>
      <c r="HIX241" s="814"/>
      <c r="HIY241" s="813"/>
      <c r="HIZ241" s="814"/>
      <c r="HJA241" s="813"/>
      <c r="HJB241" s="814"/>
      <c r="HJC241" s="813"/>
      <c r="HJD241" s="814"/>
      <c r="HJE241" s="813"/>
      <c r="HJF241" s="814"/>
      <c r="HJG241" s="813"/>
      <c r="HJH241" s="814"/>
      <c r="HJI241" s="813"/>
      <c r="HJJ241" s="814"/>
      <c r="HJK241" s="813"/>
      <c r="HJL241" s="814"/>
      <c r="HJM241" s="813"/>
      <c r="HJN241" s="814"/>
      <c r="HJO241" s="813"/>
      <c r="HJP241" s="814"/>
      <c r="HJQ241" s="813"/>
      <c r="HJR241" s="814"/>
      <c r="HJS241" s="813"/>
      <c r="HJT241" s="814"/>
      <c r="HJU241" s="813"/>
      <c r="HJV241" s="814"/>
      <c r="HJW241" s="813"/>
      <c r="HJX241" s="814"/>
      <c r="HJY241" s="813"/>
      <c r="HJZ241" s="814"/>
      <c r="HKA241" s="813"/>
      <c r="HKB241" s="814"/>
      <c r="HKC241" s="813"/>
      <c r="HKD241" s="814"/>
      <c r="HKE241" s="813"/>
      <c r="HKF241" s="814"/>
      <c r="HKG241" s="813"/>
      <c r="HKH241" s="814"/>
      <c r="HKI241" s="813"/>
      <c r="HKJ241" s="814"/>
      <c r="HKK241" s="813"/>
      <c r="HKL241" s="814"/>
      <c r="HKM241" s="813"/>
      <c r="HKN241" s="814"/>
      <c r="HKO241" s="813"/>
      <c r="HKP241" s="814"/>
      <c r="HKQ241" s="813"/>
      <c r="HKR241" s="814"/>
      <c r="HKS241" s="813"/>
      <c r="HKT241" s="814"/>
      <c r="HKU241" s="813"/>
      <c r="HKV241" s="814"/>
      <c r="HKW241" s="813"/>
      <c r="HKX241" s="814"/>
      <c r="HKY241" s="813"/>
      <c r="HKZ241" s="814"/>
      <c r="HLA241" s="813"/>
      <c r="HLB241" s="814"/>
      <c r="HLC241" s="813"/>
      <c r="HLD241" s="814"/>
      <c r="HLE241" s="813"/>
      <c r="HLF241" s="814"/>
      <c r="HLG241" s="813"/>
      <c r="HLH241" s="814"/>
      <c r="HLI241" s="813"/>
      <c r="HLJ241" s="814"/>
      <c r="HLK241" s="813"/>
      <c r="HLL241" s="814"/>
      <c r="HLM241" s="813"/>
      <c r="HLN241" s="814"/>
      <c r="HLO241" s="813"/>
      <c r="HLP241" s="814"/>
      <c r="HLQ241" s="813"/>
      <c r="HLR241" s="814"/>
      <c r="HLS241" s="813"/>
      <c r="HLT241" s="814"/>
      <c r="HLU241" s="813"/>
      <c r="HLV241" s="814"/>
      <c r="HLW241" s="813"/>
      <c r="HLX241" s="814"/>
      <c r="HLY241" s="813"/>
      <c r="HLZ241" s="814"/>
      <c r="HMA241" s="813"/>
      <c r="HMB241" s="814"/>
      <c r="HMC241" s="813"/>
      <c r="HMD241" s="814"/>
      <c r="HME241" s="813"/>
      <c r="HMF241" s="814"/>
      <c r="HMG241" s="813"/>
      <c r="HMH241" s="814"/>
      <c r="HMI241" s="813"/>
      <c r="HMJ241" s="814"/>
      <c r="HMK241" s="813"/>
      <c r="HML241" s="814"/>
      <c r="HMM241" s="813"/>
      <c r="HMN241" s="814"/>
      <c r="HMO241" s="813"/>
      <c r="HMP241" s="814"/>
      <c r="HMQ241" s="813"/>
      <c r="HMR241" s="814"/>
      <c r="HMS241" s="813"/>
      <c r="HMT241" s="814"/>
      <c r="HMU241" s="813"/>
      <c r="HMV241" s="814"/>
      <c r="HMW241" s="813"/>
      <c r="HMX241" s="814"/>
      <c r="HMY241" s="813"/>
      <c r="HMZ241" s="814"/>
      <c r="HNA241" s="813"/>
      <c r="HNB241" s="814"/>
      <c r="HNC241" s="813"/>
      <c r="HND241" s="814"/>
      <c r="HNE241" s="813"/>
      <c r="HNF241" s="814"/>
      <c r="HNG241" s="813"/>
      <c r="HNH241" s="814"/>
      <c r="HNI241" s="813"/>
      <c r="HNJ241" s="814"/>
      <c r="HNK241" s="813"/>
      <c r="HNL241" s="814"/>
      <c r="HNM241" s="813"/>
      <c r="HNN241" s="814"/>
      <c r="HNO241" s="813"/>
      <c r="HNP241" s="814"/>
      <c r="HNQ241" s="813"/>
      <c r="HNR241" s="814"/>
      <c r="HNS241" s="813"/>
      <c r="HNT241" s="814"/>
      <c r="HNU241" s="813"/>
      <c r="HNV241" s="814"/>
      <c r="HNW241" s="813"/>
      <c r="HNX241" s="814"/>
      <c r="HNY241" s="813"/>
      <c r="HNZ241" s="814"/>
      <c r="HOA241" s="813"/>
      <c r="HOB241" s="814"/>
      <c r="HOC241" s="813"/>
      <c r="HOD241" s="814"/>
      <c r="HOE241" s="813"/>
      <c r="HOF241" s="814"/>
      <c r="HOG241" s="813"/>
      <c r="HOH241" s="814"/>
      <c r="HOI241" s="813"/>
      <c r="HOJ241" s="814"/>
      <c r="HOK241" s="813"/>
      <c r="HOL241" s="814"/>
      <c r="HOM241" s="813"/>
      <c r="HON241" s="814"/>
      <c r="HOO241" s="813"/>
      <c r="HOP241" s="814"/>
      <c r="HOQ241" s="813"/>
      <c r="HOR241" s="814"/>
      <c r="HOS241" s="813"/>
      <c r="HOT241" s="814"/>
      <c r="HOU241" s="813"/>
      <c r="HOV241" s="814"/>
      <c r="HOW241" s="813"/>
      <c r="HOX241" s="814"/>
      <c r="HOY241" s="813"/>
      <c r="HOZ241" s="814"/>
      <c r="HPA241" s="813"/>
      <c r="HPB241" s="814"/>
      <c r="HPC241" s="813"/>
      <c r="HPD241" s="814"/>
      <c r="HPE241" s="813"/>
      <c r="HPF241" s="814"/>
      <c r="HPG241" s="813"/>
      <c r="HPH241" s="814"/>
      <c r="HPI241" s="813"/>
      <c r="HPJ241" s="814"/>
      <c r="HPK241" s="813"/>
      <c r="HPL241" s="814"/>
      <c r="HPM241" s="813"/>
      <c r="HPN241" s="814"/>
      <c r="HPO241" s="813"/>
      <c r="HPP241" s="814"/>
      <c r="HPQ241" s="813"/>
      <c r="HPR241" s="814"/>
      <c r="HPS241" s="813"/>
      <c r="HPT241" s="814"/>
      <c r="HPU241" s="813"/>
      <c r="HPV241" s="814"/>
      <c r="HPW241" s="813"/>
      <c r="HPX241" s="814"/>
      <c r="HPY241" s="813"/>
      <c r="HPZ241" s="814"/>
      <c r="HQA241" s="813"/>
      <c r="HQB241" s="814"/>
      <c r="HQC241" s="813"/>
      <c r="HQD241" s="814"/>
      <c r="HQE241" s="813"/>
      <c r="HQF241" s="814"/>
      <c r="HQG241" s="813"/>
      <c r="HQH241" s="814"/>
      <c r="HQI241" s="813"/>
      <c r="HQJ241" s="814"/>
      <c r="HQK241" s="813"/>
      <c r="HQL241" s="814"/>
      <c r="HQM241" s="813"/>
      <c r="HQN241" s="814"/>
      <c r="HQO241" s="813"/>
      <c r="HQP241" s="814"/>
      <c r="HQQ241" s="813"/>
      <c r="HQR241" s="814"/>
      <c r="HQS241" s="813"/>
      <c r="HQT241" s="814"/>
      <c r="HQU241" s="813"/>
      <c r="HQV241" s="814"/>
      <c r="HQW241" s="813"/>
      <c r="HQX241" s="814"/>
      <c r="HQY241" s="813"/>
      <c r="HQZ241" s="814"/>
      <c r="HRA241" s="813"/>
      <c r="HRB241" s="814"/>
      <c r="HRC241" s="813"/>
      <c r="HRD241" s="814"/>
      <c r="HRE241" s="813"/>
      <c r="HRF241" s="814"/>
      <c r="HRG241" s="813"/>
      <c r="HRH241" s="814"/>
      <c r="HRI241" s="813"/>
      <c r="HRJ241" s="814"/>
      <c r="HRK241" s="813"/>
      <c r="HRL241" s="814"/>
      <c r="HRM241" s="813"/>
      <c r="HRN241" s="814"/>
      <c r="HRO241" s="813"/>
      <c r="HRP241" s="814"/>
      <c r="HRQ241" s="813"/>
      <c r="HRR241" s="814"/>
      <c r="HRS241" s="813"/>
      <c r="HRT241" s="814"/>
      <c r="HRU241" s="813"/>
      <c r="HRV241" s="814"/>
      <c r="HRW241" s="813"/>
      <c r="HRX241" s="814"/>
      <c r="HRY241" s="813"/>
      <c r="HRZ241" s="814"/>
      <c r="HSA241" s="813"/>
      <c r="HSB241" s="814"/>
      <c r="HSC241" s="813"/>
      <c r="HSD241" s="814"/>
      <c r="HSE241" s="813"/>
      <c r="HSF241" s="814"/>
      <c r="HSG241" s="813"/>
      <c r="HSH241" s="814"/>
      <c r="HSI241" s="813"/>
      <c r="HSJ241" s="814"/>
      <c r="HSK241" s="813"/>
      <c r="HSL241" s="814"/>
      <c r="HSM241" s="813"/>
      <c r="HSN241" s="814"/>
      <c r="HSO241" s="813"/>
      <c r="HSP241" s="814"/>
      <c r="HSQ241" s="813"/>
      <c r="HSR241" s="814"/>
      <c r="HSS241" s="813"/>
      <c r="HST241" s="814"/>
      <c r="HSU241" s="813"/>
      <c r="HSV241" s="814"/>
      <c r="HSW241" s="813"/>
      <c r="HSX241" s="814"/>
      <c r="HSY241" s="813"/>
      <c r="HSZ241" s="814"/>
      <c r="HTA241" s="813"/>
      <c r="HTB241" s="814"/>
      <c r="HTC241" s="813"/>
      <c r="HTD241" s="814"/>
      <c r="HTE241" s="813"/>
      <c r="HTF241" s="814"/>
      <c r="HTG241" s="813"/>
      <c r="HTH241" s="814"/>
      <c r="HTI241" s="813"/>
      <c r="HTJ241" s="814"/>
      <c r="HTK241" s="813"/>
      <c r="HTL241" s="814"/>
      <c r="HTM241" s="813"/>
      <c r="HTN241" s="814"/>
      <c r="HTO241" s="813"/>
      <c r="HTP241" s="814"/>
      <c r="HTQ241" s="813"/>
      <c r="HTR241" s="814"/>
      <c r="HTS241" s="813"/>
      <c r="HTT241" s="814"/>
      <c r="HTU241" s="813"/>
      <c r="HTV241" s="814"/>
      <c r="HTW241" s="813"/>
      <c r="HTX241" s="814"/>
      <c r="HTY241" s="813"/>
      <c r="HTZ241" s="814"/>
      <c r="HUA241" s="813"/>
      <c r="HUB241" s="814"/>
      <c r="HUC241" s="813"/>
      <c r="HUD241" s="814"/>
      <c r="HUE241" s="813"/>
      <c r="HUF241" s="814"/>
      <c r="HUG241" s="813"/>
      <c r="HUH241" s="814"/>
      <c r="HUI241" s="813"/>
      <c r="HUJ241" s="814"/>
      <c r="HUK241" s="813"/>
      <c r="HUL241" s="814"/>
      <c r="HUM241" s="813"/>
      <c r="HUN241" s="814"/>
      <c r="HUO241" s="813"/>
      <c r="HUP241" s="814"/>
      <c r="HUQ241" s="813"/>
      <c r="HUR241" s="814"/>
      <c r="HUS241" s="813"/>
      <c r="HUT241" s="814"/>
      <c r="HUU241" s="813"/>
      <c r="HUV241" s="814"/>
      <c r="HUW241" s="813"/>
      <c r="HUX241" s="814"/>
      <c r="HUY241" s="813"/>
      <c r="HUZ241" s="814"/>
      <c r="HVA241" s="813"/>
      <c r="HVB241" s="814"/>
      <c r="HVC241" s="813"/>
      <c r="HVD241" s="814"/>
      <c r="HVE241" s="813"/>
      <c r="HVF241" s="814"/>
      <c r="HVG241" s="813"/>
      <c r="HVH241" s="814"/>
      <c r="HVI241" s="813"/>
      <c r="HVJ241" s="814"/>
      <c r="HVK241" s="813"/>
      <c r="HVL241" s="814"/>
      <c r="HVM241" s="813"/>
      <c r="HVN241" s="814"/>
      <c r="HVO241" s="813"/>
      <c r="HVP241" s="814"/>
      <c r="HVQ241" s="813"/>
      <c r="HVR241" s="814"/>
      <c r="HVS241" s="813"/>
      <c r="HVT241" s="814"/>
      <c r="HVU241" s="813"/>
      <c r="HVV241" s="814"/>
      <c r="HVW241" s="813"/>
      <c r="HVX241" s="814"/>
      <c r="HVY241" s="813"/>
      <c r="HVZ241" s="814"/>
      <c r="HWA241" s="813"/>
      <c r="HWB241" s="814"/>
      <c r="HWC241" s="813"/>
      <c r="HWD241" s="814"/>
      <c r="HWE241" s="813"/>
      <c r="HWF241" s="814"/>
      <c r="HWG241" s="813"/>
      <c r="HWH241" s="814"/>
      <c r="HWI241" s="813"/>
      <c r="HWJ241" s="814"/>
      <c r="HWK241" s="813"/>
      <c r="HWL241" s="814"/>
      <c r="HWM241" s="813"/>
      <c r="HWN241" s="814"/>
      <c r="HWO241" s="813"/>
      <c r="HWP241" s="814"/>
      <c r="HWQ241" s="813"/>
      <c r="HWR241" s="814"/>
      <c r="HWS241" s="813"/>
      <c r="HWT241" s="814"/>
      <c r="HWU241" s="813"/>
      <c r="HWV241" s="814"/>
      <c r="HWW241" s="813"/>
      <c r="HWX241" s="814"/>
      <c r="HWY241" s="813"/>
      <c r="HWZ241" s="814"/>
      <c r="HXA241" s="813"/>
      <c r="HXB241" s="814"/>
      <c r="HXC241" s="813"/>
      <c r="HXD241" s="814"/>
      <c r="HXE241" s="813"/>
      <c r="HXF241" s="814"/>
      <c r="HXG241" s="813"/>
      <c r="HXH241" s="814"/>
      <c r="HXI241" s="813"/>
      <c r="HXJ241" s="814"/>
      <c r="HXK241" s="813"/>
      <c r="HXL241" s="814"/>
      <c r="HXM241" s="813"/>
      <c r="HXN241" s="814"/>
      <c r="HXO241" s="813"/>
      <c r="HXP241" s="814"/>
      <c r="HXQ241" s="813"/>
      <c r="HXR241" s="814"/>
      <c r="HXS241" s="813"/>
      <c r="HXT241" s="814"/>
      <c r="HXU241" s="813"/>
      <c r="HXV241" s="814"/>
      <c r="HXW241" s="813"/>
      <c r="HXX241" s="814"/>
      <c r="HXY241" s="813"/>
      <c r="HXZ241" s="814"/>
      <c r="HYA241" s="813"/>
      <c r="HYB241" s="814"/>
      <c r="HYC241" s="813"/>
      <c r="HYD241" s="814"/>
      <c r="HYE241" s="813"/>
      <c r="HYF241" s="814"/>
      <c r="HYG241" s="813"/>
      <c r="HYH241" s="814"/>
      <c r="HYI241" s="813"/>
      <c r="HYJ241" s="814"/>
      <c r="HYK241" s="813"/>
      <c r="HYL241" s="814"/>
      <c r="HYM241" s="813"/>
      <c r="HYN241" s="814"/>
      <c r="HYO241" s="813"/>
      <c r="HYP241" s="814"/>
      <c r="HYQ241" s="813"/>
      <c r="HYR241" s="814"/>
      <c r="HYS241" s="813"/>
      <c r="HYT241" s="814"/>
      <c r="HYU241" s="813"/>
      <c r="HYV241" s="814"/>
      <c r="HYW241" s="813"/>
      <c r="HYX241" s="814"/>
      <c r="HYY241" s="813"/>
      <c r="HYZ241" s="814"/>
      <c r="HZA241" s="813"/>
      <c r="HZB241" s="814"/>
      <c r="HZC241" s="813"/>
      <c r="HZD241" s="814"/>
      <c r="HZE241" s="813"/>
      <c r="HZF241" s="814"/>
      <c r="HZG241" s="813"/>
      <c r="HZH241" s="814"/>
      <c r="HZI241" s="813"/>
      <c r="HZJ241" s="814"/>
      <c r="HZK241" s="813"/>
      <c r="HZL241" s="814"/>
      <c r="HZM241" s="813"/>
      <c r="HZN241" s="814"/>
      <c r="HZO241" s="813"/>
      <c r="HZP241" s="814"/>
      <c r="HZQ241" s="813"/>
      <c r="HZR241" s="814"/>
      <c r="HZS241" s="813"/>
      <c r="HZT241" s="814"/>
      <c r="HZU241" s="813"/>
      <c r="HZV241" s="814"/>
      <c r="HZW241" s="813"/>
      <c r="HZX241" s="814"/>
      <c r="HZY241" s="813"/>
      <c r="HZZ241" s="814"/>
      <c r="IAA241" s="813"/>
      <c r="IAB241" s="814"/>
      <c r="IAC241" s="813"/>
      <c r="IAD241" s="814"/>
      <c r="IAE241" s="813"/>
      <c r="IAF241" s="814"/>
      <c r="IAG241" s="813"/>
      <c r="IAH241" s="814"/>
      <c r="IAI241" s="813"/>
      <c r="IAJ241" s="814"/>
      <c r="IAK241" s="813"/>
      <c r="IAL241" s="814"/>
      <c r="IAM241" s="813"/>
      <c r="IAN241" s="814"/>
      <c r="IAO241" s="813"/>
      <c r="IAP241" s="814"/>
      <c r="IAQ241" s="813"/>
      <c r="IAR241" s="814"/>
      <c r="IAS241" s="813"/>
      <c r="IAT241" s="814"/>
      <c r="IAU241" s="813"/>
      <c r="IAV241" s="814"/>
      <c r="IAW241" s="813"/>
      <c r="IAX241" s="814"/>
      <c r="IAY241" s="813"/>
      <c r="IAZ241" s="814"/>
      <c r="IBA241" s="813"/>
      <c r="IBB241" s="814"/>
      <c r="IBC241" s="813"/>
      <c r="IBD241" s="814"/>
      <c r="IBE241" s="813"/>
      <c r="IBF241" s="814"/>
      <c r="IBG241" s="813"/>
      <c r="IBH241" s="814"/>
      <c r="IBI241" s="813"/>
      <c r="IBJ241" s="814"/>
      <c r="IBK241" s="813"/>
      <c r="IBL241" s="814"/>
      <c r="IBM241" s="813"/>
      <c r="IBN241" s="814"/>
      <c r="IBO241" s="813"/>
      <c r="IBP241" s="814"/>
      <c r="IBQ241" s="813"/>
      <c r="IBR241" s="814"/>
      <c r="IBS241" s="813"/>
      <c r="IBT241" s="814"/>
      <c r="IBU241" s="813"/>
      <c r="IBV241" s="814"/>
      <c r="IBW241" s="813"/>
      <c r="IBX241" s="814"/>
      <c r="IBY241" s="813"/>
      <c r="IBZ241" s="814"/>
      <c r="ICA241" s="813"/>
      <c r="ICB241" s="814"/>
      <c r="ICC241" s="813"/>
      <c r="ICD241" s="814"/>
      <c r="ICE241" s="813"/>
      <c r="ICF241" s="814"/>
      <c r="ICG241" s="813"/>
      <c r="ICH241" s="814"/>
      <c r="ICI241" s="813"/>
      <c r="ICJ241" s="814"/>
      <c r="ICK241" s="813"/>
      <c r="ICL241" s="814"/>
      <c r="ICM241" s="813"/>
      <c r="ICN241" s="814"/>
      <c r="ICO241" s="813"/>
      <c r="ICP241" s="814"/>
      <c r="ICQ241" s="813"/>
      <c r="ICR241" s="814"/>
      <c r="ICS241" s="813"/>
      <c r="ICT241" s="814"/>
      <c r="ICU241" s="813"/>
      <c r="ICV241" s="814"/>
      <c r="ICW241" s="813"/>
      <c r="ICX241" s="814"/>
      <c r="ICY241" s="813"/>
      <c r="ICZ241" s="814"/>
      <c r="IDA241" s="813"/>
      <c r="IDB241" s="814"/>
      <c r="IDC241" s="813"/>
      <c r="IDD241" s="814"/>
      <c r="IDE241" s="813"/>
      <c r="IDF241" s="814"/>
      <c r="IDG241" s="813"/>
      <c r="IDH241" s="814"/>
      <c r="IDI241" s="813"/>
      <c r="IDJ241" s="814"/>
      <c r="IDK241" s="813"/>
      <c r="IDL241" s="814"/>
      <c r="IDM241" s="813"/>
      <c r="IDN241" s="814"/>
      <c r="IDO241" s="813"/>
      <c r="IDP241" s="814"/>
      <c r="IDQ241" s="813"/>
      <c r="IDR241" s="814"/>
      <c r="IDS241" s="813"/>
      <c r="IDT241" s="814"/>
      <c r="IDU241" s="813"/>
      <c r="IDV241" s="814"/>
      <c r="IDW241" s="813"/>
      <c r="IDX241" s="814"/>
      <c r="IDY241" s="813"/>
      <c r="IDZ241" s="814"/>
      <c r="IEA241" s="813"/>
      <c r="IEB241" s="814"/>
      <c r="IEC241" s="813"/>
      <c r="IED241" s="814"/>
      <c r="IEE241" s="813"/>
      <c r="IEF241" s="814"/>
      <c r="IEG241" s="813"/>
      <c r="IEH241" s="814"/>
      <c r="IEI241" s="813"/>
      <c r="IEJ241" s="814"/>
      <c r="IEK241" s="813"/>
      <c r="IEL241" s="814"/>
      <c r="IEM241" s="813"/>
      <c r="IEN241" s="814"/>
      <c r="IEO241" s="813"/>
      <c r="IEP241" s="814"/>
      <c r="IEQ241" s="813"/>
      <c r="IER241" s="814"/>
      <c r="IES241" s="813"/>
      <c r="IET241" s="814"/>
      <c r="IEU241" s="813"/>
      <c r="IEV241" s="814"/>
      <c r="IEW241" s="813"/>
      <c r="IEX241" s="814"/>
      <c r="IEY241" s="813"/>
      <c r="IEZ241" s="814"/>
      <c r="IFA241" s="813"/>
      <c r="IFB241" s="814"/>
      <c r="IFC241" s="813"/>
      <c r="IFD241" s="814"/>
      <c r="IFE241" s="813"/>
      <c r="IFF241" s="814"/>
      <c r="IFG241" s="813"/>
      <c r="IFH241" s="814"/>
      <c r="IFI241" s="813"/>
      <c r="IFJ241" s="814"/>
      <c r="IFK241" s="813"/>
      <c r="IFL241" s="814"/>
      <c r="IFM241" s="813"/>
      <c r="IFN241" s="814"/>
      <c r="IFO241" s="813"/>
      <c r="IFP241" s="814"/>
      <c r="IFQ241" s="813"/>
      <c r="IFR241" s="814"/>
      <c r="IFS241" s="813"/>
      <c r="IFT241" s="814"/>
      <c r="IFU241" s="813"/>
      <c r="IFV241" s="814"/>
      <c r="IFW241" s="813"/>
      <c r="IFX241" s="814"/>
      <c r="IFY241" s="813"/>
      <c r="IFZ241" s="814"/>
      <c r="IGA241" s="813"/>
      <c r="IGB241" s="814"/>
      <c r="IGC241" s="813"/>
      <c r="IGD241" s="814"/>
      <c r="IGE241" s="813"/>
      <c r="IGF241" s="814"/>
      <c r="IGG241" s="813"/>
      <c r="IGH241" s="814"/>
      <c r="IGI241" s="813"/>
      <c r="IGJ241" s="814"/>
      <c r="IGK241" s="813"/>
      <c r="IGL241" s="814"/>
      <c r="IGM241" s="813"/>
      <c r="IGN241" s="814"/>
      <c r="IGO241" s="813"/>
      <c r="IGP241" s="814"/>
      <c r="IGQ241" s="813"/>
      <c r="IGR241" s="814"/>
      <c r="IGS241" s="813"/>
      <c r="IGT241" s="814"/>
      <c r="IGU241" s="813"/>
      <c r="IGV241" s="814"/>
      <c r="IGW241" s="813"/>
      <c r="IGX241" s="814"/>
      <c r="IGY241" s="813"/>
      <c r="IGZ241" s="814"/>
      <c r="IHA241" s="813"/>
      <c r="IHB241" s="814"/>
      <c r="IHC241" s="813"/>
      <c r="IHD241" s="814"/>
      <c r="IHE241" s="813"/>
      <c r="IHF241" s="814"/>
      <c r="IHG241" s="813"/>
      <c r="IHH241" s="814"/>
      <c r="IHI241" s="813"/>
      <c r="IHJ241" s="814"/>
      <c r="IHK241" s="813"/>
      <c r="IHL241" s="814"/>
      <c r="IHM241" s="813"/>
      <c r="IHN241" s="814"/>
      <c r="IHO241" s="813"/>
      <c r="IHP241" s="814"/>
      <c r="IHQ241" s="813"/>
      <c r="IHR241" s="814"/>
      <c r="IHS241" s="813"/>
      <c r="IHT241" s="814"/>
      <c r="IHU241" s="813"/>
      <c r="IHV241" s="814"/>
      <c r="IHW241" s="813"/>
      <c r="IHX241" s="814"/>
      <c r="IHY241" s="813"/>
      <c r="IHZ241" s="814"/>
      <c r="IIA241" s="813"/>
      <c r="IIB241" s="814"/>
      <c r="IIC241" s="813"/>
      <c r="IID241" s="814"/>
      <c r="IIE241" s="813"/>
      <c r="IIF241" s="814"/>
      <c r="IIG241" s="813"/>
      <c r="IIH241" s="814"/>
      <c r="III241" s="813"/>
      <c r="IIJ241" s="814"/>
      <c r="IIK241" s="813"/>
      <c r="IIL241" s="814"/>
      <c r="IIM241" s="813"/>
      <c r="IIN241" s="814"/>
      <c r="IIO241" s="813"/>
      <c r="IIP241" s="814"/>
      <c r="IIQ241" s="813"/>
      <c r="IIR241" s="814"/>
      <c r="IIS241" s="813"/>
      <c r="IIT241" s="814"/>
      <c r="IIU241" s="813"/>
      <c r="IIV241" s="814"/>
      <c r="IIW241" s="813"/>
      <c r="IIX241" s="814"/>
      <c r="IIY241" s="813"/>
      <c r="IIZ241" s="814"/>
      <c r="IJA241" s="813"/>
      <c r="IJB241" s="814"/>
      <c r="IJC241" s="813"/>
      <c r="IJD241" s="814"/>
      <c r="IJE241" s="813"/>
      <c r="IJF241" s="814"/>
      <c r="IJG241" s="813"/>
      <c r="IJH241" s="814"/>
      <c r="IJI241" s="813"/>
      <c r="IJJ241" s="814"/>
      <c r="IJK241" s="813"/>
      <c r="IJL241" s="814"/>
      <c r="IJM241" s="813"/>
      <c r="IJN241" s="814"/>
      <c r="IJO241" s="813"/>
      <c r="IJP241" s="814"/>
      <c r="IJQ241" s="813"/>
      <c r="IJR241" s="814"/>
      <c r="IJS241" s="813"/>
      <c r="IJT241" s="814"/>
      <c r="IJU241" s="813"/>
      <c r="IJV241" s="814"/>
      <c r="IJW241" s="813"/>
      <c r="IJX241" s="814"/>
      <c r="IJY241" s="813"/>
      <c r="IJZ241" s="814"/>
      <c r="IKA241" s="813"/>
      <c r="IKB241" s="814"/>
      <c r="IKC241" s="813"/>
      <c r="IKD241" s="814"/>
      <c r="IKE241" s="813"/>
      <c r="IKF241" s="814"/>
      <c r="IKG241" s="813"/>
      <c r="IKH241" s="814"/>
      <c r="IKI241" s="813"/>
      <c r="IKJ241" s="814"/>
      <c r="IKK241" s="813"/>
      <c r="IKL241" s="814"/>
      <c r="IKM241" s="813"/>
      <c r="IKN241" s="814"/>
      <c r="IKO241" s="813"/>
      <c r="IKP241" s="814"/>
      <c r="IKQ241" s="813"/>
      <c r="IKR241" s="814"/>
      <c r="IKS241" s="813"/>
      <c r="IKT241" s="814"/>
      <c r="IKU241" s="813"/>
      <c r="IKV241" s="814"/>
      <c r="IKW241" s="813"/>
      <c r="IKX241" s="814"/>
      <c r="IKY241" s="813"/>
      <c r="IKZ241" s="814"/>
      <c r="ILA241" s="813"/>
      <c r="ILB241" s="814"/>
      <c r="ILC241" s="813"/>
      <c r="ILD241" s="814"/>
      <c r="ILE241" s="813"/>
      <c r="ILF241" s="814"/>
      <c r="ILG241" s="813"/>
      <c r="ILH241" s="814"/>
      <c r="ILI241" s="813"/>
      <c r="ILJ241" s="814"/>
      <c r="ILK241" s="813"/>
      <c r="ILL241" s="814"/>
      <c r="ILM241" s="813"/>
      <c r="ILN241" s="814"/>
      <c r="ILO241" s="813"/>
      <c r="ILP241" s="814"/>
      <c r="ILQ241" s="813"/>
      <c r="ILR241" s="814"/>
      <c r="ILS241" s="813"/>
      <c r="ILT241" s="814"/>
      <c r="ILU241" s="813"/>
      <c r="ILV241" s="814"/>
      <c r="ILW241" s="813"/>
      <c r="ILX241" s="814"/>
      <c r="ILY241" s="813"/>
      <c r="ILZ241" s="814"/>
      <c r="IMA241" s="813"/>
      <c r="IMB241" s="814"/>
      <c r="IMC241" s="813"/>
      <c r="IMD241" s="814"/>
      <c r="IME241" s="813"/>
      <c r="IMF241" s="814"/>
      <c r="IMG241" s="813"/>
      <c r="IMH241" s="814"/>
      <c r="IMI241" s="813"/>
      <c r="IMJ241" s="814"/>
      <c r="IMK241" s="813"/>
      <c r="IML241" s="814"/>
      <c r="IMM241" s="813"/>
      <c r="IMN241" s="814"/>
      <c r="IMO241" s="813"/>
      <c r="IMP241" s="814"/>
      <c r="IMQ241" s="813"/>
      <c r="IMR241" s="814"/>
      <c r="IMS241" s="813"/>
      <c r="IMT241" s="814"/>
      <c r="IMU241" s="813"/>
      <c r="IMV241" s="814"/>
      <c r="IMW241" s="813"/>
      <c r="IMX241" s="814"/>
      <c r="IMY241" s="813"/>
      <c r="IMZ241" s="814"/>
      <c r="INA241" s="813"/>
      <c r="INB241" s="814"/>
      <c r="INC241" s="813"/>
      <c r="IND241" s="814"/>
      <c r="INE241" s="813"/>
      <c r="INF241" s="814"/>
      <c r="ING241" s="813"/>
      <c r="INH241" s="814"/>
      <c r="INI241" s="813"/>
      <c r="INJ241" s="814"/>
      <c r="INK241" s="813"/>
      <c r="INL241" s="814"/>
      <c r="INM241" s="813"/>
      <c r="INN241" s="814"/>
      <c r="INO241" s="813"/>
      <c r="INP241" s="814"/>
      <c r="INQ241" s="813"/>
      <c r="INR241" s="814"/>
      <c r="INS241" s="813"/>
      <c r="INT241" s="814"/>
      <c r="INU241" s="813"/>
      <c r="INV241" s="814"/>
      <c r="INW241" s="813"/>
      <c r="INX241" s="814"/>
      <c r="INY241" s="813"/>
      <c r="INZ241" s="814"/>
      <c r="IOA241" s="813"/>
      <c r="IOB241" s="814"/>
      <c r="IOC241" s="813"/>
      <c r="IOD241" s="814"/>
      <c r="IOE241" s="813"/>
      <c r="IOF241" s="814"/>
      <c r="IOG241" s="813"/>
      <c r="IOH241" s="814"/>
      <c r="IOI241" s="813"/>
      <c r="IOJ241" s="814"/>
      <c r="IOK241" s="813"/>
      <c r="IOL241" s="814"/>
      <c r="IOM241" s="813"/>
      <c r="ION241" s="814"/>
      <c r="IOO241" s="813"/>
      <c r="IOP241" s="814"/>
      <c r="IOQ241" s="813"/>
      <c r="IOR241" s="814"/>
      <c r="IOS241" s="813"/>
      <c r="IOT241" s="814"/>
      <c r="IOU241" s="813"/>
      <c r="IOV241" s="814"/>
      <c r="IOW241" s="813"/>
      <c r="IOX241" s="814"/>
      <c r="IOY241" s="813"/>
      <c r="IOZ241" s="814"/>
      <c r="IPA241" s="813"/>
      <c r="IPB241" s="814"/>
      <c r="IPC241" s="813"/>
      <c r="IPD241" s="814"/>
      <c r="IPE241" s="813"/>
      <c r="IPF241" s="814"/>
      <c r="IPG241" s="813"/>
      <c r="IPH241" s="814"/>
      <c r="IPI241" s="813"/>
      <c r="IPJ241" s="814"/>
      <c r="IPK241" s="813"/>
      <c r="IPL241" s="814"/>
      <c r="IPM241" s="813"/>
      <c r="IPN241" s="814"/>
      <c r="IPO241" s="813"/>
      <c r="IPP241" s="814"/>
      <c r="IPQ241" s="813"/>
      <c r="IPR241" s="814"/>
      <c r="IPS241" s="813"/>
      <c r="IPT241" s="814"/>
      <c r="IPU241" s="813"/>
      <c r="IPV241" s="814"/>
      <c r="IPW241" s="813"/>
      <c r="IPX241" s="814"/>
      <c r="IPY241" s="813"/>
      <c r="IPZ241" s="814"/>
      <c r="IQA241" s="813"/>
      <c r="IQB241" s="814"/>
      <c r="IQC241" s="813"/>
      <c r="IQD241" s="814"/>
      <c r="IQE241" s="813"/>
      <c r="IQF241" s="814"/>
      <c r="IQG241" s="813"/>
      <c r="IQH241" s="814"/>
      <c r="IQI241" s="813"/>
      <c r="IQJ241" s="814"/>
      <c r="IQK241" s="813"/>
      <c r="IQL241" s="814"/>
      <c r="IQM241" s="813"/>
      <c r="IQN241" s="814"/>
      <c r="IQO241" s="813"/>
      <c r="IQP241" s="814"/>
      <c r="IQQ241" s="813"/>
      <c r="IQR241" s="814"/>
      <c r="IQS241" s="813"/>
      <c r="IQT241" s="814"/>
      <c r="IQU241" s="813"/>
      <c r="IQV241" s="814"/>
      <c r="IQW241" s="813"/>
      <c r="IQX241" s="814"/>
      <c r="IQY241" s="813"/>
      <c r="IQZ241" s="814"/>
      <c r="IRA241" s="813"/>
      <c r="IRB241" s="814"/>
      <c r="IRC241" s="813"/>
      <c r="IRD241" s="814"/>
      <c r="IRE241" s="813"/>
      <c r="IRF241" s="814"/>
      <c r="IRG241" s="813"/>
      <c r="IRH241" s="814"/>
      <c r="IRI241" s="813"/>
      <c r="IRJ241" s="814"/>
      <c r="IRK241" s="813"/>
      <c r="IRL241" s="814"/>
      <c r="IRM241" s="813"/>
      <c r="IRN241" s="814"/>
      <c r="IRO241" s="813"/>
      <c r="IRP241" s="814"/>
      <c r="IRQ241" s="813"/>
      <c r="IRR241" s="814"/>
      <c r="IRS241" s="813"/>
      <c r="IRT241" s="814"/>
      <c r="IRU241" s="813"/>
      <c r="IRV241" s="814"/>
      <c r="IRW241" s="813"/>
      <c r="IRX241" s="814"/>
      <c r="IRY241" s="813"/>
      <c r="IRZ241" s="814"/>
      <c r="ISA241" s="813"/>
      <c r="ISB241" s="814"/>
      <c r="ISC241" s="813"/>
      <c r="ISD241" s="814"/>
      <c r="ISE241" s="813"/>
      <c r="ISF241" s="814"/>
      <c r="ISG241" s="813"/>
      <c r="ISH241" s="814"/>
      <c r="ISI241" s="813"/>
      <c r="ISJ241" s="814"/>
      <c r="ISK241" s="813"/>
      <c r="ISL241" s="814"/>
      <c r="ISM241" s="813"/>
      <c r="ISN241" s="814"/>
      <c r="ISO241" s="813"/>
      <c r="ISP241" s="814"/>
      <c r="ISQ241" s="813"/>
      <c r="ISR241" s="814"/>
      <c r="ISS241" s="813"/>
      <c r="IST241" s="814"/>
      <c r="ISU241" s="813"/>
      <c r="ISV241" s="814"/>
      <c r="ISW241" s="813"/>
      <c r="ISX241" s="814"/>
      <c r="ISY241" s="813"/>
      <c r="ISZ241" s="814"/>
      <c r="ITA241" s="813"/>
      <c r="ITB241" s="814"/>
      <c r="ITC241" s="813"/>
      <c r="ITD241" s="814"/>
      <c r="ITE241" s="813"/>
      <c r="ITF241" s="814"/>
      <c r="ITG241" s="813"/>
      <c r="ITH241" s="814"/>
      <c r="ITI241" s="813"/>
      <c r="ITJ241" s="814"/>
      <c r="ITK241" s="813"/>
      <c r="ITL241" s="814"/>
      <c r="ITM241" s="813"/>
      <c r="ITN241" s="814"/>
      <c r="ITO241" s="813"/>
      <c r="ITP241" s="814"/>
      <c r="ITQ241" s="813"/>
      <c r="ITR241" s="814"/>
      <c r="ITS241" s="813"/>
      <c r="ITT241" s="814"/>
      <c r="ITU241" s="813"/>
      <c r="ITV241" s="814"/>
      <c r="ITW241" s="813"/>
      <c r="ITX241" s="814"/>
      <c r="ITY241" s="813"/>
      <c r="ITZ241" s="814"/>
      <c r="IUA241" s="813"/>
      <c r="IUB241" s="814"/>
      <c r="IUC241" s="813"/>
      <c r="IUD241" s="814"/>
      <c r="IUE241" s="813"/>
      <c r="IUF241" s="814"/>
      <c r="IUG241" s="813"/>
      <c r="IUH241" s="814"/>
      <c r="IUI241" s="813"/>
      <c r="IUJ241" s="814"/>
      <c r="IUK241" s="813"/>
      <c r="IUL241" s="814"/>
      <c r="IUM241" s="813"/>
      <c r="IUN241" s="814"/>
      <c r="IUO241" s="813"/>
      <c r="IUP241" s="814"/>
      <c r="IUQ241" s="813"/>
      <c r="IUR241" s="814"/>
      <c r="IUS241" s="813"/>
      <c r="IUT241" s="814"/>
      <c r="IUU241" s="813"/>
      <c r="IUV241" s="814"/>
      <c r="IUW241" s="813"/>
      <c r="IUX241" s="814"/>
      <c r="IUY241" s="813"/>
      <c r="IUZ241" s="814"/>
      <c r="IVA241" s="813"/>
      <c r="IVB241" s="814"/>
      <c r="IVC241" s="813"/>
      <c r="IVD241" s="814"/>
      <c r="IVE241" s="813"/>
      <c r="IVF241" s="814"/>
      <c r="IVG241" s="813"/>
      <c r="IVH241" s="814"/>
      <c r="IVI241" s="813"/>
      <c r="IVJ241" s="814"/>
      <c r="IVK241" s="813"/>
      <c r="IVL241" s="814"/>
      <c r="IVM241" s="813"/>
      <c r="IVN241" s="814"/>
      <c r="IVO241" s="813"/>
      <c r="IVP241" s="814"/>
      <c r="IVQ241" s="813"/>
      <c r="IVR241" s="814"/>
      <c r="IVS241" s="813"/>
      <c r="IVT241" s="814"/>
      <c r="IVU241" s="813"/>
      <c r="IVV241" s="814"/>
      <c r="IVW241" s="813"/>
      <c r="IVX241" s="814"/>
      <c r="IVY241" s="813"/>
      <c r="IVZ241" s="814"/>
      <c r="IWA241" s="813"/>
      <c r="IWB241" s="814"/>
      <c r="IWC241" s="813"/>
      <c r="IWD241" s="814"/>
      <c r="IWE241" s="813"/>
      <c r="IWF241" s="814"/>
      <c r="IWG241" s="813"/>
      <c r="IWH241" s="814"/>
      <c r="IWI241" s="813"/>
      <c r="IWJ241" s="814"/>
      <c r="IWK241" s="813"/>
      <c r="IWL241" s="814"/>
      <c r="IWM241" s="813"/>
      <c r="IWN241" s="814"/>
      <c r="IWO241" s="813"/>
      <c r="IWP241" s="814"/>
      <c r="IWQ241" s="813"/>
      <c r="IWR241" s="814"/>
      <c r="IWS241" s="813"/>
      <c r="IWT241" s="814"/>
      <c r="IWU241" s="813"/>
      <c r="IWV241" s="814"/>
      <c r="IWW241" s="813"/>
      <c r="IWX241" s="814"/>
      <c r="IWY241" s="813"/>
      <c r="IWZ241" s="814"/>
      <c r="IXA241" s="813"/>
      <c r="IXB241" s="814"/>
      <c r="IXC241" s="813"/>
      <c r="IXD241" s="814"/>
      <c r="IXE241" s="813"/>
      <c r="IXF241" s="814"/>
      <c r="IXG241" s="813"/>
      <c r="IXH241" s="814"/>
      <c r="IXI241" s="813"/>
      <c r="IXJ241" s="814"/>
      <c r="IXK241" s="813"/>
      <c r="IXL241" s="814"/>
      <c r="IXM241" s="813"/>
      <c r="IXN241" s="814"/>
      <c r="IXO241" s="813"/>
      <c r="IXP241" s="814"/>
      <c r="IXQ241" s="813"/>
      <c r="IXR241" s="814"/>
      <c r="IXS241" s="813"/>
      <c r="IXT241" s="814"/>
      <c r="IXU241" s="813"/>
      <c r="IXV241" s="814"/>
      <c r="IXW241" s="813"/>
      <c r="IXX241" s="814"/>
      <c r="IXY241" s="813"/>
      <c r="IXZ241" s="814"/>
      <c r="IYA241" s="813"/>
      <c r="IYB241" s="814"/>
      <c r="IYC241" s="813"/>
      <c r="IYD241" s="814"/>
      <c r="IYE241" s="813"/>
      <c r="IYF241" s="814"/>
      <c r="IYG241" s="813"/>
      <c r="IYH241" s="814"/>
      <c r="IYI241" s="813"/>
      <c r="IYJ241" s="814"/>
      <c r="IYK241" s="813"/>
      <c r="IYL241" s="814"/>
      <c r="IYM241" s="813"/>
      <c r="IYN241" s="814"/>
      <c r="IYO241" s="813"/>
      <c r="IYP241" s="814"/>
      <c r="IYQ241" s="813"/>
      <c r="IYR241" s="814"/>
      <c r="IYS241" s="813"/>
      <c r="IYT241" s="814"/>
      <c r="IYU241" s="813"/>
      <c r="IYV241" s="814"/>
      <c r="IYW241" s="813"/>
      <c r="IYX241" s="814"/>
      <c r="IYY241" s="813"/>
      <c r="IYZ241" s="814"/>
      <c r="IZA241" s="813"/>
      <c r="IZB241" s="814"/>
      <c r="IZC241" s="813"/>
      <c r="IZD241" s="814"/>
      <c r="IZE241" s="813"/>
      <c r="IZF241" s="814"/>
      <c r="IZG241" s="813"/>
      <c r="IZH241" s="814"/>
      <c r="IZI241" s="813"/>
      <c r="IZJ241" s="814"/>
      <c r="IZK241" s="813"/>
      <c r="IZL241" s="814"/>
      <c r="IZM241" s="813"/>
      <c r="IZN241" s="814"/>
      <c r="IZO241" s="813"/>
      <c r="IZP241" s="814"/>
      <c r="IZQ241" s="813"/>
      <c r="IZR241" s="814"/>
      <c r="IZS241" s="813"/>
      <c r="IZT241" s="814"/>
      <c r="IZU241" s="813"/>
      <c r="IZV241" s="814"/>
      <c r="IZW241" s="813"/>
      <c r="IZX241" s="814"/>
      <c r="IZY241" s="813"/>
      <c r="IZZ241" s="814"/>
      <c r="JAA241" s="813"/>
      <c r="JAB241" s="814"/>
      <c r="JAC241" s="813"/>
      <c r="JAD241" s="814"/>
      <c r="JAE241" s="813"/>
      <c r="JAF241" s="814"/>
      <c r="JAG241" s="813"/>
      <c r="JAH241" s="814"/>
      <c r="JAI241" s="813"/>
      <c r="JAJ241" s="814"/>
      <c r="JAK241" s="813"/>
      <c r="JAL241" s="814"/>
      <c r="JAM241" s="813"/>
      <c r="JAN241" s="814"/>
      <c r="JAO241" s="813"/>
      <c r="JAP241" s="814"/>
      <c r="JAQ241" s="813"/>
      <c r="JAR241" s="814"/>
      <c r="JAS241" s="813"/>
      <c r="JAT241" s="814"/>
      <c r="JAU241" s="813"/>
      <c r="JAV241" s="814"/>
      <c r="JAW241" s="813"/>
      <c r="JAX241" s="814"/>
      <c r="JAY241" s="813"/>
      <c r="JAZ241" s="814"/>
      <c r="JBA241" s="813"/>
      <c r="JBB241" s="814"/>
      <c r="JBC241" s="813"/>
      <c r="JBD241" s="814"/>
      <c r="JBE241" s="813"/>
      <c r="JBF241" s="814"/>
      <c r="JBG241" s="813"/>
      <c r="JBH241" s="814"/>
      <c r="JBI241" s="813"/>
      <c r="JBJ241" s="814"/>
      <c r="JBK241" s="813"/>
      <c r="JBL241" s="814"/>
      <c r="JBM241" s="813"/>
      <c r="JBN241" s="814"/>
      <c r="JBO241" s="813"/>
      <c r="JBP241" s="814"/>
      <c r="JBQ241" s="813"/>
      <c r="JBR241" s="814"/>
      <c r="JBS241" s="813"/>
      <c r="JBT241" s="814"/>
      <c r="JBU241" s="813"/>
      <c r="JBV241" s="814"/>
      <c r="JBW241" s="813"/>
      <c r="JBX241" s="814"/>
      <c r="JBY241" s="813"/>
      <c r="JBZ241" s="814"/>
      <c r="JCA241" s="813"/>
      <c r="JCB241" s="814"/>
      <c r="JCC241" s="813"/>
      <c r="JCD241" s="814"/>
      <c r="JCE241" s="813"/>
      <c r="JCF241" s="814"/>
      <c r="JCG241" s="813"/>
      <c r="JCH241" s="814"/>
      <c r="JCI241" s="813"/>
      <c r="JCJ241" s="814"/>
      <c r="JCK241" s="813"/>
      <c r="JCL241" s="814"/>
      <c r="JCM241" s="813"/>
      <c r="JCN241" s="814"/>
      <c r="JCO241" s="813"/>
      <c r="JCP241" s="814"/>
      <c r="JCQ241" s="813"/>
      <c r="JCR241" s="814"/>
      <c r="JCS241" s="813"/>
      <c r="JCT241" s="814"/>
      <c r="JCU241" s="813"/>
      <c r="JCV241" s="814"/>
      <c r="JCW241" s="813"/>
      <c r="JCX241" s="814"/>
      <c r="JCY241" s="813"/>
      <c r="JCZ241" s="814"/>
      <c r="JDA241" s="813"/>
      <c r="JDB241" s="814"/>
      <c r="JDC241" s="813"/>
      <c r="JDD241" s="814"/>
      <c r="JDE241" s="813"/>
      <c r="JDF241" s="814"/>
      <c r="JDG241" s="813"/>
      <c r="JDH241" s="814"/>
      <c r="JDI241" s="813"/>
      <c r="JDJ241" s="814"/>
      <c r="JDK241" s="813"/>
      <c r="JDL241" s="814"/>
      <c r="JDM241" s="813"/>
      <c r="JDN241" s="814"/>
      <c r="JDO241" s="813"/>
      <c r="JDP241" s="814"/>
      <c r="JDQ241" s="813"/>
      <c r="JDR241" s="814"/>
      <c r="JDS241" s="813"/>
      <c r="JDT241" s="814"/>
      <c r="JDU241" s="813"/>
      <c r="JDV241" s="814"/>
      <c r="JDW241" s="813"/>
      <c r="JDX241" s="814"/>
      <c r="JDY241" s="813"/>
      <c r="JDZ241" s="814"/>
      <c r="JEA241" s="813"/>
      <c r="JEB241" s="814"/>
      <c r="JEC241" s="813"/>
      <c r="JED241" s="814"/>
      <c r="JEE241" s="813"/>
      <c r="JEF241" s="814"/>
      <c r="JEG241" s="813"/>
      <c r="JEH241" s="814"/>
      <c r="JEI241" s="813"/>
      <c r="JEJ241" s="814"/>
      <c r="JEK241" s="813"/>
      <c r="JEL241" s="814"/>
      <c r="JEM241" s="813"/>
      <c r="JEN241" s="814"/>
      <c r="JEO241" s="813"/>
      <c r="JEP241" s="814"/>
      <c r="JEQ241" s="813"/>
      <c r="JER241" s="814"/>
      <c r="JES241" s="813"/>
      <c r="JET241" s="814"/>
      <c r="JEU241" s="813"/>
      <c r="JEV241" s="814"/>
      <c r="JEW241" s="813"/>
      <c r="JEX241" s="814"/>
      <c r="JEY241" s="813"/>
      <c r="JEZ241" s="814"/>
      <c r="JFA241" s="813"/>
      <c r="JFB241" s="814"/>
      <c r="JFC241" s="813"/>
      <c r="JFD241" s="814"/>
      <c r="JFE241" s="813"/>
      <c r="JFF241" s="814"/>
      <c r="JFG241" s="813"/>
      <c r="JFH241" s="814"/>
      <c r="JFI241" s="813"/>
      <c r="JFJ241" s="814"/>
      <c r="JFK241" s="813"/>
      <c r="JFL241" s="814"/>
      <c r="JFM241" s="813"/>
      <c r="JFN241" s="814"/>
      <c r="JFO241" s="813"/>
      <c r="JFP241" s="814"/>
      <c r="JFQ241" s="813"/>
      <c r="JFR241" s="814"/>
      <c r="JFS241" s="813"/>
      <c r="JFT241" s="814"/>
      <c r="JFU241" s="813"/>
      <c r="JFV241" s="814"/>
      <c r="JFW241" s="813"/>
      <c r="JFX241" s="814"/>
      <c r="JFY241" s="813"/>
      <c r="JFZ241" s="814"/>
      <c r="JGA241" s="813"/>
      <c r="JGB241" s="814"/>
      <c r="JGC241" s="813"/>
      <c r="JGD241" s="814"/>
      <c r="JGE241" s="813"/>
      <c r="JGF241" s="814"/>
      <c r="JGG241" s="813"/>
      <c r="JGH241" s="814"/>
      <c r="JGI241" s="813"/>
      <c r="JGJ241" s="814"/>
      <c r="JGK241" s="813"/>
      <c r="JGL241" s="814"/>
      <c r="JGM241" s="813"/>
      <c r="JGN241" s="814"/>
      <c r="JGO241" s="813"/>
      <c r="JGP241" s="814"/>
      <c r="JGQ241" s="813"/>
      <c r="JGR241" s="814"/>
      <c r="JGS241" s="813"/>
      <c r="JGT241" s="814"/>
      <c r="JGU241" s="813"/>
      <c r="JGV241" s="814"/>
      <c r="JGW241" s="813"/>
      <c r="JGX241" s="814"/>
      <c r="JGY241" s="813"/>
      <c r="JGZ241" s="814"/>
      <c r="JHA241" s="813"/>
      <c r="JHB241" s="814"/>
      <c r="JHC241" s="813"/>
      <c r="JHD241" s="814"/>
      <c r="JHE241" s="813"/>
      <c r="JHF241" s="814"/>
      <c r="JHG241" s="813"/>
      <c r="JHH241" s="814"/>
      <c r="JHI241" s="813"/>
      <c r="JHJ241" s="814"/>
      <c r="JHK241" s="813"/>
      <c r="JHL241" s="814"/>
      <c r="JHM241" s="813"/>
      <c r="JHN241" s="814"/>
      <c r="JHO241" s="813"/>
      <c r="JHP241" s="814"/>
      <c r="JHQ241" s="813"/>
      <c r="JHR241" s="814"/>
      <c r="JHS241" s="813"/>
      <c r="JHT241" s="814"/>
      <c r="JHU241" s="813"/>
      <c r="JHV241" s="814"/>
      <c r="JHW241" s="813"/>
      <c r="JHX241" s="814"/>
      <c r="JHY241" s="813"/>
      <c r="JHZ241" s="814"/>
      <c r="JIA241" s="813"/>
      <c r="JIB241" s="814"/>
      <c r="JIC241" s="813"/>
      <c r="JID241" s="814"/>
      <c r="JIE241" s="813"/>
      <c r="JIF241" s="814"/>
      <c r="JIG241" s="813"/>
      <c r="JIH241" s="814"/>
      <c r="JII241" s="813"/>
      <c r="JIJ241" s="814"/>
      <c r="JIK241" s="813"/>
      <c r="JIL241" s="814"/>
      <c r="JIM241" s="813"/>
      <c r="JIN241" s="814"/>
      <c r="JIO241" s="813"/>
      <c r="JIP241" s="814"/>
      <c r="JIQ241" s="813"/>
      <c r="JIR241" s="814"/>
      <c r="JIS241" s="813"/>
      <c r="JIT241" s="814"/>
      <c r="JIU241" s="813"/>
      <c r="JIV241" s="814"/>
      <c r="JIW241" s="813"/>
      <c r="JIX241" s="814"/>
      <c r="JIY241" s="813"/>
      <c r="JIZ241" s="814"/>
      <c r="JJA241" s="813"/>
      <c r="JJB241" s="814"/>
      <c r="JJC241" s="813"/>
      <c r="JJD241" s="814"/>
      <c r="JJE241" s="813"/>
      <c r="JJF241" s="814"/>
      <c r="JJG241" s="813"/>
      <c r="JJH241" s="814"/>
      <c r="JJI241" s="813"/>
      <c r="JJJ241" s="814"/>
      <c r="JJK241" s="813"/>
      <c r="JJL241" s="814"/>
      <c r="JJM241" s="813"/>
      <c r="JJN241" s="814"/>
      <c r="JJO241" s="813"/>
      <c r="JJP241" s="814"/>
      <c r="JJQ241" s="813"/>
      <c r="JJR241" s="814"/>
      <c r="JJS241" s="813"/>
      <c r="JJT241" s="814"/>
      <c r="JJU241" s="813"/>
      <c r="JJV241" s="814"/>
      <c r="JJW241" s="813"/>
      <c r="JJX241" s="814"/>
      <c r="JJY241" s="813"/>
      <c r="JJZ241" s="814"/>
      <c r="JKA241" s="813"/>
      <c r="JKB241" s="814"/>
      <c r="JKC241" s="813"/>
      <c r="JKD241" s="814"/>
      <c r="JKE241" s="813"/>
      <c r="JKF241" s="814"/>
      <c r="JKG241" s="813"/>
      <c r="JKH241" s="814"/>
      <c r="JKI241" s="813"/>
      <c r="JKJ241" s="814"/>
      <c r="JKK241" s="813"/>
      <c r="JKL241" s="814"/>
      <c r="JKM241" s="813"/>
      <c r="JKN241" s="814"/>
      <c r="JKO241" s="813"/>
      <c r="JKP241" s="814"/>
      <c r="JKQ241" s="813"/>
      <c r="JKR241" s="814"/>
      <c r="JKS241" s="813"/>
      <c r="JKT241" s="814"/>
      <c r="JKU241" s="813"/>
      <c r="JKV241" s="814"/>
      <c r="JKW241" s="813"/>
      <c r="JKX241" s="814"/>
      <c r="JKY241" s="813"/>
      <c r="JKZ241" s="814"/>
      <c r="JLA241" s="813"/>
      <c r="JLB241" s="814"/>
      <c r="JLC241" s="813"/>
      <c r="JLD241" s="814"/>
      <c r="JLE241" s="813"/>
      <c r="JLF241" s="814"/>
      <c r="JLG241" s="813"/>
      <c r="JLH241" s="814"/>
      <c r="JLI241" s="813"/>
      <c r="JLJ241" s="814"/>
      <c r="JLK241" s="813"/>
      <c r="JLL241" s="814"/>
      <c r="JLM241" s="813"/>
      <c r="JLN241" s="814"/>
      <c r="JLO241" s="813"/>
      <c r="JLP241" s="814"/>
      <c r="JLQ241" s="813"/>
      <c r="JLR241" s="814"/>
      <c r="JLS241" s="813"/>
      <c r="JLT241" s="814"/>
      <c r="JLU241" s="813"/>
      <c r="JLV241" s="814"/>
      <c r="JLW241" s="813"/>
      <c r="JLX241" s="814"/>
      <c r="JLY241" s="813"/>
      <c r="JLZ241" s="814"/>
      <c r="JMA241" s="813"/>
      <c r="JMB241" s="814"/>
      <c r="JMC241" s="813"/>
      <c r="JMD241" s="814"/>
      <c r="JME241" s="813"/>
      <c r="JMF241" s="814"/>
      <c r="JMG241" s="813"/>
      <c r="JMH241" s="814"/>
      <c r="JMI241" s="813"/>
      <c r="JMJ241" s="814"/>
      <c r="JMK241" s="813"/>
      <c r="JML241" s="814"/>
      <c r="JMM241" s="813"/>
      <c r="JMN241" s="814"/>
      <c r="JMO241" s="813"/>
      <c r="JMP241" s="814"/>
      <c r="JMQ241" s="813"/>
      <c r="JMR241" s="814"/>
      <c r="JMS241" s="813"/>
      <c r="JMT241" s="814"/>
      <c r="JMU241" s="813"/>
      <c r="JMV241" s="814"/>
      <c r="JMW241" s="813"/>
      <c r="JMX241" s="814"/>
      <c r="JMY241" s="813"/>
      <c r="JMZ241" s="814"/>
      <c r="JNA241" s="813"/>
      <c r="JNB241" s="814"/>
      <c r="JNC241" s="813"/>
      <c r="JND241" s="814"/>
      <c r="JNE241" s="813"/>
      <c r="JNF241" s="814"/>
      <c r="JNG241" s="813"/>
      <c r="JNH241" s="814"/>
      <c r="JNI241" s="813"/>
      <c r="JNJ241" s="814"/>
      <c r="JNK241" s="813"/>
      <c r="JNL241" s="814"/>
      <c r="JNM241" s="813"/>
      <c r="JNN241" s="814"/>
      <c r="JNO241" s="813"/>
      <c r="JNP241" s="814"/>
      <c r="JNQ241" s="813"/>
      <c r="JNR241" s="814"/>
      <c r="JNS241" s="813"/>
      <c r="JNT241" s="814"/>
      <c r="JNU241" s="813"/>
      <c r="JNV241" s="814"/>
      <c r="JNW241" s="813"/>
      <c r="JNX241" s="814"/>
      <c r="JNY241" s="813"/>
      <c r="JNZ241" s="814"/>
      <c r="JOA241" s="813"/>
      <c r="JOB241" s="814"/>
      <c r="JOC241" s="813"/>
      <c r="JOD241" s="814"/>
      <c r="JOE241" s="813"/>
      <c r="JOF241" s="814"/>
      <c r="JOG241" s="813"/>
      <c r="JOH241" s="814"/>
      <c r="JOI241" s="813"/>
      <c r="JOJ241" s="814"/>
      <c r="JOK241" s="813"/>
      <c r="JOL241" s="814"/>
      <c r="JOM241" s="813"/>
      <c r="JON241" s="814"/>
      <c r="JOO241" s="813"/>
      <c r="JOP241" s="814"/>
      <c r="JOQ241" s="813"/>
      <c r="JOR241" s="814"/>
      <c r="JOS241" s="813"/>
      <c r="JOT241" s="814"/>
      <c r="JOU241" s="813"/>
      <c r="JOV241" s="814"/>
      <c r="JOW241" s="813"/>
      <c r="JOX241" s="814"/>
      <c r="JOY241" s="813"/>
      <c r="JOZ241" s="814"/>
      <c r="JPA241" s="813"/>
      <c r="JPB241" s="814"/>
      <c r="JPC241" s="813"/>
      <c r="JPD241" s="814"/>
      <c r="JPE241" s="813"/>
      <c r="JPF241" s="814"/>
      <c r="JPG241" s="813"/>
      <c r="JPH241" s="814"/>
      <c r="JPI241" s="813"/>
      <c r="JPJ241" s="814"/>
      <c r="JPK241" s="813"/>
      <c r="JPL241" s="814"/>
      <c r="JPM241" s="813"/>
      <c r="JPN241" s="814"/>
      <c r="JPO241" s="813"/>
      <c r="JPP241" s="814"/>
      <c r="JPQ241" s="813"/>
      <c r="JPR241" s="814"/>
      <c r="JPS241" s="813"/>
      <c r="JPT241" s="814"/>
      <c r="JPU241" s="813"/>
      <c r="JPV241" s="814"/>
      <c r="JPW241" s="813"/>
      <c r="JPX241" s="814"/>
      <c r="JPY241" s="813"/>
      <c r="JPZ241" s="814"/>
      <c r="JQA241" s="813"/>
      <c r="JQB241" s="814"/>
      <c r="JQC241" s="813"/>
      <c r="JQD241" s="814"/>
      <c r="JQE241" s="813"/>
      <c r="JQF241" s="814"/>
      <c r="JQG241" s="813"/>
      <c r="JQH241" s="814"/>
      <c r="JQI241" s="813"/>
      <c r="JQJ241" s="814"/>
      <c r="JQK241" s="813"/>
      <c r="JQL241" s="814"/>
      <c r="JQM241" s="813"/>
      <c r="JQN241" s="814"/>
      <c r="JQO241" s="813"/>
      <c r="JQP241" s="814"/>
      <c r="JQQ241" s="813"/>
      <c r="JQR241" s="814"/>
      <c r="JQS241" s="813"/>
      <c r="JQT241" s="814"/>
      <c r="JQU241" s="813"/>
      <c r="JQV241" s="814"/>
      <c r="JQW241" s="813"/>
      <c r="JQX241" s="814"/>
      <c r="JQY241" s="813"/>
      <c r="JQZ241" s="814"/>
      <c r="JRA241" s="813"/>
      <c r="JRB241" s="814"/>
      <c r="JRC241" s="813"/>
      <c r="JRD241" s="814"/>
      <c r="JRE241" s="813"/>
      <c r="JRF241" s="814"/>
      <c r="JRG241" s="813"/>
      <c r="JRH241" s="814"/>
      <c r="JRI241" s="813"/>
      <c r="JRJ241" s="814"/>
      <c r="JRK241" s="813"/>
      <c r="JRL241" s="814"/>
      <c r="JRM241" s="813"/>
      <c r="JRN241" s="814"/>
      <c r="JRO241" s="813"/>
      <c r="JRP241" s="814"/>
      <c r="JRQ241" s="813"/>
      <c r="JRR241" s="814"/>
      <c r="JRS241" s="813"/>
      <c r="JRT241" s="814"/>
      <c r="JRU241" s="813"/>
      <c r="JRV241" s="814"/>
      <c r="JRW241" s="813"/>
      <c r="JRX241" s="814"/>
      <c r="JRY241" s="813"/>
      <c r="JRZ241" s="814"/>
      <c r="JSA241" s="813"/>
      <c r="JSB241" s="814"/>
      <c r="JSC241" s="813"/>
      <c r="JSD241" s="814"/>
      <c r="JSE241" s="813"/>
      <c r="JSF241" s="814"/>
      <c r="JSG241" s="813"/>
      <c r="JSH241" s="814"/>
      <c r="JSI241" s="813"/>
      <c r="JSJ241" s="814"/>
      <c r="JSK241" s="813"/>
      <c r="JSL241" s="814"/>
      <c r="JSM241" s="813"/>
      <c r="JSN241" s="814"/>
      <c r="JSO241" s="813"/>
      <c r="JSP241" s="814"/>
      <c r="JSQ241" s="813"/>
      <c r="JSR241" s="814"/>
      <c r="JSS241" s="813"/>
      <c r="JST241" s="814"/>
      <c r="JSU241" s="813"/>
      <c r="JSV241" s="814"/>
      <c r="JSW241" s="813"/>
      <c r="JSX241" s="814"/>
      <c r="JSY241" s="813"/>
      <c r="JSZ241" s="814"/>
      <c r="JTA241" s="813"/>
      <c r="JTB241" s="814"/>
      <c r="JTC241" s="813"/>
      <c r="JTD241" s="814"/>
      <c r="JTE241" s="813"/>
      <c r="JTF241" s="814"/>
      <c r="JTG241" s="813"/>
      <c r="JTH241" s="814"/>
      <c r="JTI241" s="813"/>
      <c r="JTJ241" s="814"/>
      <c r="JTK241" s="813"/>
      <c r="JTL241" s="814"/>
      <c r="JTM241" s="813"/>
      <c r="JTN241" s="814"/>
      <c r="JTO241" s="813"/>
      <c r="JTP241" s="814"/>
      <c r="JTQ241" s="813"/>
      <c r="JTR241" s="814"/>
      <c r="JTS241" s="813"/>
      <c r="JTT241" s="814"/>
      <c r="JTU241" s="813"/>
      <c r="JTV241" s="814"/>
      <c r="JTW241" s="813"/>
      <c r="JTX241" s="814"/>
      <c r="JTY241" s="813"/>
      <c r="JTZ241" s="814"/>
      <c r="JUA241" s="813"/>
      <c r="JUB241" s="814"/>
      <c r="JUC241" s="813"/>
      <c r="JUD241" s="814"/>
      <c r="JUE241" s="813"/>
      <c r="JUF241" s="814"/>
      <c r="JUG241" s="813"/>
      <c r="JUH241" s="814"/>
      <c r="JUI241" s="813"/>
      <c r="JUJ241" s="814"/>
      <c r="JUK241" s="813"/>
      <c r="JUL241" s="814"/>
      <c r="JUM241" s="813"/>
      <c r="JUN241" s="814"/>
      <c r="JUO241" s="813"/>
      <c r="JUP241" s="814"/>
      <c r="JUQ241" s="813"/>
      <c r="JUR241" s="814"/>
      <c r="JUS241" s="813"/>
      <c r="JUT241" s="814"/>
      <c r="JUU241" s="813"/>
      <c r="JUV241" s="814"/>
      <c r="JUW241" s="813"/>
      <c r="JUX241" s="814"/>
      <c r="JUY241" s="813"/>
      <c r="JUZ241" s="814"/>
      <c r="JVA241" s="813"/>
      <c r="JVB241" s="814"/>
      <c r="JVC241" s="813"/>
      <c r="JVD241" s="814"/>
      <c r="JVE241" s="813"/>
      <c r="JVF241" s="814"/>
      <c r="JVG241" s="813"/>
      <c r="JVH241" s="814"/>
      <c r="JVI241" s="813"/>
      <c r="JVJ241" s="814"/>
      <c r="JVK241" s="813"/>
      <c r="JVL241" s="814"/>
      <c r="JVM241" s="813"/>
      <c r="JVN241" s="814"/>
      <c r="JVO241" s="813"/>
      <c r="JVP241" s="814"/>
      <c r="JVQ241" s="813"/>
      <c r="JVR241" s="814"/>
      <c r="JVS241" s="813"/>
      <c r="JVT241" s="814"/>
      <c r="JVU241" s="813"/>
      <c r="JVV241" s="814"/>
      <c r="JVW241" s="813"/>
      <c r="JVX241" s="814"/>
      <c r="JVY241" s="813"/>
      <c r="JVZ241" s="814"/>
      <c r="JWA241" s="813"/>
      <c r="JWB241" s="814"/>
      <c r="JWC241" s="813"/>
      <c r="JWD241" s="814"/>
      <c r="JWE241" s="813"/>
      <c r="JWF241" s="814"/>
      <c r="JWG241" s="813"/>
      <c r="JWH241" s="814"/>
      <c r="JWI241" s="813"/>
      <c r="JWJ241" s="814"/>
      <c r="JWK241" s="813"/>
      <c r="JWL241" s="814"/>
      <c r="JWM241" s="813"/>
      <c r="JWN241" s="814"/>
      <c r="JWO241" s="813"/>
      <c r="JWP241" s="814"/>
      <c r="JWQ241" s="813"/>
      <c r="JWR241" s="814"/>
      <c r="JWS241" s="813"/>
      <c r="JWT241" s="814"/>
      <c r="JWU241" s="813"/>
      <c r="JWV241" s="814"/>
      <c r="JWW241" s="813"/>
      <c r="JWX241" s="814"/>
      <c r="JWY241" s="813"/>
      <c r="JWZ241" s="814"/>
      <c r="JXA241" s="813"/>
      <c r="JXB241" s="814"/>
      <c r="JXC241" s="813"/>
      <c r="JXD241" s="814"/>
      <c r="JXE241" s="813"/>
      <c r="JXF241" s="814"/>
      <c r="JXG241" s="813"/>
      <c r="JXH241" s="814"/>
      <c r="JXI241" s="813"/>
      <c r="JXJ241" s="814"/>
      <c r="JXK241" s="813"/>
      <c r="JXL241" s="814"/>
      <c r="JXM241" s="813"/>
      <c r="JXN241" s="814"/>
      <c r="JXO241" s="813"/>
      <c r="JXP241" s="814"/>
      <c r="JXQ241" s="813"/>
      <c r="JXR241" s="814"/>
      <c r="JXS241" s="813"/>
      <c r="JXT241" s="814"/>
      <c r="JXU241" s="813"/>
      <c r="JXV241" s="814"/>
      <c r="JXW241" s="813"/>
      <c r="JXX241" s="814"/>
      <c r="JXY241" s="813"/>
      <c r="JXZ241" s="814"/>
      <c r="JYA241" s="813"/>
      <c r="JYB241" s="814"/>
      <c r="JYC241" s="813"/>
      <c r="JYD241" s="814"/>
      <c r="JYE241" s="813"/>
      <c r="JYF241" s="814"/>
      <c r="JYG241" s="813"/>
      <c r="JYH241" s="814"/>
      <c r="JYI241" s="813"/>
      <c r="JYJ241" s="814"/>
      <c r="JYK241" s="813"/>
      <c r="JYL241" s="814"/>
      <c r="JYM241" s="813"/>
      <c r="JYN241" s="814"/>
      <c r="JYO241" s="813"/>
      <c r="JYP241" s="814"/>
      <c r="JYQ241" s="813"/>
      <c r="JYR241" s="814"/>
      <c r="JYS241" s="813"/>
      <c r="JYT241" s="814"/>
      <c r="JYU241" s="813"/>
      <c r="JYV241" s="814"/>
      <c r="JYW241" s="813"/>
      <c r="JYX241" s="814"/>
      <c r="JYY241" s="813"/>
      <c r="JYZ241" s="814"/>
      <c r="JZA241" s="813"/>
      <c r="JZB241" s="814"/>
      <c r="JZC241" s="813"/>
      <c r="JZD241" s="814"/>
      <c r="JZE241" s="813"/>
      <c r="JZF241" s="814"/>
      <c r="JZG241" s="813"/>
      <c r="JZH241" s="814"/>
      <c r="JZI241" s="813"/>
      <c r="JZJ241" s="814"/>
      <c r="JZK241" s="813"/>
      <c r="JZL241" s="814"/>
      <c r="JZM241" s="813"/>
      <c r="JZN241" s="814"/>
      <c r="JZO241" s="813"/>
      <c r="JZP241" s="814"/>
      <c r="JZQ241" s="813"/>
      <c r="JZR241" s="814"/>
      <c r="JZS241" s="813"/>
      <c r="JZT241" s="814"/>
      <c r="JZU241" s="813"/>
      <c r="JZV241" s="814"/>
      <c r="JZW241" s="813"/>
      <c r="JZX241" s="814"/>
      <c r="JZY241" s="813"/>
      <c r="JZZ241" s="814"/>
      <c r="KAA241" s="813"/>
      <c r="KAB241" s="814"/>
      <c r="KAC241" s="813"/>
      <c r="KAD241" s="814"/>
      <c r="KAE241" s="813"/>
      <c r="KAF241" s="814"/>
      <c r="KAG241" s="813"/>
      <c r="KAH241" s="814"/>
      <c r="KAI241" s="813"/>
      <c r="KAJ241" s="814"/>
      <c r="KAK241" s="813"/>
      <c r="KAL241" s="814"/>
      <c r="KAM241" s="813"/>
      <c r="KAN241" s="814"/>
      <c r="KAO241" s="813"/>
      <c r="KAP241" s="814"/>
      <c r="KAQ241" s="813"/>
      <c r="KAR241" s="814"/>
      <c r="KAS241" s="813"/>
      <c r="KAT241" s="814"/>
      <c r="KAU241" s="813"/>
      <c r="KAV241" s="814"/>
      <c r="KAW241" s="813"/>
      <c r="KAX241" s="814"/>
      <c r="KAY241" s="813"/>
      <c r="KAZ241" s="814"/>
      <c r="KBA241" s="813"/>
      <c r="KBB241" s="814"/>
      <c r="KBC241" s="813"/>
      <c r="KBD241" s="814"/>
      <c r="KBE241" s="813"/>
      <c r="KBF241" s="814"/>
      <c r="KBG241" s="813"/>
      <c r="KBH241" s="814"/>
      <c r="KBI241" s="813"/>
      <c r="KBJ241" s="814"/>
      <c r="KBK241" s="813"/>
      <c r="KBL241" s="814"/>
      <c r="KBM241" s="813"/>
      <c r="KBN241" s="814"/>
      <c r="KBO241" s="813"/>
      <c r="KBP241" s="814"/>
      <c r="KBQ241" s="813"/>
      <c r="KBR241" s="814"/>
      <c r="KBS241" s="813"/>
      <c r="KBT241" s="814"/>
      <c r="KBU241" s="813"/>
      <c r="KBV241" s="814"/>
      <c r="KBW241" s="813"/>
      <c r="KBX241" s="814"/>
      <c r="KBY241" s="813"/>
      <c r="KBZ241" s="814"/>
      <c r="KCA241" s="813"/>
      <c r="KCB241" s="814"/>
      <c r="KCC241" s="813"/>
      <c r="KCD241" s="814"/>
      <c r="KCE241" s="813"/>
      <c r="KCF241" s="814"/>
      <c r="KCG241" s="813"/>
      <c r="KCH241" s="814"/>
      <c r="KCI241" s="813"/>
      <c r="KCJ241" s="814"/>
      <c r="KCK241" s="813"/>
      <c r="KCL241" s="814"/>
      <c r="KCM241" s="813"/>
      <c r="KCN241" s="814"/>
      <c r="KCO241" s="813"/>
      <c r="KCP241" s="814"/>
      <c r="KCQ241" s="813"/>
      <c r="KCR241" s="814"/>
      <c r="KCS241" s="813"/>
      <c r="KCT241" s="814"/>
      <c r="KCU241" s="813"/>
      <c r="KCV241" s="814"/>
      <c r="KCW241" s="813"/>
      <c r="KCX241" s="814"/>
      <c r="KCY241" s="813"/>
      <c r="KCZ241" s="814"/>
      <c r="KDA241" s="813"/>
      <c r="KDB241" s="814"/>
      <c r="KDC241" s="813"/>
      <c r="KDD241" s="814"/>
      <c r="KDE241" s="813"/>
      <c r="KDF241" s="814"/>
      <c r="KDG241" s="813"/>
      <c r="KDH241" s="814"/>
      <c r="KDI241" s="813"/>
      <c r="KDJ241" s="814"/>
      <c r="KDK241" s="813"/>
      <c r="KDL241" s="814"/>
      <c r="KDM241" s="813"/>
      <c r="KDN241" s="814"/>
      <c r="KDO241" s="813"/>
      <c r="KDP241" s="814"/>
      <c r="KDQ241" s="813"/>
      <c r="KDR241" s="814"/>
      <c r="KDS241" s="813"/>
      <c r="KDT241" s="814"/>
      <c r="KDU241" s="813"/>
      <c r="KDV241" s="814"/>
      <c r="KDW241" s="813"/>
      <c r="KDX241" s="814"/>
      <c r="KDY241" s="813"/>
      <c r="KDZ241" s="814"/>
      <c r="KEA241" s="813"/>
      <c r="KEB241" s="814"/>
      <c r="KEC241" s="813"/>
      <c r="KED241" s="814"/>
      <c r="KEE241" s="813"/>
      <c r="KEF241" s="814"/>
      <c r="KEG241" s="813"/>
      <c r="KEH241" s="814"/>
      <c r="KEI241" s="813"/>
      <c r="KEJ241" s="814"/>
      <c r="KEK241" s="813"/>
      <c r="KEL241" s="814"/>
      <c r="KEM241" s="813"/>
      <c r="KEN241" s="814"/>
      <c r="KEO241" s="813"/>
      <c r="KEP241" s="814"/>
      <c r="KEQ241" s="813"/>
      <c r="KER241" s="814"/>
      <c r="KES241" s="813"/>
      <c r="KET241" s="814"/>
      <c r="KEU241" s="813"/>
      <c r="KEV241" s="814"/>
      <c r="KEW241" s="813"/>
      <c r="KEX241" s="814"/>
      <c r="KEY241" s="813"/>
      <c r="KEZ241" s="814"/>
      <c r="KFA241" s="813"/>
      <c r="KFB241" s="814"/>
      <c r="KFC241" s="813"/>
      <c r="KFD241" s="814"/>
      <c r="KFE241" s="813"/>
      <c r="KFF241" s="814"/>
      <c r="KFG241" s="813"/>
      <c r="KFH241" s="814"/>
      <c r="KFI241" s="813"/>
      <c r="KFJ241" s="814"/>
      <c r="KFK241" s="813"/>
      <c r="KFL241" s="814"/>
      <c r="KFM241" s="813"/>
      <c r="KFN241" s="814"/>
      <c r="KFO241" s="813"/>
      <c r="KFP241" s="814"/>
      <c r="KFQ241" s="813"/>
      <c r="KFR241" s="814"/>
      <c r="KFS241" s="813"/>
      <c r="KFT241" s="814"/>
      <c r="KFU241" s="813"/>
      <c r="KFV241" s="814"/>
      <c r="KFW241" s="813"/>
      <c r="KFX241" s="814"/>
      <c r="KFY241" s="813"/>
      <c r="KFZ241" s="814"/>
      <c r="KGA241" s="813"/>
      <c r="KGB241" s="814"/>
      <c r="KGC241" s="813"/>
      <c r="KGD241" s="814"/>
      <c r="KGE241" s="813"/>
      <c r="KGF241" s="814"/>
      <c r="KGG241" s="813"/>
      <c r="KGH241" s="814"/>
      <c r="KGI241" s="813"/>
      <c r="KGJ241" s="814"/>
      <c r="KGK241" s="813"/>
      <c r="KGL241" s="814"/>
      <c r="KGM241" s="813"/>
      <c r="KGN241" s="814"/>
      <c r="KGO241" s="813"/>
      <c r="KGP241" s="814"/>
      <c r="KGQ241" s="813"/>
      <c r="KGR241" s="814"/>
      <c r="KGS241" s="813"/>
      <c r="KGT241" s="814"/>
      <c r="KGU241" s="813"/>
      <c r="KGV241" s="814"/>
      <c r="KGW241" s="813"/>
      <c r="KGX241" s="814"/>
      <c r="KGY241" s="813"/>
      <c r="KGZ241" s="814"/>
      <c r="KHA241" s="813"/>
      <c r="KHB241" s="814"/>
      <c r="KHC241" s="813"/>
      <c r="KHD241" s="814"/>
      <c r="KHE241" s="813"/>
      <c r="KHF241" s="814"/>
      <c r="KHG241" s="813"/>
      <c r="KHH241" s="814"/>
      <c r="KHI241" s="813"/>
      <c r="KHJ241" s="814"/>
      <c r="KHK241" s="813"/>
      <c r="KHL241" s="814"/>
      <c r="KHM241" s="813"/>
      <c r="KHN241" s="814"/>
      <c r="KHO241" s="813"/>
      <c r="KHP241" s="814"/>
      <c r="KHQ241" s="813"/>
      <c r="KHR241" s="814"/>
      <c r="KHS241" s="813"/>
      <c r="KHT241" s="814"/>
      <c r="KHU241" s="813"/>
      <c r="KHV241" s="814"/>
      <c r="KHW241" s="813"/>
      <c r="KHX241" s="814"/>
      <c r="KHY241" s="813"/>
      <c r="KHZ241" s="814"/>
      <c r="KIA241" s="813"/>
      <c r="KIB241" s="814"/>
      <c r="KIC241" s="813"/>
      <c r="KID241" s="814"/>
      <c r="KIE241" s="813"/>
      <c r="KIF241" s="814"/>
      <c r="KIG241" s="813"/>
      <c r="KIH241" s="814"/>
      <c r="KII241" s="813"/>
      <c r="KIJ241" s="814"/>
      <c r="KIK241" s="813"/>
      <c r="KIL241" s="814"/>
      <c r="KIM241" s="813"/>
      <c r="KIN241" s="814"/>
      <c r="KIO241" s="813"/>
      <c r="KIP241" s="814"/>
      <c r="KIQ241" s="813"/>
      <c r="KIR241" s="814"/>
      <c r="KIS241" s="813"/>
      <c r="KIT241" s="814"/>
      <c r="KIU241" s="813"/>
      <c r="KIV241" s="814"/>
      <c r="KIW241" s="813"/>
      <c r="KIX241" s="814"/>
      <c r="KIY241" s="813"/>
      <c r="KIZ241" s="814"/>
      <c r="KJA241" s="813"/>
      <c r="KJB241" s="814"/>
      <c r="KJC241" s="813"/>
      <c r="KJD241" s="814"/>
      <c r="KJE241" s="813"/>
      <c r="KJF241" s="814"/>
      <c r="KJG241" s="813"/>
      <c r="KJH241" s="814"/>
      <c r="KJI241" s="813"/>
      <c r="KJJ241" s="814"/>
      <c r="KJK241" s="813"/>
      <c r="KJL241" s="814"/>
      <c r="KJM241" s="813"/>
      <c r="KJN241" s="814"/>
      <c r="KJO241" s="813"/>
      <c r="KJP241" s="814"/>
      <c r="KJQ241" s="813"/>
      <c r="KJR241" s="814"/>
      <c r="KJS241" s="813"/>
      <c r="KJT241" s="814"/>
      <c r="KJU241" s="813"/>
      <c r="KJV241" s="814"/>
      <c r="KJW241" s="813"/>
      <c r="KJX241" s="814"/>
      <c r="KJY241" s="813"/>
      <c r="KJZ241" s="814"/>
      <c r="KKA241" s="813"/>
      <c r="KKB241" s="814"/>
      <c r="KKC241" s="813"/>
      <c r="KKD241" s="814"/>
      <c r="KKE241" s="813"/>
      <c r="KKF241" s="814"/>
      <c r="KKG241" s="813"/>
      <c r="KKH241" s="814"/>
      <c r="KKI241" s="813"/>
      <c r="KKJ241" s="814"/>
      <c r="KKK241" s="813"/>
      <c r="KKL241" s="814"/>
      <c r="KKM241" s="813"/>
      <c r="KKN241" s="814"/>
      <c r="KKO241" s="813"/>
      <c r="KKP241" s="814"/>
      <c r="KKQ241" s="813"/>
      <c r="KKR241" s="814"/>
      <c r="KKS241" s="813"/>
      <c r="KKT241" s="814"/>
      <c r="KKU241" s="813"/>
      <c r="KKV241" s="814"/>
      <c r="KKW241" s="813"/>
      <c r="KKX241" s="814"/>
      <c r="KKY241" s="813"/>
      <c r="KKZ241" s="814"/>
      <c r="KLA241" s="813"/>
      <c r="KLB241" s="814"/>
      <c r="KLC241" s="813"/>
      <c r="KLD241" s="814"/>
      <c r="KLE241" s="813"/>
      <c r="KLF241" s="814"/>
      <c r="KLG241" s="813"/>
      <c r="KLH241" s="814"/>
      <c r="KLI241" s="813"/>
      <c r="KLJ241" s="814"/>
      <c r="KLK241" s="813"/>
      <c r="KLL241" s="814"/>
      <c r="KLM241" s="813"/>
      <c r="KLN241" s="814"/>
      <c r="KLO241" s="813"/>
      <c r="KLP241" s="814"/>
      <c r="KLQ241" s="813"/>
      <c r="KLR241" s="814"/>
      <c r="KLS241" s="813"/>
      <c r="KLT241" s="814"/>
      <c r="KLU241" s="813"/>
      <c r="KLV241" s="814"/>
      <c r="KLW241" s="813"/>
      <c r="KLX241" s="814"/>
      <c r="KLY241" s="813"/>
      <c r="KLZ241" s="814"/>
      <c r="KMA241" s="813"/>
      <c r="KMB241" s="814"/>
      <c r="KMC241" s="813"/>
      <c r="KMD241" s="814"/>
      <c r="KME241" s="813"/>
      <c r="KMF241" s="814"/>
      <c r="KMG241" s="813"/>
      <c r="KMH241" s="814"/>
      <c r="KMI241" s="813"/>
      <c r="KMJ241" s="814"/>
      <c r="KMK241" s="813"/>
      <c r="KML241" s="814"/>
      <c r="KMM241" s="813"/>
      <c r="KMN241" s="814"/>
      <c r="KMO241" s="813"/>
      <c r="KMP241" s="814"/>
      <c r="KMQ241" s="813"/>
      <c r="KMR241" s="814"/>
      <c r="KMS241" s="813"/>
      <c r="KMT241" s="814"/>
      <c r="KMU241" s="813"/>
      <c r="KMV241" s="814"/>
      <c r="KMW241" s="813"/>
      <c r="KMX241" s="814"/>
      <c r="KMY241" s="813"/>
      <c r="KMZ241" s="814"/>
      <c r="KNA241" s="813"/>
      <c r="KNB241" s="814"/>
      <c r="KNC241" s="813"/>
      <c r="KND241" s="814"/>
      <c r="KNE241" s="813"/>
      <c r="KNF241" s="814"/>
      <c r="KNG241" s="813"/>
      <c r="KNH241" s="814"/>
      <c r="KNI241" s="813"/>
      <c r="KNJ241" s="814"/>
      <c r="KNK241" s="813"/>
      <c r="KNL241" s="814"/>
      <c r="KNM241" s="813"/>
      <c r="KNN241" s="814"/>
      <c r="KNO241" s="813"/>
      <c r="KNP241" s="814"/>
      <c r="KNQ241" s="813"/>
      <c r="KNR241" s="814"/>
      <c r="KNS241" s="813"/>
      <c r="KNT241" s="814"/>
      <c r="KNU241" s="813"/>
      <c r="KNV241" s="814"/>
      <c r="KNW241" s="813"/>
      <c r="KNX241" s="814"/>
      <c r="KNY241" s="813"/>
      <c r="KNZ241" s="814"/>
      <c r="KOA241" s="813"/>
      <c r="KOB241" s="814"/>
      <c r="KOC241" s="813"/>
      <c r="KOD241" s="814"/>
      <c r="KOE241" s="813"/>
      <c r="KOF241" s="814"/>
      <c r="KOG241" s="813"/>
      <c r="KOH241" s="814"/>
      <c r="KOI241" s="813"/>
      <c r="KOJ241" s="814"/>
      <c r="KOK241" s="813"/>
      <c r="KOL241" s="814"/>
      <c r="KOM241" s="813"/>
      <c r="KON241" s="814"/>
      <c r="KOO241" s="813"/>
      <c r="KOP241" s="814"/>
      <c r="KOQ241" s="813"/>
      <c r="KOR241" s="814"/>
      <c r="KOS241" s="813"/>
      <c r="KOT241" s="814"/>
      <c r="KOU241" s="813"/>
      <c r="KOV241" s="814"/>
      <c r="KOW241" s="813"/>
      <c r="KOX241" s="814"/>
      <c r="KOY241" s="813"/>
      <c r="KOZ241" s="814"/>
      <c r="KPA241" s="813"/>
      <c r="KPB241" s="814"/>
      <c r="KPC241" s="813"/>
      <c r="KPD241" s="814"/>
      <c r="KPE241" s="813"/>
      <c r="KPF241" s="814"/>
      <c r="KPG241" s="813"/>
      <c r="KPH241" s="814"/>
      <c r="KPI241" s="813"/>
      <c r="KPJ241" s="814"/>
      <c r="KPK241" s="813"/>
      <c r="KPL241" s="814"/>
      <c r="KPM241" s="813"/>
      <c r="KPN241" s="814"/>
      <c r="KPO241" s="813"/>
      <c r="KPP241" s="814"/>
      <c r="KPQ241" s="813"/>
      <c r="KPR241" s="814"/>
      <c r="KPS241" s="813"/>
      <c r="KPT241" s="814"/>
      <c r="KPU241" s="813"/>
      <c r="KPV241" s="814"/>
      <c r="KPW241" s="813"/>
      <c r="KPX241" s="814"/>
      <c r="KPY241" s="813"/>
      <c r="KPZ241" s="814"/>
      <c r="KQA241" s="813"/>
      <c r="KQB241" s="814"/>
      <c r="KQC241" s="813"/>
      <c r="KQD241" s="814"/>
      <c r="KQE241" s="813"/>
      <c r="KQF241" s="814"/>
      <c r="KQG241" s="813"/>
      <c r="KQH241" s="814"/>
      <c r="KQI241" s="813"/>
      <c r="KQJ241" s="814"/>
      <c r="KQK241" s="813"/>
      <c r="KQL241" s="814"/>
      <c r="KQM241" s="813"/>
      <c r="KQN241" s="814"/>
      <c r="KQO241" s="813"/>
      <c r="KQP241" s="814"/>
      <c r="KQQ241" s="813"/>
      <c r="KQR241" s="814"/>
      <c r="KQS241" s="813"/>
      <c r="KQT241" s="814"/>
      <c r="KQU241" s="813"/>
      <c r="KQV241" s="814"/>
      <c r="KQW241" s="813"/>
      <c r="KQX241" s="814"/>
      <c r="KQY241" s="813"/>
      <c r="KQZ241" s="814"/>
      <c r="KRA241" s="813"/>
      <c r="KRB241" s="814"/>
      <c r="KRC241" s="813"/>
      <c r="KRD241" s="814"/>
      <c r="KRE241" s="813"/>
      <c r="KRF241" s="814"/>
      <c r="KRG241" s="813"/>
      <c r="KRH241" s="814"/>
      <c r="KRI241" s="813"/>
      <c r="KRJ241" s="814"/>
      <c r="KRK241" s="813"/>
      <c r="KRL241" s="814"/>
      <c r="KRM241" s="813"/>
      <c r="KRN241" s="814"/>
      <c r="KRO241" s="813"/>
      <c r="KRP241" s="814"/>
      <c r="KRQ241" s="813"/>
      <c r="KRR241" s="814"/>
      <c r="KRS241" s="813"/>
      <c r="KRT241" s="814"/>
      <c r="KRU241" s="813"/>
      <c r="KRV241" s="814"/>
      <c r="KRW241" s="813"/>
      <c r="KRX241" s="814"/>
      <c r="KRY241" s="813"/>
      <c r="KRZ241" s="814"/>
      <c r="KSA241" s="813"/>
      <c r="KSB241" s="814"/>
      <c r="KSC241" s="813"/>
      <c r="KSD241" s="814"/>
      <c r="KSE241" s="813"/>
      <c r="KSF241" s="814"/>
      <c r="KSG241" s="813"/>
      <c r="KSH241" s="814"/>
      <c r="KSI241" s="813"/>
      <c r="KSJ241" s="814"/>
      <c r="KSK241" s="813"/>
      <c r="KSL241" s="814"/>
      <c r="KSM241" s="813"/>
      <c r="KSN241" s="814"/>
      <c r="KSO241" s="813"/>
      <c r="KSP241" s="814"/>
      <c r="KSQ241" s="813"/>
      <c r="KSR241" s="814"/>
      <c r="KSS241" s="813"/>
      <c r="KST241" s="814"/>
      <c r="KSU241" s="813"/>
      <c r="KSV241" s="814"/>
      <c r="KSW241" s="813"/>
      <c r="KSX241" s="814"/>
      <c r="KSY241" s="813"/>
      <c r="KSZ241" s="814"/>
      <c r="KTA241" s="813"/>
      <c r="KTB241" s="814"/>
      <c r="KTC241" s="813"/>
      <c r="KTD241" s="814"/>
      <c r="KTE241" s="813"/>
      <c r="KTF241" s="814"/>
      <c r="KTG241" s="813"/>
      <c r="KTH241" s="814"/>
      <c r="KTI241" s="813"/>
      <c r="KTJ241" s="814"/>
      <c r="KTK241" s="813"/>
      <c r="KTL241" s="814"/>
      <c r="KTM241" s="813"/>
      <c r="KTN241" s="814"/>
      <c r="KTO241" s="813"/>
      <c r="KTP241" s="814"/>
      <c r="KTQ241" s="813"/>
      <c r="KTR241" s="814"/>
      <c r="KTS241" s="813"/>
      <c r="KTT241" s="814"/>
      <c r="KTU241" s="813"/>
      <c r="KTV241" s="814"/>
      <c r="KTW241" s="813"/>
      <c r="KTX241" s="814"/>
      <c r="KTY241" s="813"/>
      <c r="KTZ241" s="814"/>
      <c r="KUA241" s="813"/>
      <c r="KUB241" s="814"/>
      <c r="KUC241" s="813"/>
      <c r="KUD241" s="814"/>
      <c r="KUE241" s="813"/>
      <c r="KUF241" s="814"/>
      <c r="KUG241" s="813"/>
      <c r="KUH241" s="814"/>
      <c r="KUI241" s="813"/>
      <c r="KUJ241" s="814"/>
      <c r="KUK241" s="813"/>
      <c r="KUL241" s="814"/>
      <c r="KUM241" s="813"/>
      <c r="KUN241" s="814"/>
      <c r="KUO241" s="813"/>
      <c r="KUP241" s="814"/>
      <c r="KUQ241" s="813"/>
      <c r="KUR241" s="814"/>
      <c r="KUS241" s="813"/>
      <c r="KUT241" s="814"/>
      <c r="KUU241" s="813"/>
      <c r="KUV241" s="814"/>
      <c r="KUW241" s="813"/>
      <c r="KUX241" s="814"/>
      <c r="KUY241" s="813"/>
      <c r="KUZ241" s="814"/>
      <c r="KVA241" s="813"/>
      <c r="KVB241" s="814"/>
      <c r="KVC241" s="813"/>
      <c r="KVD241" s="814"/>
      <c r="KVE241" s="813"/>
      <c r="KVF241" s="814"/>
      <c r="KVG241" s="813"/>
      <c r="KVH241" s="814"/>
      <c r="KVI241" s="813"/>
      <c r="KVJ241" s="814"/>
      <c r="KVK241" s="813"/>
      <c r="KVL241" s="814"/>
      <c r="KVM241" s="813"/>
      <c r="KVN241" s="814"/>
      <c r="KVO241" s="813"/>
      <c r="KVP241" s="814"/>
      <c r="KVQ241" s="813"/>
      <c r="KVR241" s="814"/>
      <c r="KVS241" s="813"/>
      <c r="KVT241" s="814"/>
      <c r="KVU241" s="813"/>
      <c r="KVV241" s="814"/>
      <c r="KVW241" s="813"/>
      <c r="KVX241" s="814"/>
      <c r="KVY241" s="813"/>
      <c r="KVZ241" s="814"/>
      <c r="KWA241" s="813"/>
      <c r="KWB241" s="814"/>
      <c r="KWC241" s="813"/>
      <c r="KWD241" s="814"/>
      <c r="KWE241" s="813"/>
      <c r="KWF241" s="814"/>
      <c r="KWG241" s="813"/>
      <c r="KWH241" s="814"/>
      <c r="KWI241" s="813"/>
      <c r="KWJ241" s="814"/>
      <c r="KWK241" s="813"/>
      <c r="KWL241" s="814"/>
      <c r="KWM241" s="813"/>
      <c r="KWN241" s="814"/>
      <c r="KWO241" s="813"/>
      <c r="KWP241" s="814"/>
      <c r="KWQ241" s="813"/>
      <c r="KWR241" s="814"/>
      <c r="KWS241" s="813"/>
      <c r="KWT241" s="814"/>
      <c r="KWU241" s="813"/>
      <c r="KWV241" s="814"/>
      <c r="KWW241" s="813"/>
      <c r="KWX241" s="814"/>
      <c r="KWY241" s="813"/>
      <c r="KWZ241" s="814"/>
      <c r="KXA241" s="813"/>
      <c r="KXB241" s="814"/>
      <c r="KXC241" s="813"/>
      <c r="KXD241" s="814"/>
      <c r="KXE241" s="813"/>
      <c r="KXF241" s="814"/>
      <c r="KXG241" s="813"/>
      <c r="KXH241" s="814"/>
      <c r="KXI241" s="813"/>
      <c r="KXJ241" s="814"/>
      <c r="KXK241" s="813"/>
      <c r="KXL241" s="814"/>
      <c r="KXM241" s="813"/>
      <c r="KXN241" s="814"/>
      <c r="KXO241" s="813"/>
      <c r="KXP241" s="814"/>
      <c r="KXQ241" s="813"/>
      <c r="KXR241" s="814"/>
      <c r="KXS241" s="813"/>
      <c r="KXT241" s="814"/>
      <c r="KXU241" s="813"/>
      <c r="KXV241" s="814"/>
      <c r="KXW241" s="813"/>
      <c r="KXX241" s="814"/>
      <c r="KXY241" s="813"/>
      <c r="KXZ241" s="814"/>
      <c r="KYA241" s="813"/>
      <c r="KYB241" s="814"/>
      <c r="KYC241" s="813"/>
      <c r="KYD241" s="814"/>
      <c r="KYE241" s="813"/>
      <c r="KYF241" s="814"/>
      <c r="KYG241" s="813"/>
      <c r="KYH241" s="814"/>
      <c r="KYI241" s="813"/>
      <c r="KYJ241" s="814"/>
      <c r="KYK241" s="813"/>
      <c r="KYL241" s="814"/>
      <c r="KYM241" s="813"/>
      <c r="KYN241" s="814"/>
      <c r="KYO241" s="813"/>
      <c r="KYP241" s="814"/>
      <c r="KYQ241" s="813"/>
      <c r="KYR241" s="814"/>
      <c r="KYS241" s="813"/>
      <c r="KYT241" s="814"/>
      <c r="KYU241" s="813"/>
      <c r="KYV241" s="814"/>
      <c r="KYW241" s="813"/>
      <c r="KYX241" s="814"/>
      <c r="KYY241" s="813"/>
      <c r="KYZ241" s="814"/>
      <c r="KZA241" s="813"/>
      <c r="KZB241" s="814"/>
      <c r="KZC241" s="813"/>
      <c r="KZD241" s="814"/>
      <c r="KZE241" s="813"/>
      <c r="KZF241" s="814"/>
      <c r="KZG241" s="813"/>
      <c r="KZH241" s="814"/>
      <c r="KZI241" s="813"/>
      <c r="KZJ241" s="814"/>
      <c r="KZK241" s="813"/>
      <c r="KZL241" s="814"/>
      <c r="KZM241" s="813"/>
      <c r="KZN241" s="814"/>
      <c r="KZO241" s="813"/>
      <c r="KZP241" s="814"/>
      <c r="KZQ241" s="813"/>
      <c r="KZR241" s="814"/>
      <c r="KZS241" s="813"/>
      <c r="KZT241" s="814"/>
      <c r="KZU241" s="813"/>
      <c r="KZV241" s="814"/>
      <c r="KZW241" s="813"/>
      <c r="KZX241" s="814"/>
      <c r="KZY241" s="813"/>
      <c r="KZZ241" s="814"/>
      <c r="LAA241" s="813"/>
      <c r="LAB241" s="814"/>
      <c r="LAC241" s="813"/>
      <c r="LAD241" s="814"/>
      <c r="LAE241" s="813"/>
      <c r="LAF241" s="814"/>
      <c r="LAG241" s="813"/>
      <c r="LAH241" s="814"/>
      <c r="LAI241" s="813"/>
      <c r="LAJ241" s="814"/>
      <c r="LAK241" s="813"/>
      <c r="LAL241" s="814"/>
      <c r="LAM241" s="813"/>
      <c r="LAN241" s="814"/>
      <c r="LAO241" s="813"/>
      <c r="LAP241" s="814"/>
      <c r="LAQ241" s="813"/>
      <c r="LAR241" s="814"/>
      <c r="LAS241" s="813"/>
      <c r="LAT241" s="814"/>
      <c r="LAU241" s="813"/>
      <c r="LAV241" s="814"/>
      <c r="LAW241" s="813"/>
      <c r="LAX241" s="814"/>
      <c r="LAY241" s="813"/>
      <c r="LAZ241" s="814"/>
      <c r="LBA241" s="813"/>
      <c r="LBB241" s="814"/>
      <c r="LBC241" s="813"/>
      <c r="LBD241" s="814"/>
      <c r="LBE241" s="813"/>
      <c r="LBF241" s="814"/>
      <c r="LBG241" s="813"/>
      <c r="LBH241" s="814"/>
      <c r="LBI241" s="813"/>
      <c r="LBJ241" s="814"/>
      <c r="LBK241" s="813"/>
      <c r="LBL241" s="814"/>
      <c r="LBM241" s="813"/>
      <c r="LBN241" s="814"/>
      <c r="LBO241" s="813"/>
      <c r="LBP241" s="814"/>
      <c r="LBQ241" s="813"/>
      <c r="LBR241" s="814"/>
      <c r="LBS241" s="813"/>
      <c r="LBT241" s="814"/>
      <c r="LBU241" s="813"/>
      <c r="LBV241" s="814"/>
      <c r="LBW241" s="813"/>
      <c r="LBX241" s="814"/>
      <c r="LBY241" s="813"/>
      <c r="LBZ241" s="814"/>
      <c r="LCA241" s="813"/>
      <c r="LCB241" s="814"/>
      <c r="LCC241" s="813"/>
      <c r="LCD241" s="814"/>
      <c r="LCE241" s="813"/>
      <c r="LCF241" s="814"/>
      <c r="LCG241" s="813"/>
      <c r="LCH241" s="814"/>
      <c r="LCI241" s="813"/>
      <c r="LCJ241" s="814"/>
      <c r="LCK241" s="813"/>
      <c r="LCL241" s="814"/>
      <c r="LCM241" s="813"/>
      <c r="LCN241" s="814"/>
      <c r="LCO241" s="813"/>
      <c r="LCP241" s="814"/>
      <c r="LCQ241" s="813"/>
      <c r="LCR241" s="814"/>
      <c r="LCS241" s="813"/>
      <c r="LCT241" s="814"/>
      <c r="LCU241" s="813"/>
      <c r="LCV241" s="814"/>
      <c r="LCW241" s="813"/>
      <c r="LCX241" s="814"/>
      <c r="LCY241" s="813"/>
      <c r="LCZ241" s="814"/>
      <c r="LDA241" s="813"/>
      <c r="LDB241" s="814"/>
      <c r="LDC241" s="813"/>
      <c r="LDD241" s="814"/>
      <c r="LDE241" s="813"/>
      <c r="LDF241" s="814"/>
      <c r="LDG241" s="813"/>
      <c r="LDH241" s="814"/>
      <c r="LDI241" s="813"/>
      <c r="LDJ241" s="814"/>
      <c r="LDK241" s="813"/>
      <c r="LDL241" s="814"/>
      <c r="LDM241" s="813"/>
      <c r="LDN241" s="814"/>
      <c r="LDO241" s="813"/>
      <c r="LDP241" s="814"/>
      <c r="LDQ241" s="813"/>
      <c r="LDR241" s="814"/>
      <c r="LDS241" s="813"/>
      <c r="LDT241" s="814"/>
      <c r="LDU241" s="813"/>
      <c r="LDV241" s="814"/>
      <c r="LDW241" s="813"/>
      <c r="LDX241" s="814"/>
      <c r="LDY241" s="813"/>
      <c r="LDZ241" s="814"/>
      <c r="LEA241" s="813"/>
      <c r="LEB241" s="814"/>
      <c r="LEC241" s="813"/>
      <c r="LED241" s="814"/>
      <c r="LEE241" s="813"/>
      <c r="LEF241" s="814"/>
      <c r="LEG241" s="813"/>
      <c r="LEH241" s="814"/>
      <c r="LEI241" s="813"/>
      <c r="LEJ241" s="814"/>
      <c r="LEK241" s="813"/>
      <c r="LEL241" s="814"/>
      <c r="LEM241" s="813"/>
      <c r="LEN241" s="814"/>
      <c r="LEO241" s="813"/>
      <c r="LEP241" s="814"/>
      <c r="LEQ241" s="813"/>
      <c r="LER241" s="814"/>
      <c r="LES241" s="813"/>
      <c r="LET241" s="814"/>
      <c r="LEU241" s="813"/>
      <c r="LEV241" s="814"/>
      <c r="LEW241" s="813"/>
      <c r="LEX241" s="814"/>
      <c r="LEY241" s="813"/>
      <c r="LEZ241" s="814"/>
      <c r="LFA241" s="813"/>
      <c r="LFB241" s="814"/>
      <c r="LFC241" s="813"/>
      <c r="LFD241" s="814"/>
      <c r="LFE241" s="813"/>
      <c r="LFF241" s="814"/>
      <c r="LFG241" s="813"/>
      <c r="LFH241" s="814"/>
      <c r="LFI241" s="813"/>
      <c r="LFJ241" s="814"/>
      <c r="LFK241" s="813"/>
      <c r="LFL241" s="814"/>
      <c r="LFM241" s="813"/>
      <c r="LFN241" s="814"/>
      <c r="LFO241" s="813"/>
      <c r="LFP241" s="814"/>
      <c r="LFQ241" s="813"/>
      <c r="LFR241" s="814"/>
      <c r="LFS241" s="813"/>
      <c r="LFT241" s="814"/>
      <c r="LFU241" s="813"/>
      <c r="LFV241" s="814"/>
      <c r="LFW241" s="813"/>
      <c r="LFX241" s="814"/>
      <c r="LFY241" s="813"/>
      <c r="LFZ241" s="814"/>
      <c r="LGA241" s="813"/>
      <c r="LGB241" s="814"/>
      <c r="LGC241" s="813"/>
      <c r="LGD241" s="814"/>
      <c r="LGE241" s="813"/>
      <c r="LGF241" s="814"/>
      <c r="LGG241" s="813"/>
      <c r="LGH241" s="814"/>
      <c r="LGI241" s="813"/>
      <c r="LGJ241" s="814"/>
      <c r="LGK241" s="813"/>
      <c r="LGL241" s="814"/>
      <c r="LGM241" s="813"/>
      <c r="LGN241" s="814"/>
      <c r="LGO241" s="813"/>
      <c r="LGP241" s="814"/>
      <c r="LGQ241" s="813"/>
      <c r="LGR241" s="814"/>
      <c r="LGS241" s="813"/>
      <c r="LGT241" s="814"/>
      <c r="LGU241" s="813"/>
      <c r="LGV241" s="814"/>
      <c r="LGW241" s="813"/>
      <c r="LGX241" s="814"/>
      <c r="LGY241" s="813"/>
      <c r="LGZ241" s="814"/>
      <c r="LHA241" s="813"/>
      <c r="LHB241" s="814"/>
      <c r="LHC241" s="813"/>
      <c r="LHD241" s="814"/>
      <c r="LHE241" s="813"/>
      <c r="LHF241" s="814"/>
      <c r="LHG241" s="813"/>
      <c r="LHH241" s="814"/>
      <c r="LHI241" s="813"/>
      <c r="LHJ241" s="814"/>
      <c r="LHK241" s="813"/>
      <c r="LHL241" s="814"/>
      <c r="LHM241" s="813"/>
      <c r="LHN241" s="814"/>
      <c r="LHO241" s="813"/>
      <c r="LHP241" s="814"/>
      <c r="LHQ241" s="813"/>
      <c r="LHR241" s="814"/>
      <c r="LHS241" s="813"/>
      <c r="LHT241" s="814"/>
      <c r="LHU241" s="813"/>
      <c r="LHV241" s="814"/>
      <c r="LHW241" s="813"/>
      <c r="LHX241" s="814"/>
      <c r="LHY241" s="813"/>
      <c r="LHZ241" s="814"/>
      <c r="LIA241" s="813"/>
      <c r="LIB241" s="814"/>
      <c r="LIC241" s="813"/>
      <c r="LID241" s="814"/>
      <c r="LIE241" s="813"/>
      <c r="LIF241" s="814"/>
      <c r="LIG241" s="813"/>
      <c r="LIH241" s="814"/>
      <c r="LII241" s="813"/>
      <c r="LIJ241" s="814"/>
      <c r="LIK241" s="813"/>
      <c r="LIL241" s="814"/>
      <c r="LIM241" s="813"/>
      <c r="LIN241" s="814"/>
      <c r="LIO241" s="813"/>
      <c r="LIP241" s="814"/>
      <c r="LIQ241" s="813"/>
      <c r="LIR241" s="814"/>
      <c r="LIS241" s="813"/>
      <c r="LIT241" s="814"/>
      <c r="LIU241" s="813"/>
      <c r="LIV241" s="814"/>
      <c r="LIW241" s="813"/>
      <c r="LIX241" s="814"/>
      <c r="LIY241" s="813"/>
      <c r="LIZ241" s="814"/>
      <c r="LJA241" s="813"/>
      <c r="LJB241" s="814"/>
      <c r="LJC241" s="813"/>
      <c r="LJD241" s="814"/>
      <c r="LJE241" s="813"/>
      <c r="LJF241" s="814"/>
      <c r="LJG241" s="813"/>
      <c r="LJH241" s="814"/>
      <c r="LJI241" s="813"/>
      <c r="LJJ241" s="814"/>
      <c r="LJK241" s="813"/>
      <c r="LJL241" s="814"/>
      <c r="LJM241" s="813"/>
      <c r="LJN241" s="814"/>
      <c r="LJO241" s="813"/>
      <c r="LJP241" s="814"/>
      <c r="LJQ241" s="813"/>
      <c r="LJR241" s="814"/>
      <c r="LJS241" s="813"/>
      <c r="LJT241" s="814"/>
      <c r="LJU241" s="813"/>
      <c r="LJV241" s="814"/>
      <c r="LJW241" s="813"/>
      <c r="LJX241" s="814"/>
      <c r="LJY241" s="813"/>
      <c r="LJZ241" s="814"/>
      <c r="LKA241" s="813"/>
      <c r="LKB241" s="814"/>
      <c r="LKC241" s="813"/>
      <c r="LKD241" s="814"/>
      <c r="LKE241" s="813"/>
      <c r="LKF241" s="814"/>
      <c r="LKG241" s="813"/>
      <c r="LKH241" s="814"/>
      <c r="LKI241" s="813"/>
      <c r="LKJ241" s="814"/>
      <c r="LKK241" s="813"/>
      <c r="LKL241" s="814"/>
      <c r="LKM241" s="813"/>
      <c r="LKN241" s="814"/>
      <c r="LKO241" s="813"/>
      <c r="LKP241" s="814"/>
      <c r="LKQ241" s="813"/>
      <c r="LKR241" s="814"/>
      <c r="LKS241" s="813"/>
      <c r="LKT241" s="814"/>
      <c r="LKU241" s="813"/>
      <c r="LKV241" s="814"/>
      <c r="LKW241" s="813"/>
      <c r="LKX241" s="814"/>
      <c r="LKY241" s="813"/>
      <c r="LKZ241" s="814"/>
      <c r="LLA241" s="813"/>
      <c r="LLB241" s="814"/>
      <c r="LLC241" s="813"/>
      <c r="LLD241" s="814"/>
      <c r="LLE241" s="813"/>
      <c r="LLF241" s="814"/>
      <c r="LLG241" s="813"/>
      <c r="LLH241" s="814"/>
      <c r="LLI241" s="813"/>
      <c r="LLJ241" s="814"/>
      <c r="LLK241" s="813"/>
      <c r="LLL241" s="814"/>
      <c r="LLM241" s="813"/>
      <c r="LLN241" s="814"/>
      <c r="LLO241" s="813"/>
      <c r="LLP241" s="814"/>
      <c r="LLQ241" s="813"/>
      <c r="LLR241" s="814"/>
      <c r="LLS241" s="813"/>
      <c r="LLT241" s="814"/>
      <c r="LLU241" s="813"/>
      <c r="LLV241" s="814"/>
      <c r="LLW241" s="813"/>
      <c r="LLX241" s="814"/>
      <c r="LLY241" s="813"/>
      <c r="LLZ241" s="814"/>
      <c r="LMA241" s="813"/>
      <c r="LMB241" s="814"/>
      <c r="LMC241" s="813"/>
      <c r="LMD241" s="814"/>
      <c r="LME241" s="813"/>
      <c r="LMF241" s="814"/>
      <c r="LMG241" s="813"/>
      <c r="LMH241" s="814"/>
      <c r="LMI241" s="813"/>
      <c r="LMJ241" s="814"/>
      <c r="LMK241" s="813"/>
      <c r="LML241" s="814"/>
      <c r="LMM241" s="813"/>
      <c r="LMN241" s="814"/>
      <c r="LMO241" s="813"/>
      <c r="LMP241" s="814"/>
      <c r="LMQ241" s="813"/>
      <c r="LMR241" s="814"/>
      <c r="LMS241" s="813"/>
      <c r="LMT241" s="814"/>
      <c r="LMU241" s="813"/>
      <c r="LMV241" s="814"/>
      <c r="LMW241" s="813"/>
      <c r="LMX241" s="814"/>
      <c r="LMY241" s="813"/>
      <c r="LMZ241" s="814"/>
      <c r="LNA241" s="813"/>
      <c r="LNB241" s="814"/>
      <c r="LNC241" s="813"/>
      <c r="LND241" s="814"/>
      <c r="LNE241" s="813"/>
      <c r="LNF241" s="814"/>
      <c r="LNG241" s="813"/>
      <c r="LNH241" s="814"/>
      <c r="LNI241" s="813"/>
      <c r="LNJ241" s="814"/>
      <c r="LNK241" s="813"/>
      <c r="LNL241" s="814"/>
      <c r="LNM241" s="813"/>
      <c r="LNN241" s="814"/>
      <c r="LNO241" s="813"/>
      <c r="LNP241" s="814"/>
      <c r="LNQ241" s="813"/>
      <c r="LNR241" s="814"/>
      <c r="LNS241" s="813"/>
      <c r="LNT241" s="814"/>
      <c r="LNU241" s="813"/>
      <c r="LNV241" s="814"/>
      <c r="LNW241" s="813"/>
      <c r="LNX241" s="814"/>
      <c r="LNY241" s="813"/>
      <c r="LNZ241" s="814"/>
      <c r="LOA241" s="813"/>
      <c r="LOB241" s="814"/>
      <c r="LOC241" s="813"/>
      <c r="LOD241" s="814"/>
      <c r="LOE241" s="813"/>
      <c r="LOF241" s="814"/>
      <c r="LOG241" s="813"/>
      <c r="LOH241" s="814"/>
      <c r="LOI241" s="813"/>
      <c r="LOJ241" s="814"/>
      <c r="LOK241" s="813"/>
      <c r="LOL241" s="814"/>
      <c r="LOM241" s="813"/>
      <c r="LON241" s="814"/>
      <c r="LOO241" s="813"/>
      <c r="LOP241" s="814"/>
      <c r="LOQ241" s="813"/>
      <c r="LOR241" s="814"/>
      <c r="LOS241" s="813"/>
      <c r="LOT241" s="814"/>
      <c r="LOU241" s="813"/>
      <c r="LOV241" s="814"/>
      <c r="LOW241" s="813"/>
      <c r="LOX241" s="814"/>
      <c r="LOY241" s="813"/>
      <c r="LOZ241" s="814"/>
      <c r="LPA241" s="813"/>
      <c r="LPB241" s="814"/>
      <c r="LPC241" s="813"/>
      <c r="LPD241" s="814"/>
      <c r="LPE241" s="813"/>
      <c r="LPF241" s="814"/>
      <c r="LPG241" s="813"/>
      <c r="LPH241" s="814"/>
      <c r="LPI241" s="813"/>
      <c r="LPJ241" s="814"/>
      <c r="LPK241" s="813"/>
      <c r="LPL241" s="814"/>
      <c r="LPM241" s="813"/>
      <c r="LPN241" s="814"/>
      <c r="LPO241" s="813"/>
      <c r="LPP241" s="814"/>
      <c r="LPQ241" s="813"/>
      <c r="LPR241" s="814"/>
      <c r="LPS241" s="813"/>
      <c r="LPT241" s="814"/>
      <c r="LPU241" s="813"/>
      <c r="LPV241" s="814"/>
      <c r="LPW241" s="813"/>
      <c r="LPX241" s="814"/>
      <c r="LPY241" s="813"/>
      <c r="LPZ241" s="814"/>
      <c r="LQA241" s="813"/>
      <c r="LQB241" s="814"/>
      <c r="LQC241" s="813"/>
      <c r="LQD241" s="814"/>
      <c r="LQE241" s="813"/>
      <c r="LQF241" s="814"/>
      <c r="LQG241" s="813"/>
      <c r="LQH241" s="814"/>
      <c r="LQI241" s="813"/>
      <c r="LQJ241" s="814"/>
      <c r="LQK241" s="813"/>
      <c r="LQL241" s="814"/>
      <c r="LQM241" s="813"/>
      <c r="LQN241" s="814"/>
      <c r="LQO241" s="813"/>
      <c r="LQP241" s="814"/>
      <c r="LQQ241" s="813"/>
      <c r="LQR241" s="814"/>
      <c r="LQS241" s="813"/>
      <c r="LQT241" s="814"/>
      <c r="LQU241" s="813"/>
      <c r="LQV241" s="814"/>
      <c r="LQW241" s="813"/>
      <c r="LQX241" s="814"/>
      <c r="LQY241" s="813"/>
      <c r="LQZ241" s="814"/>
      <c r="LRA241" s="813"/>
      <c r="LRB241" s="814"/>
      <c r="LRC241" s="813"/>
      <c r="LRD241" s="814"/>
      <c r="LRE241" s="813"/>
      <c r="LRF241" s="814"/>
      <c r="LRG241" s="813"/>
      <c r="LRH241" s="814"/>
      <c r="LRI241" s="813"/>
      <c r="LRJ241" s="814"/>
      <c r="LRK241" s="813"/>
      <c r="LRL241" s="814"/>
      <c r="LRM241" s="813"/>
      <c r="LRN241" s="814"/>
      <c r="LRO241" s="813"/>
      <c r="LRP241" s="814"/>
      <c r="LRQ241" s="813"/>
      <c r="LRR241" s="814"/>
      <c r="LRS241" s="813"/>
      <c r="LRT241" s="814"/>
      <c r="LRU241" s="813"/>
      <c r="LRV241" s="814"/>
      <c r="LRW241" s="813"/>
      <c r="LRX241" s="814"/>
      <c r="LRY241" s="813"/>
      <c r="LRZ241" s="814"/>
      <c r="LSA241" s="813"/>
      <c r="LSB241" s="814"/>
      <c r="LSC241" s="813"/>
      <c r="LSD241" s="814"/>
      <c r="LSE241" s="813"/>
      <c r="LSF241" s="814"/>
      <c r="LSG241" s="813"/>
      <c r="LSH241" s="814"/>
      <c r="LSI241" s="813"/>
      <c r="LSJ241" s="814"/>
      <c r="LSK241" s="813"/>
      <c r="LSL241" s="814"/>
      <c r="LSM241" s="813"/>
      <c r="LSN241" s="814"/>
      <c r="LSO241" s="813"/>
      <c r="LSP241" s="814"/>
      <c r="LSQ241" s="813"/>
      <c r="LSR241" s="814"/>
      <c r="LSS241" s="813"/>
      <c r="LST241" s="814"/>
      <c r="LSU241" s="813"/>
      <c r="LSV241" s="814"/>
      <c r="LSW241" s="813"/>
      <c r="LSX241" s="814"/>
      <c r="LSY241" s="813"/>
      <c r="LSZ241" s="814"/>
      <c r="LTA241" s="813"/>
      <c r="LTB241" s="814"/>
      <c r="LTC241" s="813"/>
      <c r="LTD241" s="814"/>
      <c r="LTE241" s="813"/>
      <c r="LTF241" s="814"/>
      <c r="LTG241" s="813"/>
      <c r="LTH241" s="814"/>
      <c r="LTI241" s="813"/>
      <c r="LTJ241" s="814"/>
      <c r="LTK241" s="813"/>
      <c r="LTL241" s="814"/>
      <c r="LTM241" s="813"/>
      <c r="LTN241" s="814"/>
      <c r="LTO241" s="813"/>
      <c r="LTP241" s="814"/>
      <c r="LTQ241" s="813"/>
      <c r="LTR241" s="814"/>
      <c r="LTS241" s="813"/>
      <c r="LTT241" s="814"/>
      <c r="LTU241" s="813"/>
      <c r="LTV241" s="814"/>
      <c r="LTW241" s="813"/>
      <c r="LTX241" s="814"/>
      <c r="LTY241" s="813"/>
      <c r="LTZ241" s="814"/>
      <c r="LUA241" s="813"/>
      <c r="LUB241" s="814"/>
      <c r="LUC241" s="813"/>
      <c r="LUD241" s="814"/>
      <c r="LUE241" s="813"/>
      <c r="LUF241" s="814"/>
      <c r="LUG241" s="813"/>
      <c r="LUH241" s="814"/>
      <c r="LUI241" s="813"/>
      <c r="LUJ241" s="814"/>
      <c r="LUK241" s="813"/>
      <c r="LUL241" s="814"/>
      <c r="LUM241" s="813"/>
      <c r="LUN241" s="814"/>
      <c r="LUO241" s="813"/>
      <c r="LUP241" s="814"/>
      <c r="LUQ241" s="813"/>
      <c r="LUR241" s="814"/>
      <c r="LUS241" s="813"/>
      <c r="LUT241" s="814"/>
      <c r="LUU241" s="813"/>
      <c r="LUV241" s="814"/>
      <c r="LUW241" s="813"/>
      <c r="LUX241" s="814"/>
      <c r="LUY241" s="813"/>
      <c r="LUZ241" s="814"/>
      <c r="LVA241" s="813"/>
      <c r="LVB241" s="814"/>
      <c r="LVC241" s="813"/>
      <c r="LVD241" s="814"/>
      <c r="LVE241" s="813"/>
      <c r="LVF241" s="814"/>
      <c r="LVG241" s="813"/>
      <c r="LVH241" s="814"/>
      <c r="LVI241" s="813"/>
      <c r="LVJ241" s="814"/>
      <c r="LVK241" s="813"/>
      <c r="LVL241" s="814"/>
      <c r="LVM241" s="813"/>
      <c r="LVN241" s="814"/>
      <c r="LVO241" s="813"/>
      <c r="LVP241" s="814"/>
      <c r="LVQ241" s="813"/>
      <c r="LVR241" s="814"/>
      <c r="LVS241" s="813"/>
      <c r="LVT241" s="814"/>
      <c r="LVU241" s="813"/>
      <c r="LVV241" s="814"/>
      <c r="LVW241" s="813"/>
      <c r="LVX241" s="814"/>
      <c r="LVY241" s="813"/>
      <c r="LVZ241" s="814"/>
      <c r="LWA241" s="813"/>
      <c r="LWB241" s="814"/>
      <c r="LWC241" s="813"/>
      <c r="LWD241" s="814"/>
      <c r="LWE241" s="813"/>
      <c r="LWF241" s="814"/>
      <c r="LWG241" s="813"/>
      <c r="LWH241" s="814"/>
      <c r="LWI241" s="813"/>
      <c r="LWJ241" s="814"/>
      <c r="LWK241" s="813"/>
      <c r="LWL241" s="814"/>
      <c r="LWM241" s="813"/>
      <c r="LWN241" s="814"/>
      <c r="LWO241" s="813"/>
      <c r="LWP241" s="814"/>
      <c r="LWQ241" s="813"/>
      <c r="LWR241" s="814"/>
      <c r="LWS241" s="813"/>
      <c r="LWT241" s="814"/>
      <c r="LWU241" s="813"/>
      <c r="LWV241" s="814"/>
      <c r="LWW241" s="813"/>
      <c r="LWX241" s="814"/>
      <c r="LWY241" s="813"/>
      <c r="LWZ241" s="814"/>
      <c r="LXA241" s="813"/>
      <c r="LXB241" s="814"/>
      <c r="LXC241" s="813"/>
      <c r="LXD241" s="814"/>
      <c r="LXE241" s="813"/>
      <c r="LXF241" s="814"/>
      <c r="LXG241" s="813"/>
      <c r="LXH241" s="814"/>
      <c r="LXI241" s="813"/>
      <c r="LXJ241" s="814"/>
      <c r="LXK241" s="813"/>
      <c r="LXL241" s="814"/>
      <c r="LXM241" s="813"/>
      <c r="LXN241" s="814"/>
      <c r="LXO241" s="813"/>
      <c r="LXP241" s="814"/>
      <c r="LXQ241" s="813"/>
      <c r="LXR241" s="814"/>
      <c r="LXS241" s="813"/>
      <c r="LXT241" s="814"/>
      <c r="LXU241" s="813"/>
      <c r="LXV241" s="814"/>
      <c r="LXW241" s="813"/>
      <c r="LXX241" s="814"/>
      <c r="LXY241" s="813"/>
      <c r="LXZ241" s="814"/>
      <c r="LYA241" s="813"/>
      <c r="LYB241" s="814"/>
      <c r="LYC241" s="813"/>
      <c r="LYD241" s="814"/>
      <c r="LYE241" s="813"/>
      <c r="LYF241" s="814"/>
      <c r="LYG241" s="813"/>
      <c r="LYH241" s="814"/>
      <c r="LYI241" s="813"/>
      <c r="LYJ241" s="814"/>
      <c r="LYK241" s="813"/>
      <c r="LYL241" s="814"/>
      <c r="LYM241" s="813"/>
      <c r="LYN241" s="814"/>
      <c r="LYO241" s="813"/>
      <c r="LYP241" s="814"/>
      <c r="LYQ241" s="813"/>
      <c r="LYR241" s="814"/>
      <c r="LYS241" s="813"/>
      <c r="LYT241" s="814"/>
      <c r="LYU241" s="813"/>
      <c r="LYV241" s="814"/>
      <c r="LYW241" s="813"/>
      <c r="LYX241" s="814"/>
      <c r="LYY241" s="813"/>
      <c r="LYZ241" s="814"/>
      <c r="LZA241" s="813"/>
      <c r="LZB241" s="814"/>
      <c r="LZC241" s="813"/>
      <c r="LZD241" s="814"/>
      <c r="LZE241" s="813"/>
      <c r="LZF241" s="814"/>
      <c r="LZG241" s="813"/>
      <c r="LZH241" s="814"/>
      <c r="LZI241" s="813"/>
      <c r="LZJ241" s="814"/>
      <c r="LZK241" s="813"/>
      <c r="LZL241" s="814"/>
      <c r="LZM241" s="813"/>
      <c r="LZN241" s="814"/>
      <c r="LZO241" s="813"/>
      <c r="LZP241" s="814"/>
      <c r="LZQ241" s="813"/>
      <c r="LZR241" s="814"/>
      <c r="LZS241" s="813"/>
      <c r="LZT241" s="814"/>
      <c r="LZU241" s="813"/>
      <c r="LZV241" s="814"/>
      <c r="LZW241" s="813"/>
      <c r="LZX241" s="814"/>
      <c r="LZY241" s="813"/>
      <c r="LZZ241" s="814"/>
      <c r="MAA241" s="813"/>
      <c r="MAB241" s="814"/>
      <c r="MAC241" s="813"/>
      <c r="MAD241" s="814"/>
      <c r="MAE241" s="813"/>
      <c r="MAF241" s="814"/>
      <c r="MAG241" s="813"/>
      <c r="MAH241" s="814"/>
      <c r="MAI241" s="813"/>
      <c r="MAJ241" s="814"/>
      <c r="MAK241" s="813"/>
      <c r="MAL241" s="814"/>
      <c r="MAM241" s="813"/>
      <c r="MAN241" s="814"/>
      <c r="MAO241" s="813"/>
      <c r="MAP241" s="814"/>
      <c r="MAQ241" s="813"/>
      <c r="MAR241" s="814"/>
      <c r="MAS241" s="813"/>
      <c r="MAT241" s="814"/>
      <c r="MAU241" s="813"/>
      <c r="MAV241" s="814"/>
      <c r="MAW241" s="813"/>
      <c r="MAX241" s="814"/>
      <c r="MAY241" s="813"/>
      <c r="MAZ241" s="814"/>
      <c r="MBA241" s="813"/>
      <c r="MBB241" s="814"/>
      <c r="MBC241" s="813"/>
      <c r="MBD241" s="814"/>
      <c r="MBE241" s="813"/>
      <c r="MBF241" s="814"/>
      <c r="MBG241" s="813"/>
      <c r="MBH241" s="814"/>
      <c r="MBI241" s="813"/>
      <c r="MBJ241" s="814"/>
      <c r="MBK241" s="813"/>
      <c r="MBL241" s="814"/>
      <c r="MBM241" s="813"/>
      <c r="MBN241" s="814"/>
      <c r="MBO241" s="813"/>
      <c r="MBP241" s="814"/>
      <c r="MBQ241" s="813"/>
      <c r="MBR241" s="814"/>
      <c r="MBS241" s="813"/>
      <c r="MBT241" s="814"/>
      <c r="MBU241" s="813"/>
      <c r="MBV241" s="814"/>
      <c r="MBW241" s="813"/>
      <c r="MBX241" s="814"/>
      <c r="MBY241" s="813"/>
      <c r="MBZ241" s="814"/>
      <c r="MCA241" s="813"/>
      <c r="MCB241" s="814"/>
      <c r="MCC241" s="813"/>
      <c r="MCD241" s="814"/>
      <c r="MCE241" s="813"/>
      <c r="MCF241" s="814"/>
      <c r="MCG241" s="813"/>
      <c r="MCH241" s="814"/>
      <c r="MCI241" s="813"/>
      <c r="MCJ241" s="814"/>
      <c r="MCK241" s="813"/>
      <c r="MCL241" s="814"/>
      <c r="MCM241" s="813"/>
      <c r="MCN241" s="814"/>
      <c r="MCO241" s="813"/>
      <c r="MCP241" s="814"/>
      <c r="MCQ241" s="813"/>
      <c r="MCR241" s="814"/>
      <c r="MCS241" s="813"/>
      <c r="MCT241" s="814"/>
      <c r="MCU241" s="813"/>
      <c r="MCV241" s="814"/>
      <c r="MCW241" s="813"/>
      <c r="MCX241" s="814"/>
      <c r="MCY241" s="813"/>
      <c r="MCZ241" s="814"/>
      <c r="MDA241" s="813"/>
      <c r="MDB241" s="814"/>
      <c r="MDC241" s="813"/>
      <c r="MDD241" s="814"/>
      <c r="MDE241" s="813"/>
      <c r="MDF241" s="814"/>
      <c r="MDG241" s="813"/>
      <c r="MDH241" s="814"/>
      <c r="MDI241" s="813"/>
      <c r="MDJ241" s="814"/>
      <c r="MDK241" s="813"/>
      <c r="MDL241" s="814"/>
      <c r="MDM241" s="813"/>
      <c r="MDN241" s="814"/>
      <c r="MDO241" s="813"/>
      <c r="MDP241" s="814"/>
      <c r="MDQ241" s="813"/>
      <c r="MDR241" s="814"/>
      <c r="MDS241" s="813"/>
      <c r="MDT241" s="814"/>
      <c r="MDU241" s="813"/>
      <c r="MDV241" s="814"/>
      <c r="MDW241" s="813"/>
      <c r="MDX241" s="814"/>
      <c r="MDY241" s="813"/>
      <c r="MDZ241" s="814"/>
      <c r="MEA241" s="813"/>
      <c r="MEB241" s="814"/>
      <c r="MEC241" s="813"/>
      <c r="MED241" s="814"/>
      <c r="MEE241" s="813"/>
      <c r="MEF241" s="814"/>
      <c r="MEG241" s="813"/>
      <c r="MEH241" s="814"/>
      <c r="MEI241" s="813"/>
      <c r="MEJ241" s="814"/>
      <c r="MEK241" s="813"/>
      <c r="MEL241" s="814"/>
      <c r="MEM241" s="813"/>
      <c r="MEN241" s="814"/>
      <c r="MEO241" s="813"/>
      <c r="MEP241" s="814"/>
      <c r="MEQ241" s="813"/>
      <c r="MER241" s="814"/>
      <c r="MES241" s="813"/>
      <c r="MET241" s="814"/>
      <c r="MEU241" s="813"/>
      <c r="MEV241" s="814"/>
      <c r="MEW241" s="813"/>
      <c r="MEX241" s="814"/>
      <c r="MEY241" s="813"/>
      <c r="MEZ241" s="814"/>
      <c r="MFA241" s="813"/>
      <c r="MFB241" s="814"/>
      <c r="MFC241" s="813"/>
      <c r="MFD241" s="814"/>
      <c r="MFE241" s="813"/>
      <c r="MFF241" s="814"/>
      <c r="MFG241" s="813"/>
      <c r="MFH241" s="814"/>
      <c r="MFI241" s="813"/>
      <c r="MFJ241" s="814"/>
      <c r="MFK241" s="813"/>
      <c r="MFL241" s="814"/>
      <c r="MFM241" s="813"/>
      <c r="MFN241" s="814"/>
      <c r="MFO241" s="813"/>
      <c r="MFP241" s="814"/>
      <c r="MFQ241" s="813"/>
      <c r="MFR241" s="814"/>
      <c r="MFS241" s="813"/>
      <c r="MFT241" s="814"/>
      <c r="MFU241" s="813"/>
      <c r="MFV241" s="814"/>
      <c r="MFW241" s="813"/>
      <c r="MFX241" s="814"/>
      <c r="MFY241" s="813"/>
      <c r="MFZ241" s="814"/>
      <c r="MGA241" s="813"/>
      <c r="MGB241" s="814"/>
      <c r="MGC241" s="813"/>
      <c r="MGD241" s="814"/>
      <c r="MGE241" s="813"/>
      <c r="MGF241" s="814"/>
      <c r="MGG241" s="813"/>
      <c r="MGH241" s="814"/>
      <c r="MGI241" s="813"/>
      <c r="MGJ241" s="814"/>
      <c r="MGK241" s="813"/>
      <c r="MGL241" s="814"/>
      <c r="MGM241" s="813"/>
      <c r="MGN241" s="814"/>
      <c r="MGO241" s="813"/>
      <c r="MGP241" s="814"/>
      <c r="MGQ241" s="813"/>
      <c r="MGR241" s="814"/>
      <c r="MGS241" s="813"/>
      <c r="MGT241" s="814"/>
      <c r="MGU241" s="813"/>
      <c r="MGV241" s="814"/>
      <c r="MGW241" s="813"/>
      <c r="MGX241" s="814"/>
      <c r="MGY241" s="813"/>
      <c r="MGZ241" s="814"/>
      <c r="MHA241" s="813"/>
      <c r="MHB241" s="814"/>
      <c r="MHC241" s="813"/>
      <c r="MHD241" s="814"/>
      <c r="MHE241" s="813"/>
      <c r="MHF241" s="814"/>
      <c r="MHG241" s="813"/>
      <c r="MHH241" s="814"/>
      <c r="MHI241" s="813"/>
      <c r="MHJ241" s="814"/>
      <c r="MHK241" s="813"/>
      <c r="MHL241" s="814"/>
      <c r="MHM241" s="813"/>
      <c r="MHN241" s="814"/>
      <c r="MHO241" s="813"/>
      <c r="MHP241" s="814"/>
      <c r="MHQ241" s="813"/>
      <c r="MHR241" s="814"/>
      <c r="MHS241" s="813"/>
      <c r="MHT241" s="814"/>
      <c r="MHU241" s="813"/>
      <c r="MHV241" s="814"/>
      <c r="MHW241" s="813"/>
      <c r="MHX241" s="814"/>
      <c r="MHY241" s="813"/>
      <c r="MHZ241" s="814"/>
      <c r="MIA241" s="813"/>
      <c r="MIB241" s="814"/>
      <c r="MIC241" s="813"/>
      <c r="MID241" s="814"/>
      <c r="MIE241" s="813"/>
      <c r="MIF241" s="814"/>
      <c r="MIG241" s="813"/>
      <c r="MIH241" s="814"/>
      <c r="MII241" s="813"/>
      <c r="MIJ241" s="814"/>
      <c r="MIK241" s="813"/>
      <c r="MIL241" s="814"/>
      <c r="MIM241" s="813"/>
      <c r="MIN241" s="814"/>
      <c r="MIO241" s="813"/>
      <c r="MIP241" s="814"/>
      <c r="MIQ241" s="813"/>
      <c r="MIR241" s="814"/>
      <c r="MIS241" s="813"/>
      <c r="MIT241" s="814"/>
      <c r="MIU241" s="813"/>
      <c r="MIV241" s="814"/>
      <c r="MIW241" s="813"/>
      <c r="MIX241" s="814"/>
      <c r="MIY241" s="813"/>
      <c r="MIZ241" s="814"/>
      <c r="MJA241" s="813"/>
      <c r="MJB241" s="814"/>
      <c r="MJC241" s="813"/>
      <c r="MJD241" s="814"/>
      <c r="MJE241" s="813"/>
      <c r="MJF241" s="814"/>
      <c r="MJG241" s="813"/>
      <c r="MJH241" s="814"/>
      <c r="MJI241" s="813"/>
      <c r="MJJ241" s="814"/>
      <c r="MJK241" s="813"/>
      <c r="MJL241" s="814"/>
      <c r="MJM241" s="813"/>
      <c r="MJN241" s="814"/>
      <c r="MJO241" s="813"/>
      <c r="MJP241" s="814"/>
      <c r="MJQ241" s="813"/>
      <c r="MJR241" s="814"/>
      <c r="MJS241" s="813"/>
      <c r="MJT241" s="814"/>
      <c r="MJU241" s="813"/>
      <c r="MJV241" s="814"/>
      <c r="MJW241" s="813"/>
      <c r="MJX241" s="814"/>
      <c r="MJY241" s="813"/>
      <c r="MJZ241" s="814"/>
      <c r="MKA241" s="813"/>
      <c r="MKB241" s="814"/>
      <c r="MKC241" s="813"/>
      <c r="MKD241" s="814"/>
      <c r="MKE241" s="813"/>
      <c r="MKF241" s="814"/>
      <c r="MKG241" s="813"/>
      <c r="MKH241" s="814"/>
      <c r="MKI241" s="813"/>
      <c r="MKJ241" s="814"/>
      <c r="MKK241" s="813"/>
      <c r="MKL241" s="814"/>
      <c r="MKM241" s="813"/>
      <c r="MKN241" s="814"/>
      <c r="MKO241" s="813"/>
      <c r="MKP241" s="814"/>
      <c r="MKQ241" s="813"/>
      <c r="MKR241" s="814"/>
      <c r="MKS241" s="813"/>
      <c r="MKT241" s="814"/>
      <c r="MKU241" s="813"/>
      <c r="MKV241" s="814"/>
      <c r="MKW241" s="813"/>
      <c r="MKX241" s="814"/>
      <c r="MKY241" s="813"/>
      <c r="MKZ241" s="814"/>
      <c r="MLA241" s="813"/>
      <c r="MLB241" s="814"/>
      <c r="MLC241" s="813"/>
      <c r="MLD241" s="814"/>
      <c r="MLE241" s="813"/>
      <c r="MLF241" s="814"/>
      <c r="MLG241" s="813"/>
      <c r="MLH241" s="814"/>
      <c r="MLI241" s="813"/>
      <c r="MLJ241" s="814"/>
      <c r="MLK241" s="813"/>
      <c r="MLL241" s="814"/>
      <c r="MLM241" s="813"/>
      <c r="MLN241" s="814"/>
      <c r="MLO241" s="813"/>
      <c r="MLP241" s="814"/>
      <c r="MLQ241" s="813"/>
      <c r="MLR241" s="814"/>
      <c r="MLS241" s="813"/>
      <c r="MLT241" s="814"/>
      <c r="MLU241" s="813"/>
      <c r="MLV241" s="814"/>
      <c r="MLW241" s="813"/>
      <c r="MLX241" s="814"/>
      <c r="MLY241" s="813"/>
      <c r="MLZ241" s="814"/>
      <c r="MMA241" s="813"/>
      <c r="MMB241" s="814"/>
      <c r="MMC241" s="813"/>
      <c r="MMD241" s="814"/>
      <c r="MME241" s="813"/>
      <c r="MMF241" s="814"/>
      <c r="MMG241" s="813"/>
      <c r="MMH241" s="814"/>
      <c r="MMI241" s="813"/>
      <c r="MMJ241" s="814"/>
      <c r="MMK241" s="813"/>
      <c r="MML241" s="814"/>
      <c r="MMM241" s="813"/>
      <c r="MMN241" s="814"/>
      <c r="MMO241" s="813"/>
      <c r="MMP241" s="814"/>
      <c r="MMQ241" s="813"/>
      <c r="MMR241" s="814"/>
      <c r="MMS241" s="813"/>
      <c r="MMT241" s="814"/>
      <c r="MMU241" s="813"/>
      <c r="MMV241" s="814"/>
      <c r="MMW241" s="813"/>
      <c r="MMX241" s="814"/>
      <c r="MMY241" s="813"/>
      <c r="MMZ241" s="814"/>
      <c r="MNA241" s="813"/>
      <c r="MNB241" s="814"/>
      <c r="MNC241" s="813"/>
      <c r="MND241" s="814"/>
      <c r="MNE241" s="813"/>
      <c r="MNF241" s="814"/>
      <c r="MNG241" s="813"/>
      <c r="MNH241" s="814"/>
      <c r="MNI241" s="813"/>
      <c r="MNJ241" s="814"/>
      <c r="MNK241" s="813"/>
      <c r="MNL241" s="814"/>
      <c r="MNM241" s="813"/>
      <c r="MNN241" s="814"/>
      <c r="MNO241" s="813"/>
      <c r="MNP241" s="814"/>
      <c r="MNQ241" s="813"/>
      <c r="MNR241" s="814"/>
      <c r="MNS241" s="813"/>
      <c r="MNT241" s="814"/>
      <c r="MNU241" s="813"/>
      <c r="MNV241" s="814"/>
      <c r="MNW241" s="813"/>
      <c r="MNX241" s="814"/>
      <c r="MNY241" s="813"/>
      <c r="MNZ241" s="814"/>
      <c r="MOA241" s="813"/>
      <c r="MOB241" s="814"/>
      <c r="MOC241" s="813"/>
      <c r="MOD241" s="814"/>
      <c r="MOE241" s="813"/>
      <c r="MOF241" s="814"/>
      <c r="MOG241" s="813"/>
      <c r="MOH241" s="814"/>
      <c r="MOI241" s="813"/>
      <c r="MOJ241" s="814"/>
      <c r="MOK241" s="813"/>
      <c r="MOL241" s="814"/>
      <c r="MOM241" s="813"/>
      <c r="MON241" s="814"/>
      <c r="MOO241" s="813"/>
      <c r="MOP241" s="814"/>
      <c r="MOQ241" s="813"/>
      <c r="MOR241" s="814"/>
      <c r="MOS241" s="813"/>
      <c r="MOT241" s="814"/>
      <c r="MOU241" s="813"/>
      <c r="MOV241" s="814"/>
      <c r="MOW241" s="813"/>
      <c r="MOX241" s="814"/>
      <c r="MOY241" s="813"/>
      <c r="MOZ241" s="814"/>
      <c r="MPA241" s="813"/>
      <c r="MPB241" s="814"/>
      <c r="MPC241" s="813"/>
      <c r="MPD241" s="814"/>
      <c r="MPE241" s="813"/>
      <c r="MPF241" s="814"/>
      <c r="MPG241" s="813"/>
      <c r="MPH241" s="814"/>
      <c r="MPI241" s="813"/>
      <c r="MPJ241" s="814"/>
      <c r="MPK241" s="813"/>
      <c r="MPL241" s="814"/>
      <c r="MPM241" s="813"/>
      <c r="MPN241" s="814"/>
      <c r="MPO241" s="813"/>
      <c r="MPP241" s="814"/>
      <c r="MPQ241" s="813"/>
      <c r="MPR241" s="814"/>
      <c r="MPS241" s="813"/>
      <c r="MPT241" s="814"/>
      <c r="MPU241" s="813"/>
      <c r="MPV241" s="814"/>
      <c r="MPW241" s="813"/>
      <c r="MPX241" s="814"/>
      <c r="MPY241" s="813"/>
      <c r="MPZ241" s="814"/>
      <c r="MQA241" s="813"/>
      <c r="MQB241" s="814"/>
      <c r="MQC241" s="813"/>
      <c r="MQD241" s="814"/>
      <c r="MQE241" s="813"/>
      <c r="MQF241" s="814"/>
      <c r="MQG241" s="813"/>
      <c r="MQH241" s="814"/>
      <c r="MQI241" s="813"/>
      <c r="MQJ241" s="814"/>
      <c r="MQK241" s="813"/>
      <c r="MQL241" s="814"/>
      <c r="MQM241" s="813"/>
      <c r="MQN241" s="814"/>
      <c r="MQO241" s="813"/>
      <c r="MQP241" s="814"/>
      <c r="MQQ241" s="813"/>
      <c r="MQR241" s="814"/>
      <c r="MQS241" s="813"/>
      <c r="MQT241" s="814"/>
      <c r="MQU241" s="813"/>
      <c r="MQV241" s="814"/>
      <c r="MQW241" s="813"/>
      <c r="MQX241" s="814"/>
      <c r="MQY241" s="813"/>
      <c r="MQZ241" s="814"/>
      <c r="MRA241" s="813"/>
      <c r="MRB241" s="814"/>
      <c r="MRC241" s="813"/>
      <c r="MRD241" s="814"/>
      <c r="MRE241" s="813"/>
      <c r="MRF241" s="814"/>
      <c r="MRG241" s="813"/>
      <c r="MRH241" s="814"/>
      <c r="MRI241" s="813"/>
      <c r="MRJ241" s="814"/>
      <c r="MRK241" s="813"/>
      <c r="MRL241" s="814"/>
      <c r="MRM241" s="813"/>
      <c r="MRN241" s="814"/>
      <c r="MRO241" s="813"/>
      <c r="MRP241" s="814"/>
      <c r="MRQ241" s="813"/>
      <c r="MRR241" s="814"/>
      <c r="MRS241" s="813"/>
      <c r="MRT241" s="814"/>
      <c r="MRU241" s="813"/>
      <c r="MRV241" s="814"/>
      <c r="MRW241" s="813"/>
      <c r="MRX241" s="814"/>
      <c r="MRY241" s="813"/>
      <c r="MRZ241" s="814"/>
      <c r="MSA241" s="813"/>
      <c r="MSB241" s="814"/>
      <c r="MSC241" s="813"/>
      <c r="MSD241" s="814"/>
      <c r="MSE241" s="813"/>
      <c r="MSF241" s="814"/>
      <c r="MSG241" s="813"/>
      <c r="MSH241" s="814"/>
      <c r="MSI241" s="813"/>
      <c r="MSJ241" s="814"/>
      <c r="MSK241" s="813"/>
      <c r="MSL241" s="814"/>
      <c r="MSM241" s="813"/>
      <c r="MSN241" s="814"/>
      <c r="MSO241" s="813"/>
      <c r="MSP241" s="814"/>
      <c r="MSQ241" s="813"/>
      <c r="MSR241" s="814"/>
      <c r="MSS241" s="813"/>
      <c r="MST241" s="814"/>
      <c r="MSU241" s="813"/>
      <c r="MSV241" s="814"/>
      <c r="MSW241" s="813"/>
      <c r="MSX241" s="814"/>
      <c r="MSY241" s="813"/>
      <c r="MSZ241" s="814"/>
      <c r="MTA241" s="813"/>
      <c r="MTB241" s="814"/>
      <c r="MTC241" s="813"/>
      <c r="MTD241" s="814"/>
      <c r="MTE241" s="813"/>
      <c r="MTF241" s="814"/>
      <c r="MTG241" s="813"/>
      <c r="MTH241" s="814"/>
      <c r="MTI241" s="813"/>
      <c r="MTJ241" s="814"/>
      <c r="MTK241" s="813"/>
      <c r="MTL241" s="814"/>
      <c r="MTM241" s="813"/>
      <c r="MTN241" s="814"/>
      <c r="MTO241" s="813"/>
      <c r="MTP241" s="814"/>
      <c r="MTQ241" s="813"/>
      <c r="MTR241" s="814"/>
      <c r="MTS241" s="813"/>
      <c r="MTT241" s="814"/>
      <c r="MTU241" s="813"/>
      <c r="MTV241" s="814"/>
      <c r="MTW241" s="813"/>
      <c r="MTX241" s="814"/>
      <c r="MTY241" s="813"/>
      <c r="MTZ241" s="814"/>
      <c r="MUA241" s="813"/>
      <c r="MUB241" s="814"/>
      <c r="MUC241" s="813"/>
      <c r="MUD241" s="814"/>
      <c r="MUE241" s="813"/>
      <c r="MUF241" s="814"/>
      <c r="MUG241" s="813"/>
      <c r="MUH241" s="814"/>
      <c r="MUI241" s="813"/>
      <c r="MUJ241" s="814"/>
      <c r="MUK241" s="813"/>
      <c r="MUL241" s="814"/>
      <c r="MUM241" s="813"/>
      <c r="MUN241" s="814"/>
      <c r="MUO241" s="813"/>
      <c r="MUP241" s="814"/>
      <c r="MUQ241" s="813"/>
      <c r="MUR241" s="814"/>
      <c r="MUS241" s="813"/>
      <c r="MUT241" s="814"/>
      <c r="MUU241" s="813"/>
      <c r="MUV241" s="814"/>
      <c r="MUW241" s="813"/>
      <c r="MUX241" s="814"/>
      <c r="MUY241" s="813"/>
      <c r="MUZ241" s="814"/>
      <c r="MVA241" s="813"/>
      <c r="MVB241" s="814"/>
      <c r="MVC241" s="813"/>
      <c r="MVD241" s="814"/>
      <c r="MVE241" s="813"/>
      <c r="MVF241" s="814"/>
      <c r="MVG241" s="813"/>
      <c r="MVH241" s="814"/>
      <c r="MVI241" s="813"/>
      <c r="MVJ241" s="814"/>
      <c r="MVK241" s="813"/>
      <c r="MVL241" s="814"/>
      <c r="MVM241" s="813"/>
      <c r="MVN241" s="814"/>
      <c r="MVO241" s="813"/>
      <c r="MVP241" s="814"/>
      <c r="MVQ241" s="813"/>
      <c r="MVR241" s="814"/>
      <c r="MVS241" s="813"/>
      <c r="MVT241" s="814"/>
      <c r="MVU241" s="813"/>
      <c r="MVV241" s="814"/>
      <c r="MVW241" s="813"/>
      <c r="MVX241" s="814"/>
      <c r="MVY241" s="813"/>
      <c r="MVZ241" s="814"/>
      <c r="MWA241" s="813"/>
      <c r="MWB241" s="814"/>
      <c r="MWC241" s="813"/>
      <c r="MWD241" s="814"/>
      <c r="MWE241" s="813"/>
      <c r="MWF241" s="814"/>
      <c r="MWG241" s="813"/>
      <c r="MWH241" s="814"/>
      <c r="MWI241" s="813"/>
      <c r="MWJ241" s="814"/>
      <c r="MWK241" s="813"/>
      <c r="MWL241" s="814"/>
      <c r="MWM241" s="813"/>
      <c r="MWN241" s="814"/>
      <c r="MWO241" s="813"/>
      <c r="MWP241" s="814"/>
      <c r="MWQ241" s="813"/>
      <c r="MWR241" s="814"/>
      <c r="MWS241" s="813"/>
      <c r="MWT241" s="814"/>
      <c r="MWU241" s="813"/>
      <c r="MWV241" s="814"/>
      <c r="MWW241" s="813"/>
      <c r="MWX241" s="814"/>
      <c r="MWY241" s="813"/>
      <c r="MWZ241" s="814"/>
      <c r="MXA241" s="813"/>
      <c r="MXB241" s="814"/>
      <c r="MXC241" s="813"/>
      <c r="MXD241" s="814"/>
      <c r="MXE241" s="813"/>
      <c r="MXF241" s="814"/>
      <c r="MXG241" s="813"/>
      <c r="MXH241" s="814"/>
      <c r="MXI241" s="813"/>
      <c r="MXJ241" s="814"/>
      <c r="MXK241" s="813"/>
      <c r="MXL241" s="814"/>
      <c r="MXM241" s="813"/>
      <c r="MXN241" s="814"/>
      <c r="MXO241" s="813"/>
      <c r="MXP241" s="814"/>
      <c r="MXQ241" s="813"/>
      <c r="MXR241" s="814"/>
      <c r="MXS241" s="813"/>
      <c r="MXT241" s="814"/>
      <c r="MXU241" s="813"/>
      <c r="MXV241" s="814"/>
      <c r="MXW241" s="813"/>
      <c r="MXX241" s="814"/>
      <c r="MXY241" s="813"/>
      <c r="MXZ241" s="814"/>
      <c r="MYA241" s="813"/>
      <c r="MYB241" s="814"/>
      <c r="MYC241" s="813"/>
      <c r="MYD241" s="814"/>
      <c r="MYE241" s="813"/>
      <c r="MYF241" s="814"/>
      <c r="MYG241" s="813"/>
      <c r="MYH241" s="814"/>
      <c r="MYI241" s="813"/>
      <c r="MYJ241" s="814"/>
      <c r="MYK241" s="813"/>
      <c r="MYL241" s="814"/>
      <c r="MYM241" s="813"/>
      <c r="MYN241" s="814"/>
      <c r="MYO241" s="813"/>
      <c r="MYP241" s="814"/>
      <c r="MYQ241" s="813"/>
      <c r="MYR241" s="814"/>
      <c r="MYS241" s="813"/>
      <c r="MYT241" s="814"/>
      <c r="MYU241" s="813"/>
      <c r="MYV241" s="814"/>
      <c r="MYW241" s="813"/>
      <c r="MYX241" s="814"/>
      <c r="MYY241" s="813"/>
      <c r="MYZ241" s="814"/>
      <c r="MZA241" s="813"/>
      <c r="MZB241" s="814"/>
      <c r="MZC241" s="813"/>
      <c r="MZD241" s="814"/>
      <c r="MZE241" s="813"/>
      <c r="MZF241" s="814"/>
      <c r="MZG241" s="813"/>
      <c r="MZH241" s="814"/>
      <c r="MZI241" s="813"/>
      <c r="MZJ241" s="814"/>
      <c r="MZK241" s="813"/>
      <c r="MZL241" s="814"/>
      <c r="MZM241" s="813"/>
      <c r="MZN241" s="814"/>
      <c r="MZO241" s="813"/>
      <c r="MZP241" s="814"/>
      <c r="MZQ241" s="813"/>
      <c r="MZR241" s="814"/>
      <c r="MZS241" s="813"/>
      <c r="MZT241" s="814"/>
      <c r="MZU241" s="813"/>
      <c r="MZV241" s="814"/>
      <c r="MZW241" s="813"/>
      <c r="MZX241" s="814"/>
      <c r="MZY241" s="813"/>
      <c r="MZZ241" s="814"/>
      <c r="NAA241" s="813"/>
      <c r="NAB241" s="814"/>
      <c r="NAC241" s="813"/>
      <c r="NAD241" s="814"/>
      <c r="NAE241" s="813"/>
      <c r="NAF241" s="814"/>
      <c r="NAG241" s="813"/>
      <c r="NAH241" s="814"/>
      <c r="NAI241" s="813"/>
      <c r="NAJ241" s="814"/>
      <c r="NAK241" s="813"/>
      <c r="NAL241" s="814"/>
      <c r="NAM241" s="813"/>
      <c r="NAN241" s="814"/>
      <c r="NAO241" s="813"/>
      <c r="NAP241" s="814"/>
      <c r="NAQ241" s="813"/>
      <c r="NAR241" s="814"/>
      <c r="NAS241" s="813"/>
      <c r="NAT241" s="814"/>
      <c r="NAU241" s="813"/>
      <c r="NAV241" s="814"/>
      <c r="NAW241" s="813"/>
      <c r="NAX241" s="814"/>
      <c r="NAY241" s="813"/>
      <c r="NAZ241" s="814"/>
      <c r="NBA241" s="813"/>
      <c r="NBB241" s="814"/>
      <c r="NBC241" s="813"/>
      <c r="NBD241" s="814"/>
      <c r="NBE241" s="813"/>
      <c r="NBF241" s="814"/>
      <c r="NBG241" s="813"/>
      <c r="NBH241" s="814"/>
      <c r="NBI241" s="813"/>
      <c r="NBJ241" s="814"/>
      <c r="NBK241" s="813"/>
      <c r="NBL241" s="814"/>
      <c r="NBM241" s="813"/>
      <c r="NBN241" s="814"/>
      <c r="NBO241" s="813"/>
      <c r="NBP241" s="814"/>
      <c r="NBQ241" s="813"/>
      <c r="NBR241" s="814"/>
      <c r="NBS241" s="813"/>
      <c r="NBT241" s="814"/>
      <c r="NBU241" s="813"/>
      <c r="NBV241" s="814"/>
      <c r="NBW241" s="813"/>
      <c r="NBX241" s="814"/>
      <c r="NBY241" s="813"/>
      <c r="NBZ241" s="814"/>
      <c r="NCA241" s="813"/>
      <c r="NCB241" s="814"/>
      <c r="NCC241" s="813"/>
      <c r="NCD241" s="814"/>
      <c r="NCE241" s="813"/>
      <c r="NCF241" s="814"/>
      <c r="NCG241" s="813"/>
      <c r="NCH241" s="814"/>
      <c r="NCI241" s="813"/>
      <c r="NCJ241" s="814"/>
      <c r="NCK241" s="813"/>
      <c r="NCL241" s="814"/>
      <c r="NCM241" s="813"/>
      <c r="NCN241" s="814"/>
      <c r="NCO241" s="813"/>
      <c r="NCP241" s="814"/>
      <c r="NCQ241" s="813"/>
      <c r="NCR241" s="814"/>
      <c r="NCS241" s="813"/>
      <c r="NCT241" s="814"/>
      <c r="NCU241" s="813"/>
      <c r="NCV241" s="814"/>
      <c r="NCW241" s="813"/>
      <c r="NCX241" s="814"/>
      <c r="NCY241" s="813"/>
      <c r="NCZ241" s="814"/>
      <c r="NDA241" s="813"/>
      <c r="NDB241" s="814"/>
      <c r="NDC241" s="813"/>
      <c r="NDD241" s="814"/>
      <c r="NDE241" s="813"/>
      <c r="NDF241" s="814"/>
      <c r="NDG241" s="813"/>
      <c r="NDH241" s="814"/>
      <c r="NDI241" s="813"/>
      <c r="NDJ241" s="814"/>
      <c r="NDK241" s="813"/>
      <c r="NDL241" s="814"/>
      <c r="NDM241" s="813"/>
      <c r="NDN241" s="814"/>
      <c r="NDO241" s="813"/>
      <c r="NDP241" s="814"/>
      <c r="NDQ241" s="813"/>
      <c r="NDR241" s="814"/>
      <c r="NDS241" s="813"/>
      <c r="NDT241" s="814"/>
      <c r="NDU241" s="813"/>
      <c r="NDV241" s="814"/>
      <c r="NDW241" s="813"/>
      <c r="NDX241" s="814"/>
      <c r="NDY241" s="813"/>
      <c r="NDZ241" s="814"/>
      <c r="NEA241" s="813"/>
      <c r="NEB241" s="814"/>
      <c r="NEC241" s="813"/>
      <c r="NED241" s="814"/>
      <c r="NEE241" s="813"/>
      <c r="NEF241" s="814"/>
      <c r="NEG241" s="813"/>
      <c r="NEH241" s="814"/>
      <c r="NEI241" s="813"/>
      <c r="NEJ241" s="814"/>
      <c r="NEK241" s="813"/>
      <c r="NEL241" s="814"/>
      <c r="NEM241" s="813"/>
      <c r="NEN241" s="814"/>
      <c r="NEO241" s="813"/>
      <c r="NEP241" s="814"/>
      <c r="NEQ241" s="813"/>
      <c r="NER241" s="814"/>
      <c r="NES241" s="813"/>
      <c r="NET241" s="814"/>
      <c r="NEU241" s="813"/>
      <c r="NEV241" s="814"/>
      <c r="NEW241" s="813"/>
      <c r="NEX241" s="814"/>
      <c r="NEY241" s="813"/>
      <c r="NEZ241" s="814"/>
      <c r="NFA241" s="813"/>
      <c r="NFB241" s="814"/>
      <c r="NFC241" s="813"/>
      <c r="NFD241" s="814"/>
      <c r="NFE241" s="813"/>
      <c r="NFF241" s="814"/>
      <c r="NFG241" s="813"/>
      <c r="NFH241" s="814"/>
      <c r="NFI241" s="813"/>
      <c r="NFJ241" s="814"/>
      <c r="NFK241" s="813"/>
      <c r="NFL241" s="814"/>
      <c r="NFM241" s="813"/>
      <c r="NFN241" s="814"/>
      <c r="NFO241" s="813"/>
      <c r="NFP241" s="814"/>
      <c r="NFQ241" s="813"/>
      <c r="NFR241" s="814"/>
      <c r="NFS241" s="813"/>
      <c r="NFT241" s="814"/>
      <c r="NFU241" s="813"/>
      <c r="NFV241" s="814"/>
      <c r="NFW241" s="813"/>
      <c r="NFX241" s="814"/>
      <c r="NFY241" s="813"/>
      <c r="NFZ241" s="814"/>
      <c r="NGA241" s="813"/>
      <c r="NGB241" s="814"/>
      <c r="NGC241" s="813"/>
      <c r="NGD241" s="814"/>
      <c r="NGE241" s="813"/>
      <c r="NGF241" s="814"/>
      <c r="NGG241" s="813"/>
      <c r="NGH241" s="814"/>
      <c r="NGI241" s="813"/>
      <c r="NGJ241" s="814"/>
      <c r="NGK241" s="813"/>
      <c r="NGL241" s="814"/>
      <c r="NGM241" s="813"/>
      <c r="NGN241" s="814"/>
      <c r="NGO241" s="813"/>
      <c r="NGP241" s="814"/>
      <c r="NGQ241" s="813"/>
      <c r="NGR241" s="814"/>
      <c r="NGS241" s="813"/>
      <c r="NGT241" s="814"/>
      <c r="NGU241" s="813"/>
      <c r="NGV241" s="814"/>
      <c r="NGW241" s="813"/>
      <c r="NGX241" s="814"/>
      <c r="NGY241" s="813"/>
      <c r="NGZ241" s="814"/>
      <c r="NHA241" s="813"/>
      <c r="NHB241" s="814"/>
      <c r="NHC241" s="813"/>
      <c r="NHD241" s="814"/>
      <c r="NHE241" s="813"/>
      <c r="NHF241" s="814"/>
      <c r="NHG241" s="813"/>
      <c r="NHH241" s="814"/>
      <c r="NHI241" s="813"/>
      <c r="NHJ241" s="814"/>
      <c r="NHK241" s="813"/>
      <c r="NHL241" s="814"/>
      <c r="NHM241" s="813"/>
      <c r="NHN241" s="814"/>
      <c r="NHO241" s="813"/>
      <c r="NHP241" s="814"/>
      <c r="NHQ241" s="813"/>
      <c r="NHR241" s="814"/>
      <c r="NHS241" s="813"/>
      <c r="NHT241" s="814"/>
      <c r="NHU241" s="813"/>
      <c r="NHV241" s="814"/>
      <c r="NHW241" s="813"/>
      <c r="NHX241" s="814"/>
      <c r="NHY241" s="813"/>
      <c r="NHZ241" s="814"/>
      <c r="NIA241" s="813"/>
      <c r="NIB241" s="814"/>
      <c r="NIC241" s="813"/>
      <c r="NID241" s="814"/>
      <c r="NIE241" s="813"/>
      <c r="NIF241" s="814"/>
      <c r="NIG241" s="813"/>
      <c r="NIH241" s="814"/>
      <c r="NII241" s="813"/>
      <c r="NIJ241" s="814"/>
      <c r="NIK241" s="813"/>
      <c r="NIL241" s="814"/>
      <c r="NIM241" s="813"/>
      <c r="NIN241" s="814"/>
      <c r="NIO241" s="813"/>
      <c r="NIP241" s="814"/>
      <c r="NIQ241" s="813"/>
      <c r="NIR241" s="814"/>
      <c r="NIS241" s="813"/>
      <c r="NIT241" s="814"/>
      <c r="NIU241" s="813"/>
      <c r="NIV241" s="814"/>
      <c r="NIW241" s="813"/>
      <c r="NIX241" s="814"/>
      <c r="NIY241" s="813"/>
      <c r="NIZ241" s="814"/>
      <c r="NJA241" s="813"/>
      <c r="NJB241" s="814"/>
      <c r="NJC241" s="813"/>
      <c r="NJD241" s="814"/>
      <c r="NJE241" s="813"/>
      <c r="NJF241" s="814"/>
      <c r="NJG241" s="813"/>
      <c r="NJH241" s="814"/>
      <c r="NJI241" s="813"/>
      <c r="NJJ241" s="814"/>
      <c r="NJK241" s="813"/>
      <c r="NJL241" s="814"/>
      <c r="NJM241" s="813"/>
      <c r="NJN241" s="814"/>
      <c r="NJO241" s="813"/>
      <c r="NJP241" s="814"/>
      <c r="NJQ241" s="813"/>
      <c r="NJR241" s="814"/>
      <c r="NJS241" s="813"/>
      <c r="NJT241" s="814"/>
      <c r="NJU241" s="813"/>
      <c r="NJV241" s="814"/>
      <c r="NJW241" s="813"/>
      <c r="NJX241" s="814"/>
      <c r="NJY241" s="813"/>
      <c r="NJZ241" s="814"/>
      <c r="NKA241" s="813"/>
      <c r="NKB241" s="814"/>
      <c r="NKC241" s="813"/>
      <c r="NKD241" s="814"/>
      <c r="NKE241" s="813"/>
      <c r="NKF241" s="814"/>
      <c r="NKG241" s="813"/>
      <c r="NKH241" s="814"/>
      <c r="NKI241" s="813"/>
      <c r="NKJ241" s="814"/>
      <c r="NKK241" s="813"/>
      <c r="NKL241" s="814"/>
      <c r="NKM241" s="813"/>
      <c r="NKN241" s="814"/>
      <c r="NKO241" s="813"/>
      <c r="NKP241" s="814"/>
      <c r="NKQ241" s="813"/>
      <c r="NKR241" s="814"/>
      <c r="NKS241" s="813"/>
      <c r="NKT241" s="814"/>
      <c r="NKU241" s="813"/>
      <c r="NKV241" s="814"/>
      <c r="NKW241" s="813"/>
      <c r="NKX241" s="814"/>
      <c r="NKY241" s="813"/>
      <c r="NKZ241" s="814"/>
      <c r="NLA241" s="813"/>
      <c r="NLB241" s="814"/>
      <c r="NLC241" s="813"/>
      <c r="NLD241" s="814"/>
      <c r="NLE241" s="813"/>
      <c r="NLF241" s="814"/>
      <c r="NLG241" s="813"/>
      <c r="NLH241" s="814"/>
      <c r="NLI241" s="813"/>
      <c r="NLJ241" s="814"/>
      <c r="NLK241" s="813"/>
      <c r="NLL241" s="814"/>
      <c r="NLM241" s="813"/>
      <c r="NLN241" s="814"/>
      <c r="NLO241" s="813"/>
      <c r="NLP241" s="814"/>
      <c r="NLQ241" s="813"/>
      <c r="NLR241" s="814"/>
      <c r="NLS241" s="813"/>
      <c r="NLT241" s="814"/>
      <c r="NLU241" s="813"/>
      <c r="NLV241" s="814"/>
      <c r="NLW241" s="813"/>
      <c r="NLX241" s="814"/>
      <c r="NLY241" s="813"/>
      <c r="NLZ241" s="814"/>
      <c r="NMA241" s="813"/>
      <c r="NMB241" s="814"/>
      <c r="NMC241" s="813"/>
      <c r="NMD241" s="814"/>
      <c r="NME241" s="813"/>
      <c r="NMF241" s="814"/>
      <c r="NMG241" s="813"/>
      <c r="NMH241" s="814"/>
      <c r="NMI241" s="813"/>
      <c r="NMJ241" s="814"/>
      <c r="NMK241" s="813"/>
      <c r="NML241" s="814"/>
      <c r="NMM241" s="813"/>
      <c r="NMN241" s="814"/>
      <c r="NMO241" s="813"/>
      <c r="NMP241" s="814"/>
      <c r="NMQ241" s="813"/>
      <c r="NMR241" s="814"/>
      <c r="NMS241" s="813"/>
      <c r="NMT241" s="814"/>
      <c r="NMU241" s="813"/>
      <c r="NMV241" s="814"/>
      <c r="NMW241" s="813"/>
      <c r="NMX241" s="814"/>
      <c r="NMY241" s="813"/>
      <c r="NMZ241" s="814"/>
      <c r="NNA241" s="813"/>
      <c r="NNB241" s="814"/>
      <c r="NNC241" s="813"/>
      <c r="NND241" s="814"/>
      <c r="NNE241" s="813"/>
      <c r="NNF241" s="814"/>
      <c r="NNG241" s="813"/>
      <c r="NNH241" s="814"/>
      <c r="NNI241" s="813"/>
      <c r="NNJ241" s="814"/>
      <c r="NNK241" s="813"/>
      <c r="NNL241" s="814"/>
      <c r="NNM241" s="813"/>
      <c r="NNN241" s="814"/>
      <c r="NNO241" s="813"/>
      <c r="NNP241" s="814"/>
      <c r="NNQ241" s="813"/>
      <c r="NNR241" s="814"/>
      <c r="NNS241" s="813"/>
      <c r="NNT241" s="814"/>
      <c r="NNU241" s="813"/>
      <c r="NNV241" s="814"/>
      <c r="NNW241" s="813"/>
      <c r="NNX241" s="814"/>
      <c r="NNY241" s="813"/>
      <c r="NNZ241" s="814"/>
      <c r="NOA241" s="813"/>
      <c r="NOB241" s="814"/>
      <c r="NOC241" s="813"/>
      <c r="NOD241" s="814"/>
      <c r="NOE241" s="813"/>
      <c r="NOF241" s="814"/>
      <c r="NOG241" s="813"/>
      <c r="NOH241" s="814"/>
      <c r="NOI241" s="813"/>
      <c r="NOJ241" s="814"/>
      <c r="NOK241" s="813"/>
      <c r="NOL241" s="814"/>
      <c r="NOM241" s="813"/>
      <c r="NON241" s="814"/>
      <c r="NOO241" s="813"/>
      <c r="NOP241" s="814"/>
      <c r="NOQ241" s="813"/>
      <c r="NOR241" s="814"/>
      <c r="NOS241" s="813"/>
      <c r="NOT241" s="814"/>
      <c r="NOU241" s="813"/>
      <c r="NOV241" s="814"/>
      <c r="NOW241" s="813"/>
      <c r="NOX241" s="814"/>
      <c r="NOY241" s="813"/>
      <c r="NOZ241" s="814"/>
      <c r="NPA241" s="813"/>
      <c r="NPB241" s="814"/>
      <c r="NPC241" s="813"/>
      <c r="NPD241" s="814"/>
      <c r="NPE241" s="813"/>
      <c r="NPF241" s="814"/>
      <c r="NPG241" s="813"/>
      <c r="NPH241" s="814"/>
      <c r="NPI241" s="813"/>
      <c r="NPJ241" s="814"/>
      <c r="NPK241" s="813"/>
      <c r="NPL241" s="814"/>
      <c r="NPM241" s="813"/>
      <c r="NPN241" s="814"/>
      <c r="NPO241" s="813"/>
      <c r="NPP241" s="814"/>
      <c r="NPQ241" s="813"/>
      <c r="NPR241" s="814"/>
      <c r="NPS241" s="813"/>
      <c r="NPT241" s="814"/>
      <c r="NPU241" s="813"/>
      <c r="NPV241" s="814"/>
      <c r="NPW241" s="813"/>
      <c r="NPX241" s="814"/>
      <c r="NPY241" s="813"/>
      <c r="NPZ241" s="814"/>
      <c r="NQA241" s="813"/>
      <c r="NQB241" s="814"/>
      <c r="NQC241" s="813"/>
      <c r="NQD241" s="814"/>
      <c r="NQE241" s="813"/>
      <c r="NQF241" s="814"/>
      <c r="NQG241" s="813"/>
      <c r="NQH241" s="814"/>
      <c r="NQI241" s="813"/>
      <c r="NQJ241" s="814"/>
      <c r="NQK241" s="813"/>
      <c r="NQL241" s="814"/>
      <c r="NQM241" s="813"/>
      <c r="NQN241" s="814"/>
      <c r="NQO241" s="813"/>
      <c r="NQP241" s="814"/>
      <c r="NQQ241" s="813"/>
      <c r="NQR241" s="814"/>
      <c r="NQS241" s="813"/>
      <c r="NQT241" s="814"/>
      <c r="NQU241" s="813"/>
      <c r="NQV241" s="814"/>
      <c r="NQW241" s="813"/>
      <c r="NQX241" s="814"/>
      <c r="NQY241" s="813"/>
      <c r="NQZ241" s="814"/>
      <c r="NRA241" s="813"/>
      <c r="NRB241" s="814"/>
      <c r="NRC241" s="813"/>
      <c r="NRD241" s="814"/>
      <c r="NRE241" s="813"/>
      <c r="NRF241" s="814"/>
      <c r="NRG241" s="813"/>
      <c r="NRH241" s="814"/>
      <c r="NRI241" s="813"/>
      <c r="NRJ241" s="814"/>
      <c r="NRK241" s="813"/>
      <c r="NRL241" s="814"/>
      <c r="NRM241" s="813"/>
      <c r="NRN241" s="814"/>
      <c r="NRO241" s="813"/>
      <c r="NRP241" s="814"/>
      <c r="NRQ241" s="813"/>
      <c r="NRR241" s="814"/>
      <c r="NRS241" s="813"/>
      <c r="NRT241" s="814"/>
      <c r="NRU241" s="813"/>
      <c r="NRV241" s="814"/>
      <c r="NRW241" s="813"/>
      <c r="NRX241" s="814"/>
      <c r="NRY241" s="813"/>
      <c r="NRZ241" s="814"/>
      <c r="NSA241" s="813"/>
      <c r="NSB241" s="814"/>
      <c r="NSC241" s="813"/>
      <c r="NSD241" s="814"/>
      <c r="NSE241" s="813"/>
      <c r="NSF241" s="814"/>
      <c r="NSG241" s="813"/>
      <c r="NSH241" s="814"/>
      <c r="NSI241" s="813"/>
      <c r="NSJ241" s="814"/>
      <c r="NSK241" s="813"/>
      <c r="NSL241" s="814"/>
      <c r="NSM241" s="813"/>
      <c r="NSN241" s="814"/>
      <c r="NSO241" s="813"/>
      <c r="NSP241" s="814"/>
      <c r="NSQ241" s="813"/>
      <c r="NSR241" s="814"/>
      <c r="NSS241" s="813"/>
      <c r="NST241" s="814"/>
      <c r="NSU241" s="813"/>
      <c r="NSV241" s="814"/>
      <c r="NSW241" s="813"/>
      <c r="NSX241" s="814"/>
      <c r="NSY241" s="813"/>
      <c r="NSZ241" s="814"/>
      <c r="NTA241" s="813"/>
      <c r="NTB241" s="814"/>
      <c r="NTC241" s="813"/>
      <c r="NTD241" s="814"/>
      <c r="NTE241" s="813"/>
      <c r="NTF241" s="814"/>
      <c r="NTG241" s="813"/>
      <c r="NTH241" s="814"/>
      <c r="NTI241" s="813"/>
      <c r="NTJ241" s="814"/>
      <c r="NTK241" s="813"/>
      <c r="NTL241" s="814"/>
      <c r="NTM241" s="813"/>
      <c r="NTN241" s="814"/>
      <c r="NTO241" s="813"/>
      <c r="NTP241" s="814"/>
      <c r="NTQ241" s="813"/>
      <c r="NTR241" s="814"/>
      <c r="NTS241" s="813"/>
      <c r="NTT241" s="814"/>
      <c r="NTU241" s="813"/>
      <c r="NTV241" s="814"/>
      <c r="NTW241" s="813"/>
      <c r="NTX241" s="814"/>
      <c r="NTY241" s="813"/>
      <c r="NTZ241" s="814"/>
      <c r="NUA241" s="813"/>
      <c r="NUB241" s="814"/>
      <c r="NUC241" s="813"/>
      <c r="NUD241" s="814"/>
      <c r="NUE241" s="813"/>
      <c r="NUF241" s="814"/>
      <c r="NUG241" s="813"/>
      <c r="NUH241" s="814"/>
      <c r="NUI241" s="813"/>
      <c r="NUJ241" s="814"/>
      <c r="NUK241" s="813"/>
      <c r="NUL241" s="814"/>
      <c r="NUM241" s="813"/>
      <c r="NUN241" s="814"/>
      <c r="NUO241" s="813"/>
      <c r="NUP241" s="814"/>
      <c r="NUQ241" s="813"/>
      <c r="NUR241" s="814"/>
      <c r="NUS241" s="813"/>
      <c r="NUT241" s="814"/>
      <c r="NUU241" s="813"/>
      <c r="NUV241" s="814"/>
      <c r="NUW241" s="813"/>
      <c r="NUX241" s="814"/>
      <c r="NUY241" s="813"/>
      <c r="NUZ241" s="814"/>
      <c r="NVA241" s="813"/>
      <c r="NVB241" s="814"/>
      <c r="NVC241" s="813"/>
      <c r="NVD241" s="814"/>
      <c r="NVE241" s="813"/>
      <c r="NVF241" s="814"/>
      <c r="NVG241" s="813"/>
      <c r="NVH241" s="814"/>
      <c r="NVI241" s="813"/>
      <c r="NVJ241" s="814"/>
      <c r="NVK241" s="813"/>
      <c r="NVL241" s="814"/>
      <c r="NVM241" s="813"/>
      <c r="NVN241" s="814"/>
      <c r="NVO241" s="813"/>
      <c r="NVP241" s="814"/>
      <c r="NVQ241" s="813"/>
      <c r="NVR241" s="814"/>
      <c r="NVS241" s="813"/>
      <c r="NVT241" s="814"/>
      <c r="NVU241" s="813"/>
      <c r="NVV241" s="814"/>
      <c r="NVW241" s="813"/>
      <c r="NVX241" s="814"/>
      <c r="NVY241" s="813"/>
      <c r="NVZ241" s="814"/>
      <c r="NWA241" s="813"/>
      <c r="NWB241" s="814"/>
      <c r="NWC241" s="813"/>
      <c r="NWD241" s="814"/>
      <c r="NWE241" s="813"/>
      <c r="NWF241" s="814"/>
      <c r="NWG241" s="813"/>
      <c r="NWH241" s="814"/>
      <c r="NWI241" s="813"/>
      <c r="NWJ241" s="814"/>
      <c r="NWK241" s="813"/>
      <c r="NWL241" s="814"/>
      <c r="NWM241" s="813"/>
      <c r="NWN241" s="814"/>
      <c r="NWO241" s="813"/>
      <c r="NWP241" s="814"/>
      <c r="NWQ241" s="813"/>
      <c r="NWR241" s="814"/>
      <c r="NWS241" s="813"/>
      <c r="NWT241" s="814"/>
      <c r="NWU241" s="813"/>
      <c r="NWV241" s="814"/>
      <c r="NWW241" s="813"/>
      <c r="NWX241" s="814"/>
      <c r="NWY241" s="813"/>
      <c r="NWZ241" s="814"/>
      <c r="NXA241" s="813"/>
      <c r="NXB241" s="814"/>
      <c r="NXC241" s="813"/>
      <c r="NXD241" s="814"/>
      <c r="NXE241" s="813"/>
      <c r="NXF241" s="814"/>
      <c r="NXG241" s="813"/>
      <c r="NXH241" s="814"/>
      <c r="NXI241" s="813"/>
      <c r="NXJ241" s="814"/>
      <c r="NXK241" s="813"/>
      <c r="NXL241" s="814"/>
      <c r="NXM241" s="813"/>
      <c r="NXN241" s="814"/>
      <c r="NXO241" s="813"/>
      <c r="NXP241" s="814"/>
      <c r="NXQ241" s="813"/>
      <c r="NXR241" s="814"/>
      <c r="NXS241" s="813"/>
      <c r="NXT241" s="814"/>
      <c r="NXU241" s="813"/>
      <c r="NXV241" s="814"/>
      <c r="NXW241" s="813"/>
      <c r="NXX241" s="814"/>
      <c r="NXY241" s="813"/>
      <c r="NXZ241" s="814"/>
      <c r="NYA241" s="813"/>
      <c r="NYB241" s="814"/>
      <c r="NYC241" s="813"/>
      <c r="NYD241" s="814"/>
      <c r="NYE241" s="813"/>
      <c r="NYF241" s="814"/>
      <c r="NYG241" s="813"/>
      <c r="NYH241" s="814"/>
      <c r="NYI241" s="813"/>
      <c r="NYJ241" s="814"/>
      <c r="NYK241" s="813"/>
      <c r="NYL241" s="814"/>
      <c r="NYM241" s="813"/>
      <c r="NYN241" s="814"/>
      <c r="NYO241" s="813"/>
      <c r="NYP241" s="814"/>
      <c r="NYQ241" s="813"/>
      <c r="NYR241" s="814"/>
      <c r="NYS241" s="813"/>
      <c r="NYT241" s="814"/>
      <c r="NYU241" s="813"/>
      <c r="NYV241" s="814"/>
      <c r="NYW241" s="813"/>
      <c r="NYX241" s="814"/>
      <c r="NYY241" s="813"/>
      <c r="NYZ241" s="814"/>
      <c r="NZA241" s="813"/>
      <c r="NZB241" s="814"/>
      <c r="NZC241" s="813"/>
      <c r="NZD241" s="814"/>
      <c r="NZE241" s="813"/>
      <c r="NZF241" s="814"/>
      <c r="NZG241" s="813"/>
      <c r="NZH241" s="814"/>
      <c r="NZI241" s="813"/>
      <c r="NZJ241" s="814"/>
      <c r="NZK241" s="813"/>
      <c r="NZL241" s="814"/>
      <c r="NZM241" s="813"/>
      <c r="NZN241" s="814"/>
      <c r="NZO241" s="813"/>
      <c r="NZP241" s="814"/>
      <c r="NZQ241" s="813"/>
      <c r="NZR241" s="814"/>
      <c r="NZS241" s="813"/>
      <c r="NZT241" s="814"/>
      <c r="NZU241" s="813"/>
      <c r="NZV241" s="814"/>
      <c r="NZW241" s="813"/>
      <c r="NZX241" s="814"/>
      <c r="NZY241" s="813"/>
      <c r="NZZ241" s="814"/>
      <c r="OAA241" s="813"/>
      <c r="OAB241" s="814"/>
      <c r="OAC241" s="813"/>
      <c r="OAD241" s="814"/>
      <c r="OAE241" s="813"/>
      <c r="OAF241" s="814"/>
      <c r="OAG241" s="813"/>
      <c r="OAH241" s="814"/>
      <c r="OAI241" s="813"/>
      <c r="OAJ241" s="814"/>
      <c r="OAK241" s="813"/>
      <c r="OAL241" s="814"/>
      <c r="OAM241" s="813"/>
      <c r="OAN241" s="814"/>
      <c r="OAO241" s="813"/>
      <c r="OAP241" s="814"/>
      <c r="OAQ241" s="813"/>
      <c r="OAR241" s="814"/>
      <c r="OAS241" s="813"/>
      <c r="OAT241" s="814"/>
      <c r="OAU241" s="813"/>
      <c r="OAV241" s="814"/>
      <c r="OAW241" s="813"/>
      <c r="OAX241" s="814"/>
      <c r="OAY241" s="813"/>
      <c r="OAZ241" s="814"/>
      <c r="OBA241" s="813"/>
      <c r="OBB241" s="814"/>
      <c r="OBC241" s="813"/>
      <c r="OBD241" s="814"/>
      <c r="OBE241" s="813"/>
      <c r="OBF241" s="814"/>
      <c r="OBG241" s="813"/>
      <c r="OBH241" s="814"/>
      <c r="OBI241" s="813"/>
      <c r="OBJ241" s="814"/>
      <c r="OBK241" s="813"/>
      <c r="OBL241" s="814"/>
      <c r="OBM241" s="813"/>
      <c r="OBN241" s="814"/>
      <c r="OBO241" s="813"/>
      <c r="OBP241" s="814"/>
      <c r="OBQ241" s="813"/>
      <c r="OBR241" s="814"/>
      <c r="OBS241" s="813"/>
      <c r="OBT241" s="814"/>
      <c r="OBU241" s="813"/>
      <c r="OBV241" s="814"/>
      <c r="OBW241" s="813"/>
      <c r="OBX241" s="814"/>
      <c r="OBY241" s="813"/>
      <c r="OBZ241" s="814"/>
      <c r="OCA241" s="813"/>
      <c r="OCB241" s="814"/>
      <c r="OCC241" s="813"/>
      <c r="OCD241" s="814"/>
      <c r="OCE241" s="813"/>
      <c r="OCF241" s="814"/>
      <c r="OCG241" s="813"/>
      <c r="OCH241" s="814"/>
      <c r="OCI241" s="813"/>
      <c r="OCJ241" s="814"/>
      <c r="OCK241" s="813"/>
      <c r="OCL241" s="814"/>
      <c r="OCM241" s="813"/>
      <c r="OCN241" s="814"/>
      <c r="OCO241" s="813"/>
      <c r="OCP241" s="814"/>
      <c r="OCQ241" s="813"/>
      <c r="OCR241" s="814"/>
      <c r="OCS241" s="813"/>
      <c r="OCT241" s="814"/>
      <c r="OCU241" s="813"/>
      <c r="OCV241" s="814"/>
      <c r="OCW241" s="813"/>
      <c r="OCX241" s="814"/>
      <c r="OCY241" s="813"/>
      <c r="OCZ241" s="814"/>
      <c r="ODA241" s="813"/>
      <c r="ODB241" s="814"/>
      <c r="ODC241" s="813"/>
      <c r="ODD241" s="814"/>
      <c r="ODE241" s="813"/>
      <c r="ODF241" s="814"/>
      <c r="ODG241" s="813"/>
      <c r="ODH241" s="814"/>
      <c r="ODI241" s="813"/>
      <c r="ODJ241" s="814"/>
      <c r="ODK241" s="813"/>
      <c r="ODL241" s="814"/>
      <c r="ODM241" s="813"/>
      <c r="ODN241" s="814"/>
      <c r="ODO241" s="813"/>
      <c r="ODP241" s="814"/>
      <c r="ODQ241" s="813"/>
      <c r="ODR241" s="814"/>
      <c r="ODS241" s="813"/>
      <c r="ODT241" s="814"/>
      <c r="ODU241" s="813"/>
      <c r="ODV241" s="814"/>
      <c r="ODW241" s="813"/>
      <c r="ODX241" s="814"/>
      <c r="ODY241" s="813"/>
      <c r="ODZ241" s="814"/>
      <c r="OEA241" s="813"/>
      <c r="OEB241" s="814"/>
      <c r="OEC241" s="813"/>
      <c r="OED241" s="814"/>
      <c r="OEE241" s="813"/>
      <c r="OEF241" s="814"/>
      <c r="OEG241" s="813"/>
      <c r="OEH241" s="814"/>
      <c r="OEI241" s="813"/>
      <c r="OEJ241" s="814"/>
      <c r="OEK241" s="813"/>
      <c r="OEL241" s="814"/>
      <c r="OEM241" s="813"/>
      <c r="OEN241" s="814"/>
      <c r="OEO241" s="813"/>
      <c r="OEP241" s="814"/>
      <c r="OEQ241" s="813"/>
      <c r="OER241" s="814"/>
      <c r="OES241" s="813"/>
      <c r="OET241" s="814"/>
      <c r="OEU241" s="813"/>
      <c r="OEV241" s="814"/>
      <c r="OEW241" s="813"/>
      <c r="OEX241" s="814"/>
      <c r="OEY241" s="813"/>
      <c r="OEZ241" s="814"/>
      <c r="OFA241" s="813"/>
      <c r="OFB241" s="814"/>
      <c r="OFC241" s="813"/>
      <c r="OFD241" s="814"/>
      <c r="OFE241" s="813"/>
      <c r="OFF241" s="814"/>
      <c r="OFG241" s="813"/>
      <c r="OFH241" s="814"/>
      <c r="OFI241" s="813"/>
      <c r="OFJ241" s="814"/>
      <c r="OFK241" s="813"/>
      <c r="OFL241" s="814"/>
      <c r="OFM241" s="813"/>
      <c r="OFN241" s="814"/>
      <c r="OFO241" s="813"/>
      <c r="OFP241" s="814"/>
      <c r="OFQ241" s="813"/>
      <c r="OFR241" s="814"/>
      <c r="OFS241" s="813"/>
      <c r="OFT241" s="814"/>
      <c r="OFU241" s="813"/>
      <c r="OFV241" s="814"/>
      <c r="OFW241" s="813"/>
      <c r="OFX241" s="814"/>
      <c r="OFY241" s="813"/>
      <c r="OFZ241" s="814"/>
      <c r="OGA241" s="813"/>
      <c r="OGB241" s="814"/>
      <c r="OGC241" s="813"/>
      <c r="OGD241" s="814"/>
      <c r="OGE241" s="813"/>
      <c r="OGF241" s="814"/>
      <c r="OGG241" s="813"/>
      <c r="OGH241" s="814"/>
      <c r="OGI241" s="813"/>
      <c r="OGJ241" s="814"/>
      <c r="OGK241" s="813"/>
      <c r="OGL241" s="814"/>
      <c r="OGM241" s="813"/>
      <c r="OGN241" s="814"/>
      <c r="OGO241" s="813"/>
      <c r="OGP241" s="814"/>
      <c r="OGQ241" s="813"/>
      <c r="OGR241" s="814"/>
      <c r="OGS241" s="813"/>
      <c r="OGT241" s="814"/>
      <c r="OGU241" s="813"/>
      <c r="OGV241" s="814"/>
      <c r="OGW241" s="813"/>
      <c r="OGX241" s="814"/>
      <c r="OGY241" s="813"/>
      <c r="OGZ241" s="814"/>
      <c r="OHA241" s="813"/>
      <c r="OHB241" s="814"/>
      <c r="OHC241" s="813"/>
      <c r="OHD241" s="814"/>
      <c r="OHE241" s="813"/>
      <c r="OHF241" s="814"/>
      <c r="OHG241" s="813"/>
      <c r="OHH241" s="814"/>
      <c r="OHI241" s="813"/>
      <c r="OHJ241" s="814"/>
      <c r="OHK241" s="813"/>
      <c r="OHL241" s="814"/>
      <c r="OHM241" s="813"/>
      <c r="OHN241" s="814"/>
      <c r="OHO241" s="813"/>
      <c r="OHP241" s="814"/>
      <c r="OHQ241" s="813"/>
      <c r="OHR241" s="814"/>
      <c r="OHS241" s="813"/>
      <c r="OHT241" s="814"/>
      <c r="OHU241" s="813"/>
      <c r="OHV241" s="814"/>
      <c r="OHW241" s="813"/>
      <c r="OHX241" s="814"/>
      <c r="OHY241" s="813"/>
      <c r="OHZ241" s="814"/>
      <c r="OIA241" s="813"/>
      <c r="OIB241" s="814"/>
      <c r="OIC241" s="813"/>
      <c r="OID241" s="814"/>
      <c r="OIE241" s="813"/>
      <c r="OIF241" s="814"/>
      <c r="OIG241" s="813"/>
      <c r="OIH241" s="814"/>
      <c r="OII241" s="813"/>
      <c r="OIJ241" s="814"/>
      <c r="OIK241" s="813"/>
      <c r="OIL241" s="814"/>
      <c r="OIM241" s="813"/>
      <c r="OIN241" s="814"/>
      <c r="OIO241" s="813"/>
      <c r="OIP241" s="814"/>
      <c r="OIQ241" s="813"/>
      <c r="OIR241" s="814"/>
      <c r="OIS241" s="813"/>
      <c r="OIT241" s="814"/>
      <c r="OIU241" s="813"/>
      <c r="OIV241" s="814"/>
      <c r="OIW241" s="813"/>
      <c r="OIX241" s="814"/>
      <c r="OIY241" s="813"/>
      <c r="OIZ241" s="814"/>
      <c r="OJA241" s="813"/>
      <c r="OJB241" s="814"/>
      <c r="OJC241" s="813"/>
      <c r="OJD241" s="814"/>
      <c r="OJE241" s="813"/>
      <c r="OJF241" s="814"/>
      <c r="OJG241" s="813"/>
      <c r="OJH241" s="814"/>
      <c r="OJI241" s="813"/>
      <c r="OJJ241" s="814"/>
      <c r="OJK241" s="813"/>
      <c r="OJL241" s="814"/>
      <c r="OJM241" s="813"/>
      <c r="OJN241" s="814"/>
      <c r="OJO241" s="813"/>
      <c r="OJP241" s="814"/>
      <c r="OJQ241" s="813"/>
      <c r="OJR241" s="814"/>
      <c r="OJS241" s="813"/>
      <c r="OJT241" s="814"/>
      <c r="OJU241" s="813"/>
      <c r="OJV241" s="814"/>
      <c r="OJW241" s="813"/>
      <c r="OJX241" s="814"/>
      <c r="OJY241" s="813"/>
      <c r="OJZ241" s="814"/>
      <c r="OKA241" s="813"/>
      <c r="OKB241" s="814"/>
      <c r="OKC241" s="813"/>
      <c r="OKD241" s="814"/>
      <c r="OKE241" s="813"/>
      <c r="OKF241" s="814"/>
      <c r="OKG241" s="813"/>
      <c r="OKH241" s="814"/>
      <c r="OKI241" s="813"/>
      <c r="OKJ241" s="814"/>
      <c r="OKK241" s="813"/>
      <c r="OKL241" s="814"/>
      <c r="OKM241" s="813"/>
      <c r="OKN241" s="814"/>
      <c r="OKO241" s="813"/>
      <c r="OKP241" s="814"/>
      <c r="OKQ241" s="813"/>
      <c r="OKR241" s="814"/>
      <c r="OKS241" s="813"/>
      <c r="OKT241" s="814"/>
      <c r="OKU241" s="813"/>
      <c r="OKV241" s="814"/>
      <c r="OKW241" s="813"/>
      <c r="OKX241" s="814"/>
      <c r="OKY241" s="813"/>
      <c r="OKZ241" s="814"/>
      <c r="OLA241" s="813"/>
      <c r="OLB241" s="814"/>
      <c r="OLC241" s="813"/>
      <c r="OLD241" s="814"/>
      <c r="OLE241" s="813"/>
      <c r="OLF241" s="814"/>
      <c r="OLG241" s="813"/>
      <c r="OLH241" s="814"/>
      <c r="OLI241" s="813"/>
      <c r="OLJ241" s="814"/>
      <c r="OLK241" s="813"/>
      <c r="OLL241" s="814"/>
      <c r="OLM241" s="813"/>
      <c r="OLN241" s="814"/>
      <c r="OLO241" s="813"/>
      <c r="OLP241" s="814"/>
      <c r="OLQ241" s="813"/>
      <c r="OLR241" s="814"/>
      <c r="OLS241" s="813"/>
      <c r="OLT241" s="814"/>
      <c r="OLU241" s="813"/>
      <c r="OLV241" s="814"/>
      <c r="OLW241" s="813"/>
      <c r="OLX241" s="814"/>
      <c r="OLY241" s="813"/>
      <c r="OLZ241" s="814"/>
      <c r="OMA241" s="813"/>
      <c r="OMB241" s="814"/>
      <c r="OMC241" s="813"/>
      <c r="OMD241" s="814"/>
      <c r="OME241" s="813"/>
      <c r="OMF241" s="814"/>
      <c r="OMG241" s="813"/>
      <c r="OMH241" s="814"/>
      <c r="OMI241" s="813"/>
      <c r="OMJ241" s="814"/>
      <c r="OMK241" s="813"/>
      <c r="OML241" s="814"/>
      <c r="OMM241" s="813"/>
      <c r="OMN241" s="814"/>
      <c r="OMO241" s="813"/>
      <c r="OMP241" s="814"/>
      <c r="OMQ241" s="813"/>
      <c r="OMR241" s="814"/>
      <c r="OMS241" s="813"/>
      <c r="OMT241" s="814"/>
      <c r="OMU241" s="813"/>
      <c r="OMV241" s="814"/>
      <c r="OMW241" s="813"/>
      <c r="OMX241" s="814"/>
      <c r="OMY241" s="813"/>
      <c r="OMZ241" s="814"/>
      <c r="ONA241" s="813"/>
      <c r="ONB241" s="814"/>
      <c r="ONC241" s="813"/>
      <c r="OND241" s="814"/>
      <c r="ONE241" s="813"/>
      <c r="ONF241" s="814"/>
      <c r="ONG241" s="813"/>
      <c r="ONH241" s="814"/>
      <c r="ONI241" s="813"/>
      <c r="ONJ241" s="814"/>
      <c r="ONK241" s="813"/>
      <c r="ONL241" s="814"/>
      <c r="ONM241" s="813"/>
      <c r="ONN241" s="814"/>
      <c r="ONO241" s="813"/>
      <c r="ONP241" s="814"/>
      <c r="ONQ241" s="813"/>
      <c r="ONR241" s="814"/>
      <c r="ONS241" s="813"/>
      <c r="ONT241" s="814"/>
      <c r="ONU241" s="813"/>
      <c r="ONV241" s="814"/>
      <c r="ONW241" s="813"/>
      <c r="ONX241" s="814"/>
      <c r="ONY241" s="813"/>
      <c r="ONZ241" s="814"/>
      <c r="OOA241" s="813"/>
      <c r="OOB241" s="814"/>
      <c r="OOC241" s="813"/>
      <c r="OOD241" s="814"/>
      <c r="OOE241" s="813"/>
      <c r="OOF241" s="814"/>
      <c r="OOG241" s="813"/>
      <c r="OOH241" s="814"/>
      <c r="OOI241" s="813"/>
      <c r="OOJ241" s="814"/>
      <c r="OOK241" s="813"/>
      <c r="OOL241" s="814"/>
      <c r="OOM241" s="813"/>
      <c r="OON241" s="814"/>
      <c r="OOO241" s="813"/>
      <c r="OOP241" s="814"/>
      <c r="OOQ241" s="813"/>
      <c r="OOR241" s="814"/>
      <c r="OOS241" s="813"/>
      <c r="OOT241" s="814"/>
      <c r="OOU241" s="813"/>
      <c r="OOV241" s="814"/>
      <c r="OOW241" s="813"/>
      <c r="OOX241" s="814"/>
      <c r="OOY241" s="813"/>
      <c r="OOZ241" s="814"/>
      <c r="OPA241" s="813"/>
      <c r="OPB241" s="814"/>
      <c r="OPC241" s="813"/>
      <c r="OPD241" s="814"/>
      <c r="OPE241" s="813"/>
      <c r="OPF241" s="814"/>
      <c r="OPG241" s="813"/>
      <c r="OPH241" s="814"/>
      <c r="OPI241" s="813"/>
      <c r="OPJ241" s="814"/>
      <c r="OPK241" s="813"/>
      <c r="OPL241" s="814"/>
      <c r="OPM241" s="813"/>
      <c r="OPN241" s="814"/>
      <c r="OPO241" s="813"/>
      <c r="OPP241" s="814"/>
      <c r="OPQ241" s="813"/>
      <c r="OPR241" s="814"/>
      <c r="OPS241" s="813"/>
      <c r="OPT241" s="814"/>
      <c r="OPU241" s="813"/>
      <c r="OPV241" s="814"/>
      <c r="OPW241" s="813"/>
      <c r="OPX241" s="814"/>
      <c r="OPY241" s="813"/>
      <c r="OPZ241" s="814"/>
      <c r="OQA241" s="813"/>
      <c r="OQB241" s="814"/>
      <c r="OQC241" s="813"/>
      <c r="OQD241" s="814"/>
      <c r="OQE241" s="813"/>
      <c r="OQF241" s="814"/>
      <c r="OQG241" s="813"/>
      <c r="OQH241" s="814"/>
      <c r="OQI241" s="813"/>
      <c r="OQJ241" s="814"/>
      <c r="OQK241" s="813"/>
      <c r="OQL241" s="814"/>
      <c r="OQM241" s="813"/>
      <c r="OQN241" s="814"/>
      <c r="OQO241" s="813"/>
      <c r="OQP241" s="814"/>
      <c r="OQQ241" s="813"/>
      <c r="OQR241" s="814"/>
      <c r="OQS241" s="813"/>
      <c r="OQT241" s="814"/>
      <c r="OQU241" s="813"/>
      <c r="OQV241" s="814"/>
      <c r="OQW241" s="813"/>
      <c r="OQX241" s="814"/>
      <c r="OQY241" s="813"/>
      <c r="OQZ241" s="814"/>
      <c r="ORA241" s="813"/>
      <c r="ORB241" s="814"/>
      <c r="ORC241" s="813"/>
      <c r="ORD241" s="814"/>
      <c r="ORE241" s="813"/>
      <c r="ORF241" s="814"/>
      <c r="ORG241" s="813"/>
      <c r="ORH241" s="814"/>
      <c r="ORI241" s="813"/>
      <c r="ORJ241" s="814"/>
      <c r="ORK241" s="813"/>
      <c r="ORL241" s="814"/>
      <c r="ORM241" s="813"/>
      <c r="ORN241" s="814"/>
      <c r="ORO241" s="813"/>
      <c r="ORP241" s="814"/>
      <c r="ORQ241" s="813"/>
      <c r="ORR241" s="814"/>
      <c r="ORS241" s="813"/>
      <c r="ORT241" s="814"/>
      <c r="ORU241" s="813"/>
      <c r="ORV241" s="814"/>
      <c r="ORW241" s="813"/>
      <c r="ORX241" s="814"/>
      <c r="ORY241" s="813"/>
      <c r="ORZ241" s="814"/>
      <c r="OSA241" s="813"/>
      <c r="OSB241" s="814"/>
      <c r="OSC241" s="813"/>
      <c r="OSD241" s="814"/>
      <c r="OSE241" s="813"/>
      <c r="OSF241" s="814"/>
      <c r="OSG241" s="813"/>
      <c r="OSH241" s="814"/>
      <c r="OSI241" s="813"/>
      <c r="OSJ241" s="814"/>
      <c r="OSK241" s="813"/>
      <c r="OSL241" s="814"/>
      <c r="OSM241" s="813"/>
      <c r="OSN241" s="814"/>
      <c r="OSO241" s="813"/>
      <c r="OSP241" s="814"/>
      <c r="OSQ241" s="813"/>
      <c r="OSR241" s="814"/>
      <c r="OSS241" s="813"/>
      <c r="OST241" s="814"/>
      <c r="OSU241" s="813"/>
      <c r="OSV241" s="814"/>
      <c r="OSW241" s="813"/>
      <c r="OSX241" s="814"/>
      <c r="OSY241" s="813"/>
      <c r="OSZ241" s="814"/>
      <c r="OTA241" s="813"/>
      <c r="OTB241" s="814"/>
      <c r="OTC241" s="813"/>
      <c r="OTD241" s="814"/>
      <c r="OTE241" s="813"/>
      <c r="OTF241" s="814"/>
      <c r="OTG241" s="813"/>
      <c r="OTH241" s="814"/>
      <c r="OTI241" s="813"/>
      <c r="OTJ241" s="814"/>
      <c r="OTK241" s="813"/>
      <c r="OTL241" s="814"/>
      <c r="OTM241" s="813"/>
      <c r="OTN241" s="814"/>
      <c r="OTO241" s="813"/>
      <c r="OTP241" s="814"/>
      <c r="OTQ241" s="813"/>
      <c r="OTR241" s="814"/>
      <c r="OTS241" s="813"/>
      <c r="OTT241" s="814"/>
      <c r="OTU241" s="813"/>
      <c r="OTV241" s="814"/>
      <c r="OTW241" s="813"/>
      <c r="OTX241" s="814"/>
      <c r="OTY241" s="813"/>
      <c r="OTZ241" s="814"/>
      <c r="OUA241" s="813"/>
      <c r="OUB241" s="814"/>
      <c r="OUC241" s="813"/>
      <c r="OUD241" s="814"/>
      <c r="OUE241" s="813"/>
      <c r="OUF241" s="814"/>
      <c r="OUG241" s="813"/>
      <c r="OUH241" s="814"/>
      <c r="OUI241" s="813"/>
      <c r="OUJ241" s="814"/>
      <c r="OUK241" s="813"/>
      <c r="OUL241" s="814"/>
      <c r="OUM241" s="813"/>
      <c r="OUN241" s="814"/>
      <c r="OUO241" s="813"/>
      <c r="OUP241" s="814"/>
      <c r="OUQ241" s="813"/>
      <c r="OUR241" s="814"/>
      <c r="OUS241" s="813"/>
      <c r="OUT241" s="814"/>
      <c r="OUU241" s="813"/>
      <c r="OUV241" s="814"/>
      <c r="OUW241" s="813"/>
      <c r="OUX241" s="814"/>
      <c r="OUY241" s="813"/>
      <c r="OUZ241" s="814"/>
      <c r="OVA241" s="813"/>
      <c r="OVB241" s="814"/>
      <c r="OVC241" s="813"/>
      <c r="OVD241" s="814"/>
      <c r="OVE241" s="813"/>
      <c r="OVF241" s="814"/>
      <c r="OVG241" s="813"/>
      <c r="OVH241" s="814"/>
      <c r="OVI241" s="813"/>
      <c r="OVJ241" s="814"/>
      <c r="OVK241" s="813"/>
      <c r="OVL241" s="814"/>
      <c r="OVM241" s="813"/>
      <c r="OVN241" s="814"/>
      <c r="OVO241" s="813"/>
      <c r="OVP241" s="814"/>
      <c r="OVQ241" s="813"/>
      <c r="OVR241" s="814"/>
      <c r="OVS241" s="813"/>
      <c r="OVT241" s="814"/>
      <c r="OVU241" s="813"/>
      <c r="OVV241" s="814"/>
      <c r="OVW241" s="813"/>
      <c r="OVX241" s="814"/>
      <c r="OVY241" s="813"/>
      <c r="OVZ241" s="814"/>
      <c r="OWA241" s="813"/>
      <c r="OWB241" s="814"/>
      <c r="OWC241" s="813"/>
      <c r="OWD241" s="814"/>
      <c r="OWE241" s="813"/>
      <c r="OWF241" s="814"/>
      <c r="OWG241" s="813"/>
      <c r="OWH241" s="814"/>
      <c r="OWI241" s="813"/>
      <c r="OWJ241" s="814"/>
      <c r="OWK241" s="813"/>
      <c r="OWL241" s="814"/>
      <c r="OWM241" s="813"/>
      <c r="OWN241" s="814"/>
      <c r="OWO241" s="813"/>
      <c r="OWP241" s="814"/>
      <c r="OWQ241" s="813"/>
      <c r="OWR241" s="814"/>
      <c r="OWS241" s="813"/>
      <c r="OWT241" s="814"/>
      <c r="OWU241" s="813"/>
      <c r="OWV241" s="814"/>
      <c r="OWW241" s="813"/>
      <c r="OWX241" s="814"/>
      <c r="OWY241" s="813"/>
      <c r="OWZ241" s="814"/>
      <c r="OXA241" s="813"/>
      <c r="OXB241" s="814"/>
      <c r="OXC241" s="813"/>
      <c r="OXD241" s="814"/>
      <c r="OXE241" s="813"/>
      <c r="OXF241" s="814"/>
      <c r="OXG241" s="813"/>
      <c r="OXH241" s="814"/>
      <c r="OXI241" s="813"/>
      <c r="OXJ241" s="814"/>
      <c r="OXK241" s="813"/>
      <c r="OXL241" s="814"/>
      <c r="OXM241" s="813"/>
      <c r="OXN241" s="814"/>
      <c r="OXO241" s="813"/>
      <c r="OXP241" s="814"/>
      <c r="OXQ241" s="813"/>
      <c r="OXR241" s="814"/>
      <c r="OXS241" s="813"/>
      <c r="OXT241" s="814"/>
      <c r="OXU241" s="813"/>
      <c r="OXV241" s="814"/>
      <c r="OXW241" s="813"/>
      <c r="OXX241" s="814"/>
      <c r="OXY241" s="813"/>
      <c r="OXZ241" s="814"/>
      <c r="OYA241" s="813"/>
      <c r="OYB241" s="814"/>
      <c r="OYC241" s="813"/>
      <c r="OYD241" s="814"/>
      <c r="OYE241" s="813"/>
      <c r="OYF241" s="814"/>
      <c r="OYG241" s="813"/>
      <c r="OYH241" s="814"/>
      <c r="OYI241" s="813"/>
      <c r="OYJ241" s="814"/>
      <c r="OYK241" s="813"/>
      <c r="OYL241" s="814"/>
      <c r="OYM241" s="813"/>
      <c r="OYN241" s="814"/>
      <c r="OYO241" s="813"/>
      <c r="OYP241" s="814"/>
      <c r="OYQ241" s="813"/>
      <c r="OYR241" s="814"/>
      <c r="OYS241" s="813"/>
      <c r="OYT241" s="814"/>
      <c r="OYU241" s="813"/>
      <c r="OYV241" s="814"/>
      <c r="OYW241" s="813"/>
      <c r="OYX241" s="814"/>
      <c r="OYY241" s="813"/>
      <c r="OYZ241" s="814"/>
      <c r="OZA241" s="813"/>
      <c r="OZB241" s="814"/>
      <c r="OZC241" s="813"/>
      <c r="OZD241" s="814"/>
      <c r="OZE241" s="813"/>
      <c r="OZF241" s="814"/>
      <c r="OZG241" s="813"/>
      <c r="OZH241" s="814"/>
      <c r="OZI241" s="813"/>
      <c r="OZJ241" s="814"/>
      <c r="OZK241" s="813"/>
      <c r="OZL241" s="814"/>
      <c r="OZM241" s="813"/>
      <c r="OZN241" s="814"/>
      <c r="OZO241" s="813"/>
      <c r="OZP241" s="814"/>
      <c r="OZQ241" s="813"/>
      <c r="OZR241" s="814"/>
      <c r="OZS241" s="813"/>
      <c r="OZT241" s="814"/>
      <c r="OZU241" s="813"/>
      <c r="OZV241" s="814"/>
      <c r="OZW241" s="813"/>
      <c r="OZX241" s="814"/>
      <c r="OZY241" s="813"/>
      <c r="OZZ241" s="814"/>
      <c r="PAA241" s="813"/>
      <c r="PAB241" s="814"/>
      <c r="PAC241" s="813"/>
      <c r="PAD241" s="814"/>
      <c r="PAE241" s="813"/>
      <c r="PAF241" s="814"/>
      <c r="PAG241" s="813"/>
      <c r="PAH241" s="814"/>
      <c r="PAI241" s="813"/>
      <c r="PAJ241" s="814"/>
      <c r="PAK241" s="813"/>
      <c r="PAL241" s="814"/>
      <c r="PAM241" s="813"/>
      <c r="PAN241" s="814"/>
      <c r="PAO241" s="813"/>
      <c r="PAP241" s="814"/>
      <c r="PAQ241" s="813"/>
      <c r="PAR241" s="814"/>
      <c r="PAS241" s="813"/>
      <c r="PAT241" s="814"/>
      <c r="PAU241" s="813"/>
      <c r="PAV241" s="814"/>
      <c r="PAW241" s="813"/>
      <c r="PAX241" s="814"/>
      <c r="PAY241" s="813"/>
      <c r="PAZ241" s="814"/>
      <c r="PBA241" s="813"/>
      <c r="PBB241" s="814"/>
      <c r="PBC241" s="813"/>
      <c r="PBD241" s="814"/>
      <c r="PBE241" s="813"/>
      <c r="PBF241" s="814"/>
      <c r="PBG241" s="813"/>
      <c r="PBH241" s="814"/>
      <c r="PBI241" s="813"/>
      <c r="PBJ241" s="814"/>
      <c r="PBK241" s="813"/>
      <c r="PBL241" s="814"/>
      <c r="PBM241" s="813"/>
      <c r="PBN241" s="814"/>
      <c r="PBO241" s="813"/>
      <c r="PBP241" s="814"/>
      <c r="PBQ241" s="813"/>
      <c r="PBR241" s="814"/>
      <c r="PBS241" s="813"/>
      <c r="PBT241" s="814"/>
      <c r="PBU241" s="813"/>
      <c r="PBV241" s="814"/>
      <c r="PBW241" s="813"/>
      <c r="PBX241" s="814"/>
      <c r="PBY241" s="813"/>
      <c r="PBZ241" s="814"/>
      <c r="PCA241" s="813"/>
      <c r="PCB241" s="814"/>
      <c r="PCC241" s="813"/>
      <c r="PCD241" s="814"/>
      <c r="PCE241" s="813"/>
      <c r="PCF241" s="814"/>
      <c r="PCG241" s="813"/>
      <c r="PCH241" s="814"/>
      <c r="PCI241" s="813"/>
      <c r="PCJ241" s="814"/>
      <c r="PCK241" s="813"/>
      <c r="PCL241" s="814"/>
      <c r="PCM241" s="813"/>
      <c r="PCN241" s="814"/>
      <c r="PCO241" s="813"/>
      <c r="PCP241" s="814"/>
      <c r="PCQ241" s="813"/>
      <c r="PCR241" s="814"/>
      <c r="PCS241" s="813"/>
      <c r="PCT241" s="814"/>
      <c r="PCU241" s="813"/>
      <c r="PCV241" s="814"/>
      <c r="PCW241" s="813"/>
      <c r="PCX241" s="814"/>
      <c r="PCY241" s="813"/>
      <c r="PCZ241" s="814"/>
      <c r="PDA241" s="813"/>
      <c r="PDB241" s="814"/>
      <c r="PDC241" s="813"/>
      <c r="PDD241" s="814"/>
      <c r="PDE241" s="813"/>
      <c r="PDF241" s="814"/>
      <c r="PDG241" s="813"/>
      <c r="PDH241" s="814"/>
      <c r="PDI241" s="813"/>
      <c r="PDJ241" s="814"/>
      <c r="PDK241" s="813"/>
      <c r="PDL241" s="814"/>
      <c r="PDM241" s="813"/>
      <c r="PDN241" s="814"/>
      <c r="PDO241" s="813"/>
      <c r="PDP241" s="814"/>
      <c r="PDQ241" s="813"/>
      <c r="PDR241" s="814"/>
      <c r="PDS241" s="813"/>
      <c r="PDT241" s="814"/>
      <c r="PDU241" s="813"/>
      <c r="PDV241" s="814"/>
      <c r="PDW241" s="813"/>
      <c r="PDX241" s="814"/>
      <c r="PDY241" s="813"/>
      <c r="PDZ241" s="814"/>
      <c r="PEA241" s="813"/>
      <c r="PEB241" s="814"/>
      <c r="PEC241" s="813"/>
      <c r="PED241" s="814"/>
      <c r="PEE241" s="813"/>
      <c r="PEF241" s="814"/>
      <c r="PEG241" s="813"/>
      <c r="PEH241" s="814"/>
      <c r="PEI241" s="813"/>
      <c r="PEJ241" s="814"/>
      <c r="PEK241" s="813"/>
      <c r="PEL241" s="814"/>
      <c r="PEM241" s="813"/>
      <c r="PEN241" s="814"/>
      <c r="PEO241" s="813"/>
      <c r="PEP241" s="814"/>
      <c r="PEQ241" s="813"/>
      <c r="PER241" s="814"/>
      <c r="PES241" s="813"/>
      <c r="PET241" s="814"/>
      <c r="PEU241" s="813"/>
      <c r="PEV241" s="814"/>
      <c r="PEW241" s="813"/>
      <c r="PEX241" s="814"/>
      <c r="PEY241" s="813"/>
      <c r="PEZ241" s="814"/>
      <c r="PFA241" s="813"/>
      <c r="PFB241" s="814"/>
      <c r="PFC241" s="813"/>
      <c r="PFD241" s="814"/>
      <c r="PFE241" s="813"/>
      <c r="PFF241" s="814"/>
      <c r="PFG241" s="813"/>
      <c r="PFH241" s="814"/>
      <c r="PFI241" s="813"/>
      <c r="PFJ241" s="814"/>
      <c r="PFK241" s="813"/>
      <c r="PFL241" s="814"/>
      <c r="PFM241" s="813"/>
      <c r="PFN241" s="814"/>
      <c r="PFO241" s="813"/>
      <c r="PFP241" s="814"/>
      <c r="PFQ241" s="813"/>
      <c r="PFR241" s="814"/>
      <c r="PFS241" s="813"/>
      <c r="PFT241" s="814"/>
      <c r="PFU241" s="813"/>
      <c r="PFV241" s="814"/>
      <c r="PFW241" s="813"/>
      <c r="PFX241" s="814"/>
      <c r="PFY241" s="813"/>
      <c r="PFZ241" s="814"/>
      <c r="PGA241" s="813"/>
      <c r="PGB241" s="814"/>
      <c r="PGC241" s="813"/>
      <c r="PGD241" s="814"/>
      <c r="PGE241" s="813"/>
      <c r="PGF241" s="814"/>
      <c r="PGG241" s="813"/>
      <c r="PGH241" s="814"/>
      <c r="PGI241" s="813"/>
      <c r="PGJ241" s="814"/>
      <c r="PGK241" s="813"/>
      <c r="PGL241" s="814"/>
      <c r="PGM241" s="813"/>
      <c r="PGN241" s="814"/>
      <c r="PGO241" s="813"/>
      <c r="PGP241" s="814"/>
      <c r="PGQ241" s="813"/>
      <c r="PGR241" s="814"/>
      <c r="PGS241" s="813"/>
      <c r="PGT241" s="814"/>
      <c r="PGU241" s="813"/>
      <c r="PGV241" s="814"/>
      <c r="PGW241" s="813"/>
      <c r="PGX241" s="814"/>
      <c r="PGY241" s="813"/>
      <c r="PGZ241" s="814"/>
      <c r="PHA241" s="813"/>
      <c r="PHB241" s="814"/>
      <c r="PHC241" s="813"/>
      <c r="PHD241" s="814"/>
      <c r="PHE241" s="813"/>
      <c r="PHF241" s="814"/>
      <c r="PHG241" s="813"/>
      <c r="PHH241" s="814"/>
      <c r="PHI241" s="813"/>
      <c r="PHJ241" s="814"/>
      <c r="PHK241" s="813"/>
      <c r="PHL241" s="814"/>
      <c r="PHM241" s="813"/>
      <c r="PHN241" s="814"/>
      <c r="PHO241" s="813"/>
      <c r="PHP241" s="814"/>
      <c r="PHQ241" s="813"/>
      <c r="PHR241" s="814"/>
      <c r="PHS241" s="813"/>
      <c r="PHT241" s="814"/>
      <c r="PHU241" s="813"/>
      <c r="PHV241" s="814"/>
      <c r="PHW241" s="813"/>
      <c r="PHX241" s="814"/>
      <c r="PHY241" s="813"/>
      <c r="PHZ241" s="814"/>
      <c r="PIA241" s="813"/>
      <c r="PIB241" s="814"/>
      <c r="PIC241" s="813"/>
      <c r="PID241" s="814"/>
      <c r="PIE241" s="813"/>
      <c r="PIF241" s="814"/>
      <c r="PIG241" s="813"/>
      <c r="PIH241" s="814"/>
      <c r="PII241" s="813"/>
      <c r="PIJ241" s="814"/>
      <c r="PIK241" s="813"/>
      <c r="PIL241" s="814"/>
      <c r="PIM241" s="813"/>
      <c r="PIN241" s="814"/>
      <c r="PIO241" s="813"/>
      <c r="PIP241" s="814"/>
      <c r="PIQ241" s="813"/>
      <c r="PIR241" s="814"/>
      <c r="PIS241" s="813"/>
      <c r="PIT241" s="814"/>
      <c r="PIU241" s="813"/>
      <c r="PIV241" s="814"/>
      <c r="PIW241" s="813"/>
      <c r="PIX241" s="814"/>
      <c r="PIY241" s="813"/>
      <c r="PIZ241" s="814"/>
      <c r="PJA241" s="813"/>
      <c r="PJB241" s="814"/>
      <c r="PJC241" s="813"/>
      <c r="PJD241" s="814"/>
      <c r="PJE241" s="813"/>
      <c r="PJF241" s="814"/>
      <c r="PJG241" s="813"/>
      <c r="PJH241" s="814"/>
      <c r="PJI241" s="813"/>
      <c r="PJJ241" s="814"/>
      <c r="PJK241" s="813"/>
      <c r="PJL241" s="814"/>
      <c r="PJM241" s="813"/>
      <c r="PJN241" s="814"/>
      <c r="PJO241" s="813"/>
      <c r="PJP241" s="814"/>
      <c r="PJQ241" s="813"/>
      <c r="PJR241" s="814"/>
      <c r="PJS241" s="813"/>
      <c r="PJT241" s="814"/>
      <c r="PJU241" s="813"/>
      <c r="PJV241" s="814"/>
      <c r="PJW241" s="813"/>
      <c r="PJX241" s="814"/>
      <c r="PJY241" s="813"/>
      <c r="PJZ241" s="814"/>
      <c r="PKA241" s="813"/>
      <c r="PKB241" s="814"/>
      <c r="PKC241" s="813"/>
      <c r="PKD241" s="814"/>
      <c r="PKE241" s="813"/>
      <c r="PKF241" s="814"/>
      <c r="PKG241" s="813"/>
      <c r="PKH241" s="814"/>
      <c r="PKI241" s="813"/>
      <c r="PKJ241" s="814"/>
      <c r="PKK241" s="813"/>
      <c r="PKL241" s="814"/>
      <c r="PKM241" s="813"/>
      <c r="PKN241" s="814"/>
      <c r="PKO241" s="813"/>
      <c r="PKP241" s="814"/>
      <c r="PKQ241" s="813"/>
      <c r="PKR241" s="814"/>
      <c r="PKS241" s="813"/>
      <c r="PKT241" s="814"/>
      <c r="PKU241" s="813"/>
      <c r="PKV241" s="814"/>
      <c r="PKW241" s="813"/>
      <c r="PKX241" s="814"/>
      <c r="PKY241" s="813"/>
      <c r="PKZ241" s="814"/>
      <c r="PLA241" s="813"/>
      <c r="PLB241" s="814"/>
      <c r="PLC241" s="813"/>
      <c r="PLD241" s="814"/>
      <c r="PLE241" s="813"/>
      <c r="PLF241" s="814"/>
      <c r="PLG241" s="813"/>
      <c r="PLH241" s="814"/>
      <c r="PLI241" s="813"/>
      <c r="PLJ241" s="814"/>
      <c r="PLK241" s="813"/>
      <c r="PLL241" s="814"/>
      <c r="PLM241" s="813"/>
      <c r="PLN241" s="814"/>
      <c r="PLO241" s="813"/>
      <c r="PLP241" s="814"/>
      <c r="PLQ241" s="813"/>
      <c r="PLR241" s="814"/>
      <c r="PLS241" s="813"/>
      <c r="PLT241" s="814"/>
      <c r="PLU241" s="813"/>
      <c r="PLV241" s="814"/>
      <c r="PLW241" s="813"/>
      <c r="PLX241" s="814"/>
      <c r="PLY241" s="813"/>
      <c r="PLZ241" s="814"/>
      <c r="PMA241" s="813"/>
      <c r="PMB241" s="814"/>
      <c r="PMC241" s="813"/>
      <c r="PMD241" s="814"/>
      <c r="PME241" s="813"/>
      <c r="PMF241" s="814"/>
      <c r="PMG241" s="813"/>
      <c r="PMH241" s="814"/>
      <c r="PMI241" s="813"/>
      <c r="PMJ241" s="814"/>
      <c r="PMK241" s="813"/>
      <c r="PML241" s="814"/>
      <c r="PMM241" s="813"/>
      <c r="PMN241" s="814"/>
      <c r="PMO241" s="813"/>
      <c r="PMP241" s="814"/>
      <c r="PMQ241" s="813"/>
      <c r="PMR241" s="814"/>
      <c r="PMS241" s="813"/>
      <c r="PMT241" s="814"/>
      <c r="PMU241" s="813"/>
      <c r="PMV241" s="814"/>
      <c r="PMW241" s="813"/>
      <c r="PMX241" s="814"/>
      <c r="PMY241" s="813"/>
      <c r="PMZ241" s="814"/>
      <c r="PNA241" s="813"/>
      <c r="PNB241" s="814"/>
      <c r="PNC241" s="813"/>
      <c r="PND241" s="814"/>
      <c r="PNE241" s="813"/>
      <c r="PNF241" s="814"/>
      <c r="PNG241" s="813"/>
      <c r="PNH241" s="814"/>
      <c r="PNI241" s="813"/>
      <c r="PNJ241" s="814"/>
      <c r="PNK241" s="813"/>
      <c r="PNL241" s="814"/>
      <c r="PNM241" s="813"/>
      <c r="PNN241" s="814"/>
      <c r="PNO241" s="813"/>
      <c r="PNP241" s="814"/>
      <c r="PNQ241" s="813"/>
      <c r="PNR241" s="814"/>
      <c r="PNS241" s="813"/>
      <c r="PNT241" s="814"/>
      <c r="PNU241" s="813"/>
      <c r="PNV241" s="814"/>
      <c r="PNW241" s="813"/>
      <c r="PNX241" s="814"/>
      <c r="PNY241" s="813"/>
      <c r="PNZ241" s="814"/>
      <c r="POA241" s="813"/>
      <c r="POB241" s="814"/>
      <c r="POC241" s="813"/>
      <c r="POD241" s="814"/>
      <c r="POE241" s="813"/>
      <c r="POF241" s="814"/>
      <c r="POG241" s="813"/>
      <c r="POH241" s="814"/>
      <c r="POI241" s="813"/>
      <c r="POJ241" s="814"/>
      <c r="POK241" s="813"/>
      <c r="POL241" s="814"/>
      <c r="POM241" s="813"/>
      <c r="PON241" s="814"/>
      <c r="POO241" s="813"/>
      <c r="POP241" s="814"/>
      <c r="POQ241" s="813"/>
      <c r="POR241" s="814"/>
      <c r="POS241" s="813"/>
      <c r="POT241" s="814"/>
      <c r="POU241" s="813"/>
      <c r="POV241" s="814"/>
      <c r="POW241" s="813"/>
      <c r="POX241" s="814"/>
      <c r="POY241" s="813"/>
      <c r="POZ241" s="814"/>
      <c r="PPA241" s="813"/>
      <c r="PPB241" s="814"/>
      <c r="PPC241" s="813"/>
      <c r="PPD241" s="814"/>
      <c r="PPE241" s="813"/>
      <c r="PPF241" s="814"/>
      <c r="PPG241" s="813"/>
      <c r="PPH241" s="814"/>
      <c r="PPI241" s="813"/>
      <c r="PPJ241" s="814"/>
      <c r="PPK241" s="813"/>
      <c r="PPL241" s="814"/>
      <c r="PPM241" s="813"/>
      <c r="PPN241" s="814"/>
      <c r="PPO241" s="813"/>
      <c r="PPP241" s="814"/>
      <c r="PPQ241" s="813"/>
      <c r="PPR241" s="814"/>
      <c r="PPS241" s="813"/>
      <c r="PPT241" s="814"/>
      <c r="PPU241" s="813"/>
      <c r="PPV241" s="814"/>
      <c r="PPW241" s="813"/>
      <c r="PPX241" s="814"/>
      <c r="PPY241" s="813"/>
      <c r="PPZ241" s="814"/>
      <c r="PQA241" s="813"/>
      <c r="PQB241" s="814"/>
      <c r="PQC241" s="813"/>
      <c r="PQD241" s="814"/>
      <c r="PQE241" s="813"/>
      <c r="PQF241" s="814"/>
      <c r="PQG241" s="813"/>
      <c r="PQH241" s="814"/>
      <c r="PQI241" s="813"/>
      <c r="PQJ241" s="814"/>
      <c r="PQK241" s="813"/>
      <c r="PQL241" s="814"/>
      <c r="PQM241" s="813"/>
      <c r="PQN241" s="814"/>
      <c r="PQO241" s="813"/>
      <c r="PQP241" s="814"/>
      <c r="PQQ241" s="813"/>
      <c r="PQR241" s="814"/>
      <c r="PQS241" s="813"/>
      <c r="PQT241" s="814"/>
      <c r="PQU241" s="813"/>
      <c r="PQV241" s="814"/>
      <c r="PQW241" s="813"/>
      <c r="PQX241" s="814"/>
      <c r="PQY241" s="813"/>
      <c r="PQZ241" s="814"/>
      <c r="PRA241" s="813"/>
      <c r="PRB241" s="814"/>
      <c r="PRC241" s="813"/>
      <c r="PRD241" s="814"/>
      <c r="PRE241" s="813"/>
      <c r="PRF241" s="814"/>
      <c r="PRG241" s="813"/>
      <c r="PRH241" s="814"/>
      <c r="PRI241" s="813"/>
      <c r="PRJ241" s="814"/>
      <c r="PRK241" s="813"/>
      <c r="PRL241" s="814"/>
      <c r="PRM241" s="813"/>
      <c r="PRN241" s="814"/>
      <c r="PRO241" s="813"/>
      <c r="PRP241" s="814"/>
      <c r="PRQ241" s="813"/>
      <c r="PRR241" s="814"/>
      <c r="PRS241" s="813"/>
      <c r="PRT241" s="814"/>
      <c r="PRU241" s="813"/>
      <c r="PRV241" s="814"/>
      <c r="PRW241" s="813"/>
      <c r="PRX241" s="814"/>
      <c r="PRY241" s="813"/>
      <c r="PRZ241" s="814"/>
      <c r="PSA241" s="813"/>
      <c r="PSB241" s="814"/>
      <c r="PSC241" s="813"/>
      <c r="PSD241" s="814"/>
      <c r="PSE241" s="813"/>
      <c r="PSF241" s="814"/>
      <c r="PSG241" s="813"/>
      <c r="PSH241" s="814"/>
      <c r="PSI241" s="813"/>
      <c r="PSJ241" s="814"/>
      <c r="PSK241" s="813"/>
      <c r="PSL241" s="814"/>
      <c r="PSM241" s="813"/>
      <c r="PSN241" s="814"/>
      <c r="PSO241" s="813"/>
      <c r="PSP241" s="814"/>
      <c r="PSQ241" s="813"/>
      <c r="PSR241" s="814"/>
      <c r="PSS241" s="813"/>
      <c r="PST241" s="814"/>
      <c r="PSU241" s="813"/>
      <c r="PSV241" s="814"/>
      <c r="PSW241" s="813"/>
      <c r="PSX241" s="814"/>
      <c r="PSY241" s="813"/>
      <c r="PSZ241" s="814"/>
      <c r="PTA241" s="813"/>
      <c r="PTB241" s="814"/>
      <c r="PTC241" s="813"/>
      <c r="PTD241" s="814"/>
      <c r="PTE241" s="813"/>
      <c r="PTF241" s="814"/>
      <c r="PTG241" s="813"/>
      <c r="PTH241" s="814"/>
      <c r="PTI241" s="813"/>
      <c r="PTJ241" s="814"/>
      <c r="PTK241" s="813"/>
      <c r="PTL241" s="814"/>
      <c r="PTM241" s="813"/>
      <c r="PTN241" s="814"/>
      <c r="PTO241" s="813"/>
      <c r="PTP241" s="814"/>
      <c r="PTQ241" s="813"/>
      <c r="PTR241" s="814"/>
      <c r="PTS241" s="813"/>
      <c r="PTT241" s="814"/>
      <c r="PTU241" s="813"/>
      <c r="PTV241" s="814"/>
      <c r="PTW241" s="813"/>
      <c r="PTX241" s="814"/>
      <c r="PTY241" s="813"/>
      <c r="PTZ241" s="814"/>
      <c r="PUA241" s="813"/>
      <c r="PUB241" s="814"/>
      <c r="PUC241" s="813"/>
      <c r="PUD241" s="814"/>
      <c r="PUE241" s="813"/>
      <c r="PUF241" s="814"/>
      <c r="PUG241" s="813"/>
      <c r="PUH241" s="814"/>
      <c r="PUI241" s="813"/>
      <c r="PUJ241" s="814"/>
      <c r="PUK241" s="813"/>
      <c r="PUL241" s="814"/>
      <c r="PUM241" s="813"/>
      <c r="PUN241" s="814"/>
      <c r="PUO241" s="813"/>
      <c r="PUP241" s="814"/>
      <c r="PUQ241" s="813"/>
      <c r="PUR241" s="814"/>
      <c r="PUS241" s="813"/>
      <c r="PUT241" s="814"/>
      <c r="PUU241" s="813"/>
      <c r="PUV241" s="814"/>
      <c r="PUW241" s="813"/>
      <c r="PUX241" s="814"/>
      <c r="PUY241" s="813"/>
      <c r="PUZ241" s="814"/>
      <c r="PVA241" s="813"/>
      <c r="PVB241" s="814"/>
      <c r="PVC241" s="813"/>
      <c r="PVD241" s="814"/>
      <c r="PVE241" s="813"/>
      <c r="PVF241" s="814"/>
      <c r="PVG241" s="813"/>
      <c r="PVH241" s="814"/>
      <c r="PVI241" s="813"/>
      <c r="PVJ241" s="814"/>
      <c r="PVK241" s="813"/>
      <c r="PVL241" s="814"/>
      <c r="PVM241" s="813"/>
      <c r="PVN241" s="814"/>
      <c r="PVO241" s="813"/>
      <c r="PVP241" s="814"/>
      <c r="PVQ241" s="813"/>
      <c r="PVR241" s="814"/>
      <c r="PVS241" s="813"/>
      <c r="PVT241" s="814"/>
      <c r="PVU241" s="813"/>
      <c r="PVV241" s="814"/>
      <c r="PVW241" s="813"/>
      <c r="PVX241" s="814"/>
      <c r="PVY241" s="813"/>
      <c r="PVZ241" s="814"/>
      <c r="PWA241" s="813"/>
      <c r="PWB241" s="814"/>
      <c r="PWC241" s="813"/>
      <c r="PWD241" s="814"/>
      <c r="PWE241" s="813"/>
      <c r="PWF241" s="814"/>
      <c r="PWG241" s="813"/>
      <c r="PWH241" s="814"/>
      <c r="PWI241" s="813"/>
      <c r="PWJ241" s="814"/>
      <c r="PWK241" s="813"/>
      <c r="PWL241" s="814"/>
      <c r="PWM241" s="813"/>
      <c r="PWN241" s="814"/>
      <c r="PWO241" s="813"/>
      <c r="PWP241" s="814"/>
      <c r="PWQ241" s="813"/>
      <c r="PWR241" s="814"/>
      <c r="PWS241" s="813"/>
      <c r="PWT241" s="814"/>
      <c r="PWU241" s="813"/>
      <c r="PWV241" s="814"/>
      <c r="PWW241" s="813"/>
      <c r="PWX241" s="814"/>
      <c r="PWY241" s="813"/>
      <c r="PWZ241" s="814"/>
      <c r="PXA241" s="813"/>
      <c r="PXB241" s="814"/>
      <c r="PXC241" s="813"/>
      <c r="PXD241" s="814"/>
      <c r="PXE241" s="813"/>
      <c r="PXF241" s="814"/>
      <c r="PXG241" s="813"/>
      <c r="PXH241" s="814"/>
      <c r="PXI241" s="813"/>
      <c r="PXJ241" s="814"/>
      <c r="PXK241" s="813"/>
      <c r="PXL241" s="814"/>
      <c r="PXM241" s="813"/>
      <c r="PXN241" s="814"/>
      <c r="PXO241" s="813"/>
      <c r="PXP241" s="814"/>
      <c r="PXQ241" s="813"/>
      <c r="PXR241" s="814"/>
      <c r="PXS241" s="813"/>
      <c r="PXT241" s="814"/>
      <c r="PXU241" s="813"/>
      <c r="PXV241" s="814"/>
      <c r="PXW241" s="813"/>
      <c r="PXX241" s="814"/>
      <c r="PXY241" s="813"/>
      <c r="PXZ241" s="814"/>
      <c r="PYA241" s="813"/>
      <c r="PYB241" s="814"/>
      <c r="PYC241" s="813"/>
      <c r="PYD241" s="814"/>
      <c r="PYE241" s="813"/>
      <c r="PYF241" s="814"/>
      <c r="PYG241" s="813"/>
      <c r="PYH241" s="814"/>
      <c r="PYI241" s="813"/>
      <c r="PYJ241" s="814"/>
      <c r="PYK241" s="813"/>
      <c r="PYL241" s="814"/>
      <c r="PYM241" s="813"/>
      <c r="PYN241" s="814"/>
      <c r="PYO241" s="813"/>
      <c r="PYP241" s="814"/>
      <c r="PYQ241" s="813"/>
      <c r="PYR241" s="814"/>
      <c r="PYS241" s="813"/>
      <c r="PYT241" s="814"/>
      <c r="PYU241" s="813"/>
      <c r="PYV241" s="814"/>
      <c r="PYW241" s="813"/>
      <c r="PYX241" s="814"/>
      <c r="PYY241" s="813"/>
      <c r="PYZ241" s="814"/>
      <c r="PZA241" s="813"/>
      <c r="PZB241" s="814"/>
      <c r="PZC241" s="813"/>
      <c r="PZD241" s="814"/>
      <c r="PZE241" s="813"/>
      <c r="PZF241" s="814"/>
      <c r="PZG241" s="813"/>
      <c r="PZH241" s="814"/>
      <c r="PZI241" s="813"/>
      <c r="PZJ241" s="814"/>
      <c r="PZK241" s="813"/>
      <c r="PZL241" s="814"/>
      <c r="PZM241" s="813"/>
      <c r="PZN241" s="814"/>
      <c r="PZO241" s="813"/>
      <c r="PZP241" s="814"/>
      <c r="PZQ241" s="813"/>
      <c r="PZR241" s="814"/>
      <c r="PZS241" s="813"/>
      <c r="PZT241" s="814"/>
      <c r="PZU241" s="813"/>
      <c r="PZV241" s="814"/>
      <c r="PZW241" s="813"/>
      <c r="PZX241" s="814"/>
      <c r="PZY241" s="813"/>
      <c r="PZZ241" s="814"/>
      <c r="QAA241" s="813"/>
      <c r="QAB241" s="814"/>
      <c r="QAC241" s="813"/>
      <c r="QAD241" s="814"/>
      <c r="QAE241" s="813"/>
      <c r="QAF241" s="814"/>
      <c r="QAG241" s="813"/>
      <c r="QAH241" s="814"/>
      <c r="QAI241" s="813"/>
      <c r="QAJ241" s="814"/>
      <c r="QAK241" s="813"/>
      <c r="QAL241" s="814"/>
      <c r="QAM241" s="813"/>
      <c r="QAN241" s="814"/>
      <c r="QAO241" s="813"/>
      <c r="QAP241" s="814"/>
      <c r="QAQ241" s="813"/>
      <c r="QAR241" s="814"/>
      <c r="QAS241" s="813"/>
      <c r="QAT241" s="814"/>
      <c r="QAU241" s="813"/>
      <c r="QAV241" s="814"/>
      <c r="QAW241" s="813"/>
      <c r="QAX241" s="814"/>
      <c r="QAY241" s="813"/>
      <c r="QAZ241" s="814"/>
      <c r="QBA241" s="813"/>
      <c r="QBB241" s="814"/>
      <c r="QBC241" s="813"/>
      <c r="QBD241" s="814"/>
      <c r="QBE241" s="813"/>
      <c r="QBF241" s="814"/>
      <c r="QBG241" s="813"/>
      <c r="QBH241" s="814"/>
      <c r="QBI241" s="813"/>
      <c r="QBJ241" s="814"/>
      <c r="QBK241" s="813"/>
      <c r="QBL241" s="814"/>
      <c r="QBM241" s="813"/>
      <c r="QBN241" s="814"/>
      <c r="QBO241" s="813"/>
      <c r="QBP241" s="814"/>
      <c r="QBQ241" s="813"/>
      <c r="QBR241" s="814"/>
      <c r="QBS241" s="813"/>
      <c r="QBT241" s="814"/>
      <c r="QBU241" s="813"/>
      <c r="QBV241" s="814"/>
      <c r="QBW241" s="813"/>
      <c r="QBX241" s="814"/>
      <c r="QBY241" s="813"/>
      <c r="QBZ241" s="814"/>
      <c r="QCA241" s="813"/>
      <c r="QCB241" s="814"/>
      <c r="QCC241" s="813"/>
      <c r="QCD241" s="814"/>
      <c r="QCE241" s="813"/>
      <c r="QCF241" s="814"/>
      <c r="QCG241" s="813"/>
      <c r="QCH241" s="814"/>
      <c r="QCI241" s="813"/>
      <c r="QCJ241" s="814"/>
      <c r="QCK241" s="813"/>
      <c r="QCL241" s="814"/>
      <c r="QCM241" s="813"/>
      <c r="QCN241" s="814"/>
      <c r="QCO241" s="813"/>
      <c r="QCP241" s="814"/>
      <c r="QCQ241" s="813"/>
      <c r="QCR241" s="814"/>
      <c r="QCS241" s="813"/>
      <c r="QCT241" s="814"/>
      <c r="QCU241" s="813"/>
      <c r="QCV241" s="814"/>
      <c r="QCW241" s="813"/>
      <c r="QCX241" s="814"/>
      <c r="QCY241" s="813"/>
      <c r="QCZ241" s="814"/>
      <c r="QDA241" s="813"/>
      <c r="QDB241" s="814"/>
      <c r="QDC241" s="813"/>
      <c r="QDD241" s="814"/>
      <c r="QDE241" s="813"/>
      <c r="QDF241" s="814"/>
      <c r="QDG241" s="813"/>
      <c r="QDH241" s="814"/>
      <c r="QDI241" s="813"/>
      <c r="QDJ241" s="814"/>
      <c r="QDK241" s="813"/>
      <c r="QDL241" s="814"/>
      <c r="QDM241" s="813"/>
      <c r="QDN241" s="814"/>
      <c r="QDO241" s="813"/>
      <c r="QDP241" s="814"/>
      <c r="QDQ241" s="813"/>
      <c r="QDR241" s="814"/>
      <c r="QDS241" s="813"/>
      <c r="QDT241" s="814"/>
      <c r="QDU241" s="813"/>
      <c r="QDV241" s="814"/>
      <c r="QDW241" s="813"/>
      <c r="QDX241" s="814"/>
      <c r="QDY241" s="813"/>
      <c r="QDZ241" s="814"/>
      <c r="QEA241" s="813"/>
      <c r="QEB241" s="814"/>
      <c r="QEC241" s="813"/>
      <c r="QED241" s="814"/>
      <c r="QEE241" s="813"/>
      <c r="QEF241" s="814"/>
      <c r="QEG241" s="813"/>
      <c r="QEH241" s="814"/>
      <c r="QEI241" s="813"/>
      <c r="QEJ241" s="814"/>
      <c r="QEK241" s="813"/>
      <c r="QEL241" s="814"/>
      <c r="QEM241" s="813"/>
      <c r="QEN241" s="814"/>
      <c r="QEO241" s="813"/>
      <c r="QEP241" s="814"/>
      <c r="QEQ241" s="813"/>
      <c r="QER241" s="814"/>
      <c r="QES241" s="813"/>
      <c r="QET241" s="814"/>
      <c r="QEU241" s="813"/>
      <c r="QEV241" s="814"/>
      <c r="QEW241" s="813"/>
      <c r="QEX241" s="814"/>
      <c r="QEY241" s="813"/>
      <c r="QEZ241" s="814"/>
      <c r="QFA241" s="813"/>
      <c r="QFB241" s="814"/>
      <c r="QFC241" s="813"/>
      <c r="QFD241" s="814"/>
      <c r="QFE241" s="813"/>
      <c r="QFF241" s="814"/>
      <c r="QFG241" s="813"/>
      <c r="QFH241" s="814"/>
      <c r="QFI241" s="813"/>
      <c r="QFJ241" s="814"/>
      <c r="QFK241" s="813"/>
      <c r="QFL241" s="814"/>
      <c r="QFM241" s="813"/>
      <c r="QFN241" s="814"/>
      <c r="QFO241" s="813"/>
      <c r="QFP241" s="814"/>
      <c r="QFQ241" s="813"/>
      <c r="QFR241" s="814"/>
      <c r="QFS241" s="813"/>
      <c r="QFT241" s="814"/>
      <c r="QFU241" s="813"/>
      <c r="QFV241" s="814"/>
      <c r="QFW241" s="813"/>
      <c r="QFX241" s="814"/>
      <c r="QFY241" s="813"/>
      <c r="QFZ241" s="814"/>
      <c r="QGA241" s="813"/>
      <c r="QGB241" s="814"/>
      <c r="QGC241" s="813"/>
      <c r="QGD241" s="814"/>
      <c r="QGE241" s="813"/>
      <c r="QGF241" s="814"/>
      <c r="QGG241" s="813"/>
      <c r="QGH241" s="814"/>
      <c r="QGI241" s="813"/>
      <c r="QGJ241" s="814"/>
      <c r="QGK241" s="813"/>
      <c r="QGL241" s="814"/>
      <c r="QGM241" s="813"/>
      <c r="QGN241" s="814"/>
      <c r="QGO241" s="813"/>
      <c r="QGP241" s="814"/>
      <c r="QGQ241" s="813"/>
      <c r="QGR241" s="814"/>
      <c r="QGS241" s="813"/>
      <c r="QGT241" s="814"/>
      <c r="QGU241" s="813"/>
      <c r="QGV241" s="814"/>
      <c r="QGW241" s="813"/>
      <c r="QGX241" s="814"/>
      <c r="QGY241" s="813"/>
      <c r="QGZ241" s="814"/>
      <c r="QHA241" s="813"/>
      <c r="QHB241" s="814"/>
      <c r="QHC241" s="813"/>
      <c r="QHD241" s="814"/>
      <c r="QHE241" s="813"/>
      <c r="QHF241" s="814"/>
      <c r="QHG241" s="813"/>
      <c r="QHH241" s="814"/>
      <c r="QHI241" s="813"/>
      <c r="QHJ241" s="814"/>
      <c r="QHK241" s="813"/>
      <c r="QHL241" s="814"/>
      <c r="QHM241" s="813"/>
      <c r="QHN241" s="814"/>
      <c r="QHO241" s="813"/>
      <c r="QHP241" s="814"/>
      <c r="QHQ241" s="813"/>
      <c r="QHR241" s="814"/>
      <c r="QHS241" s="813"/>
      <c r="QHT241" s="814"/>
      <c r="QHU241" s="813"/>
      <c r="QHV241" s="814"/>
      <c r="QHW241" s="813"/>
      <c r="QHX241" s="814"/>
      <c r="QHY241" s="813"/>
      <c r="QHZ241" s="814"/>
      <c r="QIA241" s="813"/>
      <c r="QIB241" s="814"/>
      <c r="QIC241" s="813"/>
      <c r="QID241" s="814"/>
      <c r="QIE241" s="813"/>
      <c r="QIF241" s="814"/>
      <c r="QIG241" s="813"/>
      <c r="QIH241" s="814"/>
      <c r="QII241" s="813"/>
      <c r="QIJ241" s="814"/>
      <c r="QIK241" s="813"/>
      <c r="QIL241" s="814"/>
      <c r="QIM241" s="813"/>
      <c r="QIN241" s="814"/>
      <c r="QIO241" s="813"/>
      <c r="QIP241" s="814"/>
      <c r="QIQ241" s="813"/>
      <c r="QIR241" s="814"/>
      <c r="QIS241" s="813"/>
      <c r="QIT241" s="814"/>
      <c r="QIU241" s="813"/>
      <c r="QIV241" s="814"/>
      <c r="QIW241" s="813"/>
      <c r="QIX241" s="814"/>
      <c r="QIY241" s="813"/>
      <c r="QIZ241" s="814"/>
      <c r="QJA241" s="813"/>
      <c r="QJB241" s="814"/>
      <c r="QJC241" s="813"/>
      <c r="QJD241" s="814"/>
      <c r="QJE241" s="813"/>
      <c r="QJF241" s="814"/>
      <c r="QJG241" s="813"/>
      <c r="QJH241" s="814"/>
      <c r="QJI241" s="813"/>
      <c r="QJJ241" s="814"/>
      <c r="QJK241" s="813"/>
      <c r="QJL241" s="814"/>
      <c r="QJM241" s="813"/>
      <c r="QJN241" s="814"/>
      <c r="QJO241" s="813"/>
      <c r="QJP241" s="814"/>
      <c r="QJQ241" s="813"/>
      <c r="QJR241" s="814"/>
      <c r="QJS241" s="813"/>
      <c r="QJT241" s="814"/>
      <c r="QJU241" s="813"/>
      <c r="QJV241" s="814"/>
      <c r="QJW241" s="813"/>
      <c r="QJX241" s="814"/>
      <c r="QJY241" s="813"/>
      <c r="QJZ241" s="814"/>
      <c r="QKA241" s="813"/>
      <c r="QKB241" s="814"/>
      <c r="QKC241" s="813"/>
      <c r="QKD241" s="814"/>
      <c r="QKE241" s="813"/>
      <c r="QKF241" s="814"/>
      <c r="QKG241" s="813"/>
      <c r="QKH241" s="814"/>
      <c r="QKI241" s="813"/>
      <c r="QKJ241" s="814"/>
      <c r="QKK241" s="813"/>
      <c r="QKL241" s="814"/>
      <c r="QKM241" s="813"/>
      <c r="QKN241" s="814"/>
      <c r="QKO241" s="813"/>
      <c r="QKP241" s="814"/>
      <c r="QKQ241" s="813"/>
      <c r="QKR241" s="814"/>
      <c r="QKS241" s="813"/>
      <c r="QKT241" s="814"/>
      <c r="QKU241" s="813"/>
      <c r="QKV241" s="814"/>
      <c r="QKW241" s="813"/>
      <c r="QKX241" s="814"/>
      <c r="QKY241" s="813"/>
      <c r="QKZ241" s="814"/>
      <c r="QLA241" s="813"/>
      <c r="QLB241" s="814"/>
      <c r="QLC241" s="813"/>
      <c r="QLD241" s="814"/>
      <c r="QLE241" s="813"/>
      <c r="QLF241" s="814"/>
      <c r="QLG241" s="813"/>
      <c r="QLH241" s="814"/>
      <c r="QLI241" s="813"/>
      <c r="QLJ241" s="814"/>
      <c r="QLK241" s="813"/>
      <c r="QLL241" s="814"/>
      <c r="QLM241" s="813"/>
      <c r="QLN241" s="814"/>
      <c r="QLO241" s="813"/>
      <c r="QLP241" s="814"/>
      <c r="QLQ241" s="813"/>
      <c r="QLR241" s="814"/>
      <c r="QLS241" s="813"/>
      <c r="QLT241" s="814"/>
      <c r="QLU241" s="813"/>
      <c r="QLV241" s="814"/>
      <c r="QLW241" s="813"/>
      <c r="QLX241" s="814"/>
      <c r="QLY241" s="813"/>
      <c r="QLZ241" s="814"/>
      <c r="QMA241" s="813"/>
      <c r="QMB241" s="814"/>
      <c r="QMC241" s="813"/>
      <c r="QMD241" s="814"/>
      <c r="QME241" s="813"/>
      <c r="QMF241" s="814"/>
      <c r="QMG241" s="813"/>
      <c r="QMH241" s="814"/>
      <c r="QMI241" s="813"/>
      <c r="QMJ241" s="814"/>
      <c r="QMK241" s="813"/>
      <c r="QML241" s="814"/>
      <c r="QMM241" s="813"/>
      <c r="QMN241" s="814"/>
      <c r="QMO241" s="813"/>
      <c r="QMP241" s="814"/>
      <c r="QMQ241" s="813"/>
      <c r="QMR241" s="814"/>
      <c r="QMS241" s="813"/>
      <c r="QMT241" s="814"/>
      <c r="QMU241" s="813"/>
      <c r="QMV241" s="814"/>
      <c r="QMW241" s="813"/>
      <c r="QMX241" s="814"/>
      <c r="QMY241" s="813"/>
      <c r="QMZ241" s="814"/>
      <c r="QNA241" s="813"/>
      <c r="QNB241" s="814"/>
      <c r="QNC241" s="813"/>
      <c r="QND241" s="814"/>
      <c r="QNE241" s="813"/>
      <c r="QNF241" s="814"/>
      <c r="QNG241" s="813"/>
      <c r="QNH241" s="814"/>
      <c r="QNI241" s="813"/>
      <c r="QNJ241" s="814"/>
      <c r="QNK241" s="813"/>
      <c r="QNL241" s="814"/>
      <c r="QNM241" s="813"/>
      <c r="QNN241" s="814"/>
      <c r="QNO241" s="813"/>
      <c r="QNP241" s="814"/>
      <c r="QNQ241" s="813"/>
      <c r="QNR241" s="814"/>
      <c r="QNS241" s="813"/>
      <c r="QNT241" s="814"/>
      <c r="QNU241" s="813"/>
      <c r="QNV241" s="814"/>
      <c r="QNW241" s="813"/>
      <c r="QNX241" s="814"/>
      <c r="QNY241" s="813"/>
      <c r="QNZ241" s="814"/>
      <c r="QOA241" s="813"/>
      <c r="QOB241" s="814"/>
      <c r="QOC241" s="813"/>
      <c r="QOD241" s="814"/>
      <c r="QOE241" s="813"/>
      <c r="QOF241" s="814"/>
      <c r="QOG241" s="813"/>
      <c r="QOH241" s="814"/>
      <c r="QOI241" s="813"/>
      <c r="QOJ241" s="814"/>
      <c r="QOK241" s="813"/>
      <c r="QOL241" s="814"/>
      <c r="QOM241" s="813"/>
      <c r="QON241" s="814"/>
      <c r="QOO241" s="813"/>
      <c r="QOP241" s="814"/>
      <c r="QOQ241" s="813"/>
      <c r="QOR241" s="814"/>
      <c r="QOS241" s="813"/>
      <c r="QOT241" s="814"/>
      <c r="QOU241" s="813"/>
      <c r="QOV241" s="814"/>
      <c r="QOW241" s="813"/>
      <c r="QOX241" s="814"/>
      <c r="QOY241" s="813"/>
      <c r="QOZ241" s="814"/>
      <c r="QPA241" s="813"/>
      <c r="QPB241" s="814"/>
      <c r="QPC241" s="813"/>
      <c r="QPD241" s="814"/>
      <c r="QPE241" s="813"/>
      <c r="QPF241" s="814"/>
      <c r="QPG241" s="813"/>
      <c r="QPH241" s="814"/>
      <c r="QPI241" s="813"/>
      <c r="QPJ241" s="814"/>
      <c r="QPK241" s="813"/>
      <c r="QPL241" s="814"/>
      <c r="QPM241" s="813"/>
      <c r="QPN241" s="814"/>
      <c r="QPO241" s="813"/>
      <c r="QPP241" s="814"/>
      <c r="QPQ241" s="813"/>
      <c r="QPR241" s="814"/>
      <c r="QPS241" s="813"/>
      <c r="QPT241" s="814"/>
      <c r="QPU241" s="813"/>
      <c r="QPV241" s="814"/>
      <c r="QPW241" s="813"/>
      <c r="QPX241" s="814"/>
      <c r="QPY241" s="813"/>
      <c r="QPZ241" s="814"/>
      <c r="QQA241" s="813"/>
      <c r="QQB241" s="814"/>
      <c r="QQC241" s="813"/>
      <c r="QQD241" s="814"/>
      <c r="QQE241" s="813"/>
      <c r="QQF241" s="814"/>
      <c r="QQG241" s="813"/>
      <c r="QQH241" s="814"/>
      <c r="QQI241" s="813"/>
      <c r="QQJ241" s="814"/>
      <c r="QQK241" s="813"/>
      <c r="QQL241" s="814"/>
      <c r="QQM241" s="813"/>
      <c r="QQN241" s="814"/>
      <c r="QQO241" s="813"/>
      <c r="QQP241" s="814"/>
      <c r="QQQ241" s="813"/>
      <c r="QQR241" s="814"/>
      <c r="QQS241" s="813"/>
      <c r="QQT241" s="814"/>
      <c r="QQU241" s="813"/>
      <c r="QQV241" s="814"/>
      <c r="QQW241" s="813"/>
      <c r="QQX241" s="814"/>
      <c r="QQY241" s="813"/>
      <c r="QQZ241" s="814"/>
      <c r="QRA241" s="813"/>
      <c r="QRB241" s="814"/>
      <c r="QRC241" s="813"/>
      <c r="QRD241" s="814"/>
      <c r="QRE241" s="813"/>
      <c r="QRF241" s="814"/>
      <c r="QRG241" s="813"/>
      <c r="QRH241" s="814"/>
      <c r="QRI241" s="813"/>
      <c r="QRJ241" s="814"/>
      <c r="QRK241" s="813"/>
      <c r="QRL241" s="814"/>
      <c r="QRM241" s="813"/>
      <c r="QRN241" s="814"/>
      <c r="QRO241" s="813"/>
      <c r="QRP241" s="814"/>
      <c r="QRQ241" s="813"/>
      <c r="QRR241" s="814"/>
      <c r="QRS241" s="813"/>
      <c r="QRT241" s="814"/>
      <c r="QRU241" s="813"/>
      <c r="QRV241" s="814"/>
      <c r="QRW241" s="813"/>
      <c r="QRX241" s="814"/>
      <c r="QRY241" s="813"/>
      <c r="QRZ241" s="814"/>
      <c r="QSA241" s="813"/>
      <c r="QSB241" s="814"/>
      <c r="QSC241" s="813"/>
      <c r="QSD241" s="814"/>
      <c r="QSE241" s="813"/>
      <c r="QSF241" s="814"/>
      <c r="QSG241" s="813"/>
      <c r="QSH241" s="814"/>
      <c r="QSI241" s="813"/>
      <c r="QSJ241" s="814"/>
      <c r="QSK241" s="813"/>
      <c r="QSL241" s="814"/>
      <c r="QSM241" s="813"/>
      <c r="QSN241" s="814"/>
      <c r="QSO241" s="813"/>
      <c r="QSP241" s="814"/>
      <c r="QSQ241" s="813"/>
      <c r="QSR241" s="814"/>
      <c r="QSS241" s="813"/>
      <c r="QST241" s="814"/>
      <c r="QSU241" s="813"/>
      <c r="QSV241" s="814"/>
      <c r="QSW241" s="813"/>
      <c r="QSX241" s="814"/>
      <c r="QSY241" s="813"/>
      <c r="QSZ241" s="814"/>
      <c r="QTA241" s="813"/>
      <c r="QTB241" s="814"/>
      <c r="QTC241" s="813"/>
      <c r="QTD241" s="814"/>
      <c r="QTE241" s="813"/>
      <c r="QTF241" s="814"/>
      <c r="QTG241" s="813"/>
      <c r="QTH241" s="814"/>
      <c r="QTI241" s="813"/>
      <c r="QTJ241" s="814"/>
      <c r="QTK241" s="813"/>
      <c r="QTL241" s="814"/>
      <c r="QTM241" s="813"/>
      <c r="QTN241" s="814"/>
      <c r="QTO241" s="813"/>
      <c r="QTP241" s="814"/>
      <c r="QTQ241" s="813"/>
      <c r="QTR241" s="814"/>
      <c r="QTS241" s="813"/>
      <c r="QTT241" s="814"/>
      <c r="QTU241" s="813"/>
      <c r="QTV241" s="814"/>
      <c r="QTW241" s="813"/>
      <c r="QTX241" s="814"/>
      <c r="QTY241" s="813"/>
      <c r="QTZ241" s="814"/>
      <c r="QUA241" s="813"/>
      <c r="QUB241" s="814"/>
      <c r="QUC241" s="813"/>
      <c r="QUD241" s="814"/>
      <c r="QUE241" s="813"/>
      <c r="QUF241" s="814"/>
      <c r="QUG241" s="813"/>
      <c r="QUH241" s="814"/>
      <c r="QUI241" s="813"/>
      <c r="QUJ241" s="814"/>
      <c r="QUK241" s="813"/>
      <c r="QUL241" s="814"/>
      <c r="QUM241" s="813"/>
      <c r="QUN241" s="814"/>
      <c r="QUO241" s="813"/>
      <c r="QUP241" s="814"/>
      <c r="QUQ241" s="813"/>
      <c r="QUR241" s="814"/>
      <c r="QUS241" s="813"/>
      <c r="QUT241" s="814"/>
      <c r="QUU241" s="813"/>
      <c r="QUV241" s="814"/>
      <c r="QUW241" s="813"/>
      <c r="QUX241" s="814"/>
      <c r="QUY241" s="813"/>
      <c r="QUZ241" s="814"/>
      <c r="QVA241" s="813"/>
      <c r="QVB241" s="814"/>
      <c r="QVC241" s="813"/>
      <c r="QVD241" s="814"/>
      <c r="QVE241" s="813"/>
      <c r="QVF241" s="814"/>
      <c r="QVG241" s="813"/>
      <c r="QVH241" s="814"/>
      <c r="QVI241" s="813"/>
      <c r="QVJ241" s="814"/>
      <c r="QVK241" s="813"/>
      <c r="QVL241" s="814"/>
      <c r="QVM241" s="813"/>
      <c r="QVN241" s="814"/>
      <c r="QVO241" s="813"/>
      <c r="QVP241" s="814"/>
      <c r="QVQ241" s="813"/>
      <c r="QVR241" s="814"/>
      <c r="QVS241" s="813"/>
      <c r="QVT241" s="814"/>
      <c r="QVU241" s="813"/>
      <c r="QVV241" s="814"/>
      <c r="QVW241" s="813"/>
      <c r="QVX241" s="814"/>
      <c r="QVY241" s="813"/>
      <c r="QVZ241" s="814"/>
      <c r="QWA241" s="813"/>
      <c r="QWB241" s="814"/>
      <c r="QWC241" s="813"/>
      <c r="QWD241" s="814"/>
      <c r="QWE241" s="813"/>
      <c r="QWF241" s="814"/>
      <c r="QWG241" s="813"/>
      <c r="QWH241" s="814"/>
      <c r="QWI241" s="813"/>
      <c r="QWJ241" s="814"/>
      <c r="QWK241" s="813"/>
      <c r="QWL241" s="814"/>
      <c r="QWM241" s="813"/>
      <c r="QWN241" s="814"/>
      <c r="QWO241" s="813"/>
      <c r="QWP241" s="814"/>
      <c r="QWQ241" s="813"/>
      <c r="QWR241" s="814"/>
      <c r="QWS241" s="813"/>
      <c r="QWT241" s="814"/>
      <c r="QWU241" s="813"/>
      <c r="QWV241" s="814"/>
      <c r="QWW241" s="813"/>
      <c r="QWX241" s="814"/>
      <c r="QWY241" s="813"/>
      <c r="QWZ241" s="814"/>
      <c r="QXA241" s="813"/>
      <c r="QXB241" s="814"/>
      <c r="QXC241" s="813"/>
      <c r="QXD241" s="814"/>
      <c r="QXE241" s="813"/>
      <c r="QXF241" s="814"/>
      <c r="QXG241" s="813"/>
      <c r="QXH241" s="814"/>
      <c r="QXI241" s="813"/>
      <c r="QXJ241" s="814"/>
      <c r="QXK241" s="813"/>
      <c r="QXL241" s="814"/>
      <c r="QXM241" s="813"/>
      <c r="QXN241" s="814"/>
      <c r="QXO241" s="813"/>
      <c r="QXP241" s="814"/>
      <c r="QXQ241" s="813"/>
      <c r="QXR241" s="814"/>
      <c r="QXS241" s="813"/>
      <c r="QXT241" s="814"/>
      <c r="QXU241" s="813"/>
      <c r="QXV241" s="814"/>
      <c r="QXW241" s="813"/>
      <c r="QXX241" s="814"/>
      <c r="QXY241" s="813"/>
      <c r="QXZ241" s="814"/>
      <c r="QYA241" s="813"/>
      <c r="QYB241" s="814"/>
      <c r="QYC241" s="813"/>
      <c r="QYD241" s="814"/>
      <c r="QYE241" s="813"/>
      <c r="QYF241" s="814"/>
      <c r="QYG241" s="813"/>
      <c r="QYH241" s="814"/>
      <c r="QYI241" s="813"/>
      <c r="QYJ241" s="814"/>
      <c r="QYK241" s="813"/>
      <c r="QYL241" s="814"/>
      <c r="QYM241" s="813"/>
      <c r="QYN241" s="814"/>
      <c r="QYO241" s="813"/>
      <c r="QYP241" s="814"/>
      <c r="QYQ241" s="813"/>
      <c r="QYR241" s="814"/>
      <c r="QYS241" s="813"/>
      <c r="QYT241" s="814"/>
      <c r="QYU241" s="813"/>
      <c r="QYV241" s="814"/>
      <c r="QYW241" s="813"/>
      <c r="QYX241" s="814"/>
      <c r="QYY241" s="813"/>
      <c r="QYZ241" s="814"/>
      <c r="QZA241" s="813"/>
      <c r="QZB241" s="814"/>
      <c r="QZC241" s="813"/>
      <c r="QZD241" s="814"/>
      <c r="QZE241" s="813"/>
      <c r="QZF241" s="814"/>
      <c r="QZG241" s="813"/>
      <c r="QZH241" s="814"/>
      <c r="QZI241" s="813"/>
      <c r="QZJ241" s="814"/>
      <c r="QZK241" s="813"/>
      <c r="QZL241" s="814"/>
      <c r="QZM241" s="813"/>
      <c r="QZN241" s="814"/>
      <c r="QZO241" s="813"/>
      <c r="QZP241" s="814"/>
      <c r="QZQ241" s="813"/>
      <c r="QZR241" s="814"/>
      <c r="QZS241" s="813"/>
      <c r="QZT241" s="814"/>
      <c r="QZU241" s="813"/>
      <c r="QZV241" s="814"/>
      <c r="QZW241" s="813"/>
      <c r="QZX241" s="814"/>
      <c r="QZY241" s="813"/>
      <c r="QZZ241" s="814"/>
      <c r="RAA241" s="813"/>
      <c r="RAB241" s="814"/>
      <c r="RAC241" s="813"/>
      <c r="RAD241" s="814"/>
      <c r="RAE241" s="813"/>
      <c r="RAF241" s="814"/>
      <c r="RAG241" s="813"/>
      <c r="RAH241" s="814"/>
      <c r="RAI241" s="813"/>
      <c r="RAJ241" s="814"/>
      <c r="RAK241" s="813"/>
      <c r="RAL241" s="814"/>
      <c r="RAM241" s="813"/>
      <c r="RAN241" s="814"/>
      <c r="RAO241" s="813"/>
      <c r="RAP241" s="814"/>
      <c r="RAQ241" s="813"/>
      <c r="RAR241" s="814"/>
      <c r="RAS241" s="813"/>
      <c r="RAT241" s="814"/>
      <c r="RAU241" s="813"/>
      <c r="RAV241" s="814"/>
      <c r="RAW241" s="813"/>
      <c r="RAX241" s="814"/>
      <c r="RAY241" s="813"/>
      <c r="RAZ241" s="814"/>
      <c r="RBA241" s="813"/>
      <c r="RBB241" s="814"/>
      <c r="RBC241" s="813"/>
      <c r="RBD241" s="814"/>
      <c r="RBE241" s="813"/>
      <c r="RBF241" s="814"/>
      <c r="RBG241" s="813"/>
      <c r="RBH241" s="814"/>
      <c r="RBI241" s="813"/>
      <c r="RBJ241" s="814"/>
      <c r="RBK241" s="813"/>
      <c r="RBL241" s="814"/>
      <c r="RBM241" s="813"/>
      <c r="RBN241" s="814"/>
      <c r="RBO241" s="813"/>
      <c r="RBP241" s="814"/>
      <c r="RBQ241" s="813"/>
      <c r="RBR241" s="814"/>
      <c r="RBS241" s="813"/>
      <c r="RBT241" s="814"/>
      <c r="RBU241" s="813"/>
      <c r="RBV241" s="814"/>
      <c r="RBW241" s="813"/>
      <c r="RBX241" s="814"/>
      <c r="RBY241" s="813"/>
      <c r="RBZ241" s="814"/>
      <c r="RCA241" s="813"/>
      <c r="RCB241" s="814"/>
      <c r="RCC241" s="813"/>
      <c r="RCD241" s="814"/>
      <c r="RCE241" s="813"/>
      <c r="RCF241" s="814"/>
      <c r="RCG241" s="813"/>
      <c r="RCH241" s="814"/>
      <c r="RCI241" s="813"/>
      <c r="RCJ241" s="814"/>
      <c r="RCK241" s="813"/>
      <c r="RCL241" s="814"/>
      <c r="RCM241" s="813"/>
      <c r="RCN241" s="814"/>
      <c r="RCO241" s="813"/>
      <c r="RCP241" s="814"/>
      <c r="RCQ241" s="813"/>
      <c r="RCR241" s="814"/>
      <c r="RCS241" s="813"/>
      <c r="RCT241" s="814"/>
      <c r="RCU241" s="813"/>
      <c r="RCV241" s="814"/>
      <c r="RCW241" s="813"/>
      <c r="RCX241" s="814"/>
      <c r="RCY241" s="813"/>
      <c r="RCZ241" s="814"/>
      <c r="RDA241" s="813"/>
      <c r="RDB241" s="814"/>
      <c r="RDC241" s="813"/>
      <c r="RDD241" s="814"/>
      <c r="RDE241" s="813"/>
      <c r="RDF241" s="814"/>
      <c r="RDG241" s="813"/>
      <c r="RDH241" s="814"/>
      <c r="RDI241" s="813"/>
      <c r="RDJ241" s="814"/>
      <c r="RDK241" s="813"/>
      <c r="RDL241" s="814"/>
      <c r="RDM241" s="813"/>
      <c r="RDN241" s="814"/>
      <c r="RDO241" s="813"/>
      <c r="RDP241" s="814"/>
      <c r="RDQ241" s="813"/>
      <c r="RDR241" s="814"/>
      <c r="RDS241" s="813"/>
      <c r="RDT241" s="814"/>
      <c r="RDU241" s="813"/>
      <c r="RDV241" s="814"/>
      <c r="RDW241" s="813"/>
      <c r="RDX241" s="814"/>
      <c r="RDY241" s="813"/>
      <c r="RDZ241" s="814"/>
      <c r="REA241" s="813"/>
      <c r="REB241" s="814"/>
      <c r="REC241" s="813"/>
      <c r="RED241" s="814"/>
      <c r="REE241" s="813"/>
      <c r="REF241" s="814"/>
      <c r="REG241" s="813"/>
      <c r="REH241" s="814"/>
      <c r="REI241" s="813"/>
      <c r="REJ241" s="814"/>
      <c r="REK241" s="813"/>
      <c r="REL241" s="814"/>
      <c r="REM241" s="813"/>
      <c r="REN241" s="814"/>
      <c r="REO241" s="813"/>
      <c r="REP241" s="814"/>
      <c r="REQ241" s="813"/>
      <c r="RER241" s="814"/>
      <c r="RES241" s="813"/>
      <c r="RET241" s="814"/>
      <c r="REU241" s="813"/>
      <c r="REV241" s="814"/>
      <c r="REW241" s="813"/>
      <c r="REX241" s="814"/>
      <c r="REY241" s="813"/>
      <c r="REZ241" s="814"/>
      <c r="RFA241" s="813"/>
      <c r="RFB241" s="814"/>
      <c r="RFC241" s="813"/>
      <c r="RFD241" s="814"/>
      <c r="RFE241" s="813"/>
      <c r="RFF241" s="814"/>
      <c r="RFG241" s="813"/>
      <c r="RFH241" s="814"/>
      <c r="RFI241" s="813"/>
      <c r="RFJ241" s="814"/>
      <c r="RFK241" s="813"/>
      <c r="RFL241" s="814"/>
      <c r="RFM241" s="813"/>
      <c r="RFN241" s="814"/>
      <c r="RFO241" s="813"/>
      <c r="RFP241" s="814"/>
      <c r="RFQ241" s="813"/>
      <c r="RFR241" s="814"/>
      <c r="RFS241" s="813"/>
      <c r="RFT241" s="814"/>
      <c r="RFU241" s="813"/>
      <c r="RFV241" s="814"/>
      <c r="RFW241" s="813"/>
      <c r="RFX241" s="814"/>
      <c r="RFY241" s="813"/>
      <c r="RFZ241" s="814"/>
      <c r="RGA241" s="813"/>
      <c r="RGB241" s="814"/>
      <c r="RGC241" s="813"/>
      <c r="RGD241" s="814"/>
      <c r="RGE241" s="813"/>
      <c r="RGF241" s="814"/>
      <c r="RGG241" s="813"/>
      <c r="RGH241" s="814"/>
      <c r="RGI241" s="813"/>
      <c r="RGJ241" s="814"/>
      <c r="RGK241" s="813"/>
      <c r="RGL241" s="814"/>
      <c r="RGM241" s="813"/>
      <c r="RGN241" s="814"/>
      <c r="RGO241" s="813"/>
      <c r="RGP241" s="814"/>
      <c r="RGQ241" s="813"/>
      <c r="RGR241" s="814"/>
      <c r="RGS241" s="813"/>
      <c r="RGT241" s="814"/>
      <c r="RGU241" s="813"/>
      <c r="RGV241" s="814"/>
      <c r="RGW241" s="813"/>
      <c r="RGX241" s="814"/>
      <c r="RGY241" s="813"/>
      <c r="RGZ241" s="814"/>
      <c r="RHA241" s="813"/>
      <c r="RHB241" s="814"/>
      <c r="RHC241" s="813"/>
      <c r="RHD241" s="814"/>
      <c r="RHE241" s="813"/>
      <c r="RHF241" s="814"/>
      <c r="RHG241" s="813"/>
      <c r="RHH241" s="814"/>
      <c r="RHI241" s="813"/>
      <c r="RHJ241" s="814"/>
      <c r="RHK241" s="813"/>
      <c r="RHL241" s="814"/>
      <c r="RHM241" s="813"/>
      <c r="RHN241" s="814"/>
      <c r="RHO241" s="813"/>
      <c r="RHP241" s="814"/>
      <c r="RHQ241" s="813"/>
      <c r="RHR241" s="814"/>
      <c r="RHS241" s="813"/>
      <c r="RHT241" s="814"/>
      <c r="RHU241" s="813"/>
      <c r="RHV241" s="814"/>
      <c r="RHW241" s="813"/>
      <c r="RHX241" s="814"/>
      <c r="RHY241" s="813"/>
      <c r="RHZ241" s="814"/>
      <c r="RIA241" s="813"/>
      <c r="RIB241" s="814"/>
      <c r="RIC241" s="813"/>
      <c r="RID241" s="814"/>
      <c r="RIE241" s="813"/>
      <c r="RIF241" s="814"/>
      <c r="RIG241" s="813"/>
      <c r="RIH241" s="814"/>
      <c r="RII241" s="813"/>
      <c r="RIJ241" s="814"/>
      <c r="RIK241" s="813"/>
      <c r="RIL241" s="814"/>
      <c r="RIM241" s="813"/>
      <c r="RIN241" s="814"/>
      <c r="RIO241" s="813"/>
      <c r="RIP241" s="814"/>
      <c r="RIQ241" s="813"/>
      <c r="RIR241" s="814"/>
      <c r="RIS241" s="813"/>
      <c r="RIT241" s="814"/>
      <c r="RIU241" s="813"/>
      <c r="RIV241" s="814"/>
      <c r="RIW241" s="813"/>
      <c r="RIX241" s="814"/>
      <c r="RIY241" s="813"/>
      <c r="RIZ241" s="814"/>
      <c r="RJA241" s="813"/>
      <c r="RJB241" s="814"/>
      <c r="RJC241" s="813"/>
      <c r="RJD241" s="814"/>
      <c r="RJE241" s="813"/>
      <c r="RJF241" s="814"/>
      <c r="RJG241" s="813"/>
      <c r="RJH241" s="814"/>
      <c r="RJI241" s="813"/>
      <c r="RJJ241" s="814"/>
      <c r="RJK241" s="813"/>
      <c r="RJL241" s="814"/>
      <c r="RJM241" s="813"/>
      <c r="RJN241" s="814"/>
      <c r="RJO241" s="813"/>
      <c r="RJP241" s="814"/>
      <c r="RJQ241" s="813"/>
      <c r="RJR241" s="814"/>
      <c r="RJS241" s="813"/>
      <c r="RJT241" s="814"/>
      <c r="RJU241" s="813"/>
      <c r="RJV241" s="814"/>
      <c r="RJW241" s="813"/>
      <c r="RJX241" s="814"/>
      <c r="RJY241" s="813"/>
      <c r="RJZ241" s="814"/>
      <c r="RKA241" s="813"/>
      <c r="RKB241" s="814"/>
      <c r="RKC241" s="813"/>
      <c r="RKD241" s="814"/>
      <c r="RKE241" s="813"/>
      <c r="RKF241" s="814"/>
      <c r="RKG241" s="813"/>
      <c r="RKH241" s="814"/>
      <c r="RKI241" s="813"/>
      <c r="RKJ241" s="814"/>
      <c r="RKK241" s="813"/>
      <c r="RKL241" s="814"/>
      <c r="RKM241" s="813"/>
      <c r="RKN241" s="814"/>
      <c r="RKO241" s="813"/>
      <c r="RKP241" s="814"/>
      <c r="RKQ241" s="813"/>
      <c r="RKR241" s="814"/>
      <c r="RKS241" s="813"/>
      <c r="RKT241" s="814"/>
      <c r="RKU241" s="813"/>
      <c r="RKV241" s="814"/>
      <c r="RKW241" s="813"/>
      <c r="RKX241" s="814"/>
      <c r="RKY241" s="813"/>
      <c r="RKZ241" s="814"/>
      <c r="RLA241" s="813"/>
      <c r="RLB241" s="814"/>
      <c r="RLC241" s="813"/>
      <c r="RLD241" s="814"/>
      <c r="RLE241" s="813"/>
      <c r="RLF241" s="814"/>
      <c r="RLG241" s="813"/>
      <c r="RLH241" s="814"/>
      <c r="RLI241" s="813"/>
      <c r="RLJ241" s="814"/>
      <c r="RLK241" s="813"/>
      <c r="RLL241" s="814"/>
      <c r="RLM241" s="813"/>
      <c r="RLN241" s="814"/>
      <c r="RLO241" s="813"/>
      <c r="RLP241" s="814"/>
      <c r="RLQ241" s="813"/>
      <c r="RLR241" s="814"/>
      <c r="RLS241" s="813"/>
      <c r="RLT241" s="814"/>
      <c r="RLU241" s="813"/>
      <c r="RLV241" s="814"/>
      <c r="RLW241" s="813"/>
      <c r="RLX241" s="814"/>
      <c r="RLY241" s="813"/>
      <c r="RLZ241" s="814"/>
      <c r="RMA241" s="813"/>
      <c r="RMB241" s="814"/>
      <c r="RMC241" s="813"/>
      <c r="RMD241" s="814"/>
      <c r="RME241" s="813"/>
      <c r="RMF241" s="814"/>
      <c r="RMG241" s="813"/>
      <c r="RMH241" s="814"/>
      <c r="RMI241" s="813"/>
      <c r="RMJ241" s="814"/>
      <c r="RMK241" s="813"/>
      <c r="RML241" s="814"/>
      <c r="RMM241" s="813"/>
      <c r="RMN241" s="814"/>
      <c r="RMO241" s="813"/>
      <c r="RMP241" s="814"/>
      <c r="RMQ241" s="813"/>
      <c r="RMR241" s="814"/>
      <c r="RMS241" s="813"/>
      <c r="RMT241" s="814"/>
      <c r="RMU241" s="813"/>
      <c r="RMV241" s="814"/>
      <c r="RMW241" s="813"/>
      <c r="RMX241" s="814"/>
      <c r="RMY241" s="813"/>
      <c r="RMZ241" s="814"/>
      <c r="RNA241" s="813"/>
      <c r="RNB241" s="814"/>
      <c r="RNC241" s="813"/>
      <c r="RND241" s="814"/>
      <c r="RNE241" s="813"/>
      <c r="RNF241" s="814"/>
      <c r="RNG241" s="813"/>
      <c r="RNH241" s="814"/>
      <c r="RNI241" s="813"/>
      <c r="RNJ241" s="814"/>
      <c r="RNK241" s="813"/>
      <c r="RNL241" s="814"/>
      <c r="RNM241" s="813"/>
      <c r="RNN241" s="814"/>
      <c r="RNO241" s="813"/>
      <c r="RNP241" s="814"/>
      <c r="RNQ241" s="813"/>
      <c r="RNR241" s="814"/>
      <c r="RNS241" s="813"/>
      <c r="RNT241" s="814"/>
      <c r="RNU241" s="813"/>
      <c r="RNV241" s="814"/>
      <c r="RNW241" s="813"/>
      <c r="RNX241" s="814"/>
      <c r="RNY241" s="813"/>
      <c r="RNZ241" s="814"/>
      <c r="ROA241" s="813"/>
      <c r="ROB241" s="814"/>
      <c r="ROC241" s="813"/>
      <c r="ROD241" s="814"/>
      <c r="ROE241" s="813"/>
      <c r="ROF241" s="814"/>
      <c r="ROG241" s="813"/>
      <c r="ROH241" s="814"/>
      <c r="ROI241" s="813"/>
      <c r="ROJ241" s="814"/>
      <c r="ROK241" s="813"/>
      <c r="ROL241" s="814"/>
      <c r="ROM241" s="813"/>
      <c r="RON241" s="814"/>
      <c r="ROO241" s="813"/>
      <c r="ROP241" s="814"/>
      <c r="ROQ241" s="813"/>
      <c r="ROR241" s="814"/>
      <c r="ROS241" s="813"/>
      <c r="ROT241" s="814"/>
      <c r="ROU241" s="813"/>
      <c r="ROV241" s="814"/>
      <c r="ROW241" s="813"/>
      <c r="ROX241" s="814"/>
      <c r="ROY241" s="813"/>
      <c r="ROZ241" s="814"/>
      <c r="RPA241" s="813"/>
      <c r="RPB241" s="814"/>
      <c r="RPC241" s="813"/>
      <c r="RPD241" s="814"/>
      <c r="RPE241" s="813"/>
      <c r="RPF241" s="814"/>
      <c r="RPG241" s="813"/>
      <c r="RPH241" s="814"/>
      <c r="RPI241" s="813"/>
      <c r="RPJ241" s="814"/>
      <c r="RPK241" s="813"/>
      <c r="RPL241" s="814"/>
      <c r="RPM241" s="813"/>
      <c r="RPN241" s="814"/>
      <c r="RPO241" s="813"/>
      <c r="RPP241" s="814"/>
      <c r="RPQ241" s="813"/>
      <c r="RPR241" s="814"/>
      <c r="RPS241" s="813"/>
      <c r="RPT241" s="814"/>
      <c r="RPU241" s="813"/>
      <c r="RPV241" s="814"/>
      <c r="RPW241" s="813"/>
      <c r="RPX241" s="814"/>
      <c r="RPY241" s="813"/>
      <c r="RPZ241" s="814"/>
      <c r="RQA241" s="813"/>
      <c r="RQB241" s="814"/>
      <c r="RQC241" s="813"/>
      <c r="RQD241" s="814"/>
      <c r="RQE241" s="813"/>
      <c r="RQF241" s="814"/>
      <c r="RQG241" s="813"/>
      <c r="RQH241" s="814"/>
      <c r="RQI241" s="813"/>
      <c r="RQJ241" s="814"/>
      <c r="RQK241" s="813"/>
      <c r="RQL241" s="814"/>
      <c r="RQM241" s="813"/>
      <c r="RQN241" s="814"/>
      <c r="RQO241" s="813"/>
      <c r="RQP241" s="814"/>
      <c r="RQQ241" s="813"/>
      <c r="RQR241" s="814"/>
      <c r="RQS241" s="813"/>
      <c r="RQT241" s="814"/>
      <c r="RQU241" s="813"/>
      <c r="RQV241" s="814"/>
      <c r="RQW241" s="813"/>
      <c r="RQX241" s="814"/>
      <c r="RQY241" s="813"/>
      <c r="RQZ241" s="814"/>
      <c r="RRA241" s="813"/>
      <c r="RRB241" s="814"/>
      <c r="RRC241" s="813"/>
      <c r="RRD241" s="814"/>
      <c r="RRE241" s="813"/>
      <c r="RRF241" s="814"/>
      <c r="RRG241" s="813"/>
      <c r="RRH241" s="814"/>
      <c r="RRI241" s="813"/>
      <c r="RRJ241" s="814"/>
      <c r="RRK241" s="813"/>
      <c r="RRL241" s="814"/>
      <c r="RRM241" s="813"/>
      <c r="RRN241" s="814"/>
      <c r="RRO241" s="813"/>
      <c r="RRP241" s="814"/>
      <c r="RRQ241" s="813"/>
      <c r="RRR241" s="814"/>
      <c r="RRS241" s="813"/>
      <c r="RRT241" s="814"/>
      <c r="RRU241" s="813"/>
      <c r="RRV241" s="814"/>
      <c r="RRW241" s="813"/>
      <c r="RRX241" s="814"/>
      <c r="RRY241" s="813"/>
      <c r="RRZ241" s="814"/>
      <c r="RSA241" s="813"/>
      <c r="RSB241" s="814"/>
      <c r="RSC241" s="813"/>
      <c r="RSD241" s="814"/>
      <c r="RSE241" s="813"/>
      <c r="RSF241" s="814"/>
      <c r="RSG241" s="813"/>
      <c r="RSH241" s="814"/>
      <c r="RSI241" s="813"/>
      <c r="RSJ241" s="814"/>
      <c r="RSK241" s="813"/>
      <c r="RSL241" s="814"/>
      <c r="RSM241" s="813"/>
      <c r="RSN241" s="814"/>
      <c r="RSO241" s="813"/>
      <c r="RSP241" s="814"/>
      <c r="RSQ241" s="813"/>
      <c r="RSR241" s="814"/>
      <c r="RSS241" s="813"/>
      <c r="RST241" s="814"/>
      <c r="RSU241" s="813"/>
      <c r="RSV241" s="814"/>
      <c r="RSW241" s="813"/>
      <c r="RSX241" s="814"/>
      <c r="RSY241" s="813"/>
      <c r="RSZ241" s="814"/>
      <c r="RTA241" s="813"/>
      <c r="RTB241" s="814"/>
      <c r="RTC241" s="813"/>
      <c r="RTD241" s="814"/>
      <c r="RTE241" s="813"/>
      <c r="RTF241" s="814"/>
      <c r="RTG241" s="813"/>
      <c r="RTH241" s="814"/>
      <c r="RTI241" s="813"/>
      <c r="RTJ241" s="814"/>
      <c r="RTK241" s="813"/>
      <c r="RTL241" s="814"/>
      <c r="RTM241" s="813"/>
      <c r="RTN241" s="814"/>
      <c r="RTO241" s="813"/>
      <c r="RTP241" s="814"/>
      <c r="RTQ241" s="813"/>
      <c r="RTR241" s="814"/>
      <c r="RTS241" s="813"/>
      <c r="RTT241" s="814"/>
      <c r="RTU241" s="813"/>
      <c r="RTV241" s="814"/>
      <c r="RTW241" s="813"/>
      <c r="RTX241" s="814"/>
      <c r="RTY241" s="813"/>
      <c r="RTZ241" s="814"/>
      <c r="RUA241" s="813"/>
      <c r="RUB241" s="814"/>
      <c r="RUC241" s="813"/>
      <c r="RUD241" s="814"/>
      <c r="RUE241" s="813"/>
      <c r="RUF241" s="814"/>
      <c r="RUG241" s="813"/>
      <c r="RUH241" s="814"/>
      <c r="RUI241" s="813"/>
      <c r="RUJ241" s="814"/>
      <c r="RUK241" s="813"/>
      <c r="RUL241" s="814"/>
      <c r="RUM241" s="813"/>
      <c r="RUN241" s="814"/>
      <c r="RUO241" s="813"/>
      <c r="RUP241" s="814"/>
      <c r="RUQ241" s="813"/>
      <c r="RUR241" s="814"/>
      <c r="RUS241" s="813"/>
      <c r="RUT241" s="814"/>
      <c r="RUU241" s="813"/>
      <c r="RUV241" s="814"/>
      <c r="RUW241" s="813"/>
      <c r="RUX241" s="814"/>
      <c r="RUY241" s="813"/>
      <c r="RUZ241" s="814"/>
      <c r="RVA241" s="813"/>
      <c r="RVB241" s="814"/>
      <c r="RVC241" s="813"/>
      <c r="RVD241" s="814"/>
      <c r="RVE241" s="813"/>
      <c r="RVF241" s="814"/>
      <c r="RVG241" s="813"/>
      <c r="RVH241" s="814"/>
      <c r="RVI241" s="813"/>
      <c r="RVJ241" s="814"/>
      <c r="RVK241" s="813"/>
      <c r="RVL241" s="814"/>
      <c r="RVM241" s="813"/>
      <c r="RVN241" s="814"/>
      <c r="RVO241" s="813"/>
      <c r="RVP241" s="814"/>
      <c r="RVQ241" s="813"/>
      <c r="RVR241" s="814"/>
      <c r="RVS241" s="813"/>
      <c r="RVT241" s="814"/>
      <c r="RVU241" s="813"/>
      <c r="RVV241" s="814"/>
      <c r="RVW241" s="813"/>
      <c r="RVX241" s="814"/>
      <c r="RVY241" s="813"/>
      <c r="RVZ241" s="814"/>
      <c r="RWA241" s="813"/>
      <c r="RWB241" s="814"/>
      <c r="RWC241" s="813"/>
      <c r="RWD241" s="814"/>
      <c r="RWE241" s="813"/>
      <c r="RWF241" s="814"/>
      <c r="RWG241" s="813"/>
      <c r="RWH241" s="814"/>
      <c r="RWI241" s="813"/>
      <c r="RWJ241" s="814"/>
      <c r="RWK241" s="813"/>
      <c r="RWL241" s="814"/>
      <c r="RWM241" s="813"/>
      <c r="RWN241" s="814"/>
      <c r="RWO241" s="813"/>
      <c r="RWP241" s="814"/>
      <c r="RWQ241" s="813"/>
      <c r="RWR241" s="814"/>
      <c r="RWS241" s="813"/>
      <c r="RWT241" s="814"/>
      <c r="RWU241" s="813"/>
      <c r="RWV241" s="814"/>
      <c r="RWW241" s="813"/>
      <c r="RWX241" s="814"/>
      <c r="RWY241" s="813"/>
      <c r="RWZ241" s="814"/>
      <c r="RXA241" s="813"/>
      <c r="RXB241" s="814"/>
      <c r="RXC241" s="813"/>
      <c r="RXD241" s="814"/>
      <c r="RXE241" s="813"/>
      <c r="RXF241" s="814"/>
      <c r="RXG241" s="813"/>
      <c r="RXH241" s="814"/>
      <c r="RXI241" s="813"/>
      <c r="RXJ241" s="814"/>
      <c r="RXK241" s="813"/>
      <c r="RXL241" s="814"/>
      <c r="RXM241" s="813"/>
      <c r="RXN241" s="814"/>
      <c r="RXO241" s="813"/>
      <c r="RXP241" s="814"/>
      <c r="RXQ241" s="813"/>
      <c r="RXR241" s="814"/>
      <c r="RXS241" s="813"/>
      <c r="RXT241" s="814"/>
      <c r="RXU241" s="813"/>
      <c r="RXV241" s="814"/>
      <c r="RXW241" s="813"/>
      <c r="RXX241" s="814"/>
      <c r="RXY241" s="813"/>
      <c r="RXZ241" s="814"/>
      <c r="RYA241" s="813"/>
      <c r="RYB241" s="814"/>
      <c r="RYC241" s="813"/>
      <c r="RYD241" s="814"/>
      <c r="RYE241" s="813"/>
      <c r="RYF241" s="814"/>
      <c r="RYG241" s="813"/>
      <c r="RYH241" s="814"/>
      <c r="RYI241" s="813"/>
      <c r="RYJ241" s="814"/>
      <c r="RYK241" s="813"/>
      <c r="RYL241" s="814"/>
      <c r="RYM241" s="813"/>
      <c r="RYN241" s="814"/>
      <c r="RYO241" s="813"/>
      <c r="RYP241" s="814"/>
      <c r="RYQ241" s="813"/>
      <c r="RYR241" s="814"/>
      <c r="RYS241" s="813"/>
      <c r="RYT241" s="814"/>
      <c r="RYU241" s="813"/>
      <c r="RYV241" s="814"/>
      <c r="RYW241" s="813"/>
      <c r="RYX241" s="814"/>
      <c r="RYY241" s="813"/>
      <c r="RYZ241" s="814"/>
      <c r="RZA241" s="813"/>
      <c r="RZB241" s="814"/>
      <c r="RZC241" s="813"/>
      <c r="RZD241" s="814"/>
      <c r="RZE241" s="813"/>
      <c r="RZF241" s="814"/>
      <c r="RZG241" s="813"/>
      <c r="RZH241" s="814"/>
      <c r="RZI241" s="813"/>
      <c r="RZJ241" s="814"/>
      <c r="RZK241" s="813"/>
      <c r="RZL241" s="814"/>
      <c r="RZM241" s="813"/>
      <c r="RZN241" s="814"/>
      <c r="RZO241" s="813"/>
      <c r="RZP241" s="814"/>
      <c r="RZQ241" s="813"/>
      <c r="RZR241" s="814"/>
      <c r="RZS241" s="813"/>
      <c r="RZT241" s="814"/>
      <c r="RZU241" s="813"/>
      <c r="RZV241" s="814"/>
      <c r="RZW241" s="813"/>
      <c r="RZX241" s="814"/>
      <c r="RZY241" s="813"/>
      <c r="RZZ241" s="814"/>
      <c r="SAA241" s="813"/>
      <c r="SAB241" s="814"/>
      <c r="SAC241" s="813"/>
      <c r="SAD241" s="814"/>
      <c r="SAE241" s="813"/>
      <c r="SAF241" s="814"/>
      <c r="SAG241" s="813"/>
      <c r="SAH241" s="814"/>
      <c r="SAI241" s="813"/>
      <c r="SAJ241" s="814"/>
      <c r="SAK241" s="813"/>
      <c r="SAL241" s="814"/>
      <c r="SAM241" s="813"/>
      <c r="SAN241" s="814"/>
      <c r="SAO241" s="813"/>
      <c r="SAP241" s="814"/>
      <c r="SAQ241" s="813"/>
      <c r="SAR241" s="814"/>
      <c r="SAS241" s="813"/>
      <c r="SAT241" s="814"/>
      <c r="SAU241" s="813"/>
      <c r="SAV241" s="814"/>
      <c r="SAW241" s="813"/>
      <c r="SAX241" s="814"/>
      <c r="SAY241" s="813"/>
      <c r="SAZ241" s="814"/>
      <c r="SBA241" s="813"/>
      <c r="SBB241" s="814"/>
      <c r="SBC241" s="813"/>
      <c r="SBD241" s="814"/>
      <c r="SBE241" s="813"/>
      <c r="SBF241" s="814"/>
      <c r="SBG241" s="813"/>
      <c r="SBH241" s="814"/>
      <c r="SBI241" s="813"/>
      <c r="SBJ241" s="814"/>
      <c r="SBK241" s="813"/>
      <c r="SBL241" s="814"/>
      <c r="SBM241" s="813"/>
      <c r="SBN241" s="814"/>
      <c r="SBO241" s="813"/>
      <c r="SBP241" s="814"/>
      <c r="SBQ241" s="813"/>
      <c r="SBR241" s="814"/>
      <c r="SBS241" s="813"/>
      <c r="SBT241" s="814"/>
      <c r="SBU241" s="813"/>
      <c r="SBV241" s="814"/>
      <c r="SBW241" s="813"/>
      <c r="SBX241" s="814"/>
      <c r="SBY241" s="813"/>
      <c r="SBZ241" s="814"/>
      <c r="SCA241" s="813"/>
      <c r="SCB241" s="814"/>
      <c r="SCC241" s="813"/>
      <c r="SCD241" s="814"/>
      <c r="SCE241" s="813"/>
      <c r="SCF241" s="814"/>
      <c r="SCG241" s="813"/>
      <c r="SCH241" s="814"/>
      <c r="SCI241" s="813"/>
      <c r="SCJ241" s="814"/>
      <c r="SCK241" s="813"/>
      <c r="SCL241" s="814"/>
      <c r="SCM241" s="813"/>
      <c r="SCN241" s="814"/>
      <c r="SCO241" s="813"/>
      <c r="SCP241" s="814"/>
      <c r="SCQ241" s="813"/>
      <c r="SCR241" s="814"/>
      <c r="SCS241" s="813"/>
      <c r="SCT241" s="814"/>
      <c r="SCU241" s="813"/>
      <c r="SCV241" s="814"/>
      <c r="SCW241" s="813"/>
      <c r="SCX241" s="814"/>
      <c r="SCY241" s="813"/>
      <c r="SCZ241" s="814"/>
      <c r="SDA241" s="813"/>
      <c r="SDB241" s="814"/>
      <c r="SDC241" s="813"/>
      <c r="SDD241" s="814"/>
      <c r="SDE241" s="813"/>
      <c r="SDF241" s="814"/>
      <c r="SDG241" s="813"/>
      <c r="SDH241" s="814"/>
      <c r="SDI241" s="813"/>
      <c r="SDJ241" s="814"/>
      <c r="SDK241" s="813"/>
      <c r="SDL241" s="814"/>
      <c r="SDM241" s="813"/>
      <c r="SDN241" s="814"/>
      <c r="SDO241" s="813"/>
      <c r="SDP241" s="814"/>
      <c r="SDQ241" s="813"/>
      <c r="SDR241" s="814"/>
      <c r="SDS241" s="813"/>
      <c r="SDT241" s="814"/>
      <c r="SDU241" s="813"/>
      <c r="SDV241" s="814"/>
      <c r="SDW241" s="813"/>
      <c r="SDX241" s="814"/>
      <c r="SDY241" s="813"/>
      <c r="SDZ241" s="814"/>
      <c r="SEA241" s="813"/>
      <c r="SEB241" s="814"/>
      <c r="SEC241" s="813"/>
      <c r="SED241" s="814"/>
      <c r="SEE241" s="813"/>
      <c r="SEF241" s="814"/>
      <c r="SEG241" s="813"/>
      <c r="SEH241" s="814"/>
      <c r="SEI241" s="813"/>
      <c r="SEJ241" s="814"/>
      <c r="SEK241" s="813"/>
      <c r="SEL241" s="814"/>
      <c r="SEM241" s="813"/>
      <c r="SEN241" s="814"/>
      <c r="SEO241" s="813"/>
      <c r="SEP241" s="814"/>
      <c r="SEQ241" s="813"/>
      <c r="SER241" s="814"/>
      <c r="SES241" s="813"/>
      <c r="SET241" s="814"/>
      <c r="SEU241" s="813"/>
      <c r="SEV241" s="814"/>
      <c r="SEW241" s="813"/>
      <c r="SEX241" s="814"/>
      <c r="SEY241" s="813"/>
      <c r="SEZ241" s="814"/>
      <c r="SFA241" s="813"/>
      <c r="SFB241" s="814"/>
      <c r="SFC241" s="813"/>
      <c r="SFD241" s="814"/>
      <c r="SFE241" s="813"/>
      <c r="SFF241" s="814"/>
      <c r="SFG241" s="813"/>
      <c r="SFH241" s="814"/>
      <c r="SFI241" s="813"/>
      <c r="SFJ241" s="814"/>
      <c r="SFK241" s="813"/>
      <c r="SFL241" s="814"/>
      <c r="SFM241" s="813"/>
      <c r="SFN241" s="814"/>
      <c r="SFO241" s="813"/>
      <c r="SFP241" s="814"/>
      <c r="SFQ241" s="813"/>
      <c r="SFR241" s="814"/>
      <c r="SFS241" s="813"/>
      <c r="SFT241" s="814"/>
      <c r="SFU241" s="813"/>
      <c r="SFV241" s="814"/>
      <c r="SFW241" s="813"/>
      <c r="SFX241" s="814"/>
      <c r="SFY241" s="813"/>
      <c r="SFZ241" s="814"/>
      <c r="SGA241" s="813"/>
      <c r="SGB241" s="814"/>
      <c r="SGC241" s="813"/>
      <c r="SGD241" s="814"/>
      <c r="SGE241" s="813"/>
      <c r="SGF241" s="814"/>
      <c r="SGG241" s="813"/>
      <c r="SGH241" s="814"/>
      <c r="SGI241" s="813"/>
      <c r="SGJ241" s="814"/>
      <c r="SGK241" s="813"/>
      <c r="SGL241" s="814"/>
      <c r="SGM241" s="813"/>
      <c r="SGN241" s="814"/>
      <c r="SGO241" s="813"/>
      <c r="SGP241" s="814"/>
      <c r="SGQ241" s="813"/>
      <c r="SGR241" s="814"/>
      <c r="SGS241" s="813"/>
      <c r="SGT241" s="814"/>
      <c r="SGU241" s="813"/>
      <c r="SGV241" s="814"/>
      <c r="SGW241" s="813"/>
      <c r="SGX241" s="814"/>
      <c r="SGY241" s="813"/>
      <c r="SGZ241" s="814"/>
      <c r="SHA241" s="813"/>
      <c r="SHB241" s="814"/>
      <c r="SHC241" s="813"/>
      <c r="SHD241" s="814"/>
      <c r="SHE241" s="813"/>
      <c r="SHF241" s="814"/>
      <c r="SHG241" s="813"/>
      <c r="SHH241" s="814"/>
      <c r="SHI241" s="813"/>
      <c r="SHJ241" s="814"/>
      <c r="SHK241" s="813"/>
      <c r="SHL241" s="814"/>
      <c r="SHM241" s="813"/>
      <c r="SHN241" s="814"/>
      <c r="SHO241" s="813"/>
      <c r="SHP241" s="814"/>
      <c r="SHQ241" s="813"/>
      <c r="SHR241" s="814"/>
      <c r="SHS241" s="813"/>
      <c r="SHT241" s="814"/>
      <c r="SHU241" s="813"/>
      <c r="SHV241" s="814"/>
      <c r="SHW241" s="813"/>
      <c r="SHX241" s="814"/>
      <c r="SHY241" s="813"/>
      <c r="SHZ241" s="814"/>
      <c r="SIA241" s="813"/>
      <c r="SIB241" s="814"/>
      <c r="SIC241" s="813"/>
      <c r="SID241" s="814"/>
      <c r="SIE241" s="813"/>
      <c r="SIF241" s="814"/>
      <c r="SIG241" s="813"/>
      <c r="SIH241" s="814"/>
      <c r="SII241" s="813"/>
      <c r="SIJ241" s="814"/>
      <c r="SIK241" s="813"/>
      <c r="SIL241" s="814"/>
      <c r="SIM241" s="813"/>
      <c r="SIN241" s="814"/>
      <c r="SIO241" s="813"/>
      <c r="SIP241" s="814"/>
      <c r="SIQ241" s="813"/>
      <c r="SIR241" s="814"/>
      <c r="SIS241" s="813"/>
      <c r="SIT241" s="814"/>
      <c r="SIU241" s="813"/>
      <c r="SIV241" s="814"/>
      <c r="SIW241" s="813"/>
      <c r="SIX241" s="814"/>
      <c r="SIY241" s="813"/>
      <c r="SIZ241" s="814"/>
      <c r="SJA241" s="813"/>
      <c r="SJB241" s="814"/>
      <c r="SJC241" s="813"/>
      <c r="SJD241" s="814"/>
      <c r="SJE241" s="813"/>
      <c r="SJF241" s="814"/>
      <c r="SJG241" s="813"/>
      <c r="SJH241" s="814"/>
      <c r="SJI241" s="813"/>
      <c r="SJJ241" s="814"/>
      <c r="SJK241" s="813"/>
      <c r="SJL241" s="814"/>
      <c r="SJM241" s="813"/>
      <c r="SJN241" s="814"/>
      <c r="SJO241" s="813"/>
      <c r="SJP241" s="814"/>
      <c r="SJQ241" s="813"/>
      <c r="SJR241" s="814"/>
      <c r="SJS241" s="813"/>
      <c r="SJT241" s="814"/>
      <c r="SJU241" s="813"/>
      <c r="SJV241" s="814"/>
      <c r="SJW241" s="813"/>
      <c r="SJX241" s="814"/>
      <c r="SJY241" s="813"/>
      <c r="SJZ241" s="814"/>
      <c r="SKA241" s="813"/>
      <c r="SKB241" s="814"/>
      <c r="SKC241" s="813"/>
      <c r="SKD241" s="814"/>
      <c r="SKE241" s="813"/>
      <c r="SKF241" s="814"/>
      <c r="SKG241" s="813"/>
      <c r="SKH241" s="814"/>
      <c r="SKI241" s="813"/>
      <c r="SKJ241" s="814"/>
      <c r="SKK241" s="813"/>
      <c r="SKL241" s="814"/>
      <c r="SKM241" s="813"/>
      <c r="SKN241" s="814"/>
      <c r="SKO241" s="813"/>
      <c r="SKP241" s="814"/>
      <c r="SKQ241" s="813"/>
      <c r="SKR241" s="814"/>
      <c r="SKS241" s="813"/>
      <c r="SKT241" s="814"/>
      <c r="SKU241" s="813"/>
      <c r="SKV241" s="814"/>
      <c r="SKW241" s="813"/>
      <c r="SKX241" s="814"/>
      <c r="SKY241" s="813"/>
      <c r="SKZ241" s="814"/>
      <c r="SLA241" s="813"/>
      <c r="SLB241" s="814"/>
      <c r="SLC241" s="813"/>
      <c r="SLD241" s="814"/>
      <c r="SLE241" s="813"/>
      <c r="SLF241" s="814"/>
      <c r="SLG241" s="813"/>
      <c r="SLH241" s="814"/>
      <c r="SLI241" s="813"/>
      <c r="SLJ241" s="814"/>
      <c r="SLK241" s="813"/>
      <c r="SLL241" s="814"/>
      <c r="SLM241" s="813"/>
      <c r="SLN241" s="814"/>
      <c r="SLO241" s="813"/>
      <c r="SLP241" s="814"/>
      <c r="SLQ241" s="813"/>
      <c r="SLR241" s="814"/>
      <c r="SLS241" s="813"/>
      <c r="SLT241" s="814"/>
      <c r="SLU241" s="813"/>
      <c r="SLV241" s="814"/>
      <c r="SLW241" s="813"/>
      <c r="SLX241" s="814"/>
      <c r="SLY241" s="813"/>
      <c r="SLZ241" s="814"/>
      <c r="SMA241" s="813"/>
      <c r="SMB241" s="814"/>
      <c r="SMC241" s="813"/>
      <c r="SMD241" s="814"/>
      <c r="SME241" s="813"/>
      <c r="SMF241" s="814"/>
      <c r="SMG241" s="813"/>
      <c r="SMH241" s="814"/>
      <c r="SMI241" s="813"/>
      <c r="SMJ241" s="814"/>
      <c r="SMK241" s="813"/>
      <c r="SML241" s="814"/>
      <c r="SMM241" s="813"/>
      <c r="SMN241" s="814"/>
      <c r="SMO241" s="813"/>
      <c r="SMP241" s="814"/>
      <c r="SMQ241" s="813"/>
      <c r="SMR241" s="814"/>
      <c r="SMS241" s="813"/>
      <c r="SMT241" s="814"/>
      <c r="SMU241" s="813"/>
      <c r="SMV241" s="814"/>
      <c r="SMW241" s="813"/>
      <c r="SMX241" s="814"/>
      <c r="SMY241" s="813"/>
      <c r="SMZ241" s="814"/>
      <c r="SNA241" s="813"/>
      <c r="SNB241" s="814"/>
      <c r="SNC241" s="813"/>
      <c r="SND241" s="814"/>
      <c r="SNE241" s="813"/>
      <c r="SNF241" s="814"/>
      <c r="SNG241" s="813"/>
      <c r="SNH241" s="814"/>
      <c r="SNI241" s="813"/>
      <c r="SNJ241" s="814"/>
      <c r="SNK241" s="813"/>
      <c r="SNL241" s="814"/>
      <c r="SNM241" s="813"/>
      <c r="SNN241" s="814"/>
      <c r="SNO241" s="813"/>
      <c r="SNP241" s="814"/>
      <c r="SNQ241" s="813"/>
      <c r="SNR241" s="814"/>
      <c r="SNS241" s="813"/>
      <c r="SNT241" s="814"/>
      <c r="SNU241" s="813"/>
      <c r="SNV241" s="814"/>
      <c r="SNW241" s="813"/>
      <c r="SNX241" s="814"/>
      <c r="SNY241" s="813"/>
      <c r="SNZ241" s="814"/>
      <c r="SOA241" s="813"/>
      <c r="SOB241" s="814"/>
      <c r="SOC241" s="813"/>
      <c r="SOD241" s="814"/>
      <c r="SOE241" s="813"/>
      <c r="SOF241" s="814"/>
      <c r="SOG241" s="813"/>
      <c r="SOH241" s="814"/>
      <c r="SOI241" s="813"/>
      <c r="SOJ241" s="814"/>
      <c r="SOK241" s="813"/>
      <c r="SOL241" s="814"/>
      <c r="SOM241" s="813"/>
      <c r="SON241" s="814"/>
      <c r="SOO241" s="813"/>
      <c r="SOP241" s="814"/>
      <c r="SOQ241" s="813"/>
      <c r="SOR241" s="814"/>
      <c r="SOS241" s="813"/>
      <c r="SOT241" s="814"/>
      <c r="SOU241" s="813"/>
      <c r="SOV241" s="814"/>
      <c r="SOW241" s="813"/>
      <c r="SOX241" s="814"/>
      <c r="SOY241" s="813"/>
      <c r="SOZ241" s="814"/>
      <c r="SPA241" s="813"/>
      <c r="SPB241" s="814"/>
      <c r="SPC241" s="813"/>
      <c r="SPD241" s="814"/>
      <c r="SPE241" s="813"/>
      <c r="SPF241" s="814"/>
      <c r="SPG241" s="813"/>
      <c r="SPH241" s="814"/>
      <c r="SPI241" s="813"/>
      <c r="SPJ241" s="814"/>
      <c r="SPK241" s="813"/>
      <c r="SPL241" s="814"/>
      <c r="SPM241" s="813"/>
      <c r="SPN241" s="814"/>
      <c r="SPO241" s="813"/>
      <c r="SPP241" s="814"/>
      <c r="SPQ241" s="813"/>
      <c r="SPR241" s="814"/>
      <c r="SPS241" s="813"/>
      <c r="SPT241" s="814"/>
      <c r="SPU241" s="813"/>
      <c r="SPV241" s="814"/>
      <c r="SPW241" s="813"/>
      <c r="SPX241" s="814"/>
      <c r="SPY241" s="813"/>
      <c r="SPZ241" s="814"/>
      <c r="SQA241" s="813"/>
      <c r="SQB241" s="814"/>
      <c r="SQC241" s="813"/>
      <c r="SQD241" s="814"/>
      <c r="SQE241" s="813"/>
      <c r="SQF241" s="814"/>
      <c r="SQG241" s="813"/>
      <c r="SQH241" s="814"/>
      <c r="SQI241" s="813"/>
      <c r="SQJ241" s="814"/>
      <c r="SQK241" s="813"/>
      <c r="SQL241" s="814"/>
      <c r="SQM241" s="813"/>
      <c r="SQN241" s="814"/>
      <c r="SQO241" s="813"/>
      <c r="SQP241" s="814"/>
      <c r="SQQ241" s="813"/>
      <c r="SQR241" s="814"/>
      <c r="SQS241" s="813"/>
      <c r="SQT241" s="814"/>
      <c r="SQU241" s="813"/>
      <c r="SQV241" s="814"/>
      <c r="SQW241" s="813"/>
      <c r="SQX241" s="814"/>
      <c r="SQY241" s="813"/>
      <c r="SQZ241" s="814"/>
      <c r="SRA241" s="813"/>
      <c r="SRB241" s="814"/>
      <c r="SRC241" s="813"/>
      <c r="SRD241" s="814"/>
      <c r="SRE241" s="813"/>
      <c r="SRF241" s="814"/>
      <c r="SRG241" s="813"/>
      <c r="SRH241" s="814"/>
      <c r="SRI241" s="813"/>
      <c r="SRJ241" s="814"/>
      <c r="SRK241" s="813"/>
      <c r="SRL241" s="814"/>
      <c r="SRM241" s="813"/>
      <c r="SRN241" s="814"/>
      <c r="SRO241" s="813"/>
      <c r="SRP241" s="814"/>
      <c r="SRQ241" s="813"/>
      <c r="SRR241" s="814"/>
      <c r="SRS241" s="813"/>
      <c r="SRT241" s="814"/>
      <c r="SRU241" s="813"/>
      <c r="SRV241" s="814"/>
      <c r="SRW241" s="813"/>
      <c r="SRX241" s="814"/>
      <c r="SRY241" s="813"/>
      <c r="SRZ241" s="814"/>
      <c r="SSA241" s="813"/>
      <c r="SSB241" s="814"/>
      <c r="SSC241" s="813"/>
      <c r="SSD241" s="814"/>
      <c r="SSE241" s="813"/>
      <c r="SSF241" s="814"/>
      <c r="SSG241" s="813"/>
      <c r="SSH241" s="814"/>
      <c r="SSI241" s="813"/>
      <c r="SSJ241" s="814"/>
      <c r="SSK241" s="813"/>
      <c r="SSL241" s="814"/>
      <c r="SSM241" s="813"/>
      <c r="SSN241" s="814"/>
      <c r="SSO241" s="813"/>
      <c r="SSP241" s="814"/>
      <c r="SSQ241" s="813"/>
      <c r="SSR241" s="814"/>
      <c r="SSS241" s="813"/>
      <c r="SST241" s="814"/>
      <c r="SSU241" s="813"/>
      <c r="SSV241" s="814"/>
      <c r="SSW241" s="813"/>
      <c r="SSX241" s="814"/>
      <c r="SSY241" s="813"/>
      <c r="SSZ241" s="814"/>
      <c r="STA241" s="813"/>
      <c r="STB241" s="814"/>
      <c r="STC241" s="813"/>
      <c r="STD241" s="814"/>
      <c r="STE241" s="813"/>
      <c r="STF241" s="814"/>
      <c r="STG241" s="813"/>
      <c r="STH241" s="814"/>
      <c r="STI241" s="813"/>
      <c r="STJ241" s="814"/>
      <c r="STK241" s="813"/>
      <c r="STL241" s="814"/>
      <c r="STM241" s="813"/>
      <c r="STN241" s="814"/>
      <c r="STO241" s="813"/>
      <c r="STP241" s="814"/>
      <c r="STQ241" s="813"/>
      <c r="STR241" s="814"/>
      <c r="STS241" s="813"/>
      <c r="STT241" s="814"/>
      <c r="STU241" s="813"/>
      <c r="STV241" s="814"/>
      <c r="STW241" s="813"/>
      <c r="STX241" s="814"/>
      <c r="STY241" s="813"/>
      <c r="STZ241" s="814"/>
      <c r="SUA241" s="813"/>
      <c r="SUB241" s="814"/>
      <c r="SUC241" s="813"/>
      <c r="SUD241" s="814"/>
      <c r="SUE241" s="813"/>
      <c r="SUF241" s="814"/>
      <c r="SUG241" s="813"/>
      <c r="SUH241" s="814"/>
      <c r="SUI241" s="813"/>
      <c r="SUJ241" s="814"/>
      <c r="SUK241" s="813"/>
      <c r="SUL241" s="814"/>
      <c r="SUM241" s="813"/>
      <c r="SUN241" s="814"/>
      <c r="SUO241" s="813"/>
      <c r="SUP241" s="814"/>
      <c r="SUQ241" s="813"/>
      <c r="SUR241" s="814"/>
      <c r="SUS241" s="813"/>
      <c r="SUT241" s="814"/>
      <c r="SUU241" s="813"/>
      <c r="SUV241" s="814"/>
      <c r="SUW241" s="813"/>
      <c r="SUX241" s="814"/>
      <c r="SUY241" s="813"/>
      <c r="SUZ241" s="814"/>
      <c r="SVA241" s="813"/>
      <c r="SVB241" s="814"/>
      <c r="SVC241" s="813"/>
      <c r="SVD241" s="814"/>
      <c r="SVE241" s="813"/>
      <c r="SVF241" s="814"/>
      <c r="SVG241" s="813"/>
      <c r="SVH241" s="814"/>
      <c r="SVI241" s="813"/>
      <c r="SVJ241" s="814"/>
      <c r="SVK241" s="813"/>
      <c r="SVL241" s="814"/>
      <c r="SVM241" s="813"/>
      <c r="SVN241" s="814"/>
      <c r="SVO241" s="813"/>
      <c r="SVP241" s="814"/>
      <c r="SVQ241" s="813"/>
      <c r="SVR241" s="814"/>
      <c r="SVS241" s="813"/>
      <c r="SVT241" s="814"/>
      <c r="SVU241" s="813"/>
      <c r="SVV241" s="814"/>
      <c r="SVW241" s="813"/>
      <c r="SVX241" s="814"/>
      <c r="SVY241" s="813"/>
      <c r="SVZ241" s="814"/>
      <c r="SWA241" s="813"/>
      <c r="SWB241" s="814"/>
      <c r="SWC241" s="813"/>
      <c r="SWD241" s="814"/>
      <c r="SWE241" s="813"/>
      <c r="SWF241" s="814"/>
      <c r="SWG241" s="813"/>
      <c r="SWH241" s="814"/>
      <c r="SWI241" s="813"/>
      <c r="SWJ241" s="814"/>
      <c r="SWK241" s="813"/>
      <c r="SWL241" s="814"/>
      <c r="SWM241" s="813"/>
      <c r="SWN241" s="814"/>
      <c r="SWO241" s="813"/>
      <c r="SWP241" s="814"/>
      <c r="SWQ241" s="813"/>
      <c r="SWR241" s="814"/>
      <c r="SWS241" s="813"/>
      <c r="SWT241" s="814"/>
      <c r="SWU241" s="813"/>
      <c r="SWV241" s="814"/>
      <c r="SWW241" s="813"/>
      <c r="SWX241" s="814"/>
      <c r="SWY241" s="813"/>
      <c r="SWZ241" s="814"/>
      <c r="SXA241" s="813"/>
      <c r="SXB241" s="814"/>
      <c r="SXC241" s="813"/>
      <c r="SXD241" s="814"/>
      <c r="SXE241" s="813"/>
      <c r="SXF241" s="814"/>
      <c r="SXG241" s="813"/>
      <c r="SXH241" s="814"/>
      <c r="SXI241" s="813"/>
      <c r="SXJ241" s="814"/>
      <c r="SXK241" s="813"/>
      <c r="SXL241" s="814"/>
      <c r="SXM241" s="813"/>
      <c r="SXN241" s="814"/>
      <c r="SXO241" s="813"/>
      <c r="SXP241" s="814"/>
      <c r="SXQ241" s="813"/>
      <c r="SXR241" s="814"/>
      <c r="SXS241" s="813"/>
      <c r="SXT241" s="814"/>
      <c r="SXU241" s="813"/>
      <c r="SXV241" s="814"/>
      <c r="SXW241" s="813"/>
      <c r="SXX241" s="814"/>
      <c r="SXY241" s="813"/>
      <c r="SXZ241" s="814"/>
      <c r="SYA241" s="813"/>
      <c r="SYB241" s="814"/>
      <c r="SYC241" s="813"/>
      <c r="SYD241" s="814"/>
      <c r="SYE241" s="813"/>
      <c r="SYF241" s="814"/>
      <c r="SYG241" s="813"/>
      <c r="SYH241" s="814"/>
      <c r="SYI241" s="813"/>
      <c r="SYJ241" s="814"/>
      <c r="SYK241" s="813"/>
      <c r="SYL241" s="814"/>
      <c r="SYM241" s="813"/>
      <c r="SYN241" s="814"/>
      <c r="SYO241" s="813"/>
      <c r="SYP241" s="814"/>
      <c r="SYQ241" s="813"/>
      <c r="SYR241" s="814"/>
      <c r="SYS241" s="813"/>
      <c r="SYT241" s="814"/>
      <c r="SYU241" s="813"/>
      <c r="SYV241" s="814"/>
      <c r="SYW241" s="813"/>
      <c r="SYX241" s="814"/>
      <c r="SYY241" s="813"/>
      <c r="SYZ241" s="814"/>
      <c r="SZA241" s="813"/>
      <c r="SZB241" s="814"/>
      <c r="SZC241" s="813"/>
      <c r="SZD241" s="814"/>
      <c r="SZE241" s="813"/>
      <c r="SZF241" s="814"/>
      <c r="SZG241" s="813"/>
      <c r="SZH241" s="814"/>
      <c r="SZI241" s="813"/>
      <c r="SZJ241" s="814"/>
      <c r="SZK241" s="813"/>
      <c r="SZL241" s="814"/>
      <c r="SZM241" s="813"/>
      <c r="SZN241" s="814"/>
      <c r="SZO241" s="813"/>
      <c r="SZP241" s="814"/>
      <c r="SZQ241" s="813"/>
      <c r="SZR241" s="814"/>
      <c r="SZS241" s="813"/>
      <c r="SZT241" s="814"/>
      <c r="SZU241" s="813"/>
      <c r="SZV241" s="814"/>
      <c r="SZW241" s="813"/>
      <c r="SZX241" s="814"/>
      <c r="SZY241" s="813"/>
      <c r="SZZ241" s="814"/>
      <c r="TAA241" s="813"/>
      <c r="TAB241" s="814"/>
      <c r="TAC241" s="813"/>
      <c r="TAD241" s="814"/>
      <c r="TAE241" s="813"/>
      <c r="TAF241" s="814"/>
      <c r="TAG241" s="813"/>
      <c r="TAH241" s="814"/>
      <c r="TAI241" s="813"/>
      <c r="TAJ241" s="814"/>
      <c r="TAK241" s="813"/>
      <c r="TAL241" s="814"/>
      <c r="TAM241" s="813"/>
      <c r="TAN241" s="814"/>
      <c r="TAO241" s="813"/>
      <c r="TAP241" s="814"/>
      <c r="TAQ241" s="813"/>
      <c r="TAR241" s="814"/>
      <c r="TAS241" s="813"/>
      <c r="TAT241" s="814"/>
      <c r="TAU241" s="813"/>
      <c r="TAV241" s="814"/>
      <c r="TAW241" s="813"/>
      <c r="TAX241" s="814"/>
      <c r="TAY241" s="813"/>
      <c r="TAZ241" s="814"/>
      <c r="TBA241" s="813"/>
      <c r="TBB241" s="814"/>
      <c r="TBC241" s="813"/>
      <c r="TBD241" s="814"/>
      <c r="TBE241" s="813"/>
      <c r="TBF241" s="814"/>
      <c r="TBG241" s="813"/>
      <c r="TBH241" s="814"/>
      <c r="TBI241" s="813"/>
      <c r="TBJ241" s="814"/>
      <c r="TBK241" s="813"/>
      <c r="TBL241" s="814"/>
      <c r="TBM241" s="813"/>
      <c r="TBN241" s="814"/>
      <c r="TBO241" s="813"/>
      <c r="TBP241" s="814"/>
      <c r="TBQ241" s="813"/>
      <c r="TBR241" s="814"/>
      <c r="TBS241" s="813"/>
      <c r="TBT241" s="814"/>
      <c r="TBU241" s="813"/>
      <c r="TBV241" s="814"/>
      <c r="TBW241" s="813"/>
      <c r="TBX241" s="814"/>
      <c r="TBY241" s="813"/>
      <c r="TBZ241" s="814"/>
      <c r="TCA241" s="813"/>
      <c r="TCB241" s="814"/>
      <c r="TCC241" s="813"/>
      <c r="TCD241" s="814"/>
      <c r="TCE241" s="813"/>
      <c r="TCF241" s="814"/>
      <c r="TCG241" s="813"/>
      <c r="TCH241" s="814"/>
      <c r="TCI241" s="813"/>
      <c r="TCJ241" s="814"/>
      <c r="TCK241" s="813"/>
      <c r="TCL241" s="814"/>
      <c r="TCM241" s="813"/>
      <c r="TCN241" s="814"/>
      <c r="TCO241" s="813"/>
      <c r="TCP241" s="814"/>
      <c r="TCQ241" s="813"/>
      <c r="TCR241" s="814"/>
      <c r="TCS241" s="813"/>
      <c r="TCT241" s="814"/>
      <c r="TCU241" s="813"/>
      <c r="TCV241" s="814"/>
      <c r="TCW241" s="813"/>
      <c r="TCX241" s="814"/>
      <c r="TCY241" s="813"/>
      <c r="TCZ241" s="814"/>
      <c r="TDA241" s="813"/>
      <c r="TDB241" s="814"/>
      <c r="TDC241" s="813"/>
      <c r="TDD241" s="814"/>
      <c r="TDE241" s="813"/>
      <c r="TDF241" s="814"/>
      <c r="TDG241" s="813"/>
      <c r="TDH241" s="814"/>
      <c r="TDI241" s="813"/>
      <c r="TDJ241" s="814"/>
      <c r="TDK241" s="813"/>
      <c r="TDL241" s="814"/>
      <c r="TDM241" s="813"/>
      <c r="TDN241" s="814"/>
      <c r="TDO241" s="813"/>
      <c r="TDP241" s="814"/>
      <c r="TDQ241" s="813"/>
      <c r="TDR241" s="814"/>
      <c r="TDS241" s="813"/>
      <c r="TDT241" s="814"/>
      <c r="TDU241" s="813"/>
      <c r="TDV241" s="814"/>
      <c r="TDW241" s="813"/>
      <c r="TDX241" s="814"/>
      <c r="TDY241" s="813"/>
      <c r="TDZ241" s="814"/>
      <c r="TEA241" s="813"/>
      <c r="TEB241" s="814"/>
      <c r="TEC241" s="813"/>
      <c r="TED241" s="814"/>
      <c r="TEE241" s="813"/>
      <c r="TEF241" s="814"/>
      <c r="TEG241" s="813"/>
      <c r="TEH241" s="814"/>
      <c r="TEI241" s="813"/>
      <c r="TEJ241" s="814"/>
      <c r="TEK241" s="813"/>
      <c r="TEL241" s="814"/>
      <c r="TEM241" s="813"/>
      <c r="TEN241" s="814"/>
      <c r="TEO241" s="813"/>
      <c r="TEP241" s="814"/>
      <c r="TEQ241" s="813"/>
      <c r="TER241" s="814"/>
      <c r="TES241" s="813"/>
      <c r="TET241" s="814"/>
      <c r="TEU241" s="813"/>
      <c r="TEV241" s="814"/>
      <c r="TEW241" s="813"/>
      <c r="TEX241" s="814"/>
      <c r="TEY241" s="813"/>
      <c r="TEZ241" s="814"/>
      <c r="TFA241" s="813"/>
      <c r="TFB241" s="814"/>
      <c r="TFC241" s="813"/>
      <c r="TFD241" s="814"/>
      <c r="TFE241" s="813"/>
      <c r="TFF241" s="814"/>
      <c r="TFG241" s="813"/>
      <c r="TFH241" s="814"/>
      <c r="TFI241" s="813"/>
      <c r="TFJ241" s="814"/>
      <c r="TFK241" s="813"/>
      <c r="TFL241" s="814"/>
      <c r="TFM241" s="813"/>
      <c r="TFN241" s="814"/>
      <c r="TFO241" s="813"/>
      <c r="TFP241" s="814"/>
      <c r="TFQ241" s="813"/>
      <c r="TFR241" s="814"/>
      <c r="TFS241" s="813"/>
      <c r="TFT241" s="814"/>
      <c r="TFU241" s="813"/>
      <c r="TFV241" s="814"/>
      <c r="TFW241" s="813"/>
      <c r="TFX241" s="814"/>
      <c r="TFY241" s="813"/>
      <c r="TFZ241" s="814"/>
      <c r="TGA241" s="813"/>
      <c r="TGB241" s="814"/>
      <c r="TGC241" s="813"/>
      <c r="TGD241" s="814"/>
      <c r="TGE241" s="813"/>
      <c r="TGF241" s="814"/>
      <c r="TGG241" s="813"/>
      <c r="TGH241" s="814"/>
      <c r="TGI241" s="813"/>
      <c r="TGJ241" s="814"/>
      <c r="TGK241" s="813"/>
      <c r="TGL241" s="814"/>
      <c r="TGM241" s="813"/>
      <c r="TGN241" s="814"/>
      <c r="TGO241" s="813"/>
      <c r="TGP241" s="814"/>
      <c r="TGQ241" s="813"/>
      <c r="TGR241" s="814"/>
      <c r="TGS241" s="813"/>
      <c r="TGT241" s="814"/>
      <c r="TGU241" s="813"/>
      <c r="TGV241" s="814"/>
      <c r="TGW241" s="813"/>
      <c r="TGX241" s="814"/>
      <c r="TGY241" s="813"/>
      <c r="TGZ241" s="814"/>
      <c r="THA241" s="813"/>
      <c r="THB241" s="814"/>
      <c r="THC241" s="813"/>
      <c r="THD241" s="814"/>
      <c r="THE241" s="813"/>
      <c r="THF241" s="814"/>
      <c r="THG241" s="813"/>
      <c r="THH241" s="814"/>
      <c r="THI241" s="813"/>
      <c r="THJ241" s="814"/>
      <c r="THK241" s="813"/>
      <c r="THL241" s="814"/>
      <c r="THM241" s="813"/>
      <c r="THN241" s="814"/>
      <c r="THO241" s="813"/>
      <c r="THP241" s="814"/>
      <c r="THQ241" s="813"/>
      <c r="THR241" s="814"/>
      <c r="THS241" s="813"/>
      <c r="THT241" s="814"/>
      <c r="THU241" s="813"/>
      <c r="THV241" s="814"/>
      <c r="THW241" s="813"/>
      <c r="THX241" s="814"/>
      <c r="THY241" s="813"/>
      <c r="THZ241" s="814"/>
      <c r="TIA241" s="813"/>
      <c r="TIB241" s="814"/>
      <c r="TIC241" s="813"/>
      <c r="TID241" s="814"/>
      <c r="TIE241" s="813"/>
      <c r="TIF241" s="814"/>
      <c r="TIG241" s="813"/>
      <c r="TIH241" s="814"/>
      <c r="TII241" s="813"/>
      <c r="TIJ241" s="814"/>
      <c r="TIK241" s="813"/>
      <c r="TIL241" s="814"/>
      <c r="TIM241" s="813"/>
      <c r="TIN241" s="814"/>
      <c r="TIO241" s="813"/>
      <c r="TIP241" s="814"/>
      <c r="TIQ241" s="813"/>
      <c r="TIR241" s="814"/>
      <c r="TIS241" s="813"/>
      <c r="TIT241" s="814"/>
      <c r="TIU241" s="813"/>
      <c r="TIV241" s="814"/>
      <c r="TIW241" s="813"/>
      <c r="TIX241" s="814"/>
      <c r="TIY241" s="813"/>
      <c r="TIZ241" s="814"/>
      <c r="TJA241" s="813"/>
      <c r="TJB241" s="814"/>
      <c r="TJC241" s="813"/>
      <c r="TJD241" s="814"/>
      <c r="TJE241" s="813"/>
      <c r="TJF241" s="814"/>
      <c r="TJG241" s="813"/>
      <c r="TJH241" s="814"/>
      <c r="TJI241" s="813"/>
      <c r="TJJ241" s="814"/>
      <c r="TJK241" s="813"/>
      <c r="TJL241" s="814"/>
      <c r="TJM241" s="813"/>
      <c r="TJN241" s="814"/>
      <c r="TJO241" s="813"/>
      <c r="TJP241" s="814"/>
      <c r="TJQ241" s="813"/>
      <c r="TJR241" s="814"/>
      <c r="TJS241" s="813"/>
      <c r="TJT241" s="814"/>
      <c r="TJU241" s="813"/>
      <c r="TJV241" s="814"/>
      <c r="TJW241" s="813"/>
      <c r="TJX241" s="814"/>
      <c r="TJY241" s="813"/>
      <c r="TJZ241" s="814"/>
      <c r="TKA241" s="813"/>
      <c r="TKB241" s="814"/>
      <c r="TKC241" s="813"/>
      <c r="TKD241" s="814"/>
      <c r="TKE241" s="813"/>
      <c r="TKF241" s="814"/>
      <c r="TKG241" s="813"/>
      <c r="TKH241" s="814"/>
      <c r="TKI241" s="813"/>
      <c r="TKJ241" s="814"/>
      <c r="TKK241" s="813"/>
      <c r="TKL241" s="814"/>
      <c r="TKM241" s="813"/>
      <c r="TKN241" s="814"/>
      <c r="TKO241" s="813"/>
      <c r="TKP241" s="814"/>
      <c r="TKQ241" s="813"/>
      <c r="TKR241" s="814"/>
      <c r="TKS241" s="813"/>
      <c r="TKT241" s="814"/>
      <c r="TKU241" s="813"/>
      <c r="TKV241" s="814"/>
      <c r="TKW241" s="813"/>
      <c r="TKX241" s="814"/>
      <c r="TKY241" s="813"/>
      <c r="TKZ241" s="814"/>
      <c r="TLA241" s="813"/>
      <c r="TLB241" s="814"/>
      <c r="TLC241" s="813"/>
      <c r="TLD241" s="814"/>
      <c r="TLE241" s="813"/>
      <c r="TLF241" s="814"/>
      <c r="TLG241" s="813"/>
      <c r="TLH241" s="814"/>
      <c r="TLI241" s="813"/>
      <c r="TLJ241" s="814"/>
      <c r="TLK241" s="813"/>
      <c r="TLL241" s="814"/>
      <c r="TLM241" s="813"/>
      <c r="TLN241" s="814"/>
      <c r="TLO241" s="813"/>
      <c r="TLP241" s="814"/>
      <c r="TLQ241" s="813"/>
      <c r="TLR241" s="814"/>
      <c r="TLS241" s="813"/>
      <c r="TLT241" s="814"/>
      <c r="TLU241" s="813"/>
      <c r="TLV241" s="814"/>
      <c r="TLW241" s="813"/>
      <c r="TLX241" s="814"/>
      <c r="TLY241" s="813"/>
      <c r="TLZ241" s="814"/>
      <c r="TMA241" s="813"/>
      <c r="TMB241" s="814"/>
      <c r="TMC241" s="813"/>
      <c r="TMD241" s="814"/>
      <c r="TME241" s="813"/>
      <c r="TMF241" s="814"/>
      <c r="TMG241" s="813"/>
      <c r="TMH241" s="814"/>
      <c r="TMI241" s="813"/>
      <c r="TMJ241" s="814"/>
      <c r="TMK241" s="813"/>
      <c r="TML241" s="814"/>
      <c r="TMM241" s="813"/>
      <c r="TMN241" s="814"/>
      <c r="TMO241" s="813"/>
      <c r="TMP241" s="814"/>
      <c r="TMQ241" s="813"/>
      <c r="TMR241" s="814"/>
      <c r="TMS241" s="813"/>
      <c r="TMT241" s="814"/>
      <c r="TMU241" s="813"/>
      <c r="TMV241" s="814"/>
      <c r="TMW241" s="813"/>
      <c r="TMX241" s="814"/>
      <c r="TMY241" s="813"/>
      <c r="TMZ241" s="814"/>
      <c r="TNA241" s="813"/>
      <c r="TNB241" s="814"/>
      <c r="TNC241" s="813"/>
      <c r="TND241" s="814"/>
      <c r="TNE241" s="813"/>
      <c r="TNF241" s="814"/>
      <c r="TNG241" s="813"/>
      <c r="TNH241" s="814"/>
      <c r="TNI241" s="813"/>
      <c r="TNJ241" s="814"/>
      <c r="TNK241" s="813"/>
      <c r="TNL241" s="814"/>
      <c r="TNM241" s="813"/>
      <c r="TNN241" s="814"/>
      <c r="TNO241" s="813"/>
      <c r="TNP241" s="814"/>
      <c r="TNQ241" s="813"/>
      <c r="TNR241" s="814"/>
      <c r="TNS241" s="813"/>
      <c r="TNT241" s="814"/>
      <c r="TNU241" s="813"/>
      <c r="TNV241" s="814"/>
      <c r="TNW241" s="813"/>
      <c r="TNX241" s="814"/>
      <c r="TNY241" s="813"/>
      <c r="TNZ241" s="814"/>
      <c r="TOA241" s="813"/>
      <c r="TOB241" s="814"/>
      <c r="TOC241" s="813"/>
      <c r="TOD241" s="814"/>
      <c r="TOE241" s="813"/>
      <c r="TOF241" s="814"/>
      <c r="TOG241" s="813"/>
      <c r="TOH241" s="814"/>
      <c r="TOI241" s="813"/>
      <c r="TOJ241" s="814"/>
      <c r="TOK241" s="813"/>
      <c r="TOL241" s="814"/>
      <c r="TOM241" s="813"/>
      <c r="TON241" s="814"/>
      <c r="TOO241" s="813"/>
      <c r="TOP241" s="814"/>
      <c r="TOQ241" s="813"/>
      <c r="TOR241" s="814"/>
      <c r="TOS241" s="813"/>
      <c r="TOT241" s="814"/>
      <c r="TOU241" s="813"/>
      <c r="TOV241" s="814"/>
      <c r="TOW241" s="813"/>
      <c r="TOX241" s="814"/>
      <c r="TOY241" s="813"/>
      <c r="TOZ241" s="814"/>
      <c r="TPA241" s="813"/>
      <c r="TPB241" s="814"/>
      <c r="TPC241" s="813"/>
      <c r="TPD241" s="814"/>
      <c r="TPE241" s="813"/>
      <c r="TPF241" s="814"/>
      <c r="TPG241" s="813"/>
      <c r="TPH241" s="814"/>
      <c r="TPI241" s="813"/>
      <c r="TPJ241" s="814"/>
      <c r="TPK241" s="813"/>
      <c r="TPL241" s="814"/>
      <c r="TPM241" s="813"/>
      <c r="TPN241" s="814"/>
      <c r="TPO241" s="813"/>
      <c r="TPP241" s="814"/>
      <c r="TPQ241" s="813"/>
      <c r="TPR241" s="814"/>
      <c r="TPS241" s="813"/>
      <c r="TPT241" s="814"/>
      <c r="TPU241" s="813"/>
      <c r="TPV241" s="814"/>
      <c r="TPW241" s="813"/>
      <c r="TPX241" s="814"/>
      <c r="TPY241" s="813"/>
      <c r="TPZ241" s="814"/>
      <c r="TQA241" s="813"/>
      <c r="TQB241" s="814"/>
      <c r="TQC241" s="813"/>
      <c r="TQD241" s="814"/>
      <c r="TQE241" s="813"/>
      <c r="TQF241" s="814"/>
      <c r="TQG241" s="813"/>
      <c r="TQH241" s="814"/>
      <c r="TQI241" s="813"/>
      <c r="TQJ241" s="814"/>
      <c r="TQK241" s="813"/>
      <c r="TQL241" s="814"/>
      <c r="TQM241" s="813"/>
      <c r="TQN241" s="814"/>
      <c r="TQO241" s="813"/>
      <c r="TQP241" s="814"/>
      <c r="TQQ241" s="813"/>
      <c r="TQR241" s="814"/>
      <c r="TQS241" s="813"/>
      <c r="TQT241" s="814"/>
      <c r="TQU241" s="813"/>
      <c r="TQV241" s="814"/>
      <c r="TQW241" s="813"/>
      <c r="TQX241" s="814"/>
      <c r="TQY241" s="813"/>
      <c r="TQZ241" s="814"/>
      <c r="TRA241" s="813"/>
      <c r="TRB241" s="814"/>
      <c r="TRC241" s="813"/>
      <c r="TRD241" s="814"/>
      <c r="TRE241" s="813"/>
      <c r="TRF241" s="814"/>
      <c r="TRG241" s="813"/>
      <c r="TRH241" s="814"/>
      <c r="TRI241" s="813"/>
      <c r="TRJ241" s="814"/>
      <c r="TRK241" s="813"/>
      <c r="TRL241" s="814"/>
      <c r="TRM241" s="813"/>
      <c r="TRN241" s="814"/>
      <c r="TRO241" s="813"/>
      <c r="TRP241" s="814"/>
      <c r="TRQ241" s="813"/>
      <c r="TRR241" s="814"/>
      <c r="TRS241" s="813"/>
      <c r="TRT241" s="814"/>
      <c r="TRU241" s="813"/>
      <c r="TRV241" s="814"/>
      <c r="TRW241" s="813"/>
      <c r="TRX241" s="814"/>
      <c r="TRY241" s="813"/>
      <c r="TRZ241" s="814"/>
      <c r="TSA241" s="813"/>
      <c r="TSB241" s="814"/>
      <c r="TSC241" s="813"/>
      <c r="TSD241" s="814"/>
      <c r="TSE241" s="813"/>
      <c r="TSF241" s="814"/>
      <c r="TSG241" s="813"/>
      <c r="TSH241" s="814"/>
      <c r="TSI241" s="813"/>
      <c r="TSJ241" s="814"/>
      <c r="TSK241" s="813"/>
      <c r="TSL241" s="814"/>
      <c r="TSM241" s="813"/>
      <c r="TSN241" s="814"/>
      <c r="TSO241" s="813"/>
      <c r="TSP241" s="814"/>
      <c r="TSQ241" s="813"/>
      <c r="TSR241" s="814"/>
      <c r="TSS241" s="813"/>
      <c r="TST241" s="814"/>
      <c r="TSU241" s="813"/>
      <c r="TSV241" s="814"/>
      <c r="TSW241" s="813"/>
      <c r="TSX241" s="814"/>
      <c r="TSY241" s="813"/>
      <c r="TSZ241" s="814"/>
      <c r="TTA241" s="813"/>
      <c r="TTB241" s="814"/>
      <c r="TTC241" s="813"/>
      <c r="TTD241" s="814"/>
      <c r="TTE241" s="813"/>
      <c r="TTF241" s="814"/>
      <c r="TTG241" s="813"/>
      <c r="TTH241" s="814"/>
      <c r="TTI241" s="813"/>
      <c r="TTJ241" s="814"/>
      <c r="TTK241" s="813"/>
      <c r="TTL241" s="814"/>
      <c r="TTM241" s="813"/>
      <c r="TTN241" s="814"/>
      <c r="TTO241" s="813"/>
      <c r="TTP241" s="814"/>
      <c r="TTQ241" s="813"/>
      <c r="TTR241" s="814"/>
      <c r="TTS241" s="813"/>
      <c r="TTT241" s="814"/>
      <c r="TTU241" s="813"/>
      <c r="TTV241" s="814"/>
      <c r="TTW241" s="813"/>
      <c r="TTX241" s="814"/>
      <c r="TTY241" s="813"/>
      <c r="TTZ241" s="814"/>
      <c r="TUA241" s="813"/>
      <c r="TUB241" s="814"/>
      <c r="TUC241" s="813"/>
      <c r="TUD241" s="814"/>
      <c r="TUE241" s="813"/>
      <c r="TUF241" s="814"/>
      <c r="TUG241" s="813"/>
      <c r="TUH241" s="814"/>
      <c r="TUI241" s="813"/>
      <c r="TUJ241" s="814"/>
      <c r="TUK241" s="813"/>
      <c r="TUL241" s="814"/>
      <c r="TUM241" s="813"/>
      <c r="TUN241" s="814"/>
      <c r="TUO241" s="813"/>
      <c r="TUP241" s="814"/>
      <c r="TUQ241" s="813"/>
      <c r="TUR241" s="814"/>
      <c r="TUS241" s="813"/>
      <c r="TUT241" s="814"/>
      <c r="TUU241" s="813"/>
      <c r="TUV241" s="814"/>
      <c r="TUW241" s="813"/>
      <c r="TUX241" s="814"/>
      <c r="TUY241" s="813"/>
      <c r="TUZ241" s="814"/>
      <c r="TVA241" s="813"/>
      <c r="TVB241" s="814"/>
      <c r="TVC241" s="813"/>
      <c r="TVD241" s="814"/>
      <c r="TVE241" s="813"/>
      <c r="TVF241" s="814"/>
      <c r="TVG241" s="813"/>
      <c r="TVH241" s="814"/>
      <c r="TVI241" s="813"/>
      <c r="TVJ241" s="814"/>
      <c r="TVK241" s="813"/>
      <c r="TVL241" s="814"/>
      <c r="TVM241" s="813"/>
      <c r="TVN241" s="814"/>
      <c r="TVO241" s="813"/>
      <c r="TVP241" s="814"/>
      <c r="TVQ241" s="813"/>
      <c r="TVR241" s="814"/>
      <c r="TVS241" s="813"/>
      <c r="TVT241" s="814"/>
      <c r="TVU241" s="813"/>
      <c r="TVV241" s="814"/>
      <c r="TVW241" s="813"/>
      <c r="TVX241" s="814"/>
      <c r="TVY241" s="813"/>
      <c r="TVZ241" s="814"/>
      <c r="TWA241" s="813"/>
      <c r="TWB241" s="814"/>
      <c r="TWC241" s="813"/>
      <c r="TWD241" s="814"/>
      <c r="TWE241" s="813"/>
      <c r="TWF241" s="814"/>
      <c r="TWG241" s="813"/>
      <c r="TWH241" s="814"/>
      <c r="TWI241" s="813"/>
      <c r="TWJ241" s="814"/>
      <c r="TWK241" s="813"/>
      <c r="TWL241" s="814"/>
      <c r="TWM241" s="813"/>
      <c r="TWN241" s="814"/>
      <c r="TWO241" s="813"/>
      <c r="TWP241" s="814"/>
      <c r="TWQ241" s="813"/>
      <c r="TWR241" s="814"/>
      <c r="TWS241" s="813"/>
      <c r="TWT241" s="814"/>
      <c r="TWU241" s="813"/>
      <c r="TWV241" s="814"/>
      <c r="TWW241" s="813"/>
      <c r="TWX241" s="814"/>
      <c r="TWY241" s="813"/>
      <c r="TWZ241" s="814"/>
      <c r="TXA241" s="813"/>
      <c r="TXB241" s="814"/>
      <c r="TXC241" s="813"/>
      <c r="TXD241" s="814"/>
      <c r="TXE241" s="813"/>
      <c r="TXF241" s="814"/>
      <c r="TXG241" s="813"/>
      <c r="TXH241" s="814"/>
      <c r="TXI241" s="813"/>
      <c r="TXJ241" s="814"/>
      <c r="TXK241" s="813"/>
      <c r="TXL241" s="814"/>
      <c r="TXM241" s="813"/>
      <c r="TXN241" s="814"/>
      <c r="TXO241" s="813"/>
      <c r="TXP241" s="814"/>
      <c r="TXQ241" s="813"/>
      <c r="TXR241" s="814"/>
      <c r="TXS241" s="813"/>
      <c r="TXT241" s="814"/>
      <c r="TXU241" s="813"/>
      <c r="TXV241" s="814"/>
      <c r="TXW241" s="813"/>
      <c r="TXX241" s="814"/>
      <c r="TXY241" s="813"/>
      <c r="TXZ241" s="814"/>
      <c r="TYA241" s="813"/>
      <c r="TYB241" s="814"/>
      <c r="TYC241" s="813"/>
      <c r="TYD241" s="814"/>
      <c r="TYE241" s="813"/>
      <c r="TYF241" s="814"/>
      <c r="TYG241" s="813"/>
      <c r="TYH241" s="814"/>
      <c r="TYI241" s="813"/>
      <c r="TYJ241" s="814"/>
      <c r="TYK241" s="813"/>
      <c r="TYL241" s="814"/>
      <c r="TYM241" s="813"/>
      <c r="TYN241" s="814"/>
      <c r="TYO241" s="813"/>
      <c r="TYP241" s="814"/>
      <c r="TYQ241" s="813"/>
      <c r="TYR241" s="814"/>
      <c r="TYS241" s="813"/>
      <c r="TYT241" s="814"/>
      <c r="TYU241" s="813"/>
      <c r="TYV241" s="814"/>
      <c r="TYW241" s="813"/>
      <c r="TYX241" s="814"/>
      <c r="TYY241" s="813"/>
      <c r="TYZ241" s="814"/>
      <c r="TZA241" s="813"/>
      <c r="TZB241" s="814"/>
      <c r="TZC241" s="813"/>
      <c r="TZD241" s="814"/>
      <c r="TZE241" s="813"/>
      <c r="TZF241" s="814"/>
      <c r="TZG241" s="813"/>
      <c r="TZH241" s="814"/>
      <c r="TZI241" s="813"/>
      <c r="TZJ241" s="814"/>
      <c r="TZK241" s="813"/>
      <c r="TZL241" s="814"/>
      <c r="TZM241" s="813"/>
      <c r="TZN241" s="814"/>
      <c r="TZO241" s="813"/>
      <c r="TZP241" s="814"/>
      <c r="TZQ241" s="813"/>
      <c r="TZR241" s="814"/>
      <c r="TZS241" s="813"/>
      <c r="TZT241" s="814"/>
      <c r="TZU241" s="813"/>
      <c r="TZV241" s="814"/>
      <c r="TZW241" s="813"/>
      <c r="TZX241" s="814"/>
      <c r="TZY241" s="813"/>
      <c r="TZZ241" s="814"/>
      <c r="UAA241" s="813"/>
      <c r="UAB241" s="814"/>
      <c r="UAC241" s="813"/>
      <c r="UAD241" s="814"/>
      <c r="UAE241" s="813"/>
      <c r="UAF241" s="814"/>
      <c r="UAG241" s="813"/>
      <c r="UAH241" s="814"/>
      <c r="UAI241" s="813"/>
      <c r="UAJ241" s="814"/>
      <c r="UAK241" s="813"/>
      <c r="UAL241" s="814"/>
      <c r="UAM241" s="813"/>
      <c r="UAN241" s="814"/>
      <c r="UAO241" s="813"/>
      <c r="UAP241" s="814"/>
      <c r="UAQ241" s="813"/>
      <c r="UAR241" s="814"/>
      <c r="UAS241" s="813"/>
      <c r="UAT241" s="814"/>
      <c r="UAU241" s="813"/>
      <c r="UAV241" s="814"/>
      <c r="UAW241" s="813"/>
      <c r="UAX241" s="814"/>
      <c r="UAY241" s="813"/>
      <c r="UAZ241" s="814"/>
      <c r="UBA241" s="813"/>
      <c r="UBB241" s="814"/>
      <c r="UBC241" s="813"/>
      <c r="UBD241" s="814"/>
      <c r="UBE241" s="813"/>
      <c r="UBF241" s="814"/>
      <c r="UBG241" s="813"/>
      <c r="UBH241" s="814"/>
      <c r="UBI241" s="813"/>
      <c r="UBJ241" s="814"/>
      <c r="UBK241" s="813"/>
      <c r="UBL241" s="814"/>
      <c r="UBM241" s="813"/>
      <c r="UBN241" s="814"/>
      <c r="UBO241" s="813"/>
      <c r="UBP241" s="814"/>
      <c r="UBQ241" s="813"/>
      <c r="UBR241" s="814"/>
      <c r="UBS241" s="813"/>
      <c r="UBT241" s="814"/>
      <c r="UBU241" s="813"/>
      <c r="UBV241" s="814"/>
      <c r="UBW241" s="813"/>
      <c r="UBX241" s="814"/>
      <c r="UBY241" s="813"/>
      <c r="UBZ241" s="814"/>
      <c r="UCA241" s="813"/>
      <c r="UCB241" s="814"/>
      <c r="UCC241" s="813"/>
      <c r="UCD241" s="814"/>
      <c r="UCE241" s="813"/>
      <c r="UCF241" s="814"/>
      <c r="UCG241" s="813"/>
      <c r="UCH241" s="814"/>
      <c r="UCI241" s="813"/>
      <c r="UCJ241" s="814"/>
      <c r="UCK241" s="813"/>
      <c r="UCL241" s="814"/>
      <c r="UCM241" s="813"/>
      <c r="UCN241" s="814"/>
      <c r="UCO241" s="813"/>
      <c r="UCP241" s="814"/>
      <c r="UCQ241" s="813"/>
      <c r="UCR241" s="814"/>
      <c r="UCS241" s="813"/>
      <c r="UCT241" s="814"/>
      <c r="UCU241" s="813"/>
      <c r="UCV241" s="814"/>
      <c r="UCW241" s="813"/>
      <c r="UCX241" s="814"/>
      <c r="UCY241" s="813"/>
      <c r="UCZ241" s="814"/>
      <c r="UDA241" s="813"/>
      <c r="UDB241" s="814"/>
      <c r="UDC241" s="813"/>
      <c r="UDD241" s="814"/>
      <c r="UDE241" s="813"/>
      <c r="UDF241" s="814"/>
      <c r="UDG241" s="813"/>
      <c r="UDH241" s="814"/>
      <c r="UDI241" s="813"/>
      <c r="UDJ241" s="814"/>
      <c r="UDK241" s="813"/>
      <c r="UDL241" s="814"/>
      <c r="UDM241" s="813"/>
      <c r="UDN241" s="814"/>
      <c r="UDO241" s="813"/>
      <c r="UDP241" s="814"/>
      <c r="UDQ241" s="813"/>
      <c r="UDR241" s="814"/>
      <c r="UDS241" s="813"/>
      <c r="UDT241" s="814"/>
      <c r="UDU241" s="813"/>
      <c r="UDV241" s="814"/>
      <c r="UDW241" s="813"/>
      <c r="UDX241" s="814"/>
      <c r="UDY241" s="813"/>
      <c r="UDZ241" s="814"/>
      <c r="UEA241" s="813"/>
      <c r="UEB241" s="814"/>
      <c r="UEC241" s="813"/>
      <c r="UED241" s="814"/>
      <c r="UEE241" s="813"/>
      <c r="UEF241" s="814"/>
      <c r="UEG241" s="813"/>
      <c r="UEH241" s="814"/>
      <c r="UEI241" s="813"/>
      <c r="UEJ241" s="814"/>
      <c r="UEK241" s="813"/>
      <c r="UEL241" s="814"/>
      <c r="UEM241" s="813"/>
      <c r="UEN241" s="814"/>
      <c r="UEO241" s="813"/>
      <c r="UEP241" s="814"/>
      <c r="UEQ241" s="813"/>
      <c r="UER241" s="814"/>
      <c r="UES241" s="813"/>
      <c r="UET241" s="814"/>
      <c r="UEU241" s="813"/>
      <c r="UEV241" s="814"/>
      <c r="UEW241" s="813"/>
      <c r="UEX241" s="814"/>
      <c r="UEY241" s="813"/>
      <c r="UEZ241" s="814"/>
      <c r="UFA241" s="813"/>
      <c r="UFB241" s="814"/>
      <c r="UFC241" s="813"/>
      <c r="UFD241" s="814"/>
      <c r="UFE241" s="813"/>
      <c r="UFF241" s="814"/>
      <c r="UFG241" s="813"/>
      <c r="UFH241" s="814"/>
      <c r="UFI241" s="813"/>
      <c r="UFJ241" s="814"/>
      <c r="UFK241" s="813"/>
      <c r="UFL241" s="814"/>
      <c r="UFM241" s="813"/>
      <c r="UFN241" s="814"/>
      <c r="UFO241" s="813"/>
      <c r="UFP241" s="814"/>
      <c r="UFQ241" s="813"/>
      <c r="UFR241" s="814"/>
      <c r="UFS241" s="813"/>
      <c r="UFT241" s="814"/>
      <c r="UFU241" s="813"/>
      <c r="UFV241" s="814"/>
      <c r="UFW241" s="813"/>
      <c r="UFX241" s="814"/>
      <c r="UFY241" s="813"/>
      <c r="UFZ241" s="814"/>
      <c r="UGA241" s="813"/>
      <c r="UGB241" s="814"/>
      <c r="UGC241" s="813"/>
      <c r="UGD241" s="814"/>
      <c r="UGE241" s="813"/>
      <c r="UGF241" s="814"/>
      <c r="UGG241" s="813"/>
      <c r="UGH241" s="814"/>
      <c r="UGI241" s="813"/>
      <c r="UGJ241" s="814"/>
      <c r="UGK241" s="813"/>
      <c r="UGL241" s="814"/>
      <c r="UGM241" s="813"/>
      <c r="UGN241" s="814"/>
      <c r="UGO241" s="813"/>
      <c r="UGP241" s="814"/>
      <c r="UGQ241" s="813"/>
      <c r="UGR241" s="814"/>
      <c r="UGS241" s="813"/>
      <c r="UGT241" s="814"/>
      <c r="UGU241" s="813"/>
      <c r="UGV241" s="814"/>
      <c r="UGW241" s="813"/>
      <c r="UGX241" s="814"/>
      <c r="UGY241" s="813"/>
      <c r="UGZ241" s="814"/>
      <c r="UHA241" s="813"/>
      <c r="UHB241" s="814"/>
      <c r="UHC241" s="813"/>
      <c r="UHD241" s="814"/>
      <c r="UHE241" s="813"/>
      <c r="UHF241" s="814"/>
      <c r="UHG241" s="813"/>
      <c r="UHH241" s="814"/>
      <c r="UHI241" s="813"/>
      <c r="UHJ241" s="814"/>
      <c r="UHK241" s="813"/>
      <c r="UHL241" s="814"/>
      <c r="UHM241" s="813"/>
      <c r="UHN241" s="814"/>
      <c r="UHO241" s="813"/>
      <c r="UHP241" s="814"/>
      <c r="UHQ241" s="813"/>
      <c r="UHR241" s="814"/>
      <c r="UHS241" s="813"/>
      <c r="UHT241" s="814"/>
      <c r="UHU241" s="813"/>
      <c r="UHV241" s="814"/>
      <c r="UHW241" s="813"/>
      <c r="UHX241" s="814"/>
      <c r="UHY241" s="813"/>
      <c r="UHZ241" s="814"/>
      <c r="UIA241" s="813"/>
      <c r="UIB241" s="814"/>
      <c r="UIC241" s="813"/>
      <c r="UID241" s="814"/>
      <c r="UIE241" s="813"/>
      <c r="UIF241" s="814"/>
      <c r="UIG241" s="813"/>
      <c r="UIH241" s="814"/>
      <c r="UII241" s="813"/>
      <c r="UIJ241" s="814"/>
      <c r="UIK241" s="813"/>
      <c r="UIL241" s="814"/>
      <c r="UIM241" s="813"/>
      <c r="UIN241" s="814"/>
      <c r="UIO241" s="813"/>
      <c r="UIP241" s="814"/>
      <c r="UIQ241" s="813"/>
      <c r="UIR241" s="814"/>
      <c r="UIS241" s="813"/>
      <c r="UIT241" s="814"/>
      <c r="UIU241" s="813"/>
      <c r="UIV241" s="814"/>
      <c r="UIW241" s="813"/>
      <c r="UIX241" s="814"/>
      <c r="UIY241" s="813"/>
      <c r="UIZ241" s="814"/>
      <c r="UJA241" s="813"/>
      <c r="UJB241" s="814"/>
      <c r="UJC241" s="813"/>
      <c r="UJD241" s="814"/>
      <c r="UJE241" s="813"/>
      <c r="UJF241" s="814"/>
      <c r="UJG241" s="813"/>
      <c r="UJH241" s="814"/>
      <c r="UJI241" s="813"/>
      <c r="UJJ241" s="814"/>
      <c r="UJK241" s="813"/>
      <c r="UJL241" s="814"/>
      <c r="UJM241" s="813"/>
      <c r="UJN241" s="814"/>
      <c r="UJO241" s="813"/>
      <c r="UJP241" s="814"/>
      <c r="UJQ241" s="813"/>
      <c r="UJR241" s="814"/>
      <c r="UJS241" s="813"/>
      <c r="UJT241" s="814"/>
      <c r="UJU241" s="813"/>
      <c r="UJV241" s="814"/>
      <c r="UJW241" s="813"/>
      <c r="UJX241" s="814"/>
      <c r="UJY241" s="813"/>
      <c r="UJZ241" s="814"/>
      <c r="UKA241" s="813"/>
      <c r="UKB241" s="814"/>
      <c r="UKC241" s="813"/>
      <c r="UKD241" s="814"/>
      <c r="UKE241" s="813"/>
      <c r="UKF241" s="814"/>
      <c r="UKG241" s="813"/>
      <c r="UKH241" s="814"/>
      <c r="UKI241" s="813"/>
      <c r="UKJ241" s="814"/>
      <c r="UKK241" s="813"/>
      <c r="UKL241" s="814"/>
      <c r="UKM241" s="813"/>
      <c r="UKN241" s="814"/>
      <c r="UKO241" s="813"/>
      <c r="UKP241" s="814"/>
      <c r="UKQ241" s="813"/>
      <c r="UKR241" s="814"/>
      <c r="UKS241" s="813"/>
      <c r="UKT241" s="814"/>
      <c r="UKU241" s="813"/>
      <c r="UKV241" s="814"/>
      <c r="UKW241" s="813"/>
      <c r="UKX241" s="814"/>
      <c r="UKY241" s="813"/>
      <c r="UKZ241" s="814"/>
      <c r="ULA241" s="813"/>
      <c r="ULB241" s="814"/>
      <c r="ULC241" s="813"/>
      <c r="ULD241" s="814"/>
      <c r="ULE241" s="813"/>
      <c r="ULF241" s="814"/>
      <c r="ULG241" s="813"/>
      <c r="ULH241" s="814"/>
      <c r="ULI241" s="813"/>
      <c r="ULJ241" s="814"/>
      <c r="ULK241" s="813"/>
      <c r="ULL241" s="814"/>
      <c r="ULM241" s="813"/>
      <c r="ULN241" s="814"/>
      <c r="ULO241" s="813"/>
      <c r="ULP241" s="814"/>
      <c r="ULQ241" s="813"/>
      <c r="ULR241" s="814"/>
      <c r="ULS241" s="813"/>
      <c r="ULT241" s="814"/>
      <c r="ULU241" s="813"/>
      <c r="ULV241" s="814"/>
      <c r="ULW241" s="813"/>
      <c r="ULX241" s="814"/>
      <c r="ULY241" s="813"/>
      <c r="ULZ241" s="814"/>
      <c r="UMA241" s="813"/>
      <c r="UMB241" s="814"/>
      <c r="UMC241" s="813"/>
      <c r="UMD241" s="814"/>
      <c r="UME241" s="813"/>
      <c r="UMF241" s="814"/>
      <c r="UMG241" s="813"/>
      <c r="UMH241" s="814"/>
      <c r="UMI241" s="813"/>
      <c r="UMJ241" s="814"/>
      <c r="UMK241" s="813"/>
      <c r="UML241" s="814"/>
      <c r="UMM241" s="813"/>
      <c r="UMN241" s="814"/>
      <c r="UMO241" s="813"/>
      <c r="UMP241" s="814"/>
      <c r="UMQ241" s="813"/>
      <c r="UMR241" s="814"/>
      <c r="UMS241" s="813"/>
      <c r="UMT241" s="814"/>
      <c r="UMU241" s="813"/>
      <c r="UMV241" s="814"/>
      <c r="UMW241" s="813"/>
      <c r="UMX241" s="814"/>
      <c r="UMY241" s="813"/>
      <c r="UMZ241" s="814"/>
      <c r="UNA241" s="813"/>
      <c r="UNB241" s="814"/>
      <c r="UNC241" s="813"/>
      <c r="UND241" s="814"/>
      <c r="UNE241" s="813"/>
      <c r="UNF241" s="814"/>
      <c r="UNG241" s="813"/>
      <c r="UNH241" s="814"/>
      <c r="UNI241" s="813"/>
      <c r="UNJ241" s="814"/>
      <c r="UNK241" s="813"/>
      <c r="UNL241" s="814"/>
      <c r="UNM241" s="813"/>
      <c r="UNN241" s="814"/>
      <c r="UNO241" s="813"/>
      <c r="UNP241" s="814"/>
      <c r="UNQ241" s="813"/>
      <c r="UNR241" s="814"/>
      <c r="UNS241" s="813"/>
      <c r="UNT241" s="814"/>
      <c r="UNU241" s="813"/>
      <c r="UNV241" s="814"/>
      <c r="UNW241" s="813"/>
      <c r="UNX241" s="814"/>
      <c r="UNY241" s="813"/>
      <c r="UNZ241" s="814"/>
      <c r="UOA241" s="813"/>
      <c r="UOB241" s="814"/>
      <c r="UOC241" s="813"/>
      <c r="UOD241" s="814"/>
      <c r="UOE241" s="813"/>
      <c r="UOF241" s="814"/>
      <c r="UOG241" s="813"/>
      <c r="UOH241" s="814"/>
      <c r="UOI241" s="813"/>
      <c r="UOJ241" s="814"/>
      <c r="UOK241" s="813"/>
      <c r="UOL241" s="814"/>
      <c r="UOM241" s="813"/>
      <c r="UON241" s="814"/>
      <c r="UOO241" s="813"/>
      <c r="UOP241" s="814"/>
      <c r="UOQ241" s="813"/>
      <c r="UOR241" s="814"/>
      <c r="UOS241" s="813"/>
      <c r="UOT241" s="814"/>
      <c r="UOU241" s="813"/>
      <c r="UOV241" s="814"/>
      <c r="UOW241" s="813"/>
      <c r="UOX241" s="814"/>
      <c r="UOY241" s="813"/>
      <c r="UOZ241" s="814"/>
      <c r="UPA241" s="813"/>
      <c r="UPB241" s="814"/>
      <c r="UPC241" s="813"/>
      <c r="UPD241" s="814"/>
      <c r="UPE241" s="813"/>
      <c r="UPF241" s="814"/>
      <c r="UPG241" s="813"/>
      <c r="UPH241" s="814"/>
      <c r="UPI241" s="813"/>
      <c r="UPJ241" s="814"/>
      <c r="UPK241" s="813"/>
      <c r="UPL241" s="814"/>
      <c r="UPM241" s="813"/>
      <c r="UPN241" s="814"/>
      <c r="UPO241" s="813"/>
      <c r="UPP241" s="814"/>
      <c r="UPQ241" s="813"/>
      <c r="UPR241" s="814"/>
      <c r="UPS241" s="813"/>
      <c r="UPT241" s="814"/>
      <c r="UPU241" s="813"/>
      <c r="UPV241" s="814"/>
      <c r="UPW241" s="813"/>
      <c r="UPX241" s="814"/>
      <c r="UPY241" s="813"/>
      <c r="UPZ241" s="814"/>
      <c r="UQA241" s="813"/>
      <c r="UQB241" s="814"/>
      <c r="UQC241" s="813"/>
      <c r="UQD241" s="814"/>
      <c r="UQE241" s="813"/>
      <c r="UQF241" s="814"/>
      <c r="UQG241" s="813"/>
      <c r="UQH241" s="814"/>
      <c r="UQI241" s="813"/>
      <c r="UQJ241" s="814"/>
      <c r="UQK241" s="813"/>
      <c r="UQL241" s="814"/>
      <c r="UQM241" s="813"/>
      <c r="UQN241" s="814"/>
      <c r="UQO241" s="813"/>
      <c r="UQP241" s="814"/>
      <c r="UQQ241" s="813"/>
      <c r="UQR241" s="814"/>
      <c r="UQS241" s="813"/>
      <c r="UQT241" s="814"/>
      <c r="UQU241" s="813"/>
      <c r="UQV241" s="814"/>
      <c r="UQW241" s="813"/>
      <c r="UQX241" s="814"/>
      <c r="UQY241" s="813"/>
      <c r="UQZ241" s="814"/>
      <c r="URA241" s="813"/>
      <c r="URB241" s="814"/>
      <c r="URC241" s="813"/>
      <c r="URD241" s="814"/>
      <c r="URE241" s="813"/>
      <c r="URF241" s="814"/>
      <c r="URG241" s="813"/>
      <c r="URH241" s="814"/>
      <c r="URI241" s="813"/>
      <c r="URJ241" s="814"/>
      <c r="URK241" s="813"/>
      <c r="URL241" s="814"/>
      <c r="URM241" s="813"/>
      <c r="URN241" s="814"/>
      <c r="URO241" s="813"/>
      <c r="URP241" s="814"/>
      <c r="URQ241" s="813"/>
      <c r="URR241" s="814"/>
      <c r="URS241" s="813"/>
      <c r="URT241" s="814"/>
      <c r="URU241" s="813"/>
      <c r="URV241" s="814"/>
      <c r="URW241" s="813"/>
      <c r="URX241" s="814"/>
      <c r="URY241" s="813"/>
      <c r="URZ241" s="814"/>
      <c r="USA241" s="813"/>
      <c r="USB241" s="814"/>
      <c r="USC241" s="813"/>
      <c r="USD241" s="814"/>
      <c r="USE241" s="813"/>
      <c r="USF241" s="814"/>
      <c r="USG241" s="813"/>
      <c r="USH241" s="814"/>
      <c r="USI241" s="813"/>
      <c r="USJ241" s="814"/>
      <c r="USK241" s="813"/>
      <c r="USL241" s="814"/>
      <c r="USM241" s="813"/>
      <c r="USN241" s="814"/>
      <c r="USO241" s="813"/>
      <c r="USP241" s="814"/>
      <c r="USQ241" s="813"/>
      <c r="USR241" s="814"/>
      <c r="USS241" s="813"/>
      <c r="UST241" s="814"/>
      <c r="USU241" s="813"/>
      <c r="USV241" s="814"/>
      <c r="USW241" s="813"/>
      <c r="USX241" s="814"/>
      <c r="USY241" s="813"/>
      <c r="USZ241" s="814"/>
      <c r="UTA241" s="813"/>
      <c r="UTB241" s="814"/>
      <c r="UTC241" s="813"/>
      <c r="UTD241" s="814"/>
      <c r="UTE241" s="813"/>
      <c r="UTF241" s="814"/>
      <c r="UTG241" s="813"/>
      <c r="UTH241" s="814"/>
      <c r="UTI241" s="813"/>
      <c r="UTJ241" s="814"/>
      <c r="UTK241" s="813"/>
      <c r="UTL241" s="814"/>
      <c r="UTM241" s="813"/>
      <c r="UTN241" s="814"/>
      <c r="UTO241" s="813"/>
      <c r="UTP241" s="814"/>
      <c r="UTQ241" s="813"/>
      <c r="UTR241" s="814"/>
      <c r="UTS241" s="813"/>
      <c r="UTT241" s="814"/>
      <c r="UTU241" s="813"/>
      <c r="UTV241" s="814"/>
      <c r="UTW241" s="813"/>
      <c r="UTX241" s="814"/>
      <c r="UTY241" s="813"/>
      <c r="UTZ241" s="814"/>
      <c r="UUA241" s="813"/>
      <c r="UUB241" s="814"/>
      <c r="UUC241" s="813"/>
      <c r="UUD241" s="814"/>
      <c r="UUE241" s="813"/>
      <c r="UUF241" s="814"/>
      <c r="UUG241" s="813"/>
      <c r="UUH241" s="814"/>
      <c r="UUI241" s="813"/>
      <c r="UUJ241" s="814"/>
      <c r="UUK241" s="813"/>
      <c r="UUL241" s="814"/>
      <c r="UUM241" s="813"/>
      <c r="UUN241" s="814"/>
      <c r="UUO241" s="813"/>
      <c r="UUP241" s="814"/>
      <c r="UUQ241" s="813"/>
      <c r="UUR241" s="814"/>
      <c r="UUS241" s="813"/>
      <c r="UUT241" s="814"/>
      <c r="UUU241" s="813"/>
      <c r="UUV241" s="814"/>
      <c r="UUW241" s="813"/>
      <c r="UUX241" s="814"/>
      <c r="UUY241" s="813"/>
      <c r="UUZ241" s="814"/>
      <c r="UVA241" s="813"/>
      <c r="UVB241" s="814"/>
      <c r="UVC241" s="813"/>
      <c r="UVD241" s="814"/>
      <c r="UVE241" s="813"/>
      <c r="UVF241" s="814"/>
      <c r="UVG241" s="813"/>
      <c r="UVH241" s="814"/>
      <c r="UVI241" s="813"/>
      <c r="UVJ241" s="814"/>
      <c r="UVK241" s="813"/>
      <c r="UVL241" s="814"/>
      <c r="UVM241" s="813"/>
      <c r="UVN241" s="814"/>
      <c r="UVO241" s="813"/>
      <c r="UVP241" s="814"/>
      <c r="UVQ241" s="813"/>
      <c r="UVR241" s="814"/>
      <c r="UVS241" s="813"/>
      <c r="UVT241" s="814"/>
      <c r="UVU241" s="813"/>
      <c r="UVV241" s="814"/>
      <c r="UVW241" s="813"/>
      <c r="UVX241" s="814"/>
      <c r="UVY241" s="813"/>
      <c r="UVZ241" s="814"/>
      <c r="UWA241" s="813"/>
      <c r="UWB241" s="814"/>
      <c r="UWC241" s="813"/>
      <c r="UWD241" s="814"/>
      <c r="UWE241" s="813"/>
      <c r="UWF241" s="814"/>
      <c r="UWG241" s="813"/>
      <c r="UWH241" s="814"/>
      <c r="UWI241" s="813"/>
      <c r="UWJ241" s="814"/>
      <c r="UWK241" s="813"/>
      <c r="UWL241" s="814"/>
      <c r="UWM241" s="813"/>
      <c r="UWN241" s="814"/>
      <c r="UWO241" s="813"/>
      <c r="UWP241" s="814"/>
      <c r="UWQ241" s="813"/>
      <c r="UWR241" s="814"/>
      <c r="UWS241" s="813"/>
      <c r="UWT241" s="814"/>
      <c r="UWU241" s="813"/>
      <c r="UWV241" s="814"/>
      <c r="UWW241" s="813"/>
      <c r="UWX241" s="814"/>
      <c r="UWY241" s="813"/>
      <c r="UWZ241" s="814"/>
      <c r="UXA241" s="813"/>
      <c r="UXB241" s="814"/>
      <c r="UXC241" s="813"/>
      <c r="UXD241" s="814"/>
      <c r="UXE241" s="813"/>
      <c r="UXF241" s="814"/>
      <c r="UXG241" s="813"/>
      <c r="UXH241" s="814"/>
      <c r="UXI241" s="813"/>
      <c r="UXJ241" s="814"/>
      <c r="UXK241" s="813"/>
      <c r="UXL241" s="814"/>
      <c r="UXM241" s="813"/>
      <c r="UXN241" s="814"/>
      <c r="UXO241" s="813"/>
      <c r="UXP241" s="814"/>
      <c r="UXQ241" s="813"/>
      <c r="UXR241" s="814"/>
      <c r="UXS241" s="813"/>
      <c r="UXT241" s="814"/>
      <c r="UXU241" s="813"/>
      <c r="UXV241" s="814"/>
      <c r="UXW241" s="813"/>
      <c r="UXX241" s="814"/>
      <c r="UXY241" s="813"/>
      <c r="UXZ241" s="814"/>
      <c r="UYA241" s="813"/>
      <c r="UYB241" s="814"/>
      <c r="UYC241" s="813"/>
      <c r="UYD241" s="814"/>
      <c r="UYE241" s="813"/>
      <c r="UYF241" s="814"/>
      <c r="UYG241" s="813"/>
      <c r="UYH241" s="814"/>
      <c r="UYI241" s="813"/>
      <c r="UYJ241" s="814"/>
      <c r="UYK241" s="813"/>
      <c r="UYL241" s="814"/>
      <c r="UYM241" s="813"/>
      <c r="UYN241" s="814"/>
      <c r="UYO241" s="813"/>
      <c r="UYP241" s="814"/>
      <c r="UYQ241" s="813"/>
      <c r="UYR241" s="814"/>
      <c r="UYS241" s="813"/>
      <c r="UYT241" s="814"/>
      <c r="UYU241" s="813"/>
      <c r="UYV241" s="814"/>
      <c r="UYW241" s="813"/>
      <c r="UYX241" s="814"/>
      <c r="UYY241" s="813"/>
      <c r="UYZ241" s="814"/>
      <c r="UZA241" s="813"/>
      <c r="UZB241" s="814"/>
      <c r="UZC241" s="813"/>
      <c r="UZD241" s="814"/>
      <c r="UZE241" s="813"/>
      <c r="UZF241" s="814"/>
      <c r="UZG241" s="813"/>
      <c r="UZH241" s="814"/>
      <c r="UZI241" s="813"/>
      <c r="UZJ241" s="814"/>
      <c r="UZK241" s="813"/>
      <c r="UZL241" s="814"/>
      <c r="UZM241" s="813"/>
      <c r="UZN241" s="814"/>
      <c r="UZO241" s="813"/>
      <c r="UZP241" s="814"/>
      <c r="UZQ241" s="813"/>
      <c r="UZR241" s="814"/>
      <c r="UZS241" s="813"/>
      <c r="UZT241" s="814"/>
      <c r="UZU241" s="813"/>
      <c r="UZV241" s="814"/>
      <c r="UZW241" s="813"/>
      <c r="UZX241" s="814"/>
      <c r="UZY241" s="813"/>
      <c r="UZZ241" s="814"/>
      <c r="VAA241" s="813"/>
      <c r="VAB241" s="814"/>
      <c r="VAC241" s="813"/>
      <c r="VAD241" s="814"/>
      <c r="VAE241" s="813"/>
      <c r="VAF241" s="814"/>
      <c r="VAG241" s="813"/>
      <c r="VAH241" s="814"/>
      <c r="VAI241" s="813"/>
      <c r="VAJ241" s="814"/>
      <c r="VAK241" s="813"/>
      <c r="VAL241" s="814"/>
      <c r="VAM241" s="813"/>
      <c r="VAN241" s="814"/>
      <c r="VAO241" s="813"/>
      <c r="VAP241" s="814"/>
      <c r="VAQ241" s="813"/>
      <c r="VAR241" s="814"/>
      <c r="VAS241" s="813"/>
      <c r="VAT241" s="814"/>
      <c r="VAU241" s="813"/>
      <c r="VAV241" s="814"/>
      <c r="VAW241" s="813"/>
      <c r="VAX241" s="814"/>
      <c r="VAY241" s="813"/>
      <c r="VAZ241" s="814"/>
      <c r="VBA241" s="813"/>
      <c r="VBB241" s="814"/>
      <c r="VBC241" s="813"/>
      <c r="VBD241" s="814"/>
      <c r="VBE241" s="813"/>
      <c r="VBF241" s="814"/>
      <c r="VBG241" s="813"/>
      <c r="VBH241" s="814"/>
      <c r="VBI241" s="813"/>
      <c r="VBJ241" s="814"/>
      <c r="VBK241" s="813"/>
      <c r="VBL241" s="814"/>
      <c r="VBM241" s="813"/>
      <c r="VBN241" s="814"/>
      <c r="VBO241" s="813"/>
      <c r="VBP241" s="814"/>
      <c r="VBQ241" s="813"/>
      <c r="VBR241" s="814"/>
      <c r="VBS241" s="813"/>
      <c r="VBT241" s="814"/>
      <c r="VBU241" s="813"/>
      <c r="VBV241" s="814"/>
      <c r="VBW241" s="813"/>
      <c r="VBX241" s="814"/>
      <c r="VBY241" s="813"/>
      <c r="VBZ241" s="814"/>
      <c r="VCA241" s="813"/>
      <c r="VCB241" s="814"/>
      <c r="VCC241" s="813"/>
      <c r="VCD241" s="814"/>
      <c r="VCE241" s="813"/>
      <c r="VCF241" s="814"/>
      <c r="VCG241" s="813"/>
      <c r="VCH241" s="814"/>
      <c r="VCI241" s="813"/>
      <c r="VCJ241" s="814"/>
      <c r="VCK241" s="813"/>
      <c r="VCL241" s="814"/>
      <c r="VCM241" s="813"/>
      <c r="VCN241" s="814"/>
      <c r="VCO241" s="813"/>
      <c r="VCP241" s="814"/>
      <c r="VCQ241" s="813"/>
      <c r="VCR241" s="814"/>
      <c r="VCS241" s="813"/>
      <c r="VCT241" s="814"/>
      <c r="VCU241" s="813"/>
      <c r="VCV241" s="814"/>
      <c r="VCW241" s="813"/>
      <c r="VCX241" s="814"/>
      <c r="VCY241" s="813"/>
      <c r="VCZ241" s="814"/>
      <c r="VDA241" s="813"/>
      <c r="VDB241" s="814"/>
      <c r="VDC241" s="813"/>
      <c r="VDD241" s="814"/>
      <c r="VDE241" s="813"/>
      <c r="VDF241" s="814"/>
      <c r="VDG241" s="813"/>
      <c r="VDH241" s="814"/>
      <c r="VDI241" s="813"/>
      <c r="VDJ241" s="814"/>
      <c r="VDK241" s="813"/>
      <c r="VDL241" s="814"/>
      <c r="VDM241" s="813"/>
      <c r="VDN241" s="814"/>
      <c r="VDO241" s="813"/>
      <c r="VDP241" s="814"/>
      <c r="VDQ241" s="813"/>
      <c r="VDR241" s="814"/>
      <c r="VDS241" s="813"/>
      <c r="VDT241" s="814"/>
      <c r="VDU241" s="813"/>
      <c r="VDV241" s="814"/>
      <c r="VDW241" s="813"/>
      <c r="VDX241" s="814"/>
      <c r="VDY241" s="813"/>
      <c r="VDZ241" s="814"/>
      <c r="VEA241" s="813"/>
      <c r="VEB241" s="814"/>
      <c r="VEC241" s="813"/>
      <c r="VED241" s="814"/>
      <c r="VEE241" s="813"/>
      <c r="VEF241" s="814"/>
      <c r="VEG241" s="813"/>
      <c r="VEH241" s="814"/>
      <c r="VEI241" s="813"/>
      <c r="VEJ241" s="814"/>
      <c r="VEK241" s="813"/>
      <c r="VEL241" s="814"/>
      <c r="VEM241" s="813"/>
      <c r="VEN241" s="814"/>
      <c r="VEO241" s="813"/>
      <c r="VEP241" s="814"/>
      <c r="VEQ241" s="813"/>
      <c r="VER241" s="814"/>
      <c r="VES241" s="813"/>
      <c r="VET241" s="814"/>
      <c r="VEU241" s="813"/>
      <c r="VEV241" s="814"/>
      <c r="VEW241" s="813"/>
      <c r="VEX241" s="814"/>
      <c r="VEY241" s="813"/>
      <c r="VEZ241" s="814"/>
      <c r="VFA241" s="813"/>
      <c r="VFB241" s="814"/>
      <c r="VFC241" s="813"/>
      <c r="VFD241" s="814"/>
      <c r="VFE241" s="813"/>
      <c r="VFF241" s="814"/>
      <c r="VFG241" s="813"/>
      <c r="VFH241" s="814"/>
      <c r="VFI241" s="813"/>
      <c r="VFJ241" s="814"/>
      <c r="VFK241" s="813"/>
      <c r="VFL241" s="814"/>
      <c r="VFM241" s="813"/>
      <c r="VFN241" s="814"/>
      <c r="VFO241" s="813"/>
      <c r="VFP241" s="814"/>
      <c r="VFQ241" s="813"/>
      <c r="VFR241" s="814"/>
      <c r="VFS241" s="813"/>
      <c r="VFT241" s="814"/>
      <c r="VFU241" s="813"/>
      <c r="VFV241" s="814"/>
      <c r="VFW241" s="813"/>
      <c r="VFX241" s="814"/>
      <c r="VFY241" s="813"/>
      <c r="VFZ241" s="814"/>
      <c r="VGA241" s="813"/>
      <c r="VGB241" s="814"/>
      <c r="VGC241" s="813"/>
      <c r="VGD241" s="814"/>
      <c r="VGE241" s="813"/>
      <c r="VGF241" s="814"/>
      <c r="VGG241" s="813"/>
      <c r="VGH241" s="814"/>
      <c r="VGI241" s="813"/>
      <c r="VGJ241" s="814"/>
      <c r="VGK241" s="813"/>
      <c r="VGL241" s="814"/>
      <c r="VGM241" s="813"/>
      <c r="VGN241" s="814"/>
      <c r="VGO241" s="813"/>
      <c r="VGP241" s="814"/>
      <c r="VGQ241" s="813"/>
      <c r="VGR241" s="814"/>
      <c r="VGS241" s="813"/>
      <c r="VGT241" s="814"/>
      <c r="VGU241" s="813"/>
      <c r="VGV241" s="814"/>
      <c r="VGW241" s="813"/>
      <c r="VGX241" s="814"/>
      <c r="VGY241" s="813"/>
      <c r="VGZ241" s="814"/>
      <c r="VHA241" s="813"/>
      <c r="VHB241" s="814"/>
      <c r="VHC241" s="813"/>
      <c r="VHD241" s="814"/>
      <c r="VHE241" s="813"/>
      <c r="VHF241" s="814"/>
      <c r="VHG241" s="813"/>
      <c r="VHH241" s="814"/>
      <c r="VHI241" s="813"/>
      <c r="VHJ241" s="814"/>
      <c r="VHK241" s="813"/>
      <c r="VHL241" s="814"/>
      <c r="VHM241" s="813"/>
      <c r="VHN241" s="814"/>
      <c r="VHO241" s="813"/>
      <c r="VHP241" s="814"/>
      <c r="VHQ241" s="813"/>
      <c r="VHR241" s="814"/>
      <c r="VHS241" s="813"/>
      <c r="VHT241" s="814"/>
      <c r="VHU241" s="813"/>
      <c r="VHV241" s="814"/>
      <c r="VHW241" s="813"/>
      <c r="VHX241" s="814"/>
      <c r="VHY241" s="813"/>
      <c r="VHZ241" s="814"/>
      <c r="VIA241" s="813"/>
      <c r="VIB241" s="814"/>
      <c r="VIC241" s="813"/>
      <c r="VID241" s="814"/>
      <c r="VIE241" s="813"/>
      <c r="VIF241" s="814"/>
      <c r="VIG241" s="813"/>
      <c r="VIH241" s="814"/>
      <c r="VII241" s="813"/>
      <c r="VIJ241" s="814"/>
      <c r="VIK241" s="813"/>
      <c r="VIL241" s="814"/>
      <c r="VIM241" s="813"/>
      <c r="VIN241" s="814"/>
      <c r="VIO241" s="813"/>
      <c r="VIP241" s="814"/>
      <c r="VIQ241" s="813"/>
      <c r="VIR241" s="814"/>
      <c r="VIS241" s="813"/>
      <c r="VIT241" s="814"/>
      <c r="VIU241" s="813"/>
      <c r="VIV241" s="814"/>
      <c r="VIW241" s="813"/>
      <c r="VIX241" s="814"/>
      <c r="VIY241" s="813"/>
      <c r="VIZ241" s="814"/>
      <c r="VJA241" s="813"/>
      <c r="VJB241" s="814"/>
      <c r="VJC241" s="813"/>
      <c r="VJD241" s="814"/>
      <c r="VJE241" s="813"/>
      <c r="VJF241" s="814"/>
      <c r="VJG241" s="813"/>
      <c r="VJH241" s="814"/>
      <c r="VJI241" s="813"/>
      <c r="VJJ241" s="814"/>
      <c r="VJK241" s="813"/>
      <c r="VJL241" s="814"/>
      <c r="VJM241" s="813"/>
      <c r="VJN241" s="814"/>
      <c r="VJO241" s="813"/>
      <c r="VJP241" s="814"/>
      <c r="VJQ241" s="813"/>
      <c r="VJR241" s="814"/>
      <c r="VJS241" s="813"/>
      <c r="VJT241" s="814"/>
      <c r="VJU241" s="813"/>
      <c r="VJV241" s="814"/>
      <c r="VJW241" s="813"/>
      <c r="VJX241" s="814"/>
      <c r="VJY241" s="813"/>
      <c r="VJZ241" s="814"/>
      <c r="VKA241" s="813"/>
      <c r="VKB241" s="814"/>
      <c r="VKC241" s="813"/>
      <c r="VKD241" s="814"/>
      <c r="VKE241" s="813"/>
      <c r="VKF241" s="814"/>
      <c r="VKG241" s="813"/>
      <c r="VKH241" s="814"/>
      <c r="VKI241" s="813"/>
      <c r="VKJ241" s="814"/>
      <c r="VKK241" s="813"/>
      <c r="VKL241" s="814"/>
      <c r="VKM241" s="813"/>
      <c r="VKN241" s="814"/>
      <c r="VKO241" s="813"/>
      <c r="VKP241" s="814"/>
      <c r="VKQ241" s="813"/>
      <c r="VKR241" s="814"/>
      <c r="VKS241" s="813"/>
      <c r="VKT241" s="814"/>
      <c r="VKU241" s="813"/>
      <c r="VKV241" s="814"/>
      <c r="VKW241" s="813"/>
      <c r="VKX241" s="814"/>
      <c r="VKY241" s="813"/>
      <c r="VKZ241" s="814"/>
      <c r="VLA241" s="813"/>
      <c r="VLB241" s="814"/>
      <c r="VLC241" s="813"/>
      <c r="VLD241" s="814"/>
      <c r="VLE241" s="813"/>
      <c r="VLF241" s="814"/>
      <c r="VLG241" s="813"/>
      <c r="VLH241" s="814"/>
      <c r="VLI241" s="813"/>
      <c r="VLJ241" s="814"/>
      <c r="VLK241" s="813"/>
      <c r="VLL241" s="814"/>
      <c r="VLM241" s="813"/>
      <c r="VLN241" s="814"/>
      <c r="VLO241" s="813"/>
      <c r="VLP241" s="814"/>
      <c r="VLQ241" s="813"/>
      <c r="VLR241" s="814"/>
      <c r="VLS241" s="813"/>
      <c r="VLT241" s="814"/>
      <c r="VLU241" s="813"/>
      <c r="VLV241" s="814"/>
      <c r="VLW241" s="813"/>
      <c r="VLX241" s="814"/>
      <c r="VLY241" s="813"/>
      <c r="VLZ241" s="814"/>
      <c r="VMA241" s="813"/>
      <c r="VMB241" s="814"/>
      <c r="VMC241" s="813"/>
      <c r="VMD241" s="814"/>
      <c r="VME241" s="813"/>
      <c r="VMF241" s="814"/>
      <c r="VMG241" s="813"/>
      <c r="VMH241" s="814"/>
      <c r="VMI241" s="813"/>
      <c r="VMJ241" s="814"/>
      <c r="VMK241" s="813"/>
      <c r="VML241" s="814"/>
      <c r="VMM241" s="813"/>
      <c r="VMN241" s="814"/>
      <c r="VMO241" s="813"/>
      <c r="VMP241" s="814"/>
      <c r="VMQ241" s="813"/>
      <c r="VMR241" s="814"/>
      <c r="VMS241" s="813"/>
      <c r="VMT241" s="814"/>
      <c r="VMU241" s="813"/>
      <c r="VMV241" s="814"/>
      <c r="VMW241" s="813"/>
      <c r="VMX241" s="814"/>
      <c r="VMY241" s="813"/>
      <c r="VMZ241" s="814"/>
      <c r="VNA241" s="813"/>
      <c r="VNB241" s="814"/>
      <c r="VNC241" s="813"/>
      <c r="VND241" s="814"/>
      <c r="VNE241" s="813"/>
      <c r="VNF241" s="814"/>
      <c r="VNG241" s="813"/>
      <c r="VNH241" s="814"/>
      <c r="VNI241" s="813"/>
      <c r="VNJ241" s="814"/>
      <c r="VNK241" s="813"/>
      <c r="VNL241" s="814"/>
      <c r="VNM241" s="813"/>
      <c r="VNN241" s="814"/>
      <c r="VNO241" s="813"/>
      <c r="VNP241" s="814"/>
      <c r="VNQ241" s="813"/>
      <c r="VNR241" s="814"/>
      <c r="VNS241" s="813"/>
      <c r="VNT241" s="814"/>
      <c r="VNU241" s="813"/>
      <c r="VNV241" s="814"/>
      <c r="VNW241" s="813"/>
      <c r="VNX241" s="814"/>
      <c r="VNY241" s="813"/>
      <c r="VNZ241" s="814"/>
      <c r="VOA241" s="813"/>
      <c r="VOB241" s="814"/>
      <c r="VOC241" s="813"/>
      <c r="VOD241" s="814"/>
      <c r="VOE241" s="813"/>
      <c r="VOF241" s="814"/>
      <c r="VOG241" s="813"/>
      <c r="VOH241" s="814"/>
      <c r="VOI241" s="813"/>
      <c r="VOJ241" s="814"/>
      <c r="VOK241" s="813"/>
      <c r="VOL241" s="814"/>
      <c r="VOM241" s="813"/>
      <c r="VON241" s="814"/>
      <c r="VOO241" s="813"/>
      <c r="VOP241" s="814"/>
      <c r="VOQ241" s="813"/>
      <c r="VOR241" s="814"/>
      <c r="VOS241" s="813"/>
      <c r="VOT241" s="814"/>
      <c r="VOU241" s="813"/>
      <c r="VOV241" s="814"/>
      <c r="VOW241" s="813"/>
      <c r="VOX241" s="814"/>
      <c r="VOY241" s="813"/>
      <c r="VOZ241" s="814"/>
      <c r="VPA241" s="813"/>
      <c r="VPB241" s="814"/>
      <c r="VPC241" s="813"/>
      <c r="VPD241" s="814"/>
      <c r="VPE241" s="813"/>
      <c r="VPF241" s="814"/>
      <c r="VPG241" s="813"/>
      <c r="VPH241" s="814"/>
      <c r="VPI241" s="813"/>
      <c r="VPJ241" s="814"/>
      <c r="VPK241" s="813"/>
      <c r="VPL241" s="814"/>
      <c r="VPM241" s="813"/>
      <c r="VPN241" s="814"/>
      <c r="VPO241" s="813"/>
      <c r="VPP241" s="814"/>
      <c r="VPQ241" s="813"/>
      <c r="VPR241" s="814"/>
      <c r="VPS241" s="813"/>
      <c r="VPT241" s="814"/>
      <c r="VPU241" s="813"/>
      <c r="VPV241" s="814"/>
      <c r="VPW241" s="813"/>
      <c r="VPX241" s="814"/>
      <c r="VPY241" s="813"/>
      <c r="VPZ241" s="814"/>
      <c r="VQA241" s="813"/>
      <c r="VQB241" s="814"/>
      <c r="VQC241" s="813"/>
      <c r="VQD241" s="814"/>
      <c r="VQE241" s="813"/>
      <c r="VQF241" s="814"/>
      <c r="VQG241" s="813"/>
      <c r="VQH241" s="814"/>
      <c r="VQI241" s="813"/>
      <c r="VQJ241" s="814"/>
      <c r="VQK241" s="813"/>
      <c r="VQL241" s="814"/>
      <c r="VQM241" s="813"/>
      <c r="VQN241" s="814"/>
      <c r="VQO241" s="813"/>
      <c r="VQP241" s="814"/>
      <c r="VQQ241" s="813"/>
      <c r="VQR241" s="814"/>
      <c r="VQS241" s="813"/>
      <c r="VQT241" s="814"/>
      <c r="VQU241" s="813"/>
      <c r="VQV241" s="814"/>
      <c r="VQW241" s="813"/>
      <c r="VQX241" s="814"/>
      <c r="VQY241" s="813"/>
      <c r="VQZ241" s="814"/>
      <c r="VRA241" s="813"/>
      <c r="VRB241" s="814"/>
      <c r="VRC241" s="813"/>
      <c r="VRD241" s="814"/>
      <c r="VRE241" s="813"/>
      <c r="VRF241" s="814"/>
      <c r="VRG241" s="813"/>
      <c r="VRH241" s="814"/>
      <c r="VRI241" s="813"/>
      <c r="VRJ241" s="814"/>
      <c r="VRK241" s="813"/>
      <c r="VRL241" s="814"/>
      <c r="VRM241" s="813"/>
      <c r="VRN241" s="814"/>
      <c r="VRO241" s="813"/>
      <c r="VRP241" s="814"/>
      <c r="VRQ241" s="813"/>
      <c r="VRR241" s="814"/>
      <c r="VRS241" s="813"/>
      <c r="VRT241" s="814"/>
      <c r="VRU241" s="813"/>
      <c r="VRV241" s="814"/>
      <c r="VRW241" s="813"/>
      <c r="VRX241" s="814"/>
      <c r="VRY241" s="813"/>
      <c r="VRZ241" s="814"/>
      <c r="VSA241" s="813"/>
      <c r="VSB241" s="814"/>
      <c r="VSC241" s="813"/>
      <c r="VSD241" s="814"/>
      <c r="VSE241" s="813"/>
      <c r="VSF241" s="814"/>
      <c r="VSG241" s="813"/>
      <c r="VSH241" s="814"/>
      <c r="VSI241" s="813"/>
      <c r="VSJ241" s="814"/>
      <c r="VSK241" s="813"/>
      <c r="VSL241" s="814"/>
      <c r="VSM241" s="813"/>
      <c r="VSN241" s="814"/>
      <c r="VSO241" s="813"/>
      <c r="VSP241" s="814"/>
      <c r="VSQ241" s="813"/>
      <c r="VSR241" s="814"/>
      <c r="VSS241" s="813"/>
      <c r="VST241" s="814"/>
      <c r="VSU241" s="813"/>
      <c r="VSV241" s="814"/>
      <c r="VSW241" s="813"/>
      <c r="VSX241" s="814"/>
      <c r="VSY241" s="813"/>
      <c r="VSZ241" s="814"/>
      <c r="VTA241" s="813"/>
      <c r="VTB241" s="814"/>
      <c r="VTC241" s="813"/>
      <c r="VTD241" s="814"/>
      <c r="VTE241" s="813"/>
      <c r="VTF241" s="814"/>
      <c r="VTG241" s="813"/>
      <c r="VTH241" s="814"/>
      <c r="VTI241" s="813"/>
      <c r="VTJ241" s="814"/>
      <c r="VTK241" s="813"/>
      <c r="VTL241" s="814"/>
      <c r="VTM241" s="813"/>
      <c r="VTN241" s="814"/>
      <c r="VTO241" s="813"/>
      <c r="VTP241" s="814"/>
      <c r="VTQ241" s="813"/>
      <c r="VTR241" s="814"/>
      <c r="VTS241" s="813"/>
      <c r="VTT241" s="814"/>
      <c r="VTU241" s="813"/>
      <c r="VTV241" s="814"/>
      <c r="VTW241" s="813"/>
      <c r="VTX241" s="814"/>
      <c r="VTY241" s="813"/>
      <c r="VTZ241" s="814"/>
      <c r="VUA241" s="813"/>
      <c r="VUB241" s="814"/>
      <c r="VUC241" s="813"/>
      <c r="VUD241" s="814"/>
      <c r="VUE241" s="813"/>
      <c r="VUF241" s="814"/>
      <c r="VUG241" s="813"/>
      <c r="VUH241" s="814"/>
      <c r="VUI241" s="813"/>
      <c r="VUJ241" s="814"/>
      <c r="VUK241" s="813"/>
      <c r="VUL241" s="814"/>
      <c r="VUM241" s="813"/>
      <c r="VUN241" s="814"/>
      <c r="VUO241" s="813"/>
      <c r="VUP241" s="814"/>
      <c r="VUQ241" s="813"/>
      <c r="VUR241" s="814"/>
      <c r="VUS241" s="813"/>
      <c r="VUT241" s="814"/>
      <c r="VUU241" s="813"/>
      <c r="VUV241" s="814"/>
      <c r="VUW241" s="813"/>
      <c r="VUX241" s="814"/>
      <c r="VUY241" s="813"/>
      <c r="VUZ241" s="814"/>
      <c r="VVA241" s="813"/>
      <c r="VVB241" s="814"/>
      <c r="VVC241" s="813"/>
      <c r="VVD241" s="814"/>
      <c r="VVE241" s="813"/>
      <c r="VVF241" s="814"/>
      <c r="VVG241" s="813"/>
      <c r="VVH241" s="814"/>
      <c r="VVI241" s="813"/>
      <c r="VVJ241" s="814"/>
      <c r="VVK241" s="813"/>
      <c r="VVL241" s="814"/>
      <c r="VVM241" s="813"/>
      <c r="VVN241" s="814"/>
      <c r="VVO241" s="813"/>
      <c r="VVP241" s="814"/>
      <c r="VVQ241" s="813"/>
      <c r="VVR241" s="814"/>
      <c r="VVS241" s="813"/>
      <c r="VVT241" s="814"/>
      <c r="VVU241" s="813"/>
      <c r="VVV241" s="814"/>
      <c r="VVW241" s="813"/>
      <c r="VVX241" s="814"/>
      <c r="VVY241" s="813"/>
      <c r="VVZ241" s="814"/>
      <c r="VWA241" s="813"/>
      <c r="VWB241" s="814"/>
      <c r="VWC241" s="813"/>
      <c r="VWD241" s="814"/>
      <c r="VWE241" s="813"/>
      <c r="VWF241" s="814"/>
      <c r="VWG241" s="813"/>
      <c r="VWH241" s="814"/>
      <c r="VWI241" s="813"/>
      <c r="VWJ241" s="814"/>
      <c r="VWK241" s="813"/>
      <c r="VWL241" s="814"/>
      <c r="VWM241" s="813"/>
      <c r="VWN241" s="814"/>
      <c r="VWO241" s="813"/>
      <c r="VWP241" s="814"/>
      <c r="VWQ241" s="813"/>
      <c r="VWR241" s="814"/>
      <c r="VWS241" s="813"/>
      <c r="VWT241" s="814"/>
      <c r="VWU241" s="813"/>
      <c r="VWV241" s="814"/>
      <c r="VWW241" s="813"/>
      <c r="VWX241" s="814"/>
      <c r="VWY241" s="813"/>
      <c r="VWZ241" s="814"/>
      <c r="VXA241" s="813"/>
      <c r="VXB241" s="814"/>
      <c r="VXC241" s="813"/>
      <c r="VXD241" s="814"/>
      <c r="VXE241" s="813"/>
      <c r="VXF241" s="814"/>
      <c r="VXG241" s="813"/>
      <c r="VXH241" s="814"/>
      <c r="VXI241" s="813"/>
      <c r="VXJ241" s="814"/>
      <c r="VXK241" s="813"/>
      <c r="VXL241" s="814"/>
      <c r="VXM241" s="813"/>
      <c r="VXN241" s="814"/>
      <c r="VXO241" s="813"/>
      <c r="VXP241" s="814"/>
      <c r="VXQ241" s="813"/>
      <c r="VXR241" s="814"/>
      <c r="VXS241" s="813"/>
      <c r="VXT241" s="814"/>
      <c r="VXU241" s="813"/>
      <c r="VXV241" s="814"/>
      <c r="VXW241" s="813"/>
      <c r="VXX241" s="814"/>
      <c r="VXY241" s="813"/>
      <c r="VXZ241" s="814"/>
      <c r="VYA241" s="813"/>
      <c r="VYB241" s="814"/>
      <c r="VYC241" s="813"/>
      <c r="VYD241" s="814"/>
      <c r="VYE241" s="813"/>
      <c r="VYF241" s="814"/>
      <c r="VYG241" s="813"/>
      <c r="VYH241" s="814"/>
      <c r="VYI241" s="813"/>
      <c r="VYJ241" s="814"/>
      <c r="VYK241" s="813"/>
      <c r="VYL241" s="814"/>
      <c r="VYM241" s="813"/>
      <c r="VYN241" s="814"/>
      <c r="VYO241" s="813"/>
      <c r="VYP241" s="814"/>
      <c r="VYQ241" s="813"/>
      <c r="VYR241" s="814"/>
      <c r="VYS241" s="813"/>
      <c r="VYT241" s="814"/>
      <c r="VYU241" s="813"/>
      <c r="VYV241" s="814"/>
      <c r="VYW241" s="813"/>
      <c r="VYX241" s="814"/>
      <c r="VYY241" s="813"/>
      <c r="VYZ241" s="814"/>
      <c r="VZA241" s="813"/>
      <c r="VZB241" s="814"/>
      <c r="VZC241" s="813"/>
      <c r="VZD241" s="814"/>
      <c r="VZE241" s="813"/>
      <c r="VZF241" s="814"/>
      <c r="VZG241" s="813"/>
      <c r="VZH241" s="814"/>
      <c r="VZI241" s="813"/>
      <c r="VZJ241" s="814"/>
      <c r="VZK241" s="813"/>
      <c r="VZL241" s="814"/>
      <c r="VZM241" s="813"/>
      <c r="VZN241" s="814"/>
      <c r="VZO241" s="813"/>
      <c r="VZP241" s="814"/>
      <c r="VZQ241" s="813"/>
      <c r="VZR241" s="814"/>
      <c r="VZS241" s="813"/>
      <c r="VZT241" s="814"/>
      <c r="VZU241" s="813"/>
      <c r="VZV241" s="814"/>
      <c r="VZW241" s="813"/>
      <c r="VZX241" s="814"/>
      <c r="VZY241" s="813"/>
      <c r="VZZ241" s="814"/>
      <c r="WAA241" s="813"/>
      <c r="WAB241" s="814"/>
      <c r="WAC241" s="813"/>
      <c r="WAD241" s="814"/>
      <c r="WAE241" s="813"/>
      <c r="WAF241" s="814"/>
      <c r="WAG241" s="813"/>
      <c r="WAH241" s="814"/>
      <c r="WAI241" s="813"/>
      <c r="WAJ241" s="814"/>
      <c r="WAK241" s="813"/>
      <c r="WAL241" s="814"/>
      <c r="WAM241" s="813"/>
      <c r="WAN241" s="814"/>
      <c r="WAO241" s="813"/>
      <c r="WAP241" s="814"/>
      <c r="WAQ241" s="813"/>
      <c r="WAR241" s="814"/>
      <c r="WAS241" s="813"/>
      <c r="WAT241" s="814"/>
      <c r="WAU241" s="813"/>
      <c r="WAV241" s="814"/>
      <c r="WAW241" s="813"/>
      <c r="WAX241" s="814"/>
      <c r="WAY241" s="813"/>
      <c r="WAZ241" s="814"/>
      <c r="WBA241" s="813"/>
      <c r="WBB241" s="814"/>
      <c r="WBC241" s="813"/>
      <c r="WBD241" s="814"/>
      <c r="WBE241" s="813"/>
      <c r="WBF241" s="814"/>
      <c r="WBG241" s="813"/>
      <c r="WBH241" s="814"/>
      <c r="WBI241" s="813"/>
      <c r="WBJ241" s="814"/>
      <c r="WBK241" s="813"/>
      <c r="WBL241" s="814"/>
      <c r="WBM241" s="813"/>
      <c r="WBN241" s="814"/>
      <c r="WBO241" s="813"/>
      <c r="WBP241" s="814"/>
      <c r="WBQ241" s="813"/>
      <c r="WBR241" s="814"/>
      <c r="WBS241" s="813"/>
      <c r="WBT241" s="814"/>
      <c r="WBU241" s="813"/>
      <c r="WBV241" s="814"/>
      <c r="WBW241" s="813"/>
      <c r="WBX241" s="814"/>
      <c r="WBY241" s="813"/>
      <c r="WBZ241" s="814"/>
      <c r="WCA241" s="813"/>
      <c r="WCB241" s="814"/>
      <c r="WCC241" s="813"/>
      <c r="WCD241" s="814"/>
      <c r="WCE241" s="813"/>
      <c r="WCF241" s="814"/>
      <c r="WCG241" s="813"/>
      <c r="WCH241" s="814"/>
      <c r="WCI241" s="813"/>
      <c r="WCJ241" s="814"/>
      <c r="WCK241" s="813"/>
      <c r="WCL241" s="814"/>
      <c r="WCM241" s="813"/>
      <c r="WCN241" s="814"/>
      <c r="WCO241" s="813"/>
      <c r="WCP241" s="814"/>
      <c r="WCQ241" s="813"/>
      <c r="WCR241" s="814"/>
      <c r="WCS241" s="813"/>
      <c r="WCT241" s="814"/>
      <c r="WCU241" s="813"/>
      <c r="WCV241" s="814"/>
      <c r="WCW241" s="813"/>
      <c r="WCX241" s="814"/>
      <c r="WCY241" s="813"/>
      <c r="WCZ241" s="814"/>
      <c r="WDA241" s="813"/>
      <c r="WDB241" s="814"/>
      <c r="WDC241" s="813"/>
      <c r="WDD241" s="814"/>
      <c r="WDE241" s="813"/>
      <c r="WDF241" s="814"/>
      <c r="WDG241" s="813"/>
      <c r="WDH241" s="814"/>
      <c r="WDI241" s="813"/>
      <c r="WDJ241" s="814"/>
      <c r="WDK241" s="813"/>
      <c r="WDL241" s="814"/>
      <c r="WDM241" s="813"/>
      <c r="WDN241" s="814"/>
      <c r="WDO241" s="813"/>
      <c r="WDP241" s="814"/>
      <c r="WDQ241" s="813"/>
      <c r="WDR241" s="814"/>
      <c r="WDS241" s="813"/>
      <c r="WDT241" s="814"/>
      <c r="WDU241" s="813"/>
      <c r="WDV241" s="814"/>
      <c r="WDW241" s="813"/>
      <c r="WDX241" s="814"/>
      <c r="WDY241" s="813"/>
      <c r="WDZ241" s="814"/>
      <c r="WEA241" s="813"/>
      <c r="WEB241" s="814"/>
      <c r="WEC241" s="813"/>
      <c r="WED241" s="814"/>
      <c r="WEE241" s="813"/>
      <c r="WEF241" s="814"/>
      <c r="WEG241" s="813"/>
      <c r="WEH241" s="814"/>
      <c r="WEI241" s="813"/>
      <c r="WEJ241" s="814"/>
      <c r="WEK241" s="813"/>
      <c r="WEL241" s="814"/>
      <c r="WEM241" s="813"/>
      <c r="WEN241" s="814"/>
      <c r="WEO241" s="813"/>
      <c r="WEP241" s="814"/>
      <c r="WEQ241" s="813"/>
      <c r="WER241" s="814"/>
      <c r="WES241" s="813"/>
      <c r="WET241" s="814"/>
      <c r="WEU241" s="813"/>
      <c r="WEV241" s="814"/>
      <c r="WEW241" s="813"/>
      <c r="WEX241" s="814"/>
      <c r="WEY241" s="813"/>
      <c r="WEZ241" s="814"/>
      <c r="WFA241" s="813"/>
      <c r="WFB241" s="814"/>
      <c r="WFC241" s="813"/>
      <c r="WFD241" s="814"/>
      <c r="WFE241" s="813"/>
      <c r="WFF241" s="814"/>
      <c r="WFG241" s="813"/>
      <c r="WFH241" s="814"/>
      <c r="WFI241" s="813"/>
      <c r="WFJ241" s="814"/>
      <c r="WFK241" s="813"/>
      <c r="WFL241" s="814"/>
      <c r="WFM241" s="813"/>
      <c r="WFN241" s="814"/>
      <c r="WFO241" s="813"/>
      <c r="WFP241" s="814"/>
      <c r="WFQ241" s="813"/>
      <c r="WFR241" s="814"/>
      <c r="WFS241" s="813"/>
      <c r="WFT241" s="814"/>
      <c r="WFU241" s="813"/>
      <c r="WFV241" s="814"/>
      <c r="WFW241" s="813"/>
      <c r="WFX241" s="814"/>
      <c r="WFY241" s="813"/>
      <c r="WFZ241" s="814"/>
      <c r="WGA241" s="813"/>
      <c r="WGB241" s="814"/>
      <c r="WGC241" s="813"/>
      <c r="WGD241" s="814"/>
      <c r="WGE241" s="813"/>
      <c r="WGF241" s="814"/>
      <c r="WGG241" s="813"/>
      <c r="WGH241" s="814"/>
      <c r="WGI241" s="813"/>
      <c r="WGJ241" s="814"/>
      <c r="WGK241" s="813"/>
      <c r="WGL241" s="814"/>
      <c r="WGM241" s="813"/>
      <c r="WGN241" s="814"/>
      <c r="WGO241" s="813"/>
      <c r="WGP241" s="814"/>
      <c r="WGQ241" s="813"/>
      <c r="WGR241" s="814"/>
      <c r="WGS241" s="813"/>
      <c r="WGT241" s="814"/>
      <c r="WGU241" s="813"/>
      <c r="WGV241" s="814"/>
      <c r="WGW241" s="813"/>
      <c r="WGX241" s="814"/>
      <c r="WGY241" s="813"/>
      <c r="WGZ241" s="814"/>
      <c r="WHA241" s="813"/>
      <c r="WHB241" s="814"/>
      <c r="WHC241" s="813"/>
      <c r="WHD241" s="814"/>
      <c r="WHE241" s="813"/>
      <c r="WHF241" s="814"/>
      <c r="WHG241" s="813"/>
      <c r="WHH241" s="814"/>
      <c r="WHI241" s="813"/>
      <c r="WHJ241" s="814"/>
      <c r="WHK241" s="813"/>
      <c r="WHL241" s="814"/>
      <c r="WHM241" s="813"/>
      <c r="WHN241" s="814"/>
      <c r="WHO241" s="813"/>
      <c r="WHP241" s="814"/>
      <c r="WHQ241" s="813"/>
      <c r="WHR241" s="814"/>
      <c r="WHS241" s="813"/>
      <c r="WHT241" s="814"/>
      <c r="WHU241" s="813"/>
      <c r="WHV241" s="814"/>
      <c r="WHW241" s="813"/>
      <c r="WHX241" s="814"/>
      <c r="WHY241" s="813"/>
      <c r="WHZ241" s="814"/>
      <c r="WIA241" s="813"/>
      <c r="WIB241" s="814"/>
      <c r="WIC241" s="813"/>
      <c r="WID241" s="814"/>
      <c r="WIE241" s="813"/>
      <c r="WIF241" s="814"/>
      <c r="WIG241" s="813"/>
      <c r="WIH241" s="814"/>
      <c r="WII241" s="813"/>
      <c r="WIJ241" s="814"/>
      <c r="WIK241" s="813"/>
      <c r="WIL241" s="814"/>
      <c r="WIM241" s="813"/>
      <c r="WIN241" s="814"/>
      <c r="WIO241" s="813"/>
      <c r="WIP241" s="814"/>
      <c r="WIQ241" s="813"/>
      <c r="WIR241" s="814"/>
      <c r="WIS241" s="813"/>
      <c r="WIT241" s="814"/>
      <c r="WIU241" s="813"/>
      <c r="WIV241" s="814"/>
      <c r="WIW241" s="813"/>
      <c r="WIX241" s="814"/>
      <c r="WIY241" s="813"/>
      <c r="WIZ241" s="814"/>
      <c r="WJA241" s="813"/>
      <c r="WJB241" s="814"/>
      <c r="WJC241" s="813"/>
      <c r="WJD241" s="814"/>
      <c r="WJE241" s="813"/>
      <c r="WJF241" s="814"/>
      <c r="WJG241" s="813"/>
      <c r="WJH241" s="814"/>
      <c r="WJI241" s="813"/>
      <c r="WJJ241" s="814"/>
      <c r="WJK241" s="813"/>
      <c r="WJL241" s="814"/>
      <c r="WJM241" s="813"/>
      <c r="WJN241" s="814"/>
      <c r="WJO241" s="813"/>
      <c r="WJP241" s="814"/>
      <c r="WJQ241" s="813"/>
      <c r="WJR241" s="814"/>
      <c r="WJS241" s="813"/>
      <c r="WJT241" s="814"/>
      <c r="WJU241" s="813"/>
      <c r="WJV241" s="814"/>
      <c r="WJW241" s="813"/>
      <c r="WJX241" s="814"/>
      <c r="WJY241" s="813"/>
      <c r="WJZ241" s="814"/>
      <c r="WKA241" s="813"/>
      <c r="WKB241" s="814"/>
      <c r="WKC241" s="813"/>
      <c r="WKD241" s="814"/>
      <c r="WKE241" s="813"/>
      <c r="WKF241" s="814"/>
      <c r="WKG241" s="813"/>
      <c r="WKH241" s="814"/>
      <c r="WKI241" s="813"/>
      <c r="WKJ241" s="814"/>
      <c r="WKK241" s="813"/>
      <c r="WKL241" s="814"/>
      <c r="WKM241" s="813"/>
      <c r="WKN241" s="814"/>
      <c r="WKO241" s="813"/>
      <c r="WKP241" s="814"/>
      <c r="WKQ241" s="813"/>
      <c r="WKR241" s="814"/>
      <c r="WKS241" s="813"/>
      <c r="WKT241" s="814"/>
      <c r="WKU241" s="813"/>
      <c r="WKV241" s="814"/>
      <c r="WKW241" s="813"/>
      <c r="WKX241" s="814"/>
      <c r="WKY241" s="813"/>
      <c r="WKZ241" s="814"/>
      <c r="WLA241" s="813"/>
      <c r="WLB241" s="814"/>
      <c r="WLC241" s="813"/>
      <c r="WLD241" s="814"/>
      <c r="WLE241" s="813"/>
      <c r="WLF241" s="814"/>
      <c r="WLG241" s="813"/>
      <c r="WLH241" s="814"/>
      <c r="WLI241" s="813"/>
      <c r="WLJ241" s="814"/>
      <c r="WLK241" s="813"/>
      <c r="WLL241" s="814"/>
      <c r="WLM241" s="813"/>
      <c r="WLN241" s="814"/>
      <c r="WLO241" s="813"/>
      <c r="WLP241" s="814"/>
      <c r="WLQ241" s="813"/>
      <c r="WLR241" s="814"/>
      <c r="WLS241" s="813"/>
      <c r="WLT241" s="814"/>
      <c r="WLU241" s="813"/>
      <c r="WLV241" s="814"/>
      <c r="WLW241" s="813"/>
      <c r="WLX241" s="814"/>
      <c r="WLY241" s="813"/>
      <c r="WLZ241" s="814"/>
      <c r="WMA241" s="813"/>
      <c r="WMB241" s="814"/>
      <c r="WMC241" s="813"/>
      <c r="WMD241" s="814"/>
      <c r="WME241" s="813"/>
      <c r="WMF241" s="814"/>
      <c r="WMG241" s="813"/>
      <c r="WMH241" s="814"/>
      <c r="WMI241" s="813"/>
      <c r="WMJ241" s="814"/>
      <c r="WMK241" s="813"/>
      <c r="WML241" s="814"/>
      <c r="WMM241" s="813"/>
      <c r="WMN241" s="814"/>
      <c r="WMO241" s="813"/>
      <c r="WMP241" s="814"/>
      <c r="WMQ241" s="813"/>
      <c r="WMR241" s="814"/>
      <c r="WMS241" s="813"/>
      <c r="WMT241" s="814"/>
      <c r="WMU241" s="813"/>
      <c r="WMV241" s="814"/>
      <c r="WMW241" s="813"/>
      <c r="WMX241" s="814"/>
      <c r="WMY241" s="813"/>
      <c r="WMZ241" s="814"/>
      <c r="WNA241" s="813"/>
      <c r="WNB241" s="814"/>
      <c r="WNC241" s="813"/>
      <c r="WND241" s="814"/>
      <c r="WNE241" s="813"/>
      <c r="WNF241" s="814"/>
      <c r="WNG241" s="813"/>
      <c r="WNH241" s="814"/>
      <c r="WNI241" s="813"/>
      <c r="WNJ241" s="814"/>
      <c r="WNK241" s="813"/>
      <c r="WNL241" s="814"/>
      <c r="WNM241" s="813"/>
      <c r="WNN241" s="814"/>
      <c r="WNO241" s="813"/>
      <c r="WNP241" s="814"/>
      <c r="WNQ241" s="813"/>
      <c r="WNR241" s="814"/>
      <c r="WNS241" s="813"/>
      <c r="WNT241" s="814"/>
      <c r="WNU241" s="813"/>
      <c r="WNV241" s="814"/>
      <c r="WNW241" s="813"/>
      <c r="WNX241" s="814"/>
      <c r="WNY241" s="813"/>
      <c r="WNZ241" s="814"/>
      <c r="WOA241" s="813"/>
      <c r="WOB241" s="814"/>
      <c r="WOC241" s="813"/>
      <c r="WOD241" s="814"/>
      <c r="WOE241" s="813"/>
      <c r="WOF241" s="814"/>
      <c r="WOG241" s="813"/>
      <c r="WOH241" s="814"/>
      <c r="WOI241" s="813"/>
      <c r="WOJ241" s="814"/>
      <c r="WOK241" s="813"/>
      <c r="WOL241" s="814"/>
      <c r="WOM241" s="813"/>
      <c r="WON241" s="814"/>
      <c r="WOO241" s="813"/>
      <c r="WOP241" s="814"/>
      <c r="WOQ241" s="813"/>
      <c r="WOR241" s="814"/>
      <c r="WOS241" s="813"/>
      <c r="WOT241" s="814"/>
      <c r="WOU241" s="813"/>
      <c r="WOV241" s="814"/>
      <c r="WOW241" s="813"/>
      <c r="WOX241" s="814"/>
      <c r="WOY241" s="813"/>
      <c r="WOZ241" s="814"/>
      <c r="WPA241" s="813"/>
      <c r="WPB241" s="814"/>
      <c r="WPC241" s="813"/>
      <c r="WPD241" s="814"/>
      <c r="WPE241" s="813"/>
      <c r="WPF241" s="814"/>
      <c r="WPG241" s="813"/>
      <c r="WPH241" s="814"/>
      <c r="WPI241" s="813"/>
      <c r="WPJ241" s="814"/>
      <c r="WPK241" s="813"/>
      <c r="WPL241" s="814"/>
      <c r="WPM241" s="813"/>
      <c r="WPN241" s="814"/>
      <c r="WPO241" s="813"/>
      <c r="WPP241" s="814"/>
      <c r="WPQ241" s="813"/>
      <c r="WPR241" s="814"/>
      <c r="WPS241" s="813"/>
      <c r="WPT241" s="814"/>
      <c r="WPU241" s="813"/>
      <c r="WPV241" s="814"/>
      <c r="WPW241" s="813"/>
      <c r="WPX241" s="814"/>
      <c r="WPY241" s="813"/>
      <c r="WPZ241" s="814"/>
      <c r="WQA241" s="813"/>
      <c r="WQB241" s="814"/>
      <c r="WQC241" s="813"/>
      <c r="WQD241" s="814"/>
      <c r="WQE241" s="813"/>
      <c r="WQF241" s="814"/>
      <c r="WQG241" s="813"/>
      <c r="WQH241" s="814"/>
      <c r="WQI241" s="813"/>
      <c r="WQJ241" s="814"/>
      <c r="WQK241" s="813"/>
      <c r="WQL241" s="814"/>
      <c r="WQM241" s="813"/>
      <c r="WQN241" s="814"/>
      <c r="WQO241" s="813"/>
      <c r="WQP241" s="814"/>
      <c r="WQQ241" s="813"/>
      <c r="WQR241" s="814"/>
      <c r="WQS241" s="813"/>
      <c r="WQT241" s="814"/>
      <c r="WQU241" s="813"/>
      <c r="WQV241" s="814"/>
      <c r="WQW241" s="813"/>
      <c r="WQX241" s="814"/>
      <c r="WQY241" s="813"/>
      <c r="WQZ241" s="814"/>
      <c r="WRA241" s="813"/>
      <c r="WRB241" s="814"/>
      <c r="WRC241" s="813"/>
      <c r="WRD241" s="814"/>
      <c r="WRE241" s="813"/>
      <c r="WRF241" s="814"/>
      <c r="WRG241" s="813"/>
      <c r="WRH241" s="814"/>
      <c r="WRI241" s="813"/>
      <c r="WRJ241" s="814"/>
      <c r="WRK241" s="813"/>
      <c r="WRL241" s="814"/>
      <c r="WRM241" s="813"/>
      <c r="WRN241" s="814"/>
      <c r="WRO241" s="813"/>
      <c r="WRP241" s="814"/>
      <c r="WRQ241" s="813"/>
      <c r="WRR241" s="814"/>
      <c r="WRS241" s="813"/>
      <c r="WRT241" s="814"/>
      <c r="WRU241" s="813"/>
      <c r="WRV241" s="814"/>
      <c r="WRW241" s="813"/>
      <c r="WRX241" s="814"/>
      <c r="WRY241" s="813"/>
      <c r="WRZ241" s="814"/>
      <c r="WSA241" s="813"/>
      <c r="WSB241" s="814"/>
      <c r="WSC241" s="813"/>
      <c r="WSD241" s="814"/>
      <c r="WSE241" s="813"/>
      <c r="WSF241" s="814"/>
      <c r="WSG241" s="813"/>
      <c r="WSH241" s="814"/>
      <c r="WSI241" s="813"/>
      <c r="WSJ241" s="814"/>
      <c r="WSK241" s="813"/>
      <c r="WSL241" s="814"/>
      <c r="WSM241" s="813"/>
      <c r="WSN241" s="814"/>
      <c r="WSO241" s="813"/>
      <c r="WSP241" s="814"/>
      <c r="WSQ241" s="813"/>
      <c r="WSR241" s="814"/>
      <c r="WSS241" s="813"/>
      <c r="WST241" s="814"/>
      <c r="WSU241" s="813"/>
      <c r="WSV241" s="814"/>
      <c r="WSW241" s="813"/>
      <c r="WSX241" s="814"/>
      <c r="WSY241" s="813"/>
      <c r="WSZ241" s="814"/>
      <c r="WTA241" s="813"/>
      <c r="WTB241" s="814"/>
      <c r="WTC241" s="813"/>
      <c r="WTD241" s="814"/>
      <c r="WTE241" s="813"/>
      <c r="WTF241" s="814"/>
      <c r="WTG241" s="813"/>
      <c r="WTH241" s="814"/>
      <c r="WTI241" s="813"/>
      <c r="WTJ241" s="814"/>
      <c r="WTK241" s="813"/>
      <c r="WTL241" s="814"/>
      <c r="WTM241" s="813"/>
      <c r="WTN241" s="814"/>
      <c r="WTO241" s="813"/>
      <c r="WTP241" s="814"/>
      <c r="WTQ241" s="813"/>
      <c r="WTR241" s="814"/>
      <c r="WTS241" s="813"/>
      <c r="WTT241" s="814"/>
      <c r="WTU241" s="813"/>
      <c r="WTV241" s="814"/>
      <c r="WTW241" s="813"/>
      <c r="WTX241" s="814"/>
      <c r="WTY241" s="813"/>
      <c r="WTZ241" s="814"/>
      <c r="WUA241" s="813"/>
      <c r="WUB241" s="814"/>
      <c r="WUC241" s="813"/>
      <c r="WUD241" s="814"/>
      <c r="WUE241" s="813"/>
      <c r="WUF241" s="814"/>
      <c r="WUG241" s="813"/>
      <c r="WUH241" s="814"/>
      <c r="WUI241" s="813"/>
      <c r="WUJ241" s="814"/>
      <c r="WUK241" s="813"/>
      <c r="WUL241" s="814"/>
      <c r="WUM241" s="813"/>
      <c r="WUN241" s="814"/>
      <c r="WUO241" s="813"/>
      <c r="WUP241" s="814"/>
      <c r="WUQ241" s="813"/>
      <c r="WUR241" s="814"/>
      <c r="WUS241" s="813"/>
      <c r="WUT241" s="814"/>
      <c r="WUU241" s="813"/>
      <c r="WUV241" s="814"/>
      <c r="WUW241" s="813"/>
      <c r="WUX241" s="814"/>
      <c r="WUY241" s="813"/>
      <c r="WUZ241" s="814"/>
      <c r="WVA241" s="813"/>
      <c r="WVB241" s="814"/>
      <c r="WVC241" s="813"/>
      <c r="WVD241" s="814"/>
      <c r="WVE241" s="813"/>
      <c r="WVF241" s="814"/>
      <c r="WVG241" s="813"/>
      <c r="WVH241" s="814"/>
      <c r="WVI241" s="813"/>
      <c r="WVJ241" s="814"/>
      <c r="WVK241" s="813"/>
      <c r="WVL241" s="814"/>
      <c r="WVM241" s="813"/>
      <c r="WVN241" s="814"/>
      <c r="WVO241" s="813"/>
      <c r="WVP241" s="814"/>
      <c r="WVQ241" s="813"/>
      <c r="WVR241" s="814"/>
      <c r="WVS241" s="813"/>
      <c r="WVT241" s="814"/>
      <c r="WVU241" s="813"/>
      <c r="WVV241" s="814"/>
      <c r="WVW241" s="813"/>
      <c r="WVX241" s="814"/>
      <c r="WVY241" s="813"/>
      <c r="WVZ241" s="814"/>
      <c r="WWA241" s="813"/>
      <c r="WWB241" s="814"/>
      <c r="WWC241" s="813"/>
      <c r="WWD241" s="814"/>
      <c r="WWE241" s="813"/>
      <c r="WWF241" s="814"/>
      <c r="WWG241" s="813"/>
      <c r="WWH241" s="814"/>
      <c r="WWI241" s="813"/>
      <c r="WWJ241" s="814"/>
      <c r="WWK241" s="813"/>
      <c r="WWL241" s="814"/>
      <c r="WWM241" s="813"/>
      <c r="WWN241" s="814"/>
      <c r="WWO241" s="813"/>
      <c r="WWP241" s="814"/>
      <c r="WWQ241" s="813"/>
      <c r="WWR241" s="814"/>
      <c r="WWS241" s="813"/>
      <c r="WWT241" s="814"/>
      <c r="WWU241" s="813"/>
      <c r="WWV241" s="814"/>
      <c r="WWW241" s="813"/>
      <c r="WWX241" s="814"/>
      <c r="WWY241" s="813"/>
      <c r="WWZ241" s="814"/>
      <c r="WXA241" s="813"/>
      <c r="WXB241" s="814"/>
      <c r="WXC241" s="813"/>
      <c r="WXD241" s="814"/>
      <c r="WXE241" s="813"/>
      <c r="WXF241" s="814"/>
      <c r="WXG241" s="813"/>
      <c r="WXH241" s="814"/>
      <c r="WXI241" s="813"/>
      <c r="WXJ241" s="814"/>
      <c r="WXK241" s="813"/>
      <c r="WXL241" s="814"/>
      <c r="WXM241" s="813"/>
      <c r="WXN241" s="814"/>
      <c r="WXO241" s="813"/>
      <c r="WXP241" s="814"/>
      <c r="WXQ241" s="813"/>
      <c r="WXR241" s="814"/>
      <c r="WXS241" s="813"/>
      <c r="WXT241" s="814"/>
      <c r="WXU241" s="813"/>
      <c r="WXV241" s="814"/>
      <c r="WXW241" s="813"/>
      <c r="WXX241" s="814"/>
      <c r="WXY241" s="813"/>
      <c r="WXZ241" s="814"/>
      <c r="WYA241" s="813"/>
      <c r="WYB241" s="814"/>
      <c r="WYC241" s="813"/>
      <c r="WYD241" s="814"/>
      <c r="WYE241" s="813"/>
      <c r="WYF241" s="814"/>
      <c r="WYG241" s="813"/>
      <c r="WYH241" s="814"/>
      <c r="WYI241" s="813"/>
      <c r="WYJ241" s="814"/>
      <c r="WYK241" s="813"/>
      <c r="WYL241" s="814"/>
      <c r="WYM241" s="813"/>
      <c r="WYN241" s="814"/>
      <c r="WYO241" s="813"/>
      <c r="WYP241" s="814"/>
      <c r="WYQ241" s="813"/>
      <c r="WYR241" s="814"/>
      <c r="WYS241" s="813"/>
      <c r="WYT241" s="814"/>
      <c r="WYU241" s="813"/>
      <c r="WYV241" s="814"/>
      <c r="WYW241" s="813"/>
      <c r="WYX241" s="814"/>
      <c r="WYY241" s="813"/>
      <c r="WYZ241" s="814"/>
      <c r="WZA241" s="813"/>
      <c r="WZB241" s="814"/>
      <c r="WZC241" s="813"/>
      <c r="WZD241" s="814"/>
      <c r="WZE241" s="813"/>
      <c r="WZF241" s="814"/>
      <c r="WZG241" s="813"/>
      <c r="WZH241" s="814"/>
      <c r="WZI241" s="813"/>
      <c r="WZJ241" s="814"/>
      <c r="WZK241" s="813"/>
      <c r="WZL241" s="814"/>
      <c r="WZM241" s="813"/>
      <c r="WZN241" s="814"/>
      <c r="WZO241" s="813"/>
      <c r="WZP241" s="814"/>
      <c r="WZQ241" s="813"/>
      <c r="WZR241" s="814"/>
      <c r="WZS241" s="813"/>
      <c r="WZT241" s="814"/>
      <c r="WZU241" s="813"/>
      <c r="WZV241" s="814"/>
      <c r="WZW241" s="813"/>
      <c r="WZX241" s="814"/>
      <c r="WZY241" s="813"/>
      <c r="WZZ241" s="814"/>
      <c r="XAA241" s="813"/>
      <c r="XAB241" s="814"/>
      <c r="XAC241" s="813"/>
      <c r="XAD241" s="814"/>
      <c r="XAE241" s="813"/>
      <c r="XAF241" s="814"/>
      <c r="XAG241" s="813"/>
      <c r="XAH241" s="814"/>
      <c r="XAI241" s="813"/>
      <c r="XAJ241" s="814"/>
      <c r="XAK241" s="813"/>
      <c r="XAL241" s="814"/>
      <c r="XAM241" s="813"/>
      <c r="XAN241" s="814"/>
      <c r="XAO241" s="813"/>
      <c r="XAP241" s="814"/>
      <c r="XAQ241" s="813"/>
      <c r="XAR241" s="814"/>
      <c r="XAS241" s="813"/>
      <c r="XAT241" s="814"/>
      <c r="XAU241" s="813"/>
      <c r="XAV241" s="814"/>
      <c r="XAW241" s="813"/>
      <c r="XAX241" s="814"/>
      <c r="XAY241" s="813"/>
      <c r="XAZ241" s="814"/>
      <c r="XBA241" s="813"/>
      <c r="XBB241" s="814"/>
      <c r="XBC241" s="813"/>
      <c r="XBD241" s="814"/>
      <c r="XBE241" s="813"/>
      <c r="XBF241" s="814"/>
      <c r="XBG241" s="813"/>
      <c r="XBH241" s="814"/>
      <c r="XBI241" s="813"/>
      <c r="XBJ241" s="814"/>
      <c r="XBK241" s="813"/>
      <c r="XBL241" s="814"/>
      <c r="XBM241" s="813"/>
      <c r="XBN241" s="814"/>
      <c r="XBO241" s="813"/>
      <c r="XBP241" s="814"/>
      <c r="XBQ241" s="813"/>
      <c r="XBR241" s="814"/>
      <c r="XBS241" s="813"/>
      <c r="XBT241" s="814"/>
      <c r="XBU241" s="813"/>
      <c r="XBV241" s="814"/>
      <c r="XBW241" s="813"/>
      <c r="XBX241" s="814"/>
      <c r="XBY241" s="813"/>
      <c r="XBZ241" s="814"/>
      <c r="XCA241" s="813"/>
      <c r="XCB241" s="814"/>
      <c r="XCC241" s="813"/>
      <c r="XCD241" s="814"/>
      <c r="XCE241" s="813"/>
      <c r="XCF241" s="814"/>
      <c r="XCG241" s="813"/>
      <c r="XCH241" s="814"/>
      <c r="XCI241" s="813"/>
      <c r="XCJ241" s="814"/>
      <c r="XCK241" s="813"/>
      <c r="XCL241" s="814"/>
      <c r="XCM241" s="813"/>
      <c r="XCN241" s="814"/>
      <c r="XCO241" s="813"/>
      <c r="XCP241" s="814"/>
      <c r="XCQ241" s="813"/>
      <c r="XCR241" s="814"/>
      <c r="XCS241" s="813"/>
      <c r="XCT241" s="814"/>
      <c r="XCU241" s="813"/>
      <c r="XCV241" s="814"/>
      <c r="XCW241" s="813"/>
      <c r="XCX241" s="814"/>
      <c r="XCY241" s="813"/>
      <c r="XCZ241" s="814"/>
      <c r="XDA241" s="813"/>
      <c r="XDB241" s="814"/>
      <c r="XDC241" s="813"/>
      <c r="XDD241" s="814"/>
      <c r="XDE241" s="813"/>
      <c r="XDF241" s="814"/>
      <c r="XDG241" s="813"/>
      <c r="XDH241" s="814"/>
      <c r="XDI241" s="813"/>
      <c r="XDJ241" s="814"/>
      <c r="XDK241" s="813"/>
      <c r="XDL241" s="814"/>
      <c r="XDM241" s="813"/>
      <c r="XDN241" s="814"/>
      <c r="XDO241" s="813"/>
      <c r="XDP241" s="814"/>
      <c r="XDQ241" s="813"/>
      <c r="XDR241" s="814"/>
      <c r="XDS241" s="813"/>
      <c r="XDT241" s="814"/>
      <c r="XDU241" s="813"/>
      <c r="XDV241" s="814"/>
      <c r="XDW241" s="813"/>
      <c r="XDX241" s="814"/>
      <c r="XDY241" s="813"/>
      <c r="XDZ241" s="814"/>
      <c r="XEA241" s="813"/>
      <c r="XEB241" s="814"/>
      <c r="XEC241" s="813"/>
      <c r="XED241" s="814"/>
      <c r="XEE241" s="813"/>
      <c r="XEF241" s="814"/>
      <c r="XEG241" s="813"/>
      <c r="XEH241" s="814"/>
      <c r="XEI241" s="813"/>
      <c r="XEJ241" s="814"/>
      <c r="XEK241" s="813"/>
      <c r="XEL241" s="814"/>
      <c r="XEM241" s="813"/>
      <c r="XEN241" s="814"/>
      <c r="XEO241" s="813"/>
      <c r="XEP241" s="814"/>
      <c r="XEQ241" s="813"/>
      <c r="XER241" s="814"/>
      <c r="XES241" s="813"/>
      <c r="XET241" s="814"/>
      <c r="XEU241" s="813"/>
      <c r="XEV241" s="814"/>
      <c r="XEW241" s="813"/>
      <c r="XEX241" s="814"/>
      <c r="XEY241" s="813"/>
      <c r="XEZ241" s="814"/>
      <c r="XFA241" s="813"/>
      <c r="XFB241" s="814"/>
      <c r="XFC241" s="813"/>
      <c r="XFD241" s="814"/>
    </row>
    <row r="242" spans="1:16384" x14ac:dyDescent="0.25">
      <c r="A242" s="829">
        <v>92511</v>
      </c>
      <c r="B242" s="829" t="s">
        <v>2781</v>
      </c>
      <c r="C242" s="852">
        <v>1640990.82</v>
      </c>
    </row>
    <row r="243" spans="1:16384" x14ac:dyDescent="0.25">
      <c r="A243" s="829">
        <v>92513</v>
      </c>
      <c r="B243" s="829" t="s">
        <v>2782</v>
      </c>
      <c r="C243" s="852">
        <v>1761601.36</v>
      </c>
    </row>
    <row r="244" spans="1:16384" x14ac:dyDescent="0.25">
      <c r="A244" s="829">
        <v>92521</v>
      </c>
      <c r="B244" s="829" t="s">
        <v>2783</v>
      </c>
      <c r="C244" s="852">
        <v>40372.620000000003</v>
      </c>
    </row>
    <row r="245" spans="1:16384" x14ac:dyDescent="0.25">
      <c r="A245" s="829">
        <v>92531</v>
      </c>
      <c r="B245" s="829" t="s">
        <v>2784</v>
      </c>
      <c r="C245" s="852">
        <v>370926.78</v>
      </c>
    </row>
    <row r="246" spans="1:16384" x14ac:dyDescent="0.25">
      <c r="A246" s="829">
        <v>92541</v>
      </c>
      <c r="B246" s="829" t="s">
        <v>2785</v>
      </c>
      <c r="C246" s="852">
        <v>60143.35</v>
      </c>
    </row>
    <row r="247" spans="1:16384" x14ac:dyDescent="0.25">
      <c r="A247" s="829">
        <v>92551</v>
      </c>
      <c r="B247" s="829" t="s">
        <v>2786</v>
      </c>
      <c r="C247" s="852">
        <v>21253.67</v>
      </c>
    </row>
    <row r="248" spans="1:16384" x14ac:dyDescent="0.25">
      <c r="A248" s="829">
        <v>92561</v>
      </c>
      <c r="B248" s="829" t="s">
        <v>2787</v>
      </c>
      <c r="C248" s="852">
        <v>11018.5</v>
      </c>
    </row>
    <row r="249" spans="1:16384" x14ac:dyDescent="0.25">
      <c r="A249" s="829">
        <v>92571</v>
      </c>
      <c r="B249" s="829" t="s">
        <v>2788</v>
      </c>
      <c r="C249" s="852">
        <v>7102.1</v>
      </c>
    </row>
    <row r="250" spans="1:16384" x14ac:dyDescent="0.25">
      <c r="A250" s="829">
        <v>92601</v>
      </c>
      <c r="B250" s="829" t="s">
        <v>2789</v>
      </c>
      <c r="C250" s="852">
        <v>6697593.5300000003</v>
      </c>
    </row>
    <row r="251" spans="1:16384" x14ac:dyDescent="0.25">
      <c r="A251" s="829">
        <v>92602</v>
      </c>
      <c r="B251" s="829" t="s">
        <v>2790</v>
      </c>
      <c r="C251" s="852">
        <v>2450.3200000000002</v>
      </c>
    </row>
    <row r="252" spans="1:16384" x14ac:dyDescent="0.25">
      <c r="A252" s="829">
        <v>92604</v>
      </c>
      <c r="B252" s="829" t="s">
        <v>2791</v>
      </c>
      <c r="C252" s="852">
        <v>193974.42</v>
      </c>
    </row>
    <row r="253" spans="1:16384" x14ac:dyDescent="0.25">
      <c r="A253" s="829">
        <v>92607</v>
      </c>
      <c r="B253" s="829" t="s">
        <v>2792</v>
      </c>
      <c r="C253" s="852">
        <v>40699.43</v>
      </c>
    </row>
    <row r="254" spans="1:16384" x14ac:dyDescent="0.25">
      <c r="A254" s="829">
        <v>92611</v>
      </c>
      <c r="B254" s="829" t="s">
        <v>2794</v>
      </c>
      <c r="C254" s="852">
        <v>5875981.5</v>
      </c>
    </row>
    <row r="255" spans="1:16384" x14ac:dyDescent="0.25">
      <c r="A255" s="829">
        <v>92613</v>
      </c>
      <c r="B255" s="829" t="s">
        <v>2795</v>
      </c>
      <c r="C255" s="852">
        <v>139518.66</v>
      </c>
    </row>
    <row r="256" spans="1:16384" x14ac:dyDescent="0.25">
      <c r="A256" s="829">
        <v>92614</v>
      </c>
      <c r="B256" s="829" t="s">
        <v>2796</v>
      </c>
      <c r="C256" s="852">
        <v>4938040.5999999996</v>
      </c>
    </row>
    <row r="257" spans="1:3" x14ac:dyDescent="0.25">
      <c r="A257" s="829">
        <v>92621</v>
      </c>
      <c r="B257" s="829" t="s">
        <v>2797</v>
      </c>
      <c r="C257" s="852">
        <v>13553.42</v>
      </c>
    </row>
    <row r="258" spans="1:3" x14ac:dyDescent="0.25">
      <c r="A258" s="829">
        <v>92631</v>
      </c>
      <c r="B258" s="829" t="s">
        <v>2798</v>
      </c>
      <c r="C258" s="852">
        <v>416152.81</v>
      </c>
    </row>
    <row r="259" spans="1:3" x14ac:dyDescent="0.25">
      <c r="A259" s="829">
        <v>92641</v>
      </c>
      <c r="B259" s="829" t="s">
        <v>2799</v>
      </c>
      <c r="C259" s="852">
        <v>6991.68</v>
      </c>
    </row>
    <row r="260" spans="1:3" x14ac:dyDescent="0.25">
      <c r="A260" s="829">
        <v>92651</v>
      </c>
      <c r="B260" s="829" t="s">
        <v>2800</v>
      </c>
      <c r="C260" s="852">
        <v>2540.58</v>
      </c>
    </row>
    <row r="261" spans="1:3" x14ac:dyDescent="0.25">
      <c r="A261" s="829">
        <v>92661</v>
      </c>
      <c r="B261" s="829" t="s">
        <v>2801</v>
      </c>
      <c r="C261" s="852">
        <v>546521.55000000005</v>
      </c>
    </row>
    <row r="262" spans="1:3" x14ac:dyDescent="0.25">
      <c r="A262" s="829">
        <v>92671</v>
      </c>
      <c r="B262" s="829" t="s">
        <v>2802</v>
      </c>
      <c r="C262" s="852">
        <v>5417.05</v>
      </c>
    </row>
    <row r="263" spans="1:3" x14ac:dyDescent="0.25">
      <c r="A263" s="829">
        <v>92681</v>
      </c>
      <c r="B263" s="829" t="s">
        <v>2803</v>
      </c>
      <c r="C263" s="852">
        <v>12159.02</v>
      </c>
    </row>
    <row r="264" spans="1:3" x14ac:dyDescent="0.25">
      <c r="A264" s="829">
        <v>92701</v>
      </c>
      <c r="B264" s="829" t="s">
        <v>2804</v>
      </c>
      <c r="C264" s="852">
        <v>1394893.77</v>
      </c>
    </row>
    <row r="265" spans="1:3" x14ac:dyDescent="0.25">
      <c r="A265" s="829">
        <v>92704</v>
      </c>
      <c r="B265" s="829" t="s">
        <v>2805</v>
      </c>
      <c r="C265" s="852">
        <v>19607.259999999998</v>
      </c>
    </row>
    <row r="266" spans="1:3" x14ac:dyDescent="0.25">
      <c r="A266" s="829">
        <v>92801</v>
      </c>
      <c r="B266" s="829" t="s">
        <v>2806</v>
      </c>
      <c r="C266" s="852">
        <v>2645230.56</v>
      </c>
    </row>
    <row r="267" spans="1:3" x14ac:dyDescent="0.25">
      <c r="A267" s="829">
        <v>92802</v>
      </c>
      <c r="B267" s="829" t="s">
        <v>2807</v>
      </c>
      <c r="C267" s="852">
        <v>57706.16</v>
      </c>
    </row>
    <row r="268" spans="1:3" x14ac:dyDescent="0.25">
      <c r="A268" s="829">
        <v>92804</v>
      </c>
      <c r="B268" s="829" t="s">
        <v>2808</v>
      </c>
      <c r="C268" s="852">
        <v>66559.11</v>
      </c>
    </row>
    <row r="269" spans="1:3" x14ac:dyDescent="0.25">
      <c r="A269" s="829">
        <v>92811</v>
      </c>
      <c r="B269" s="829" t="s">
        <v>2809</v>
      </c>
      <c r="C269" s="852">
        <v>479568.67</v>
      </c>
    </row>
    <row r="270" spans="1:3" x14ac:dyDescent="0.25">
      <c r="A270" s="829">
        <v>92821</v>
      </c>
      <c r="B270" s="829" t="s">
        <v>2810</v>
      </c>
      <c r="C270" s="852">
        <v>501804.14</v>
      </c>
    </row>
    <row r="271" spans="1:3" x14ac:dyDescent="0.25">
      <c r="A271" s="829">
        <v>92831</v>
      </c>
      <c r="B271" s="829" t="s">
        <v>2811</v>
      </c>
      <c r="C271" s="852">
        <v>134107.66</v>
      </c>
    </row>
    <row r="272" spans="1:3" x14ac:dyDescent="0.25">
      <c r="A272" s="829">
        <v>92841</v>
      </c>
      <c r="B272" s="829" t="s">
        <v>2812</v>
      </c>
      <c r="C272" s="852">
        <v>125072.28</v>
      </c>
    </row>
    <row r="273" spans="1:3" x14ac:dyDescent="0.25">
      <c r="A273" s="829">
        <v>92851</v>
      </c>
      <c r="B273" s="829" t="s">
        <v>2813</v>
      </c>
      <c r="C273" s="852">
        <v>192126.16</v>
      </c>
    </row>
    <row r="274" spans="1:3" x14ac:dyDescent="0.25">
      <c r="A274" s="829">
        <v>92861</v>
      </c>
      <c r="B274" s="829" t="s">
        <v>2814</v>
      </c>
      <c r="C274" s="852">
        <v>135764.57</v>
      </c>
    </row>
    <row r="275" spans="1:3" x14ac:dyDescent="0.25">
      <c r="A275" s="829">
        <v>92901</v>
      </c>
      <c r="B275" s="829" t="s">
        <v>2815</v>
      </c>
      <c r="C275" s="852">
        <v>2725234.28</v>
      </c>
    </row>
    <row r="276" spans="1:3" x14ac:dyDescent="0.25">
      <c r="A276" s="829">
        <v>92911</v>
      </c>
      <c r="B276" s="829" t="s">
        <v>2816</v>
      </c>
      <c r="C276" s="852">
        <v>988074.59</v>
      </c>
    </row>
    <row r="277" spans="1:3" x14ac:dyDescent="0.25">
      <c r="A277" s="829">
        <v>92913</v>
      </c>
      <c r="B277" s="829" t="s">
        <v>2817</v>
      </c>
      <c r="C277" s="852">
        <v>56980.31</v>
      </c>
    </row>
    <row r="278" spans="1:3" x14ac:dyDescent="0.25">
      <c r="A278" s="829">
        <v>92914</v>
      </c>
      <c r="B278" s="829" t="s">
        <v>3553</v>
      </c>
      <c r="C278" s="852">
        <v>14201.86</v>
      </c>
    </row>
    <row r="279" spans="1:3" x14ac:dyDescent="0.25">
      <c r="A279" s="829">
        <v>92917</v>
      </c>
      <c r="B279" s="829" t="s">
        <v>2818</v>
      </c>
      <c r="C279" s="852">
        <v>16093.97</v>
      </c>
    </row>
    <row r="280" spans="1:3" x14ac:dyDescent="0.25">
      <c r="A280" s="829">
        <v>92921</v>
      </c>
      <c r="B280" s="829" t="s">
        <v>2819</v>
      </c>
      <c r="C280" s="852">
        <v>47485.89</v>
      </c>
    </row>
    <row r="281" spans="1:3" x14ac:dyDescent="0.25">
      <c r="A281" s="829">
        <v>92931</v>
      </c>
      <c r="B281" s="829" t="s">
        <v>2820</v>
      </c>
      <c r="C281" s="852">
        <v>1185078.8799999999</v>
      </c>
    </row>
    <row r="282" spans="1:3" x14ac:dyDescent="0.25">
      <c r="A282" s="829">
        <v>92941</v>
      </c>
      <c r="B282" s="829" t="s">
        <v>1420</v>
      </c>
      <c r="C282" s="852">
        <v>5800.37</v>
      </c>
    </row>
    <row r="283" spans="1:3" x14ac:dyDescent="0.25">
      <c r="A283" s="829">
        <v>93001</v>
      </c>
      <c r="B283" s="829" t="s">
        <v>2821</v>
      </c>
      <c r="C283" s="852">
        <v>1079124.3999999999</v>
      </c>
    </row>
    <row r="284" spans="1:3" x14ac:dyDescent="0.25">
      <c r="A284" s="829">
        <v>93009</v>
      </c>
      <c r="B284" s="829" t="s">
        <v>2822</v>
      </c>
      <c r="C284" s="852">
        <v>5770.45</v>
      </c>
    </row>
    <row r="285" spans="1:3" s="829" customFormat="1" x14ac:dyDescent="0.25">
      <c r="A285" s="829">
        <v>93011</v>
      </c>
      <c r="B285" s="829" t="s">
        <v>2823</v>
      </c>
      <c r="C285" s="852">
        <v>154957.62</v>
      </c>
    </row>
    <row r="286" spans="1:3" x14ac:dyDescent="0.25">
      <c r="A286" s="829">
        <v>93021</v>
      </c>
      <c r="B286" s="829" t="s">
        <v>2824</v>
      </c>
      <c r="C286" s="852">
        <v>13963.15</v>
      </c>
    </row>
    <row r="287" spans="1:3" x14ac:dyDescent="0.25">
      <c r="A287" s="829">
        <v>93027</v>
      </c>
      <c r="B287" s="829" t="s">
        <v>2825</v>
      </c>
      <c r="C287" s="852">
        <v>6210.89</v>
      </c>
    </row>
    <row r="288" spans="1:3" x14ac:dyDescent="0.25">
      <c r="A288" s="829">
        <v>93031</v>
      </c>
      <c r="B288" s="829" t="s">
        <v>2826</v>
      </c>
      <c r="C288" s="852">
        <v>23728.55</v>
      </c>
    </row>
    <row r="289" spans="1:3" x14ac:dyDescent="0.25">
      <c r="A289" s="829">
        <v>93101</v>
      </c>
      <c r="B289" s="829" t="s">
        <v>2827</v>
      </c>
      <c r="C289" s="852">
        <v>1558580.7</v>
      </c>
    </row>
    <row r="290" spans="1:3" x14ac:dyDescent="0.25">
      <c r="A290" s="829">
        <v>93103</v>
      </c>
      <c r="B290" s="829" t="s">
        <v>2096</v>
      </c>
      <c r="C290" s="852">
        <v>6012.16</v>
      </c>
    </row>
    <row r="291" spans="1:3" x14ac:dyDescent="0.25">
      <c r="A291" s="829">
        <v>93108</v>
      </c>
      <c r="B291" s="829" t="s">
        <v>2828</v>
      </c>
      <c r="C291" s="852">
        <v>1177629.3799999999</v>
      </c>
    </row>
    <row r="292" spans="1:3" x14ac:dyDescent="0.25">
      <c r="A292" s="829">
        <v>93111</v>
      </c>
      <c r="B292" s="829" t="s">
        <v>2829</v>
      </c>
      <c r="C292" s="852">
        <v>28174.57</v>
      </c>
    </row>
    <row r="293" spans="1:3" x14ac:dyDescent="0.25">
      <c r="A293" s="829">
        <v>93121</v>
      </c>
      <c r="B293" s="829" t="s">
        <v>2830</v>
      </c>
      <c r="C293" s="852">
        <v>31032.58</v>
      </c>
    </row>
    <row r="294" spans="1:3" x14ac:dyDescent="0.25">
      <c r="A294" s="829">
        <v>93127</v>
      </c>
      <c r="B294" s="829" t="s">
        <v>2831</v>
      </c>
      <c r="C294" s="852">
        <v>3229.76</v>
      </c>
    </row>
    <row r="295" spans="1:3" x14ac:dyDescent="0.25">
      <c r="A295" s="829">
        <v>93131</v>
      </c>
      <c r="B295" s="829" t="s">
        <v>2832</v>
      </c>
      <c r="C295" s="852">
        <v>93827.23</v>
      </c>
    </row>
    <row r="296" spans="1:3" x14ac:dyDescent="0.25">
      <c r="A296" s="829">
        <v>93137</v>
      </c>
      <c r="B296" s="829" t="s">
        <v>2833</v>
      </c>
      <c r="C296" s="852">
        <v>2953.43</v>
      </c>
    </row>
    <row r="297" spans="1:3" x14ac:dyDescent="0.25">
      <c r="A297" s="829">
        <v>93141</v>
      </c>
      <c r="B297" s="829" t="s">
        <v>2834</v>
      </c>
      <c r="C297" s="852">
        <v>16087.87</v>
      </c>
    </row>
    <row r="298" spans="1:3" x14ac:dyDescent="0.25">
      <c r="A298" s="829">
        <v>93151</v>
      </c>
      <c r="B298" s="829" t="s">
        <v>2835</v>
      </c>
      <c r="C298" s="852">
        <v>160775.82</v>
      </c>
    </row>
    <row r="299" spans="1:3" x14ac:dyDescent="0.25">
      <c r="A299" s="829">
        <v>93157</v>
      </c>
      <c r="B299" s="829" t="s">
        <v>2836</v>
      </c>
      <c r="C299" s="852">
        <v>6823.32</v>
      </c>
    </row>
    <row r="300" spans="1:3" x14ac:dyDescent="0.25">
      <c r="A300" s="829">
        <v>93161</v>
      </c>
      <c r="B300" s="829" t="s">
        <v>2837</v>
      </c>
      <c r="C300" s="852">
        <v>51773.47</v>
      </c>
    </row>
    <row r="301" spans="1:3" x14ac:dyDescent="0.25">
      <c r="A301" s="829">
        <v>93171</v>
      </c>
      <c r="B301" s="829" t="s">
        <v>2838</v>
      </c>
      <c r="C301" s="852">
        <v>2322.04</v>
      </c>
    </row>
    <row r="302" spans="1:3" x14ac:dyDescent="0.25">
      <c r="A302" s="829">
        <v>93181</v>
      </c>
      <c r="B302" s="829" t="s">
        <v>2839</v>
      </c>
      <c r="C302" s="852">
        <v>5787.31</v>
      </c>
    </row>
    <row r="303" spans="1:3" x14ac:dyDescent="0.25">
      <c r="A303" s="829">
        <v>93191</v>
      </c>
      <c r="B303" s="829" t="s">
        <v>2840</v>
      </c>
      <c r="C303" s="852">
        <v>16585.349999999999</v>
      </c>
    </row>
    <row r="304" spans="1:3" x14ac:dyDescent="0.25">
      <c r="A304" s="829">
        <v>93201</v>
      </c>
      <c r="B304" s="829" t="s">
        <v>2841</v>
      </c>
      <c r="C304" s="852">
        <v>7788677.8200000003</v>
      </c>
    </row>
    <row r="305" spans="1:3" x14ac:dyDescent="0.25">
      <c r="A305" s="829">
        <v>93204</v>
      </c>
      <c r="B305" s="829" t="s">
        <v>2843</v>
      </c>
      <c r="C305" s="852">
        <v>169803.69</v>
      </c>
    </row>
    <row r="306" spans="1:3" x14ac:dyDescent="0.25">
      <c r="A306" s="829">
        <v>93209</v>
      </c>
      <c r="B306" s="829" t="s">
        <v>2844</v>
      </c>
      <c r="C306" s="852">
        <v>2328064.71</v>
      </c>
    </row>
    <row r="307" spans="1:3" x14ac:dyDescent="0.25">
      <c r="A307" s="829">
        <v>93211</v>
      </c>
      <c r="B307" s="829" t="s">
        <v>2845</v>
      </c>
      <c r="C307" s="852">
        <v>10204404.300000001</v>
      </c>
    </row>
    <row r="308" spans="1:3" x14ac:dyDescent="0.25">
      <c r="A308" s="829">
        <v>93212</v>
      </c>
      <c r="B308" s="829" t="s">
        <v>2846</v>
      </c>
      <c r="C308" s="852">
        <v>244862.24</v>
      </c>
    </row>
    <row r="309" spans="1:3" x14ac:dyDescent="0.25">
      <c r="A309" s="829">
        <v>93219</v>
      </c>
      <c r="B309" s="829" t="s">
        <v>2847</v>
      </c>
      <c r="C309" s="852">
        <v>129471.25</v>
      </c>
    </row>
    <row r="310" spans="1:3" x14ac:dyDescent="0.25">
      <c r="A310" s="829">
        <v>93301</v>
      </c>
      <c r="B310" s="829" t="s">
        <v>2848</v>
      </c>
      <c r="C310" s="852">
        <v>1097553.08</v>
      </c>
    </row>
    <row r="311" spans="1:3" x14ac:dyDescent="0.25">
      <c r="A311" s="829">
        <v>93304</v>
      </c>
      <c r="B311" s="829" t="s">
        <v>2849</v>
      </c>
      <c r="C311" s="852">
        <v>20870.68</v>
      </c>
    </row>
    <row r="312" spans="1:3" x14ac:dyDescent="0.25">
      <c r="A312" s="829">
        <v>93305</v>
      </c>
      <c r="B312" s="829" t="s">
        <v>2850</v>
      </c>
      <c r="C312" s="852">
        <v>20942.88</v>
      </c>
    </row>
    <row r="313" spans="1:3" x14ac:dyDescent="0.25">
      <c r="A313" s="829">
        <v>93309</v>
      </c>
      <c r="B313" s="829" t="s">
        <v>2851</v>
      </c>
      <c r="C313" s="852">
        <v>99537.62</v>
      </c>
    </row>
    <row r="314" spans="1:3" x14ac:dyDescent="0.25">
      <c r="A314" s="829">
        <v>93311</v>
      </c>
      <c r="B314" s="829" t="s">
        <v>2852</v>
      </c>
      <c r="C314" s="852">
        <v>566417.26</v>
      </c>
    </row>
    <row r="315" spans="1:3" x14ac:dyDescent="0.25">
      <c r="A315" s="829">
        <v>93317</v>
      </c>
      <c r="B315" s="829" t="s">
        <v>2853</v>
      </c>
      <c r="C315" s="852">
        <v>21797.59</v>
      </c>
    </row>
    <row r="316" spans="1:3" x14ac:dyDescent="0.25">
      <c r="A316" s="829">
        <v>93321</v>
      </c>
      <c r="B316" s="829" t="s">
        <v>2854</v>
      </c>
      <c r="C316" s="852">
        <v>3382414.96</v>
      </c>
    </row>
    <row r="317" spans="1:3" x14ac:dyDescent="0.25">
      <c r="A317" s="829">
        <v>93323</v>
      </c>
      <c r="B317" s="829" t="s">
        <v>2855</v>
      </c>
      <c r="C317" s="852">
        <v>9435.43</v>
      </c>
    </row>
    <row r="318" spans="1:3" x14ac:dyDescent="0.25">
      <c r="A318" s="829">
        <v>93331</v>
      </c>
      <c r="B318" s="829" t="s">
        <v>2856</v>
      </c>
      <c r="C318" s="852">
        <v>65250.99</v>
      </c>
    </row>
    <row r="319" spans="1:3" x14ac:dyDescent="0.25">
      <c r="A319" s="829">
        <v>93333</v>
      </c>
      <c r="B319" s="829" t="s">
        <v>2857</v>
      </c>
      <c r="C319" s="852">
        <v>102856.65</v>
      </c>
    </row>
    <row r="320" spans="1:3" x14ac:dyDescent="0.25">
      <c r="A320" s="829">
        <v>93341</v>
      </c>
      <c r="B320" s="829" t="s">
        <v>2858</v>
      </c>
      <c r="C320" s="852">
        <v>14255.5</v>
      </c>
    </row>
    <row r="321" spans="1:3" x14ac:dyDescent="0.25">
      <c r="A321" s="829">
        <v>93351</v>
      </c>
      <c r="B321" s="829" t="s">
        <v>2859</v>
      </c>
      <c r="C321" s="852">
        <v>9872.36</v>
      </c>
    </row>
    <row r="322" spans="1:3" x14ac:dyDescent="0.25">
      <c r="A322" s="829">
        <v>93401</v>
      </c>
      <c r="B322" s="829" t="s">
        <v>2860</v>
      </c>
      <c r="C322" s="852">
        <v>6853482.3899999997</v>
      </c>
    </row>
    <row r="323" spans="1:3" x14ac:dyDescent="0.25">
      <c r="A323" s="829">
        <v>93402</v>
      </c>
      <c r="B323" s="829" t="s">
        <v>2861</v>
      </c>
      <c r="C323" s="852">
        <v>39484.559999999998</v>
      </c>
    </row>
    <row r="324" spans="1:3" x14ac:dyDescent="0.25">
      <c r="A324" s="829">
        <v>93406</v>
      </c>
      <c r="B324" s="829" t="s">
        <v>2862</v>
      </c>
      <c r="C324" s="852">
        <v>258772.74</v>
      </c>
    </row>
    <row r="325" spans="1:3" x14ac:dyDescent="0.25">
      <c r="A325" s="829">
        <v>93411</v>
      </c>
      <c r="B325" s="829" t="s">
        <v>2864</v>
      </c>
      <c r="C325" s="852">
        <v>8965258.6500000004</v>
      </c>
    </row>
    <row r="326" spans="1:3" x14ac:dyDescent="0.25">
      <c r="A326" s="829">
        <v>93413</v>
      </c>
      <c r="B326" s="829" t="s">
        <v>2865</v>
      </c>
      <c r="C326" s="852">
        <v>379792.76</v>
      </c>
    </row>
    <row r="327" spans="1:3" x14ac:dyDescent="0.25">
      <c r="A327" s="829">
        <v>93417</v>
      </c>
      <c r="B327" s="829" t="s">
        <v>2866</v>
      </c>
      <c r="C327" s="852">
        <v>186966.17</v>
      </c>
    </row>
    <row r="328" spans="1:3" x14ac:dyDescent="0.25">
      <c r="A328" s="829">
        <v>93421</v>
      </c>
      <c r="B328" s="829" t="s">
        <v>2867</v>
      </c>
      <c r="C328" s="852">
        <v>954135.29</v>
      </c>
    </row>
    <row r="329" spans="1:3" x14ac:dyDescent="0.25">
      <c r="A329" s="829">
        <v>93431</v>
      </c>
      <c r="B329" s="829" t="s">
        <v>2868</v>
      </c>
      <c r="C329" s="852">
        <v>68106.5</v>
      </c>
    </row>
    <row r="330" spans="1:3" x14ac:dyDescent="0.25">
      <c r="A330" s="829">
        <v>93441</v>
      </c>
      <c r="B330" s="829" t="s">
        <v>2869</v>
      </c>
      <c r="C330" s="852">
        <v>78286.12</v>
      </c>
    </row>
    <row r="331" spans="1:3" x14ac:dyDescent="0.25">
      <c r="A331" s="829">
        <v>93442</v>
      </c>
      <c r="B331" s="829" t="s">
        <v>2870</v>
      </c>
      <c r="C331" s="852">
        <v>65679.22</v>
      </c>
    </row>
    <row r="332" spans="1:3" x14ac:dyDescent="0.25">
      <c r="A332" s="829">
        <v>93451</v>
      </c>
      <c r="B332" s="829" t="s">
        <v>2871</v>
      </c>
      <c r="C332" s="852">
        <v>45716</v>
      </c>
    </row>
    <row r="333" spans="1:3" x14ac:dyDescent="0.25">
      <c r="A333" s="829">
        <v>93461</v>
      </c>
      <c r="B333" s="829" t="s">
        <v>2872</v>
      </c>
      <c r="C333" s="852">
        <v>8763.84</v>
      </c>
    </row>
    <row r="334" spans="1:3" x14ac:dyDescent="0.25">
      <c r="A334" s="829">
        <v>93471</v>
      </c>
      <c r="B334" s="829" t="s">
        <v>2873</v>
      </c>
      <c r="C334" s="852">
        <v>8892.32</v>
      </c>
    </row>
    <row r="335" spans="1:3" x14ac:dyDescent="0.25">
      <c r="A335" s="829">
        <v>93501</v>
      </c>
      <c r="B335" s="829" t="s">
        <v>2874</v>
      </c>
      <c r="C335" s="852">
        <v>1804126.77</v>
      </c>
    </row>
    <row r="336" spans="1:3" x14ac:dyDescent="0.25">
      <c r="A336" s="829">
        <v>93511</v>
      </c>
      <c r="B336" s="829" t="s">
        <v>2875</v>
      </c>
      <c r="C336" s="852">
        <v>50009.62</v>
      </c>
    </row>
    <row r="337" spans="1:3" x14ac:dyDescent="0.25">
      <c r="A337" s="829">
        <v>93517</v>
      </c>
      <c r="B337" s="829" t="s">
        <v>2876</v>
      </c>
      <c r="C337" s="852">
        <v>4538.6400000000003</v>
      </c>
    </row>
    <row r="338" spans="1:3" x14ac:dyDescent="0.25">
      <c r="A338" s="829">
        <v>93521</v>
      </c>
      <c r="B338" s="829" t="s">
        <v>2877</v>
      </c>
      <c r="C338" s="852">
        <v>223246.95</v>
      </c>
    </row>
    <row r="339" spans="1:3" x14ac:dyDescent="0.25">
      <c r="A339" s="829">
        <v>93527</v>
      </c>
      <c r="B339" s="829" t="s">
        <v>2878</v>
      </c>
      <c r="C339" s="852">
        <v>11035.7</v>
      </c>
    </row>
    <row r="340" spans="1:3" x14ac:dyDescent="0.25">
      <c r="A340" s="829">
        <v>93531</v>
      </c>
      <c r="B340" s="829" t="s">
        <v>2879</v>
      </c>
      <c r="C340" s="852">
        <v>11788.28</v>
      </c>
    </row>
    <row r="341" spans="1:3" x14ac:dyDescent="0.25">
      <c r="A341" s="829">
        <v>93537</v>
      </c>
      <c r="B341" s="829" t="s">
        <v>2880</v>
      </c>
      <c r="C341" s="852">
        <v>4241.51</v>
      </c>
    </row>
    <row r="342" spans="1:3" x14ac:dyDescent="0.25">
      <c r="A342" s="829">
        <v>93541</v>
      </c>
      <c r="B342" s="829" t="s">
        <v>2881</v>
      </c>
      <c r="C342" s="852">
        <v>52146.46</v>
      </c>
    </row>
    <row r="343" spans="1:3" x14ac:dyDescent="0.25">
      <c r="A343" s="829">
        <v>93601</v>
      </c>
      <c r="B343" s="829" t="s">
        <v>2882</v>
      </c>
      <c r="C343" s="852">
        <v>5558464.96</v>
      </c>
    </row>
    <row r="344" spans="1:3" x14ac:dyDescent="0.25">
      <c r="A344" s="829">
        <v>93602</v>
      </c>
      <c r="B344" s="829" t="s">
        <v>2883</v>
      </c>
      <c r="C344" s="852">
        <v>91453.95</v>
      </c>
    </row>
    <row r="345" spans="1:3" x14ac:dyDescent="0.25">
      <c r="A345" s="829">
        <v>93604</v>
      </c>
      <c r="B345" s="829" t="s">
        <v>4099</v>
      </c>
      <c r="C345" s="852">
        <v>16372.45</v>
      </c>
    </row>
    <row r="346" spans="1:3" x14ac:dyDescent="0.25">
      <c r="A346" s="829">
        <v>93609</v>
      </c>
      <c r="B346" s="829" t="s">
        <v>2884</v>
      </c>
      <c r="C346" s="852">
        <v>1828677.91</v>
      </c>
    </row>
    <row r="347" spans="1:3" x14ac:dyDescent="0.25">
      <c r="A347" s="829">
        <v>93610</v>
      </c>
      <c r="B347" s="829" t="s">
        <v>2885</v>
      </c>
      <c r="C347" s="852">
        <v>6459.07</v>
      </c>
    </row>
    <row r="348" spans="1:3" x14ac:dyDescent="0.25">
      <c r="A348" s="829">
        <v>93611</v>
      </c>
      <c r="B348" s="829" t="s">
        <v>2886</v>
      </c>
      <c r="C348" s="852">
        <v>3375519.62</v>
      </c>
    </row>
    <row r="349" spans="1:3" x14ac:dyDescent="0.25">
      <c r="A349" s="829">
        <v>93617</v>
      </c>
      <c r="B349" s="829" t="s">
        <v>2887</v>
      </c>
      <c r="C349" s="852">
        <v>53912.52</v>
      </c>
    </row>
    <row r="350" spans="1:3" x14ac:dyDescent="0.25">
      <c r="A350" s="829">
        <v>93618</v>
      </c>
      <c r="B350" s="829" t="s">
        <v>2888</v>
      </c>
      <c r="C350" s="852">
        <v>25051.18</v>
      </c>
    </row>
    <row r="351" spans="1:3" x14ac:dyDescent="0.25">
      <c r="A351" s="829">
        <v>93621</v>
      </c>
      <c r="B351" s="829" t="s">
        <v>2889</v>
      </c>
      <c r="C351" s="852">
        <v>458650.9</v>
      </c>
    </row>
    <row r="352" spans="1:3" x14ac:dyDescent="0.25">
      <c r="A352" s="829">
        <v>93623</v>
      </c>
      <c r="B352" s="829" t="s">
        <v>2890</v>
      </c>
      <c r="C352" s="852">
        <v>8365.67</v>
      </c>
    </row>
    <row r="353" spans="1:3" x14ac:dyDescent="0.25">
      <c r="A353" s="829">
        <v>93631</v>
      </c>
      <c r="B353" s="829" t="s">
        <v>2891</v>
      </c>
      <c r="C353" s="852">
        <v>105757.28</v>
      </c>
    </row>
    <row r="354" spans="1:3" x14ac:dyDescent="0.25">
      <c r="A354" s="829">
        <v>93641</v>
      </c>
      <c r="B354" s="829" t="s">
        <v>2892</v>
      </c>
      <c r="C354" s="852">
        <v>208215.98</v>
      </c>
    </row>
    <row r="355" spans="1:3" x14ac:dyDescent="0.25">
      <c r="A355" s="829">
        <v>93647</v>
      </c>
      <c r="B355" s="829" t="s">
        <v>2893</v>
      </c>
      <c r="C355" s="852">
        <v>9827.48</v>
      </c>
    </row>
    <row r="356" spans="1:3" x14ac:dyDescent="0.25">
      <c r="A356" s="829">
        <v>93651</v>
      </c>
      <c r="B356" s="829" t="s">
        <v>2894</v>
      </c>
      <c r="C356" s="852">
        <v>203987.42</v>
      </c>
    </row>
    <row r="357" spans="1:3" x14ac:dyDescent="0.25">
      <c r="A357" s="829">
        <v>93661</v>
      </c>
      <c r="B357" s="829" t="s">
        <v>2895</v>
      </c>
      <c r="C357" s="852">
        <v>66947.61</v>
      </c>
    </row>
    <row r="358" spans="1:3" x14ac:dyDescent="0.25">
      <c r="A358" s="829">
        <v>93671</v>
      </c>
      <c r="B358" s="829" t="s">
        <v>2896</v>
      </c>
      <c r="C358" s="852">
        <v>187843.31</v>
      </c>
    </row>
    <row r="359" spans="1:3" x14ac:dyDescent="0.25">
      <c r="A359" s="829">
        <v>93681</v>
      </c>
      <c r="B359" s="829" t="s">
        <v>2897</v>
      </c>
      <c r="C359" s="852">
        <v>59051.14</v>
      </c>
    </row>
    <row r="360" spans="1:3" x14ac:dyDescent="0.25">
      <c r="A360" s="829">
        <v>93691</v>
      </c>
      <c r="B360" s="829" t="s">
        <v>2898</v>
      </c>
      <c r="C360" s="852">
        <v>498869.79</v>
      </c>
    </row>
    <row r="361" spans="1:3" x14ac:dyDescent="0.25">
      <c r="A361" s="829">
        <v>93701</v>
      </c>
      <c r="B361" s="829" t="s">
        <v>3554</v>
      </c>
      <c r="C361" s="852">
        <v>219010.73</v>
      </c>
    </row>
    <row r="362" spans="1:3" x14ac:dyDescent="0.25">
      <c r="A362" s="829">
        <v>93704</v>
      </c>
      <c r="B362" s="829" t="s">
        <v>2900</v>
      </c>
      <c r="C362" s="852">
        <v>2030.16</v>
      </c>
    </row>
    <row r="363" spans="1:3" x14ac:dyDescent="0.25">
      <c r="A363" s="829">
        <v>93801</v>
      </c>
      <c r="B363" s="829" t="s">
        <v>2901</v>
      </c>
      <c r="C363" s="852">
        <v>205695.24</v>
      </c>
    </row>
    <row r="364" spans="1:3" x14ac:dyDescent="0.25">
      <c r="A364" s="829">
        <v>93803</v>
      </c>
      <c r="B364" s="829" t="s">
        <v>2902</v>
      </c>
      <c r="C364" s="852">
        <v>48471.5</v>
      </c>
    </row>
    <row r="365" spans="1:3" x14ac:dyDescent="0.25">
      <c r="A365" s="829">
        <v>93806</v>
      </c>
      <c r="B365" s="829" t="s">
        <v>2903</v>
      </c>
      <c r="C365" s="852">
        <v>42552.42</v>
      </c>
    </row>
    <row r="366" spans="1:3" x14ac:dyDescent="0.25">
      <c r="A366" s="829">
        <v>93821</v>
      </c>
      <c r="B366" s="829" t="s">
        <v>2904</v>
      </c>
      <c r="C366" s="852">
        <v>54684.81</v>
      </c>
    </row>
    <row r="367" spans="1:3" x14ac:dyDescent="0.25">
      <c r="A367" s="829">
        <v>93901</v>
      </c>
      <c r="B367" s="829" t="s">
        <v>2905</v>
      </c>
      <c r="C367" s="852">
        <v>959406.95</v>
      </c>
    </row>
    <row r="368" spans="1:3" x14ac:dyDescent="0.25">
      <c r="A368" s="829">
        <v>93904</v>
      </c>
      <c r="B368" s="829" t="s">
        <v>2906</v>
      </c>
      <c r="C368" s="852">
        <v>20649.14</v>
      </c>
    </row>
    <row r="369" spans="1:3" x14ac:dyDescent="0.25">
      <c r="A369" s="829">
        <v>93906</v>
      </c>
      <c r="B369" s="829" t="s">
        <v>2907</v>
      </c>
      <c r="C369" s="852">
        <v>1531380.48</v>
      </c>
    </row>
    <row r="370" spans="1:3" x14ac:dyDescent="0.25">
      <c r="A370" s="829">
        <v>93908</v>
      </c>
      <c r="B370" s="829" t="s">
        <v>3555</v>
      </c>
      <c r="C370" s="852">
        <v>243682.52</v>
      </c>
    </row>
    <row r="371" spans="1:3" x14ac:dyDescent="0.25">
      <c r="A371" s="829">
        <v>93910</v>
      </c>
      <c r="B371" s="829" t="s">
        <v>2909</v>
      </c>
      <c r="C371" s="852">
        <v>124943.65</v>
      </c>
    </row>
    <row r="372" spans="1:3" x14ac:dyDescent="0.25">
      <c r="A372" s="829">
        <v>93911</v>
      </c>
      <c r="B372" s="829" t="s">
        <v>2910</v>
      </c>
      <c r="C372" s="852">
        <v>321853.03999999998</v>
      </c>
    </row>
    <row r="373" spans="1:3" x14ac:dyDescent="0.25">
      <c r="A373" s="829">
        <v>93913</v>
      </c>
      <c r="B373" s="829" t="s">
        <v>2911</v>
      </c>
      <c r="C373" s="852">
        <v>32427.7</v>
      </c>
    </row>
    <row r="374" spans="1:3" x14ac:dyDescent="0.25">
      <c r="A374" s="829">
        <v>93914</v>
      </c>
      <c r="B374" s="829" t="s">
        <v>2912</v>
      </c>
      <c r="C374" s="852">
        <v>6762.08</v>
      </c>
    </row>
    <row r="375" spans="1:3" x14ac:dyDescent="0.25">
      <c r="A375" s="829">
        <v>93921</v>
      </c>
      <c r="B375" s="829" t="s">
        <v>2913</v>
      </c>
      <c r="C375" s="852">
        <v>137542.51999999999</v>
      </c>
    </row>
    <row r="376" spans="1:3" x14ac:dyDescent="0.25">
      <c r="A376" s="829">
        <v>93931</v>
      </c>
      <c r="B376" s="829" t="s">
        <v>2914</v>
      </c>
      <c r="C376" s="852">
        <v>238501.86</v>
      </c>
    </row>
    <row r="377" spans="1:3" x14ac:dyDescent="0.25">
      <c r="A377" s="829">
        <v>94001</v>
      </c>
      <c r="B377" s="829" t="s">
        <v>2915</v>
      </c>
      <c r="C377" s="852">
        <v>461320.33</v>
      </c>
    </row>
    <row r="378" spans="1:3" x14ac:dyDescent="0.25">
      <c r="A378" s="829">
        <v>94002</v>
      </c>
      <c r="B378" s="829" t="s">
        <v>2916</v>
      </c>
      <c r="C378" s="852">
        <v>4785.87</v>
      </c>
    </row>
    <row r="379" spans="1:3" x14ac:dyDescent="0.25">
      <c r="A379" s="829">
        <v>94004</v>
      </c>
      <c r="B379" s="829" t="s">
        <v>2917</v>
      </c>
      <c r="C379" s="852">
        <v>4601.3500000000004</v>
      </c>
    </row>
    <row r="380" spans="1:3" x14ac:dyDescent="0.25">
      <c r="A380" s="829">
        <v>94005</v>
      </c>
      <c r="B380" s="829" t="s">
        <v>2918</v>
      </c>
      <c r="C380" s="852">
        <v>2452.52</v>
      </c>
    </row>
    <row r="381" spans="1:3" x14ac:dyDescent="0.25">
      <c r="A381" s="829">
        <v>94011</v>
      </c>
      <c r="B381" s="829" t="s">
        <v>2919</v>
      </c>
      <c r="C381" s="852">
        <v>11857.95</v>
      </c>
    </row>
    <row r="382" spans="1:3" x14ac:dyDescent="0.25">
      <c r="A382" s="829">
        <v>94021</v>
      </c>
      <c r="B382" s="829" t="s">
        <v>2920</v>
      </c>
      <c r="C382" s="852">
        <v>48100.27</v>
      </c>
    </row>
    <row r="383" spans="1:3" x14ac:dyDescent="0.25">
      <c r="A383" s="829">
        <v>94031</v>
      </c>
      <c r="B383" s="829" t="s">
        <v>2921</v>
      </c>
      <c r="C383" s="852">
        <v>7086.72</v>
      </c>
    </row>
    <row r="384" spans="1:3" x14ac:dyDescent="0.25">
      <c r="A384" s="829">
        <v>94101</v>
      </c>
      <c r="B384" s="829" t="s">
        <v>2922</v>
      </c>
      <c r="C384" s="852">
        <v>9082874.8599999994</v>
      </c>
    </row>
    <row r="385" spans="1:3" x14ac:dyDescent="0.25">
      <c r="A385" s="829">
        <v>94102</v>
      </c>
      <c r="B385" s="829" t="s">
        <v>2923</v>
      </c>
      <c r="C385" s="852">
        <v>109831.08</v>
      </c>
    </row>
    <row r="386" spans="1:3" x14ac:dyDescent="0.25">
      <c r="A386" s="829">
        <v>94108</v>
      </c>
      <c r="B386" s="829" t="s">
        <v>2924</v>
      </c>
      <c r="C386" s="852">
        <v>141635.35999999999</v>
      </c>
    </row>
    <row r="387" spans="1:3" x14ac:dyDescent="0.25">
      <c r="A387" s="829">
        <v>94109</v>
      </c>
      <c r="B387" s="829" t="s">
        <v>2925</v>
      </c>
      <c r="C387" s="852">
        <v>34308.53</v>
      </c>
    </row>
    <row r="388" spans="1:3" x14ac:dyDescent="0.25">
      <c r="A388" s="829">
        <v>94111</v>
      </c>
      <c r="B388" s="829" t="s">
        <v>2926</v>
      </c>
      <c r="C388" s="852">
        <v>12055216.26</v>
      </c>
    </row>
    <row r="389" spans="1:3" x14ac:dyDescent="0.25">
      <c r="A389" s="829">
        <v>94112</v>
      </c>
      <c r="B389" s="829" t="s">
        <v>2927</v>
      </c>
      <c r="C389" s="852">
        <v>76727.23</v>
      </c>
    </row>
    <row r="390" spans="1:3" x14ac:dyDescent="0.25">
      <c r="A390" s="829">
        <v>94117</v>
      </c>
      <c r="B390" s="829" t="s">
        <v>2928</v>
      </c>
      <c r="C390" s="852">
        <v>182766.8</v>
      </c>
    </row>
    <row r="391" spans="1:3" x14ac:dyDescent="0.25">
      <c r="A391" s="829">
        <v>94118</v>
      </c>
      <c r="B391" s="829" t="s">
        <v>2929</v>
      </c>
      <c r="C391" s="852">
        <v>64547.74</v>
      </c>
    </row>
    <row r="392" spans="1:3" x14ac:dyDescent="0.25">
      <c r="A392" s="829">
        <v>94121</v>
      </c>
      <c r="B392" s="829" t="s">
        <v>2930</v>
      </c>
      <c r="C392" s="852">
        <v>5648220.7400000002</v>
      </c>
    </row>
    <row r="393" spans="1:3" x14ac:dyDescent="0.25">
      <c r="A393" s="829">
        <v>94127</v>
      </c>
      <c r="B393" s="829" t="s">
        <v>2931</v>
      </c>
      <c r="C393" s="852">
        <v>77193.210000000006</v>
      </c>
    </row>
    <row r="394" spans="1:3" x14ac:dyDescent="0.25">
      <c r="A394" s="829">
        <v>94131</v>
      </c>
      <c r="B394" s="829" t="s">
        <v>2932</v>
      </c>
      <c r="C394" s="852">
        <v>104615.2</v>
      </c>
    </row>
    <row r="395" spans="1:3" x14ac:dyDescent="0.25">
      <c r="A395" s="829">
        <v>94151</v>
      </c>
      <c r="B395" s="829" t="s">
        <v>2933</v>
      </c>
      <c r="C395" s="852">
        <v>198961.68</v>
      </c>
    </row>
    <row r="396" spans="1:3" x14ac:dyDescent="0.25">
      <c r="A396" s="829">
        <v>94157</v>
      </c>
      <c r="B396" s="829" t="s">
        <v>2934</v>
      </c>
      <c r="C396" s="852">
        <v>5164.3100000000004</v>
      </c>
    </row>
    <row r="397" spans="1:3" x14ac:dyDescent="0.25">
      <c r="A397" s="829">
        <v>94161</v>
      </c>
      <c r="B397" s="829" t="s">
        <v>2935</v>
      </c>
      <c r="C397" s="852">
        <v>22912.52</v>
      </c>
    </row>
    <row r="398" spans="1:3" x14ac:dyDescent="0.25">
      <c r="A398" s="829">
        <v>94168</v>
      </c>
      <c r="B398" s="829" t="s">
        <v>2936</v>
      </c>
      <c r="C398" s="852">
        <v>22540.27</v>
      </c>
    </row>
    <row r="399" spans="1:3" x14ac:dyDescent="0.25">
      <c r="A399" s="829">
        <v>94171</v>
      </c>
      <c r="B399" s="829" t="s">
        <v>2937</v>
      </c>
      <c r="C399" s="852">
        <v>32386.33</v>
      </c>
    </row>
    <row r="400" spans="1:3" x14ac:dyDescent="0.25">
      <c r="A400" s="829">
        <v>94172</v>
      </c>
      <c r="B400" s="829" t="s">
        <v>2938</v>
      </c>
      <c r="C400" s="852">
        <v>104259.5</v>
      </c>
    </row>
    <row r="401" spans="1:3" x14ac:dyDescent="0.25">
      <c r="A401" s="829">
        <v>94201</v>
      </c>
      <c r="B401" s="829" t="s">
        <v>2939</v>
      </c>
      <c r="C401" s="852">
        <v>1635512.15</v>
      </c>
    </row>
    <row r="402" spans="1:3" x14ac:dyDescent="0.25">
      <c r="A402" s="829">
        <v>94204</v>
      </c>
      <c r="B402" s="829" t="s">
        <v>2940</v>
      </c>
      <c r="C402" s="852">
        <v>18471.009999999998</v>
      </c>
    </row>
    <row r="403" spans="1:3" x14ac:dyDescent="0.25">
      <c r="A403" s="829">
        <v>94205</v>
      </c>
      <c r="B403" s="829" t="s">
        <v>2941</v>
      </c>
      <c r="C403" s="852">
        <v>11769.76</v>
      </c>
    </row>
    <row r="404" spans="1:3" x14ac:dyDescent="0.25">
      <c r="A404" s="829">
        <v>94209</v>
      </c>
      <c r="B404" s="829" t="s">
        <v>2942</v>
      </c>
      <c r="C404" s="852">
        <v>156050.97</v>
      </c>
    </row>
    <row r="405" spans="1:3" x14ac:dyDescent="0.25">
      <c r="A405" s="829">
        <v>94211</v>
      </c>
      <c r="B405" s="829" t="s">
        <v>2943</v>
      </c>
      <c r="C405" s="852">
        <v>63943.5</v>
      </c>
    </row>
    <row r="406" spans="1:3" x14ac:dyDescent="0.25">
      <c r="A406" s="829">
        <v>94221</v>
      </c>
      <c r="B406" s="829" t="s">
        <v>2944</v>
      </c>
      <c r="C406" s="852">
        <v>486207.1</v>
      </c>
    </row>
    <row r="407" spans="1:3" x14ac:dyDescent="0.25">
      <c r="A407" s="829">
        <v>94231</v>
      </c>
      <c r="B407" s="829" t="s">
        <v>2945</v>
      </c>
      <c r="C407" s="852">
        <v>89897.25</v>
      </c>
    </row>
    <row r="408" spans="1:3" x14ac:dyDescent="0.25">
      <c r="A408" s="829">
        <v>94241</v>
      </c>
      <c r="B408" s="829" t="s">
        <v>2946</v>
      </c>
      <c r="C408" s="852">
        <v>55125.919999999998</v>
      </c>
    </row>
    <row r="409" spans="1:3" x14ac:dyDescent="0.25">
      <c r="A409" s="829">
        <v>94251</v>
      </c>
      <c r="B409" s="829" t="s">
        <v>2947</v>
      </c>
      <c r="C409" s="852">
        <v>9677.59</v>
      </c>
    </row>
    <row r="410" spans="1:3" x14ac:dyDescent="0.25">
      <c r="A410" s="829">
        <v>94261</v>
      </c>
      <c r="B410" s="829" t="s">
        <v>2948</v>
      </c>
      <c r="C410" s="852">
        <v>19409.43</v>
      </c>
    </row>
    <row r="411" spans="1:3" x14ac:dyDescent="0.25">
      <c r="A411" s="829">
        <v>94301</v>
      </c>
      <c r="B411" s="829" t="s">
        <v>2949</v>
      </c>
      <c r="C411" s="852">
        <v>3065671.05</v>
      </c>
    </row>
    <row r="412" spans="1:3" x14ac:dyDescent="0.25">
      <c r="A412" s="829">
        <v>94311</v>
      </c>
      <c r="B412" s="829" t="s">
        <v>2950</v>
      </c>
      <c r="C412" s="852">
        <v>371563.2</v>
      </c>
    </row>
    <row r="413" spans="1:3" x14ac:dyDescent="0.25">
      <c r="A413" s="829">
        <v>94313</v>
      </c>
      <c r="B413" s="829" t="s">
        <v>2951</v>
      </c>
      <c r="C413" s="852">
        <v>14194.6</v>
      </c>
    </row>
    <row r="414" spans="1:3" x14ac:dyDescent="0.25">
      <c r="A414" s="829">
        <v>94317</v>
      </c>
      <c r="B414" s="829" t="s">
        <v>2952</v>
      </c>
      <c r="C414" s="852">
        <v>10719.35</v>
      </c>
    </row>
    <row r="415" spans="1:3" x14ac:dyDescent="0.25">
      <c r="A415" s="829">
        <v>94321</v>
      </c>
      <c r="B415" s="829" t="s">
        <v>2953</v>
      </c>
      <c r="C415" s="852">
        <v>120686.37</v>
      </c>
    </row>
    <row r="416" spans="1:3" x14ac:dyDescent="0.25">
      <c r="A416" s="829">
        <v>94331</v>
      </c>
      <c r="B416" s="829" t="s">
        <v>2954</v>
      </c>
      <c r="C416" s="852">
        <v>79182.12</v>
      </c>
    </row>
    <row r="417" spans="1:3" x14ac:dyDescent="0.25">
      <c r="A417" s="829">
        <v>94341</v>
      </c>
      <c r="B417" s="829" t="s">
        <v>2955</v>
      </c>
      <c r="C417" s="852">
        <v>38623.660000000003</v>
      </c>
    </row>
    <row r="418" spans="1:3" x14ac:dyDescent="0.25">
      <c r="A418" s="829">
        <v>94347</v>
      </c>
      <c r="B418" s="829" t="s">
        <v>2956</v>
      </c>
      <c r="C418" s="852">
        <v>6483.89</v>
      </c>
    </row>
    <row r="419" spans="1:3" x14ac:dyDescent="0.25">
      <c r="A419" s="829">
        <v>94351</v>
      </c>
      <c r="B419" s="829" t="s">
        <v>2957</v>
      </c>
      <c r="C419" s="852">
        <v>111785.13</v>
      </c>
    </row>
    <row r="420" spans="1:3" x14ac:dyDescent="0.25">
      <c r="A420" s="829">
        <v>94401</v>
      </c>
      <c r="B420" s="829" t="s">
        <v>3556</v>
      </c>
      <c r="C420" s="852">
        <v>1613627.2</v>
      </c>
    </row>
    <row r="421" spans="1:3" x14ac:dyDescent="0.25">
      <c r="A421" s="829">
        <v>94403</v>
      </c>
      <c r="B421" s="829" t="s">
        <v>3557</v>
      </c>
      <c r="C421" s="852">
        <v>16659.03</v>
      </c>
    </row>
    <row r="422" spans="1:3" x14ac:dyDescent="0.25">
      <c r="A422" s="829">
        <v>94408</v>
      </c>
      <c r="B422" s="829" t="s">
        <v>2960</v>
      </c>
      <c r="C422" s="852">
        <v>17934.95</v>
      </c>
    </row>
    <row r="423" spans="1:3" x14ac:dyDescent="0.25">
      <c r="A423" s="829">
        <v>94411</v>
      </c>
      <c r="B423" s="829" t="s">
        <v>2961</v>
      </c>
      <c r="C423" s="852">
        <v>585990.54</v>
      </c>
    </row>
    <row r="424" spans="1:3" x14ac:dyDescent="0.25">
      <c r="A424" s="829">
        <v>94412</v>
      </c>
      <c r="B424" s="829" t="s">
        <v>2962</v>
      </c>
      <c r="C424" s="852">
        <v>14142.96</v>
      </c>
    </row>
    <row r="425" spans="1:3" x14ac:dyDescent="0.25">
      <c r="A425" s="829">
        <v>94421</v>
      </c>
      <c r="B425" s="829" t="s">
        <v>2963</v>
      </c>
      <c r="C425" s="852">
        <v>77726.42</v>
      </c>
    </row>
    <row r="426" spans="1:3" x14ac:dyDescent="0.25">
      <c r="A426" s="829">
        <v>94427</v>
      </c>
      <c r="B426" s="829" t="s">
        <v>2964</v>
      </c>
      <c r="C426" s="852">
        <v>10757.71</v>
      </c>
    </row>
    <row r="427" spans="1:3" x14ac:dyDescent="0.25">
      <c r="A427" s="829">
        <v>94428</v>
      </c>
      <c r="B427" s="829" t="s">
        <v>2965</v>
      </c>
      <c r="C427" s="852">
        <v>36851.620000000003</v>
      </c>
    </row>
    <row r="428" spans="1:3" x14ac:dyDescent="0.25">
      <c r="A428" s="829">
        <v>94431</v>
      </c>
      <c r="B428" s="829" t="s">
        <v>2966</v>
      </c>
      <c r="C428" s="852">
        <v>304045.34999999998</v>
      </c>
    </row>
    <row r="429" spans="1:3" x14ac:dyDescent="0.25">
      <c r="A429" s="829">
        <v>94437</v>
      </c>
      <c r="B429" s="829" t="s">
        <v>2967</v>
      </c>
      <c r="C429" s="852">
        <v>13413.12</v>
      </c>
    </row>
    <row r="430" spans="1:3" x14ac:dyDescent="0.25">
      <c r="A430" s="829">
        <v>94501</v>
      </c>
      <c r="B430" s="829" t="s">
        <v>2968</v>
      </c>
      <c r="C430" s="852">
        <v>2853870.53</v>
      </c>
    </row>
    <row r="431" spans="1:3" x14ac:dyDescent="0.25">
      <c r="A431" s="829">
        <v>94511</v>
      </c>
      <c r="B431" s="829" t="s">
        <v>2969</v>
      </c>
      <c r="C431" s="852">
        <v>890338.96</v>
      </c>
    </row>
    <row r="432" spans="1:3" x14ac:dyDescent="0.25">
      <c r="A432" s="829">
        <v>94517</v>
      </c>
      <c r="B432" s="829" t="s">
        <v>2971</v>
      </c>
      <c r="C432" s="852">
        <v>31791.79</v>
      </c>
    </row>
    <row r="433" spans="1:3" x14ac:dyDescent="0.25">
      <c r="A433" s="829">
        <v>94521</v>
      </c>
      <c r="B433" s="829" t="s">
        <v>2972</v>
      </c>
      <c r="C433" s="852">
        <v>64723.5</v>
      </c>
    </row>
    <row r="434" spans="1:3" x14ac:dyDescent="0.25">
      <c r="A434" s="829">
        <v>94527</v>
      </c>
      <c r="B434" s="829" t="s">
        <v>2973</v>
      </c>
      <c r="C434" s="852">
        <v>2986.99</v>
      </c>
    </row>
    <row r="435" spans="1:3" x14ac:dyDescent="0.25">
      <c r="A435" s="829">
        <v>94531</v>
      </c>
      <c r="B435" s="829" t="s">
        <v>2974</v>
      </c>
      <c r="C435" s="852">
        <v>12698.63</v>
      </c>
    </row>
    <row r="436" spans="1:3" x14ac:dyDescent="0.25">
      <c r="A436" s="829">
        <v>94532</v>
      </c>
      <c r="B436" s="829" t="s">
        <v>2975</v>
      </c>
      <c r="C436" s="852">
        <v>48849.31</v>
      </c>
    </row>
    <row r="437" spans="1:3" x14ac:dyDescent="0.25">
      <c r="A437" s="829">
        <v>94541</v>
      </c>
      <c r="B437" s="829" t="s">
        <v>2976</v>
      </c>
      <c r="C437" s="852">
        <v>129411.98</v>
      </c>
    </row>
    <row r="438" spans="1:3" x14ac:dyDescent="0.25">
      <c r="A438" s="829">
        <v>94547</v>
      </c>
      <c r="B438" s="829" t="s">
        <v>2977</v>
      </c>
      <c r="C438" s="852">
        <v>9094.68</v>
      </c>
    </row>
    <row r="439" spans="1:3" x14ac:dyDescent="0.25">
      <c r="A439" s="829">
        <v>94551</v>
      </c>
      <c r="B439" s="829" t="s">
        <v>2978</v>
      </c>
      <c r="C439" s="852">
        <v>25718.1</v>
      </c>
    </row>
    <row r="440" spans="1:3" x14ac:dyDescent="0.25">
      <c r="A440" s="829">
        <v>94601</v>
      </c>
      <c r="B440" s="829" t="s">
        <v>2979</v>
      </c>
      <c r="C440" s="852">
        <v>537000.54</v>
      </c>
    </row>
    <row r="441" spans="1:3" x14ac:dyDescent="0.25">
      <c r="A441" s="829">
        <v>94604</v>
      </c>
      <c r="B441" s="829" t="s">
        <v>2980</v>
      </c>
      <c r="C441" s="852">
        <v>14502</v>
      </c>
    </row>
    <row r="442" spans="1:3" x14ac:dyDescent="0.25">
      <c r="A442" s="829">
        <v>94606</v>
      </c>
      <c r="B442" s="829" t="s">
        <v>2981</v>
      </c>
      <c r="C442" s="852">
        <v>102034.16</v>
      </c>
    </row>
    <row r="443" spans="1:3" x14ac:dyDescent="0.25">
      <c r="A443" s="829">
        <v>94611</v>
      </c>
      <c r="B443" s="829" t="s">
        <v>2982</v>
      </c>
      <c r="C443" s="852">
        <v>187145.62</v>
      </c>
    </row>
    <row r="444" spans="1:3" x14ac:dyDescent="0.25">
      <c r="A444" s="829">
        <v>94621</v>
      </c>
      <c r="B444" s="829" t="s">
        <v>2983</v>
      </c>
      <c r="C444" s="852">
        <v>69631.41</v>
      </c>
    </row>
    <row r="445" spans="1:3" x14ac:dyDescent="0.25">
      <c r="A445" s="829">
        <v>94631</v>
      </c>
      <c r="B445" s="829" t="s">
        <v>2984</v>
      </c>
      <c r="C445" s="852">
        <v>20549.580000000002</v>
      </c>
    </row>
    <row r="446" spans="1:3" x14ac:dyDescent="0.25">
      <c r="A446" s="829">
        <v>94641</v>
      </c>
      <c r="B446" s="829" t="s">
        <v>2985</v>
      </c>
      <c r="C446" s="852">
        <v>4762.91</v>
      </c>
    </row>
    <row r="447" spans="1:3" x14ac:dyDescent="0.25">
      <c r="A447" s="829">
        <v>94701</v>
      </c>
      <c r="B447" s="829" t="s">
        <v>2986</v>
      </c>
      <c r="C447" s="852">
        <v>1155891.8400000001</v>
      </c>
    </row>
    <row r="448" spans="1:3" x14ac:dyDescent="0.25">
      <c r="A448" s="829">
        <v>94704</v>
      </c>
      <c r="B448" s="829" t="s">
        <v>2987</v>
      </c>
      <c r="C448" s="852">
        <v>8058.28</v>
      </c>
    </row>
    <row r="449" spans="1:3" x14ac:dyDescent="0.25">
      <c r="A449" s="829">
        <v>94711</v>
      </c>
      <c r="B449" s="829" t="s">
        <v>2988</v>
      </c>
      <c r="C449" s="852">
        <v>168065.41</v>
      </c>
    </row>
    <row r="450" spans="1:3" x14ac:dyDescent="0.25">
      <c r="A450" s="829">
        <v>94801</v>
      </c>
      <c r="B450" s="829" t="s">
        <v>2989</v>
      </c>
      <c r="C450" s="852">
        <v>345761.46</v>
      </c>
    </row>
    <row r="451" spans="1:3" x14ac:dyDescent="0.25">
      <c r="A451" s="829">
        <v>94804</v>
      </c>
      <c r="B451" s="829" t="s">
        <v>2990</v>
      </c>
      <c r="C451" s="852">
        <v>2753.83</v>
      </c>
    </row>
    <row r="452" spans="1:3" x14ac:dyDescent="0.25">
      <c r="A452" s="829">
        <v>94812</v>
      </c>
      <c r="B452" s="829" t="s">
        <v>2991</v>
      </c>
      <c r="C452" s="852">
        <v>20766.419999999998</v>
      </c>
    </row>
    <row r="453" spans="1:3" x14ac:dyDescent="0.25">
      <c r="A453" s="829">
        <v>94901</v>
      </c>
      <c r="B453" s="829" t="s">
        <v>2992</v>
      </c>
      <c r="C453" s="852">
        <v>3458043.82</v>
      </c>
    </row>
    <row r="454" spans="1:3" x14ac:dyDescent="0.25">
      <c r="A454" s="829">
        <v>94908</v>
      </c>
      <c r="B454" s="829" t="s">
        <v>2993</v>
      </c>
      <c r="C454" s="852">
        <v>3618.63</v>
      </c>
    </row>
    <row r="455" spans="1:3" x14ac:dyDescent="0.25">
      <c r="A455" s="829">
        <v>94911</v>
      </c>
      <c r="B455" s="829" t="s">
        <v>2994</v>
      </c>
      <c r="C455" s="852">
        <v>1437336.82</v>
      </c>
    </row>
    <row r="456" spans="1:3" x14ac:dyDescent="0.25">
      <c r="A456" s="829">
        <v>94917</v>
      </c>
      <c r="B456" s="829" t="s">
        <v>2995</v>
      </c>
      <c r="C456" s="852">
        <v>27816</v>
      </c>
    </row>
    <row r="457" spans="1:3" x14ac:dyDescent="0.25">
      <c r="A457" s="829">
        <v>94921</v>
      </c>
      <c r="B457" s="829" t="s">
        <v>2996</v>
      </c>
      <c r="C457" s="852">
        <v>1763659.66</v>
      </c>
    </row>
    <row r="458" spans="1:3" x14ac:dyDescent="0.25">
      <c r="A458" s="829">
        <v>94923</v>
      </c>
      <c r="B458" s="829" t="s">
        <v>2997</v>
      </c>
      <c r="C458" s="852">
        <v>15966.15</v>
      </c>
    </row>
    <row r="459" spans="1:3" x14ac:dyDescent="0.25">
      <c r="A459" s="829">
        <v>94927</v>
      </c>
      <c r="B459" s="829" t="s">
        <v>2998</v>
      </c>
      <c r="C459" s="852">
        <v>20061.34</v>
      </c>
    </row>
    <row r="460" spans="1:3" x14ac:dyDescent="0.25">
      <c r="A460" s="829">
        <v>94931</v>
      </c>
      <c r="B460" s="829" t="s">
        <v>2999</v>
      </c>
      <c r="C460" s="852">
        <v>101032.52</v>
      </c>
    </row>
    <row r="461" spans="1:3" x14ac:dyDescent="0.25">
      <c r="A461" s="829">
        <v>94937</v>
      </c>
      <c r="B461" s="829" t="s">
        <v>4838</v>
      </c>
      <c r="C461" s="852">
        <v>1620.49</v>
      </c>
    </row>
    <row r="462" spans="1:3" x14ac:dyDescent="0.25">
      <c r="A462" s="829">
        <v>94941</v>
      </c>
      <c r="B462" s="829" t="s">
        <v>3000</v>
      </c>
      <c r="C462" s="852">
        <v>248810.82</v>
      </c>
    </row>
    <row r="463" spans="1:3" x14ac:dyDescent="0.25">
      <c r="A463" s="829">
        <v>94947</v>
      </c>
      <c r="B463" s="829" t="s">
        <v>4139</v>
      </c>
      <c r="C463" s="852">
        <v>1125.18</v>
      </c>
    </row>
    <row r="464" spans="1:3" x14ac:dyDescent="0.25">
      <c r="A464" s="829">
        <v>95001</v>
      </c>
      <c r="B464" s="829" t="s">
        <v>3001</v>
      </c>
      <c r="C464" s="852">
        <v>1230480.6499999999</v>
      </c>
    </row>
    <row r="465" spans="1:3" x14ac:dyDescent="0.25">
      <c r="A465" s="829">
        <v>95002</v>
      </c>
      <c r="B465" s="829" t="s">
        <v>3002</v>
      </c>
      <c r="C465" s="852">
        <v>106939.05</v>
      </c>
    </row>
    <row r="466" spans="1:3" x14ac:dyDescent="0.25">
      <c r="A466" s="829">
        <v>95005</v>
      </c>
      <c r="B466" s="829" t="s">
        <v>3003</v>
      </c>
      <c r="C466" s="852">
        <v>115399.53</v>
      </c>
    </row>
    <row r="467" spans="1:3" x14ac:dyDescent="0.25">
      <c r="A467" s="829">
        <v>95008</v>
      </c>
      <c r="B467" s="829" t="s">
        <v>3004</v>
      </c>
      <c r="C467" s="852">
        <v>68090.84</v>
      </c>
    </row>
    <row r="468" spans="1:3" x14ac:dyDescent="0.25">
      <c r="A468" s="829">
        <v>95009</v>
      </c>
      <c r="B468" s="829" t="s">
        <v>3558</v>
      </c>
      <c r="C468" s="852">
        <v>2002290.14</v>
      </c>
    </row>
    <row r="469" spans="1:3" x14ac:dyDescent="0.25">
      <c r="A469" s="829">
        <v>95011</v>
      </c>
      <c r="B469" s="829" t="s">
        <v>3006</v>
      </c>
      <c r="C469" s="852">
        <v>89092.71</v>
      </c>
    </row>
    <row r="470" spans="1:3" x14ac:dyDescent="0.25">
      <c r="A470" s="829">
        <v>95017</v>
      </c>
      <c r="B470" s="829" t="s">
        <v>3007</v>
      </c>
      <c r="C470" s="852">
        <v>17647.990000000002</v>
      </c>
    </row>
    <row r="471" spans="1:3" x14ac:dyDescent="0.25">
      <c r="A471" s="829">
        <v>95101</v>
      </c>
      <c r="B471" s="829" t="s">
        <v>3008</v>
      </c>
      <c r="C471" s="852">
        <v>3950764.86</v>
      </c>
    </row>
    <row r="472" spans="1:3" x14ac:dyDescent="0.25">
      <c r="A472" s="829">
        <v>95103</v>
      </c>
      <c r="B472" s="829" t="s">
        <v>3009</v>
      </c>
      <c r="C472" s="852">
        <v>30191.26</v>
      </c>
    </row>
    <row r="473" spans="1:3" x14ac:dyDescent="0.25">
      <c r="A473" s="829">
        <v>95104</v>
      </c>
      <c r="B473" s="829" t="s">
        <v>3010</v>
      </c>
      <c r="C473" s="852">
        <v>61268.85</v>
      </c>
    </row>
    <row r="474" spans="1:3" x14ac:dyDescent="0.25">
      <c r="A474" s="829">
        <v>95105</v>
      </c>
      <c r="B474" s="829" t="s">
        <v>3011</v>
      </c>
      <c r="C474" s="852">
        <v>35729.96</v>
      </c>
    </row>
    <row r="475" spans="1:3" x14ac:dyDescent="0.25">
      <c r="A475" s="829">
        <v>95106</v>
      </c>
      <c r="B475" s="829" t="s">
        <v>3012</v>
      </c>
      <c r="C475" s="852">
        <v>8073.19</v>
      </c>
    </row>
    <row r="476" spans="1:3" x14ac:dyDescent="0.25">
      <c r="A476" s="829">
        <v>95110</v>
      </c>
      <c r="B476" s="829" t="s">
        <v>3013</v>
      </c>
      <c r="C476" s="852">
        <v>1943181.54</v>
      </c>
    </row>
    <row r="477" spans="1:3" x14ac:dyDescent="0.25">
      <c r="A477" s="829">
        <v>95111</v>
      </c>
      <c r="B477" s="829" t="s">
        <v>3014</v>
      </c>
      <c r="C477" s="852">
        <v>496429.25</v>
      </c>
    </row>
    <row r="478" spans="1:3" x14ac:dyDescent="0.25">
      <c r="A478" s="829">
        <v>95113</v>
      </c>
      <c r="B478" s="829" t="s">
        <v>3015</v>
      </c>
      <c r="C478" s="852">
        <v>74446.759999999995</v>
      </c>
    </row>
    <row r="479" spans="1:3" x14ac:dyDescent="0.25">
      <c r="A479" s="829">
        <v>95121</v>
      </c>
      <c r="B479" s="829" t="s">
        <v>3016</v>
      </c>
      <c r="C479" s="852">
        <v>242310.35</v>
      </c>
    </row>
    <row r="480" spans="1:3" x14ac:dyDescent="0.25">
      <c r="A480" s="829">
        <v>95122</v>
      </c>
      <c r="B480" s="829" t="s">
        <v>3017</v>
      </c>
      <c r="C480" s="852">
        <v>4596.54</v>
      </c>
    </row>
    <row r="481" spans="1:3" x14ac:dyDescent="0.25">
      <c r="A481" s="829">
        <v>95123</v>
      </c>
      <c r="B481" s="829" t="s">
        <v>3018</v>
      </c>
      <c r="C481" s="852">
        <v>29610.61</v>
      </c>
    </row>
    <row r="482" spans="1:3" x14ac:dyDescent="0.25">
      <c r="A482" s="829">
        <v>95131</v>
      </c>
      <c r="B482" s="829" t="s">
        <v>3019</v>
      </c>
      <c r="C482" s="852">
        <v>811028.86</v>
      </c>
    </row>
    <row r="483" spans="1:3" x14ac:dyDescent="0.25">
      <c r="A483" s="829">
        <v>95141</v>
      </c>
      <c r="B483" s="829" t="s">
        <v>3020</v>
      </c>
      <c r="C483" s="852">
        <v>148359.60999999999</v>
      </c>
    </row>
    <row r="484" spans="1:3" x14ac:dyDescent="0.25">
      <c r="A484" s="829">
        <v>95151</v>
      </c>
      <c r="B484" s="829" t="s">
        <v>3021</v>
      </c>
      <c r="C484" s="852">
        <v>51039.87</v>
      </c>
    </row>
    <row r="485" spans="1:3" x14ac:dyDescent="0.25">
      <c r="A485" s="829">
        <v>95161</v>
      </c>
      <c r="B485" s="829" t="s">
        <v>3022</v>
      </c>
      <c r="C485" s="852">
        <v>41171.79</v>
      </c>
    </row>
    <row r="486" spans="1:3" x14ac:dyDescent="0.25">
      <c r="A486" s="829">
        <v>95171</v>
      </c>
      <c r="B486" s="829" t="s">
        <v>3023</v>
      </c>
      <c r="C486" s="852">
        <v>47352.800000000003</v>
      </c>
    </row>
    <row r="487" spans="1:3" x14ac:dyDescent="0.25">
      <c r="A487" s="829">
        <v>95181</v>
      </c>
      <c r="B487" s="829" t="s">
        <v>3024</v>
      </c>
      <c r="C487" s="852">
        <v>32737.29</v>
      </c>
    </row>
    <row r="488" spans="1:3" x14ac:dyDescent="0.25">
      <c r="A488" s="829">
        <v>95191</v>
      </c>
      <c r="B488" s="829" t="s">
        <v>3025</v>
      </c>
      <c r="C488" s="852">
        <v>35124.83</v>
      </c>
    </row>
    <row r="489" spans="1:3" x14ac:dyDescent="0.25">
      <c r="A489" s="829">
        <v>95201</v>
      </c>
      <c r="B489" s="829" t="s">
        <v>3026</v>
      </c>
      <c r="C489" s="852">
        <v>324382.05</v>
      </c>
    </row>
    <row r="490" spans="1:3" x14ac:dyDescent="0.25">
      <c r="A490" s="829">
        <v>95204</v>
      </c>
      <c r="B490" s="829" t="s">
        <v>3027</v>
      </c>
      <c r="C490" s="852">
        <v>6627.08</v>
      </c>
    </row>
    <row r="491" spans="1:3" x14ac:dyDescent="0.25">
      <c r="A491" s="829">
        <v>95205</v>
      </c>
      <c r="B491" s="829" t="s">
        <v>3028</v>
      </c>
      <c r="C491" s="852">
        <v>2149.2399999999998</v>
      </c>
    </row>
    <row r="492" spans="1:3" x14ac:dyDescent="0.25">
      <c r="A492" s="829">
        <v>95211</v>
      </c>
      <c r="B492" s="829" t="s">
        <v>3029</v>
      </c>
      <c r="C492" s="852">
        <v>3345.46</v>
      </c>
    </row>
    <row r="493" spans="1:3" x14ac:dyDescent="0.25">
      <c r="A493" s="829">
        <v>95221</v>
      </c>
      <c r="B493" s="829" t="s">
        <v>3030</v>
      </c>
      <c r="C493" s="852">
        <v>24433.53</v>
      </c>
    </row>
    <row r="494" spans="1:3" x14ac:dyDescent="0.25">
      <c r="A494" s="829">
        <v>95301</v>
      </c>
      <c r="B494" s="829" t="s">
        <v>3031</v>
      </c>
      <c r="C494" s="852">
        <v>1161384.1100000001</v>
      </c>
    </row>
    <row r="495" spans="1:3" x14ac:dyDescent="0.25">
      <c r="A495" s="829">
        <v>95311</v>
      </c>
      <c r="B495" s="829" t="s">
        <v>3032</v>
      </c>
      <c r="C495" s="852">
        <v>1353611.39</v>
      </c>
    </row>
    <row r="496" spans="1:3" x14ac:dyDescent="0.25">
      <c r="A496" s="829">
        <v>95317</v>
      </c>
      <c r="B496" s="829" t="s">
        <v>3033</v>
      </c>
      <c r="C496" s="852">
        <v>27496.49</v>
      </c>
    </row>
    <row r="497" spans="1:3" x14ac:dyDescent="0.25">
      <c r="A497" s="829">
        <v>95321</v>
      </c>
      <c r="B497" s="829" t="s">
        <v>3034</v>
      </c>
      <c r="C497" s="852">
        <v>27476.22</v>
      </c>
    </row>
    <row r="498" spans="1:3" x14ac:dyDescent="0.25">
      <c r="A498" s="829">
        <v>95401</v>
      </c>
      <c r="B498" s="829" t="s">
        <v>3035</v>
      </c>
      <c r="C498" s="852">
        <v>1369020.65</v>
      </c>
    </row>
    <row r="499" spans="1:3" x14ac:dyDescent="0.25">
      <c r="A499" s="829">
        <v>95404</v>
      </c>
      <c r="B499" s="829" t="s">
        <v>3036</v>
      </c>
      <c r="C499" s="852">
        <v>23078.97</v>
      </c>
    </row>
    <row r="500" spans="1:3" x14ac:dyDescent="0.25">
      <c r="A500" s="829">
        <v>95405</v>
      </c>
      <c r="B500" s="829" t="s">
        <v>3037</v>
      </c>
      <c r="C500" s="852">
        <v>19532.45</v>
      </c>
    </row>
    <row r="501" spans="1:3" x14ac:dyDescent="0.25">
      <c r="A501" s="829">
        <v>95411</v>
      </c>
      <c r="B501" s="829" t="s">
        <v>3038</v>
      </c>
      <c r="C501" s="852">
        <v>1098228.3799999999</v>
      </c>
    </row>
    <row r="502" spans="1:3" x14ac:dyDescent="0.25">
      <c r="A502" s="829">
        <v>95413</v>
      </c>
      <c r="B502" s="829" t="s">
        <v>3040</v>
      </c>
      <c r="C502" s="852">
        <v>130765.98</v>
      </c>
    </row>
    <row r="503" spans="1:3" x14ac:dyDescent="0.25">
      <c r="A503" s="829">
        <v>95415</v>
      </c>
      <c r="B503" s="829" t="s">
        <v>3041</v>
      </c>
      <c r="C503" s="852">
        <v>31391.19</v>
      </c>
    </row>
    <row r="504" spans="1:3" x14ac:dyDescent="0.25">
      <c r="A504" s="829">
        <v>95421</v>
      </c>
      <c r="B504" s="829" t="s">
        <v>3042</v>
      </c>
      <c r="C504" s="852">
        <v>19590.32</v>
      </c>
    </row>
    <row r="505" spans="1:3" x14ac:dyDescent="0.25">
      <c r="A505" s="829">
        <v>95431</v>
      </c>
      <c r="B505" s="829" t="s">
        <v>3043</v>
      </c>
      <c r="C505" s="852">
        <v>66123.850000000006</v>
      </c>
    </row>
    <row r="506" spans="1:3" x14ac:dyDescent="0.25">
      <c r="A506" s="829">
        <v>95501</v>
      </c>
      <c r="B506" s="829" t="s">
        <v>3044</v>
      </c>
      <c r="C506" s="852">
        <v>2309249.29</v>
      </c>
    </row>
    <row r="507" spans="1:3" x14ac:dyDescent="0.25">
      <c r="A507" s="829">
        <v>95504</v>
      </c>
      <c r="B507" s="829" t="s">
        <v>3045</v>
      </c>
      <c r="C507" s="852">
        <v>10287.07</v>
      </c>
    </row>
    <row r="508" spans="1:3" x14ac:dyDescent="0.25">
      <c r="A508" s="829">
        <v>95511</v>
      </c>
      <c r="B508" s="829" t="s">
        <v>3046</v>
      </c>
      <c r="C508" s="852">
        <v>509340.02</v>
      </c>
    </row>
    <row r="509" spans="1:3" x14ac:dyDescent="0.25">
      <c r="A509" s="829">
        <v>95513</v>
      </c>
      <c r="B509" s="829" t="s">
        <v>3047</v>
      </c>
      <c r="C509" s="852">
        <v>34360.18</v>
      </c>
    </row>
    <row r="510" spans="1:3" x14ac:dyDescent="0.25">
      <c r="A510" s="829">
        <v>95517</v>
      </c>
      <c r="B510" s="829" t="s">
        <v>3048</v>
      </c>
      <c r="C510" s="852">
        <v>11099.99</v>
      </c>
    </row>
    <row r="511" spans="1:3" x14ac:dyDescent="0.25">
      <c r="A511" s="829">
        <v>95601</v>
      </c>
      <c r="B511" s="829" t="s">
        <v>3049</v>
      </c>
      <c r="C511" s="852">
        <v>1263012.71</v>
      </c>
    </row>
    <row r="512" spans="1:3" x14ac:dyDescent="0.25">
      <c r="A512" s="829">
        <v>95611</v>
      </c>
      <c r="B512" s="829" t="s">
        <v>3050</v>
      </c>
      <c r="C512" s="852">
        <v>204619.09</v>
      </c>
    </row>
    <row r="513" spans="1:3" x14ac:dyDescent="0.25">
      <c r="A513" s="829">
        <v>95617</v>
      </c>
      <c r="B513" s="829" t="s">
        <v>3051</v>
      </c>
      <c r="C513" s="852">
        <v>8730.31</v>
      </c>
    </row>
    <row r="514" spans="1:3" x14ac:dyDescent="0.25">
      <c r="A514" s="829">
        <v>95621</v>
      </c>
      <c r="B514" s="829" t="s">
        <v>3052</v>
      </c>
      <c r="C514" s="852">
        <v>260138.02</v>
      </c>
    </row>
    <row r="515" spans="1:3" x14ac:dyDescent="0.25">
      <c r="A515" s="829">
        <v>95701</v>
      </c>
      <c r="B515" s="829" t="s">
        <v>3053</v>
      </c>
      <c r="C515" s="852">
        <v>604598.17000000004</v>
      </c>
    </row>
    <row r="516" spans="1:3" x14ac:dyDescent="0.25">
      <c r="A516" s="829">
        <v>95711</v>
      </c>
      <c r="B516" s="829" t="s">
        <v>3054</v>
      </c>
      <c r="C516" s="852">
        <v>60575.8</v>
      </c>
    </row>
    <row r="517" spans="1:3" x14ac:dyDescent="0.25">
      <c r="A517" s="829">
        <v>95721</v>
      </c>
      <c r="B517" s="829" t="s">
        <v>3055</v>
      </c>
      <c r="C517" s="852">
        <v>31048.06</v>
      </c>
    </row>
    <row r="518" spans="1:3" x14ac:dyDescent="0.25">
      <c r="A518" s="829">
        <v>95733</v>
      </c>
      <c r="B518" s="829" t="s">
        <v>3056</v>
      </c>
      <c r="C518" s="852">
        <v>7565.12</v>
      </c>
    </row>
    <row r="519" spans="1:3" x14ac:dyDescent="0.25">
      <c r="A519" s="829">
        <v>95801</v>
      </c>
      <c r="B519" s="829" t="s">
        <v>3057</v>
      </c>
      <c r="C519" s="852">
        <v>492639.1</v>
      </c>
    </row>
    <row r="520" spans="1:3" x14ac:dyDescent="0.25">
      <c r="A520" s="829">
        <v>95802</v>
      </c>
      <c r="B520" s="829" t="s">
        <v>3058</v>
      </c>
      <c r="C520" s="852">
        <v>5777.09</v>
      </c>
    </row>
    <row r="521" spans="1:3" x14ac:dyDescent="0.25">
      <c r="A521" s="829">
        <v>95804</v>
      </c>
      <c r="B521" s="829" t="s">
        <v>3059</v>
      </c>
      <c r="C521" s="852">
        <v>7856.59</v>
      </c>
    </row>
    <row r="522" spans="1:3" x14ac:dyDescent="0.25">
      <c r="A522" s="829">
        <v>95811</v>
      </c>
      <c r="B522" s="829" t="s">
        <v>3060</v>
      </c>
      <c r="C522" s="852">
        <v>262611.96000000002</v>
      </c>
    </row>
    <row r="523" spans="1:3" x14ac:dyDescent="0.25">
      <c r="A523" s="829">
        <v>95813</v>
      </c>
      <c r="B523" s="829" t="s">
        <v>3061</v>
      </c>
      <c r="C523" s="852">
        <v>71429.14</v>
      </c>
    </row>
    <row r="524" spans="1:3" x14ac:dyDescent="0.25">
      <c r="A524" s="829">
        <v>95821</v>
      </c>
      <c r="B524" s="829" t="s">
        <v>3062</v>
      </c>
      <c r="C524" s="852">
        <v>2011.84</v>
      </c>
    </row>
    <row r="525" spans="1:3" x14ac:dyDescent="0.25">
      <c r="A525" s="829">
        <v>95831</v>
      </c>
      <c r="B525" s="829" t="s">
        <v>3063</v>
      </c>
      <c r="C525" s="852">
        <v>20645.45</v>
      </c>
    </row>
    <row r="526" spans="1:3" x14ac:dyDescent="0.25">
      <c r="A526" s="829">
        <v>95841</v>
      </c>
      <c r="B526" s="829" t="s">
        <v>3064</v>
      </c>
      <c r="C526" s="852">
        <v>12838.9</v>
      </c>
    </row>
    <row r="527" spans="1:3" x14ac:dyDescent="0.25">
      <c r="A527" s="829">
        <v>95851</v>
      </c>
      <c r="B527" s="829" t="s">
        <v>3065</v>
      </c>
      <c r="C527" s="852">
        <v>142997.09</v>
      </c>
    </row>
    <row r="528" spans="1:3" x14ac:dyDescent="0.25">
      <c r="A528" s="829">
        <v>95853</v>
      </c>
      <c r="B528" s="829" t="s">
        <v>3066</v>
      </c>
      <c r="C528" s="852">
        <v>15957</v>
      </c>
    </row>
    <row r="529" spans="1:3" x14ac:dyDescent="0.25">
      <c r="A529" s="829">
        <v>95901</v>
      </c>
      <c r="B529" s="829" t="s">
        <v>3067</v>
      </c>
      <c r="C529" s="852">
        <v>894780.33</v>
      </c>
    </row>
    <row r="530" spans="1:3" x14ac:dyDescent="0.25">
      <c r="A530" s="829">
        <v>95908</v>
      </c>
      <c r="B530" s="829" t="s">
        <v>3068</v>
      </c>
      <c r="C530" s="852">
        <v>26699.759999999998</v>
      </c>
    </row>
    <row r="531" spans="1:3" x14ac:dyDescent="0.25">
      <c r="A531" s="829">
        <v>95911</v>
      </c>
      <c r="B531" s="829" t="s">
        <v>3069</v>
      </c>
      <c r="C531" s="852">
        <v>256697.64</v>
      </c>
    </row>
    <row r="532" spans="1:3" x14ac:dyDescent="0.25">
      <c r="A532" s="829">
        <v>95917</v>
      </c>
      <c r="B532" s="829" t="s">
        <v>3070</v>
      </c>
      <c r="C532" s="852">
        <v>11591.12</v>
      </c>
    </row>
    <row r="533" spans="1:3" x14ac:dyDescent="0.25">
      <c r="A533" s="829">
        <v>95921</v>
      </c>
      <c r="B533" s="829" t="s">
        <v>3071</v>
      </c>
      <c r="C533" s="852">
        <v>25012.86</v>
      </c>
    </row>
    <row r="534" spans="1:3" x14ac:dyDescent="0.25">
      <c r="A534" s="829">
        <v>96001</v>
      </c>
      <c r="B534" s="829" t="s">
        <v>3072</v>
      </c>
      <c r="C534" s="852">
        <v>21493968.41</v>
      </c>
    </row>
    <row r="535" spans="1:3" x14ac:dyDescent="0.25">
      <c r="A535" s="829">
        <v>96003</v>
      </c>
      <c r="B535" s="829" t="s">
        <v>3073</v>
      </c>
      <c r="C535" s="852">
        <v>717558.55</v>
      </c>
    </row>
    <row r="536" spans="1:3" x14ac:dyDescent="0.25">
      <c r="A536" s="829">
        <v>96004</v>
      </c>
      <c r="B536" s="829" t="s">
        <v>3074</v>
      </c>
      <c r="C536" s="852">
        <v>500331.48</v>
      </c>
    </row>
    <row r="537" spans="1:3" x14ac:dyDescent="0.25">
      <c r="A537" s="829">
        <v>96005</v>
      </c>
      <c r="B537" s="829" t="s">
        <v>3075</v>
      </c>
      <c r="C537" s="852">
        <v>1319874.8400000001</v>
      </c>
    </row>
    <row r="538" spans="1:3" x14ac:dyDescent="0.25">
      <c r="A538" s="829">
        <v>96008</v>
      </c>
      <c r="B538" s="829" t="s">
        <v>3076</v>
      </c>
      <c r="C538" s="852">
        <v>2319759.66</v>
      </c>
    </row>
    <row r="539" spans="1:3" x14ac:dyDescent="0.25">
      <c r="A539" s="829">
        <v>96009</v>
      </c>
      <c r="B539" s="829" t="s">
        <v>3077</v>
      </c>
      <c r="C539" s="852">
        <v>213205.54</v>
      </c>
    </row>
    <row r="540" spans="1:3" x14ac:dyDescent="0.25">
      <c r="A540" s="829">
        <v>96011</v>
      </c>
      <c r="B540" s="829" t="s">
        <v>3078</v>
      </c>
      <c r="C540" s="852">
        <v>30490654.809999999</v>
      </c>
    </row>
    <row r="541" spans="1:3" x14ac:dyDescent="0.25">
      <c r="A541" s="829">
        <v>96012</v>
      </c>
      <c r="B541" s="829" t="s">
        <v>3079</v>
      </c>
      <c r="C541" s="852">
        <v>1227286.1100000001</v>
      </c>
    </row>
    <row r="542" spans="1:3" x14ac:dyDescent="0.25">
      <c r="A542" s="829">
        <v>96018</v>
      </c>
      <c r="B542" s="829" t="s">
        <v>3080</v>
      </c>
      <c r="C542" s="852">
        <v>20816.02</v>
      </c>
    </row>
    <row r="543" spans="1:3" x14ac:dyDescent="0.25">
      <c r="A543" s="829">
        <v>96021</v>
      </c>
      <c r="B543" s="829" t="s">
        <v>3081</v>
      </c>
      <c r="C543" s="852">
        <v>348072</v>
      </c>
    </row>
    <row r="544" spans="1:3" x14ac:dyDescent="0.25">
      <c r="A544" s="829">
        <v>96031</v>
      </c>
      <c r="B544" s="829" t="s">
        <v>3082</v>
      </c>
      <c r="C544" s="852">
        <v>343067.94</v>
      </c>
    </row>
    <row r="545" spans="1:3" x14ac:dyDescent="0.25">
      <c r="A545" s="829">
        <v>96041</v>
      </c>
      <c r="B545" s="829" t="s">
        <v>3083</v>
      </c>
      <c r="C545" s="852">
        <v>760331.49</v>
      </c>
    </row>
    <row r="546" spans="1:3" x14ac:dyDescent="0.25">
      <c r="A546" s="829">
        <v>96051</v>
      </c>
      <c r="B546" s="829" t="s">
        <v>3084</v>
      </c>
      <c r="C546" s="852">
        <v>447496.18</v>
      </c>
    </row>
    <row r="547" spans="1:3" x14ac:dyDescent="0.25">
      <c r="A547" s="829">
        <v>96061</v>
      </c>
      <c r="B547" s="829" t="s">
        <v>3085</v>
      </c>
      <c r="C547" s="852">
        <v>163295</v>
      </c>
    </row>
    <row r="548" spans="1:3" x14ac:dyDescent="0.25">
      <c r="A548" s="829">
        <v>96071</v>
      </c>
      <c r="B548" s="829" t="s">
        <v>3086</v>
      </c>
      <c r="C548" s="852">
        <v>601187.62</v>
      </c>
    </row>
    <row r="549" spans="1:3" x14ac:dyDescent="0.25">
      <c r="A549" s="829">
        <v>96081</v>
      </c>
      <c r="B549" s="829" t="s">
        <v>3087</v>
      </c>
      <c r="C549" s="852">
        <v>241286.98</v>
      </c>
    </row>
    <row r="550" spans="1:3" x14ac:dyDescent="0.25">
      <c r="A550" s="829">
        <v>96101</v>
      </c>
      <c r="B550" s="829" t="s">
        <v>3088</v>
      </c>
      <c r="C550" s="852">
        <v>406062.02</v>
      </c>
    </row>
    <row r="551" spans="1:3" x14ac:dyDescent="0.25">
      <c r="A551" s="829">
        <v>96102</v>
      </c>
      <c r="B551" s="829" t="s">
        <v>3089</v>
      </c>
      <c r="C551" s="852">
        <v>4192.87</v>
      </c>
    </row>
    <row r="552" spans="1:3" x14ac:dyDescent="0.25">
      <c r="A552" s="829">
        <v>96111</v>
      </c>
      <c r="B552" s="829" t="s">
        <v>3090</v>
      </c>
      <c r="C552" s="852">
        <v>88704.74</v>
      </c>
    </row>
    <row r="553" spans="1:3" x14ac:dyDescent="0.25">
      <c r="A553" s="829">
        <v>96121</v>
      </c>
      <c r="B553" s="829" t="s">
        <v>3091</v>
      </c>
      <c r="C553" s="852">
        <v>9550.99</v>
      </c>
    </row>
    <row r="554" spans="1:3" x14ac:dyDescent="0.25">
      <c r="A554" s="829">
        <v>96201</v>
      </c>
      <c r="B554" s="829" t="s">
        <v>3092</v>
      </c>
      <c r="C554" s="852">
        <v>543344.09</v>
      </c>
    </row>
    <row r="555" spans="1:3" x14ac:dyDescent="0.25">
      <c r="A555" s="829">
        <v>96204</v>
      </c>
      <c r="B555" s="829" t="s">
        <v>3093</v>
      </c>
      <c r="C555" s="852">
        <v>9259.8799999999992</v>
      </c>
    </row>
    <row r="556" spans="1:3" x14ac:dyDescent="0.25">
      <c r="A556" s="829">
        <v>96211</v>
      </c>
      <c r="B556" s="829" t="s">
        <v>3094</v>
      </c>
      <c r="C556" s="852">
        <v>17551.46</v>
      </c>
    </row>
    <row r="557" spans="1:3" x14ac:dyDescent="0.25">
      <c r="A557" s="829">
        <v>96221</v>
      </c>
      <c r="B557" s="829" t="s">
        <v>3095</v>
      </c>
      <c r="C557" s="852">
        <v>105993.03</v>
      </c>
    </row>
    <row r="558" spans="1:3" x14ac:dyDescent="0.25">
      <c r="A558" s="829">
        <v>96231</v>
      </c>
      <c r="B558" s="829" t="s">
        <v>3096</v>
      </c>
      <c r="C558" s="852">
        <v>49677.440000000002</v>
      </c>
    </row>
    <row r="559" spans="1:3" x14ac:dyDescent="0.25">
      <c r="A559" s="829">
        <v>96241</v>
      </c>
      <c r="B559" s="829" t="s">
        <v>3097</v>
      </c>
      <c r="C559" s="852">
        <v>23317.599999999999</v>
      </c>
    </row>
    <row r="560" spans="1:3" x14ac:dyDescent="0.25">
      <c r="A560" s="829">
        <v>96251</v>
      </c>
      <c r="B560" s="829" t="s">
        <v>3098</v>
      </c>
      <c r="C560" s="852">
        <v>40415.919999999998</v>
      </c>
    </row>
    <row r="561" spans="1:3" x14ac:dyDescent="0.25">
      <c r="A561" s="829">
        <v>96301</v>
      </c>
      <c r="B561" s="829" t="s">
        <v>3099</v>
      </c>
      <c r="C561" s="852">
        <v>2084751.76</v>
      </c>
    </row>
    <row r="562" spans="1:3" x14ac:dyDescent="0.25">
      <c r="A562" s="829">
        <v>96302</v>
      </c>
      <c r="B562" s="829" t="s">
        <v>3100</v>
      </c>
      <c r="C562" s="852">
        <v>12087.69</v>
      </c>
    </row>
    <row r="563" spans="1:3" x14ac:dyDescent="0.25">
      <c r="A563" s="829">
        <v>96304</v>
      </c>
      <c r="B563" s="829" t="s">
        <v>3101</v>
      </c>
      <c r="C563" s="852">
        <v>28971.4</v>
      </c>
    </row>
    <row r="564" spans="1:3" x14ac:dyDescent="0.25">
      <c r="A564" s="829">
        <v>96305</v>
      </c>
      <c r="B564" s="829" t="s">
        <v>3102</v>
      </c>
      <c r="C564" s="852">
        <v>33688.550000000003</v>
      </c>
    </row>
    <row r="565" spans="1:3" x14ac:dyDescent="0.25">
      <c r="A565" s="829">
        <v>96310</v>
      </c>
      <c r="B565" s="829" t="s">
        <v>3103</v>
      </c>
      <c r="C565" s="852">
        <v>29357.23</v>
      </c>
    </row>
    <row r="566" spans="1:3" x14ac:dyDescent="0.25">
      <c r="A566" s="829">
        <v>96311</v>
      </c>
      <c r="B566" s="829" t="s">
        <v>3104</v>
      </c>
      <c r="C566" s="852">
        <v>609721.63</v>
      </c>
    </row>
    <row r="567" spans="1:3" x14ac:dyDescent="0.25">
      <c r="A567" s="829">
        <v>96312</v>
      </c>
      <c r="B567" s="829" t="s">
        <v>3105</v>
      </c>
      <c r="C567" s="852">
        <v>3479.05</v>
      </c>
    </row>
    <row r="568" spans="1:3" x14ac:dyDescent="0.25">
      <c r="A568" s="829">
        <v>96318</v>
      </c>
      <c r="B568" s="829" t="s">
        <v>3106</v>
      </c>
      <c r="C568" s="852">
        <v>1174353.58</v>
      </c>
    </row>
    <row r="569" spans="1:3" x14ac:dyDescent="0.25">
      <c r="A569" s="829">
        <v>96321</v>
      </c>
      <c r="B569" s="829" t="s">
        <v>3107</v>
      </c>
      <c r="C569" s="852">
        <v>19104.939999999999</v>
      </c>
    </row>
    <row r="570" spans="1:3" x14ac:dyDescent="0.25">
      <c r="A570" s="829">
        <v>96331</v>
      </c>
      <c r="B570" s="829" t="s">
        <v>3108</v>
      </c>
      <c r="C570" s="852">
        <v>302018.87</v>
      </c>
    </row>
    <row r="571" spans="1:3" x14ac:dyDescent="0.25">
      <c r="A571" s="829">
        <v>96341</v>
      </c>
      <c r="B571" s="829" t="s">
        <v>3109</v>
      </c>
      <c r="C571" s="852">
        <v>41905.199999999997</v>
      </c>
    </row>
    <row r="572" spans="1:3" x14ac:dyDescent="0.25">
      <c r="A572" s="829">
        <v>96351</v>
      </c>
      <c r="B572" s="829" t="s">
        <v>3110</v>
      </c>
      <c r="C572" s="852">
        <v>506250.23999999999</v>
      </c>
    </row>
    <row r="573" spans="1:3" x14ac:dyDescent="0.25">
      <c r="A573" s="829">
        <v>96361</v>
      </c>
      <c r="B573" s="829" t="s">
        <v>3111</v>
      </c>
      <c r="C573" s="852">
        <v>26124</v>
      </c>
    </row>
    <row r="574" spans="1:3" x14ac:dyDescent="0.25">
      <c r="A574" s="829">
        <v>96371</v>
      </c>
      <c r="B574" s="829" t="s">
        <v>3112</v>
      </c>
      <c r="C574" s="852">
        <v>71861.67</v>
      </c>
    </row>
    <row r="575" spans="1:3" x14ac:dyDescent="0.25">
      <c r="A575" s="829">
        <v>96381</v>
      </c>
      <c r="B575" s="829" t="s">
        <v>3113</v>
      </c>
      <c r="C575" s="852">
        <v>16380.71</v>
      </c>
    </row>
    <row r="576" spans="1:3" x14ac:dyDescent="0.25">
      <c r="A576" s="829">
        <v>96391</v>
      </c>
      <c r="B576" s="829" t="s">
        <v>3114</v>
      </c>
      <c r="C576" s="852">
        <v>82140.899999999994</v>
      </c>
    </row>
    <row r="577" spans="1:3" x14ac:dyDescent="0.25">
      <c r="A577" s="829">
        <v>96401</v>
      </c>
      <c r="B577" s="829" t="s">
        <v>3115</v>
      </c>
      <c r="C577" s="852">
        <v>2141133.3199999998</v>
      </c>
    </row>
    <row r="578" spans="1:3" x14ac:dyDescent="0.25">
      <c r="A578" s="829">
        <v>96404</v>
      </c>
      <c r="B578" s="829" t="s">
        <v>3116</v>
      </c>
      <c r="C578" s="852">
        <v>62860.89</v>
      </c>
    </row>
    <row r="579" spans="1:3" x14ac:dyDescent="0.25">
      <c r="A579" s="829">
        <v>96405</v>
      </c>
      <c r="B579" s="829" t="s">
        <v>3117</v>
      </c>
      <c r="C579" s="852">
        <v>90010.86</v>
      </c>
    </row>
    <row r="580" spans="1:3" x14ac:dyDescent="0.25">
      <c r="A580" s="829">
        <v>96411</v>
      </c>
      <c r="B580" s="829" t="s">
        <v>3118</v>
      </c>
      <c r="C580" s="852">
        <v>30766.53</v>
      </c>
    </row>
    <row r="581" spans="1:3" x14ac:dyDescent="0.25">
      <c r="A581" s="829">
        <v>96421</v>
      </c>
      <c r="B581" s="829" t="s">
        <v>3119</v>
      </c>
      <c r="C581" s="852">
        <v>185496.66</v>
      </c>
    </row>
    <row r="582" spans="1:3" x14ac:dyDescent="0.25">
      <c r="A582" s="829">
        <v>96431</v>
      </c>
      <c r="B582" s="829" t="s">
        <v>3120</v>
      </c>
      <c r="C582" s="852">
        <v>21848.79</v>
      </c>
    </row>
    <row r="583" spans="1:3" x14ac:dyDescent="0.25">
      <c r="A583" s="829">
        <v>96441</v>
      </c>
      <c r="B583" s="829" t="s">
        <v>3121</v>
      </c>
      <c r="C583" s="852">
        <v>15351.51</v>
      </c>
    </row>
    <row r="584" spans="1:3" x14ac:dyDescent="0.25">
      <c r="A584" s="829">
        <v>96451</v>
      </c>
      <c r="B584" s="829" t="s">
        <v>3122</v>
      </c>
      <c r="C584" s="852">
        <v>8535.73</v>
      </c>
    </row>
    <row r="585" spans="1:3" x14ac:dyDescent="0.25">
      <c r="A585" s="829">
        <v>96461</v>
      </c>
      <c r="B585" s="829" t="s">
        <v>3123</v>
      </c>
      <c r="C585" s="852">
        <v>72030.850000000006</v>
      </c>
    </row>
    <row r="586" spans="1:3" x14ac:dyDescent="0.25">
      <c r="A586" s="829">
        <v>96501</v>
      </c>
      <c r="B586" s="829" t="s">
        <v>3124</v>
      </c>
      <c r="C586" s="852">
        <v>6947458.8300000001</v>
      </c>
    </row>
    <row r="587" spans="1:3" x14ac:dyDescent="0.25">
      <c r="A587" s="829">
        <v>96502</v>
      </c>
      <c r="B587" s="829" t="s">
        <v>3125</v>
      </c>
      <c r="C587" s="852">
        <v>215466.08</v>
      </c>
    </row>
    <row r="588" spans="1:3" x14ac:dyDescent="0.25">
      <c r="A588" s="829">
        <v>96503</v>
      </c>
      <c r="B588" s="829" t="s">
        <v>3559</v>
      </c>
      <c r="C588" s="852">
        <v>320388.37</v>
      </c>
    </row>
    <row r="589" spans="1:3" x14ac:dyDescent="0.25">
      <c r="A589" s="829">
        <v>96504</v>
      </c>
      <c r="B589" s="829" t="s">
        <v>3127</v>
      </c>
      <c r="C589" s="852">
        <v>206958.64</v>
      </c>
    </row>
    <row r="590" spans="1:3" x14ac:dyDescent="0.25">
      <c r="A590" s="829">
        <v>96507</v>
      </c>
      <c r="B590" s="829" t="s">
        <v>3128</v>
      </c>
      <c r="C590" s="852">
        <v>1125154.73</v>
      </c>
    </row>
    <row r="591" spans="1:3" x14ac:dyDescent="0.25">
      <c r="A591" s="829">
        <v>96508</v>
      </c>
      <c r="B591" s="829" t="s">
        <v>3129</v>
      </c>
      <c r="C591" s="852">
        <v>11724.36</v>
      </c>
    </row>
    <row r="592" spans="1:3" x14ac:dyDescent="0.25">
      <c r="A592" s="829">
        <v>96511</v>
      </c>
      <c r="B592" s="829" t="s">
        <v>3130</v>
      </c>
      <c r="C592" s="852">
        <v>294294.28000000003</v>
      </c>
    </row>
    <row r="593" spans="1:3" x14ac:dyDescent="0.25">
      <c r="A593" s="829">
        <v>96512</v>
      </c>
      <c r="B593" s="829" t="s">
        <v>3131</v>
      </c>
      <c r="C593" s="852">
        <v>79724.990000000005</v>
      </c>
    </row>
    <row r="594" spans="1:3" x14ac:dyDescent="0.25">
      <c r="A594" s="854" t="s">
        <v>4044</v>
      </c>
      <c r="B594" s="829" t="s">
        <v>4440</v>
      </c>
      <c r="C594" s="852">
        <v>0</v>
      </c>
    </row>
    <row r="595" spans="1:3" x14ac:dyDescent="0.25">
      <c r="A595" s="829">
        <v>96521</v>
      </c>
      <c r="B595" s="829" t="s">
        <v>3133</v>
      </c>
      <c r="C595" s="852">
        <v>427905.03</v>
      </c>
    </row>
    <row r="596" spans="1:3" x14ac:dyDescent="0.25">
      <c r="A596" s="829">
        <v>96531</v>
      </c>
      <c r="B596" s="829" t="s">
        <v>3134</v>
      </c>
      <c r="C596" s="852">
        <v>4035511.38</v>
      </c>
    </row>
    <row r="597" spans="1:3" x14ac:dyDescent="0.25">
      <c r="A597" s="829">
        <v>96541</v>
      </c>
      <c r="B597" s="829" t="s">
        <v>3135</v>
      </c>
      <c r="C597" s="852">
        <v>170179.71</v>
      </c>
    </row>
    <row r="598" spans="1:3" x14ac:dyDescent="0.25">
      <c r="A598" s="829">
        <v>96601</v>
      </c>
      <c r="B598" s="829" t="s">
        <v>3136</v>
      </c>
      <c r="C598" s="852">
        <v>825607.21</v>
      </c>
    </row>
    <row r="599" spans="1:3" x14ac:dyDescent="0.25">
      <c r="A599" s="829">
        <v>96604</v>
      </c>
      <c r="B599" s="829" t="s">
        <v>3137</v>
      </c>
      <c r="C599" s="852">
        <v>4896.1499999999996</v>
      </c>
    </row>
    <row r="600" spans="1:3" x14ac:dyDescent="0.25">
      <c r="A600" s="829">
        <v>96611</v>
      </c>
      <c r="B600" s="829" t="s">
        <v>3138</v>
      </c>
      <c r="C600" s="852">
        <v>12911.22</v>
      </c>
    </row>
    <row r="601" spans="1:3" x14ac:dyDescent="0.25">
      <c r="A601" s="829">
        <v>96612</v>
      </c>
      <c r="B601" s="829" t="s">
        <v>3139</v>
      </c>
      <c r="C601" s="852">
        <v>31707.24</v>
      </c>
    </row>
    <row r="602" spans="1:3" x14ac:dyDescent="0.25">
      <c r="A602" s="829">
        <v>96621</v>
      </c>
      <c r="B602" s="829" t="s">
        <v>3140</v>
      </c>
      <c r="C602" s="852">
        <v>12605.04</v>
      </c>
    </row>
    <row r="603" spans="1:3" x14ac:dyDescent="0.25">
      <c r="A603" s="829">
        <v>96631</v>
      </c>
      <c r="B603" s="829" t="s">
        <v>3141</v>
      </c>
      <c r="C603" s="852">
        <v>12532.91</v>
      </c>
    </row>
    <row r="604" spans="1:3" x14ac:dyDescent="0.25">
      <c r="A604" s="829">
        <v>96641</v>
      </c>
      <c r="B604" s="829" t="s">
        <v>3142</v>
      </c>
      <c r="C604" s="852">
        <v>22010.240000000002</v>
      </c>
    </row>
    <row r="605" spans="1:3" x14ac:dyDescent="0.25">
      <c r="A605" s="829">
        <v>96651</v>
      </c>
      <c r="B605" s="829" t="s">
        <v>3143</v>
      </c>
      <c r="C605" s="852">
        <v>9566.34</v>
      </c>
    </row>
    <row r="606" spans="1:3" x14ac:dyDescent="0.25">
      <c r="A606" s="829">
        <v>96661</v>
      </c>
      <c r="B606" s="829" t="s">
        <v>3144</v>
      </c>
      <c r="C606" s="852">
        <v>10878.91</v>
      </c>
    </row>
    <row r="607" spans="1:3" x14ac:dyDescent="0.25">
      <c r="A607" s="829">
        <v>96671</v>
      </c>
      <c r="B607" s="829" t="s">
        <v>3145</v>
      </c>
      <c r="C607" s="852">
        <v>8886.56</v>
      </c>
    </row>
    <row r="608" spans="1:3" x14ac:dyDescent="0.25">
      <c r="A608" s="829">
        <v>96681</v>
      </c>
      <c r="B608" s="829" t="s">
        <v>3146</v>
      </c>
      <c r="C608" s="852">
        <v>15491.97</v>
      </c>
    </row>
    <row r="609" spans="1:3" x14ac:dyDescent="0.25">
      <c r="A609" s="829">
        <v>96701</v>
      </c>
      <c r="B609" s="829" t="s">
        <v>3147</v>
      </c>
      <c r="C609" s="852">
        <v>3929619.07</v>
      </c>
    </row>
    <row r="610" spans="1:3" x14ac:dyDescent="0.25">
      <c r="A610" s="829">
        <v>96704</v>
      </c>
      <c r="B610" s="829" t="s">
        <v>3148</v>
      </c>
      <c r="C610" s="852">
        <v>106960.89</v>
      </c>
    </row>
    <row r="611" spans="1:3" x14ac:dyDescent="0.25">
      <c r="A611" s="829">
        <v>96708</v>
      </c>
      <c r="B611" s="829" t="s">
        <v>3149</v>
      </c>
      <c r="C611" s="852">
        <v>480567.68</v>
      </c>
    </row>
    <row r="612" spans="1:3" x14ac:dyDescent="0.25">
      <c r="A612" s="829">
        <v>96711</v>
      </c>
      <c r="B612" s="829" t="s">
        <v>3150</v>
      </c>
      <c r="C612" s="852">
        <v>1894102.22</v>
      </c>
    </row>
    <row r="613" spans="1:3" x14ac:dyDescent="0.25">
      <c r="A613" s="829">
        <v>96721</v>
      </c>
      <c r="B613" s="829" t="s">
        <v>3151</v>
      </c>
      <c r="C613" s="852">
        <v>104621.36</v>
      </c>
    </row>
    <row r="614" spans="1:3" x14ac:dyDescent="0.25">
      <c r="A614" s="829">
        <v>96731</v>
      </c>
      <c r="B614" s="829" t="s">
        <v>3152</v>
      </c>
      <c r="C614" s="852">
        <v>80631.55</v>
      </c>
    </row>
    <row r="615" spans="1:3" x14ac:dyDescent="0.25">
      <c r="A615" s="829">
        <v>96733</v>
      </c>
      <c r="B615" s="829" t="s">
        <v>3153</v>
      </c>
      <c r="C615" s="852">
        <v>4498.5200000000004</v>
      </c>
    </row>
    <row r="616" spans="1:3" x14ac:dyDescent="0.25">
      <c r="A616" s="829">
        <v>96741</v>
      </c>
      <c r="B616" s="829" t="s">
        <v>3154</v>
      </c>
      <c r="C616" s="852">
        <v>44667.78</v>
      </c>
    </row>
    <row r="617" spans="1:3" x14ac:dyDescent="0.25">
      <c r="A617" s="829">
        <v>96751</v>
      </c>
      <c r="B617" s="829" t="s">
        <v>3155</v>
      </c>
      <c r="C617" s="852">
        <v>119909.43</v>
      </c>
    </row>
    <row r="618" spans="1:3" x14ac:dyDescent="0.25">
      <c r="A618" s="829">
        <v>96801</v>
      </c>
      <c r="B618" s="829" t="s">
        <v>3156</v>
      </c>
      <c r="C618" s="852">
        <v>3782424.64</v>
      </c>
    </row>
    <row r="619" spans="1:3" x14ac:dyDescent="0.25">
      <c r="A619" s="829">
        <v>96804</v>
      </c>
      <c r="B619" s="829" t="s">
        <v>3157</v>
      </c>
      <c r="C619" s="852">
        <v>109632.67</v>
      </c>
    </row>
    <row r="620" spans="1:3" x14ac:dyDescent="0.25">
      <c r="A620" s="829">
        <v>96808</v>
      </c>
      <c r="B620" s="829" t="s">
        <v>3158</v>
      </c>
      <c r="C620" s="852">
        <v>612313.68999999994</v>
      </c>
    </row>
    <row r="621" spans="1:3" x14ac:dyDescent="0.25">
      <c r="A621" s="829">
        <v>96811</v>
      </c>
      <c r="B621" s="829" t="s">
        <v>3159</v>
      </c>
      <c r="C621" s="852">
        <v>2828120.43</v>
      </c>
    </row>
    <row r="622" spans="1:3" x14ac:dyDescent="0.25">
      <c r="A622" s="829">
        <v>96821</v>
      </c>
      <c r="B622" s="829" t="s">
        <v>3160</v>
      </c>
      <c r="C622" s="852">
        <v>606075.74</v>
      </c>
    </row>
    <row r="623" spans="1:3" x14ac:dyDescent="0.25">
      <c r="A623" s="829">
        <v>96831</v>
      </c>
      <c r="B623" s="829" t="s">
        <v>3161</v>
      </c>
      <c r="C623" s="852">
        <v>437767.04</v>
      </c>
    </row>
    <row r="624" spans="1:3" x14ac:dyDescent="0.25">
      <c r="A624" s="829">
        <v>96901</v>
      </c>
      <c r="B624" s="829" t="s">
        <v>3162</v>
      </c>
      <c r="C624" s="852">
        <v>449406.94</v>
      </c>
    </row>
    <row r="625" spans="1:3" x14ac:dyDescent="0.25">
      <c r="A625" s="829">
        <v>96911</v>
      </c>
      <c r="B625" s="829" t="s">
        <v>3163</v>
      </c>
      <c r="C625" s="852">
        <v>2452.13</v>
      </c>
    </row>
    <row r="626" spans="1:3" x14ac:dyDescent="0.25">
      <c r="A626" s="829">
        <v>96912</v>
      </c>
      <c r="B626" s="829" t="s">
        <v>3164</v>
      </c>
      <c r="C626" s="852">
        <v>26729.279999999999</v>
      </c>
    </row>
    <row r="627" spans="1:3" x14ac:dyDescent="0.25">
      <c r="A627" s="829">
        <v>96918</v>
      </c>
      <c r="B627" s="829" t="s">
        <v>3165</v>
      </c>
      <c r="C627" s="852">
        <v>16749.66</v>
      </c>
    </row>
    <row r="628" spans="1:3" x14ac:dyDescent="0.25">
      <c r="A628" s="829">
        <v>97001</v>
      </c>
      <c r="B628" s="829" t="s">
        <v>3166</v>
      </c>
      <c r="C628" s="852">
        <v>742552.9</v>
      </c>
    </row>
    <row r="629" spans="1:3" x14ac:dyDescent="0.25">
      <c r="A629" s="829">
        <v>97002</v>
      </c>
      <c r="B629" s="829" t="s">
        <v>3167</v>
      </c>
      <c r="C629" s="852">
        <v>185928.29</v>
      </c>
    </row>
    <row r="630" spans="1:3" x14ac:dyDescent="0.25">
      <c r="A630" s="829">
        <v>97004</v>
      </c>
      <c r="B630" s="829" t="s">
        <v>3168</v>
      </c>
      <c r="C630" s="852">
        <v>8806.36</v>
      </c>
    </row>
    <row r="631" spans="1:3" x14ac:dyDescent="0.25">
      <c r="A631" s="829">
        <v>97005</v>
      </c>
      <c r="B631" s="829" t="s">
        <v>3169</v>
      </c>
      <c r="C631" s="852">
        <v>14967.8</v>
      </c>
    </row>
    <row r="632" spans="1:3" x14ac:dyDescent="0.25">
      <c r="A632" s="829">
        <v>97008</v>
      </c>
      <c r="B632" s="829" t="s">
        <v>3170</v>
      </c>
      <c r="C632" s="852">
        <v>139745.68</v>
      </c>
    </row>
    <row r="633" spans="1:3" x14ac:dyDescent="0.25">
      <c r="A633" s="829">
        <v>97011</v>
      </c>
      <c r="B633" s="829" t="s">
        <v>3172</v>
      </c>
      <c r="C633" s="852">
        <v>918572.95</v>
      </c>
    </row>
    <row r="634" spans="1:3" x14ac:dyDescent="0.25">
      <c r="A634" s="829">
        <v>97012</v>
      </c>
      <c r="B634" s="829" t="s">
        <v>3173</v>
      </c>
      <c r="C634" s="852">
        <v>18023.54</v>
      </c>
    </row>
    <row r="635" spans="1:3" x14ac:dyDescent="0.25">
      <c r="A635" s="829">
        <v>97013</v>
      </c>
      <c r="B635" s="829" t="s">
        <v>3174</v>
      </c>
      <c r="C635" s="852">
        <v>11938.57</v>
      </c>
    </row>
    <row r="636" spans="1:3" x14ac:dyDescent="0.25">
      <c r="A636" s="829">
        <v>97015</v>
      </c>
      <c r="B636" s="829" t="s">
        <v>3175</v>
      </c>
      <c r="C636" s="852">
        <v>25312.84</v>
      </c>
    </row>
    <row r="637" spans="1:3" x14ac:dyDescent="0.25">
      <c r="A637" s="829">
        <v>97018</v>
      </c>
      <c r="B637" s="829" t="s">
        <v>3176</v>
      </c>
      <c r="C637" s="852">
        <v>8583.6</v>
      </c>
    </row>
    <row r="638" spans="1:3" x14ac:dyDescent="0.25">
      <c r="A638" s="829">
        <v>97101</v>
      </c>
      <c r="B638" s="829" t="s">
        <v>3177</v>
      </c>
      <c r="C638" s="852">
        <v>1330859.4099999999</v>
      </c>
    </row>
    <row r="639" spans="1:3" x14ac:dyDescent="0.25">
      <c r="A639" s="829">
        <v>97104</v>
      </c>
      <c r="B639" s="829" t="s">
        <v>3178</v>
      </c>
      <c r="C639" s="852">
        <v>32872.47</v>
      </c>
    </row>
    <row r="640" spans="1:3" x14ac:dyDescent="0.25">
      <c r="A640" s="829">
        <v>97111</v>
      </c>
      <c r="B640" s="829" t="s">
        <v>3179</v>
      </c>
      <c r="C640" s="852">
        <v>129965.59</v>
      </c>
    </row>
    <row r="641" spans="1:3" x14ac:dyDescent="0.25">
      <c r="A641" s="829">
        <v>97121</v>
      </c>
      <c r="B641" s="829" t="s">
        <v>3180</v>
      </c>
      <c r="C641" s="852">
        <v>76175.850000000006</v>
      </c>
    </row>
    <row r="642" spans="1:3" x14ac:dyDescent="0.25">
      <c r="A642" s="829">
        <v>97131</v>
      </c>
      <c r="B642" s="829" t="s">
        <v>3181</v>
      </c>
      <c r="C642" s="852">
        <v>265411.49</v>
      </c>
    </row>
    <row r="643" spans="1:3" x14ac:dyDescent="0.25">
      <c r="A643" s="829">
        <v>97201</v>
      </c>
      <c r="B643" s="829" t="s">
        <v>3182</v>
      </c>
      <c r="C643" s="852">
        <v>262236.90999999997</v>
      </c>
    </row>
    <row r="644" spans="1:3" x14ac:dyDescent="0.25">
      <c r="A644" s="829">
        <v>97211</v>
      </c>
      <c r="B644" s="829" t="s">
        <v>3183</v>
      </c>
      <c r="C644" s="852">
        <v>77866.37</v>
      </c>
    </row>
    <row r="645" spans="1:3" x14ac:dyDescent="0.25">
      <c r="A645" s="829">
        <v>97213</v>
      </c>
      <c r="B645" s="829" t="s">
        <v>3184</v>
      </c>
      <c r="C645" s="852">
        <v>21662.31</v>
      </c>
    </row>
    <row r="646" spans="1:3" x14ac:dyDescent="0.25">
      <c r="A646" s="829">
        <v>97217</v>
      </c>
      <c r="B646" s="829" t="s">
        <v>3185</v>
      </c>
      <c r="C646" s="852">
        <v>6450.3</v>
      </c>
    </row>
    <row r="647" spans="1:3" x14ac:dyDescent="0.25">
      <c r="A647" s="829">
        <v>97221</v>
      </c>
      <c r="B647" s="829" t="s">
        <v>3186</v>
      </c>
      <c r="C647" s="852">
        <v>6192.47</v>
      </c>
    </row>
    <row r="648" spans="1:3" x14ac:dyDescent="0.25">
      <c r="A648" s="829">
        <v>97301</v>
      </c>
      <c r="B648" s="829" t="s">
        <v>3187</v>
      </c>
      <c r="C648" s="852">
        <v>1231027.8799999999</v>
      </c>
    </row>
    <row r="649" spans="1:3" x14ac:dyDescent="0.25">
      <c r="A649" s="829">
        <v>97304</v>
      </c>
      <c r="B649" s="829" t="s">
        <v>3188</v>
      </c>
      <c r="C649" s="852">
        <v>13751.59</v>
      </c>
    </row>
    <row r="650" spans="1:3" x14ac:dyDescent="0.25">
      <c r="A650" s="829">
        <v>97311</v>
      </c>
      <c r="B650" s="829" t="s">
        <v>3189</v>
      </c>
      <c r="C650" s="852">
        <v>427971.84000000003</v>
      </c>
    </row>
    <row r="651" spans="1:3" x14ac:dyDescent="0.25">
      <c r="A651" s="829">
        <v>97401</v>
      </c>
      <c r="B651" s="829" t="s">
        <v>3190</v>
      </c>
      <c r="C651" s="852">
        <v>3585248.73</v>
      </c>
    </row>
    <row r="652" spans="1:3" x14ac:dyDescent="0.25">
      <c r="A652" s="829">
        <v>97402</v>
      </c>
      <c r="B652" s="829" t="s">
        <v>3191</v>
      </c>
      <c r="C652" s="852">
        <v>26436.66</v>
      </c>
    </row>
    <row r="653" spans="1:3" x14ac:dyDescent="0.25">
      <c r="A653" s="829">
        <v>97404</v>
      </c>
      <c r="B653" s="829" t="s">
        <v>3192</v>
      </c>
      <c r="C653" s="852">
        <v>90667.81</v>
      </c>
    </row>
    <row r="654" spans="1:3" x14ac:dyDescent="0.25">
      <c r="A654" s="829">
        <v>97405</v>
      </c>
      <c r="B654" s="829" t="s">
        <v>3193</v>
      </c>
      <c r="C654" s="852">
        <v>71138.850000000006</v>
      </c>
    </row>
    <row r="655" spans="1:3" x14ac:dyDescent="0.25">
      <c r="A655" s="829">
        <v>97408</v>
      </c>
      <c r="B655" s="829" t="s">
        <v>3194</v>
      </c>
      <c r="C655" s="852">
        <v>25129.97</v>
      </c>
    </row>
    <row r="656" spans="1:3" x14ac:dyDescent="0.25">
      <c r="A656" s="829">
        <v>97411</v>
      </c>
      <c r="B656" s="829" t="s">
        <v>3195</v>
      </c>
      <c r="C656" s="852">
        <v>3028532.57</v>
      </c>
    </row>
    <row r="657" spans="1:3" x14ac:dyDescent="0.25">
      <c r="A657" s="829">
        <v>97412</v>
      </c>
      <c r="B657" s="829" t="s">
        <v>3196</v>
      </c>
      <c r="C657" s="852">
        <v>2270407.41</v>
      </c>
    </row>
    <row r="658" spans="1:3" x14ac:dyDescent="0.25">
      <c r="A658" s="829">
        <v>97413</v>
      </c>
      <c r="B658" s="829" t="s">
        <v>3197</v>
      </c>
      <c r="C658" s="852">
        <v>148219.56</v>
      </c>
    </row>
    <row r="659" spans="1:3" x14ac:dyDescent="0.25">
      <c r="A659" s="829">
        <v>97421</v>
      </c>
      <c r="B659" s="829" t="s">
        <v>3198</v>
      </c>
      <c r="C659" s="852">
        <v>210610.72</v>
      </c>
    </row>
    <row r="660" spans="1:3" x14ac:dyDescent="0.25">
      <c r="A660" s="829">
        <v>97423</v>
      </c>
      <c r="B660" s="829" t="s">
        <v>3199</v>
      </c>
      <c r="C660" s="852">
        <v>40514.76</v>
      </c>
    </row>
    <row r="661" spans="1:3" x14ac:dyDescent="0.25">
      <c r="A661" s="829">
        <v>97431</v>
      </c>
      <c r="B661" s="829" t="s">
        <v>3200</v>
      </c>
      <c r="C661" s="852">
        <v>50715.32</v>
      </c>
    </row>
    <row r="662" spans="1:3" x14ac:dyDescent="0.25">
      <c r="A662" s="829">
        <v>97441</v>
      </c>
      <c r="B662" s="829" t="s">
        <v>3201</v>
      </c>
      <c r="C662" s="852">
        <v>21551.56</v>
      </c>
    </row>
    <row r="663" spans="1:3" x14ac:dyDescent="0.25">
      <c r="A663" s="829">
        <v>97451</v>
      </c>
      <c r="B663" s="829" t="s">
        <v>3202</v>
      </c>
      <c r="C663" s="852">
        <v>257107.71</v>
      </c>
    </row>
    <row r="664" spans="1:3" x14ac:dyDescent="0.25">
      <c r="A664" s="854" t="s">
        <v>4236</v>
      </c>
      <c r="B664" s="829" t="s">
        <v>3203</v>
      </c>
      <c r="C664" s="852">
        <v>234518.87</v>
      </c>
    </row>
    <row r="665" spans="1:3" x14ac:dyDescent="0.25">
      <c r="A665" s="854" t="s">
        <v>4238</v>
      </c>
      <c r="B665" s="829" t="s">
        <v>3204</v>
      </c>
      <c r="C665" s="852">
        <v>8702.26</v>
      </c>
    </row>
    <row r="666" spans="1:3" x14ac:dyDescent="0.25">
      <c r="A666" s="854">
        <v>97461</v>
      </c>
      <c r="B666" s="829" t="s">
        <v>3203</v>
      </c>
      <c r="C666" s="852">
        <f>SUM(C664:C665)</f>
        <v>243221.13</v>
      </c>
    </row>
    <row r="667" spans="1:3" x14ac:dyDescent="0.25">
      <c r="A667" s="829">
        <v>97471</v>
      </c>
      <c r="B667" s="829" t="s">
        <v>3205</v>
      </c>
      <c r="C667" s="852">
        <v>12311.93</v>
      </c>
    </row>
    <row r="668" spans="1:3" x14ac:dyDescent="0.25">
      <c r="A668" s="829">
        <v>97481</v>
      </c>
      <c r="B668" s="829" t="s">
        <v>3206</v>
      </c>
      <c r="C668" s="852">
        <v>4407.68</v>
      </c>
    </row>
    <row r="669" spans="1:3" x14ac:dyDescent="0.25">
      <c r="A669" s="829">
        <v>97501</v>
      </c>
      <c r="B669" s="829" t="s">
        <v>3208</v>
      </c>
      <c r="C669" s="852">
        <v>543678.36</v>
      </c>
    </row>
    <row r="670" spans="1:3" x14ac:dyDescent="0.25">
      <c r="A670" s="829">
        <v>97511</v>
      </c>
      <c r="B670" s="829" t="s">
        <v>3209</v>
      </c>
      <c r="C670" s="852">
        <v>102058.77</v>
      </c>
    </row>
    <row r="671" spans="1:3" x14ac:dyDescent="0.25">
      <c r="A671" s="829">
        <v>97521</v>
      </c>
      <c r="B671" s="829" t="s">
        <v>3210</v>
      </c>
      <c r="C671" s="852">
        <v>58326.6</v>
      </c>
    </row>
    <row r="672" spans="1:3" x14ac:dyDescent="0.25">
      <c r="A672" s="829">
        <v>97527</v>
      </c>
      <c r="B672" s="829" t="s">
        <v>3846</v>
      </c>
      <c r="C672" s="852">
        <v>3761.73</v>
      </c>
    </row>
    <row r="673" spans="1:3" x14ac:dyDescent="0.25">
      <c r="A673" s="829">
        <v>97531</v>
      </c>
      <c r="B673" s="829" t="s">
        <v>3211</v>
      </c>
      <c r="C673" s="852">
        <v>29948.85</v>
      </c>
    </row>
    <row r="674" spans="1:3" x14ac:dyDescent="0.25">
      <c r="A674" s="829">
        <v>97601</v>
      </c>
      <c r="B674" s="829" t="s">
        <v>3212</v>
      </c>
      <c r="C674" s="852">
        <v>2483068.88</v>
      </c>
    </row>
    <row r="675" spans="1:3" x14ac:dyDescent="0.25">
      <c r="A675" s="829">
        <v>97607</v>
      </c>
      <c r="B675" s="829" t="s">
        <v>3213</v>
      </c>
      <c r="C675" s="852">
        <v>18882.38</v>
      </c>
    </row>
    <row r="676" spans="1:3" x14ac:dyDescent="0.25">
      <c r="A676" s="829">
        <v>97611</v>
      </c>
      <c r="B676" s="829" t="s">
        <v>3214</v>
      </c>
      <c r="C676" s="852">
        <v>1130810.3999999999</v>
      </c>
    </row>
    <row r="677" spans="1:3" x14ac:dyDescent="0.25">
      <c r="A677" s="829">
        <v>97613</v>
      </c>
      <c r="B677" s="829" t="s">
        <v>3215</v>
      </c>
      <c r="C677" s="852">
        <v>63111.42</v>
      </c>
    </row>
    <row r="678" spans="1:3" x14ac:dyDescent="0.25">
      <c r="A678" s="829">
        <v>97621</v>
      </c>
      <c r="B678" s="829" t="s">
        <v>3216</v>
      </c>
      <c r="C678" s="852">
        <v>187775.93</v>
      </c>
    </row>
    <row r="679" spans="1:3" x14ac:dyDescent="0.25">
      <c r="A679" s="829">
        <v>97623</v>
      </c>
      <c r="B679" s="829" t="s">
        <v>3217</v>
      </c>
      <c r="C679" s="852">
        <v>11408.9</v>
      </c>
    </row>
    <row r="680" spans="1:3" x14ac:dyDescent="0.25">
      <c r="A680" s="829">
        <v>97627</v>
      </c>
      <c r="B680" s="829" t="s">
        <v>3218</v>
      </c>
      <c r="C680" s="852">
        <v>5463.33</v>
      </c>
    </row>
    <row r="681" spans="1:3" x14ac:dyDescent="0.25">
      <c r="A681" s="829">
        <v>97631</v>
      </c>
      <c r="B681" s="829" t="s">
        <v>3219</v>
      </c>
      <c r="C681" s="852">
        <v>92382.77</v>
      </c>
    </row>
    <row r="682" spans="1:3" x14ac:dyDescent="0.25">
      <c r="A682" s="829">
        <v>97637</v>
      </c>
      <c r="B682" s="829" t="s">
        <v>3220</v>
      </c>
      <c r="C682" s="852">
        <v>3307.56</v>
      </c>
    </row>
    <row r="683" spans="1:3" x14ac:dyDescent="0.25">
      <c r="A683" s="829">
        <v>97641</v>
      </c>
      <c r="B683" s="829" t="s">
        <v>3221</v>
      </c>
      <c r="C683" s="852">
        <v>30439.01</v>
      </c>
    </row>
    <row r="684" spans="1:3" x14ac:dyDescent="0.25">
      <c r="A684" s="829">
        <v>97651</v>
      </c>
      <c r="B684" s="829" t="s">
        <v>3222</v>
      </c>
      <c r="C684" s="852">
        <v>232693.75</v>
      </c>
    </row>
    <row r="685" spans="1:3" x14ac:dyDescent="0.25">
      <c r="A685" s="829">
        <v>97661</v>
      </c>
      <c r="B685" s="829" t="s">
        <v>3223</v>
      </c>
      <c r="C685" s="852">
        <v>25899.94</v>
      </c>
    </row>
    <row r="686" spans="1:3" x14ac:dyDescent="0.25">
      <c r="A686" s="829">
        <v>97701</v>
      </c>
      <c r="B686" s="829" t="s">
        <v>3224</v>
      </c>
      <c r="C686" s="852">
        <v>1244784.92</v>
      </c>
    </row>
    <row r="687" spans="1:3" x14ac:dyDescent="0.25">
      <c r="A687" s="829">
        <v>97705</v>
      </c>
      <c r="B687" s="829" t="s">
        <v>3225</v>
      </c>
      <c r="C687" s="852">
        <v>23599.25</v>
      </c>
    </row>
    <row r="688" spans="1:3" x14ac:dyDescent="0.25">
      <c r="A688" s="829">
        <v>97711</v>
      </c>
      <c r="B688" s="829" t="s">
        <v>3226</v>
      </c>
      <c r="C688" s="852">
        <v>457009.62</v>
      </c>
    </row>
    <row r="689" spans="1:3" x14ac:dyDescent="0.25">
      <c r="A689" s="829">
        <v>97713</v>
      </c>
      <c r="B689" s="829" t="s">
        <v>3227</v>
      </c>
      <c r="C689" s="852">
        <v>21943.34</v>
      </c>
    </row>
    <row r="690" spans="1:3" x14ac:dyDescent="0.25">
      <c r="A690" s="829">
        <v>97717</v>
      </c>
      <c r="B690" s="829" t="s">
        <v>3228</v>
      </c>
      <c r="C690" s="852">
        <v>2473.4699999999998</v>
      </c>
    </row>
    <row r="691" spans="1:3" x14ac:dyDescent="0.25">
      <c r="A691" s="829">
        <v>97721</v>
      </c>
      <c r="B691" s="829" t="s">
        <v>3229</v>
      </c>
      <c r="C691" s="852">
        <v>271324.76</v>
      </c>
    </row>
    <row r="692" spans="1:3" x14ac:dyDescent="0.25">
      <c r="A692" s="829">
        <v>97727</v>
      </c>
      <c r="B692" s="829" t="s">
        <v>3230</v>
      </c>
      <c r="C692" s="852">
        <v>11178.52</v>
      </c>
    </row>
    <row r="693" spans="1:3" x14ac:dyDescent="0.25">
      <c r="A693" s="829">
        <v>97731</v>
      </c>
      <c r="B693" s="829" t="s">
        <v>3231</v>
      </c>
      <c r="C693" s="852">
        <v>19915.73</v>
      </c>
    </row>
    <row r="694" spans="1:3" x14ac:dyDescent="0.25">
      <c r="A694" s="829">
        <v>97801</v>
      </c>
      <c r="B694" s="829" t="s">
        <v>3560</v>
      </c>
      <c r="C694" s="852">
        <v>3252423.91</v>
      </c>
    </row>
    <row r="695" spans="1:3" x14ac:dyDescent="0.25">
      <c r="A695" s="829">
        <v>97802</v>
      </c>
      <c r="B695" s="829" t="s">
        <v>3233</v>
      </c>
      <c r="C695" s="852">
        <v>84582.720000000001</v>
      </c>
    </row>
    <row r="696" spans="1:3" x14ac:dyDescent="0.25">
      <c r="A696" s="829">
        <v>97803</v>
      </c>
      <c r="B696" s="829" t="s">
        <v>3234</v>
      </c>
      <c r="C696" s="852">
        <v>39273.5</v>
      </c>
    </row>
    <row r="697" spans="1:3" x14ac:dyDescent="0.25">
      <c r="A697" s="829">
        <v>97805</v>
      </c>
      <c r="B697" s="829" t="s">
        <v>3235</v>
      </c>
      <c r="C697" s="852">
        <v>42170.28</v>
      </c>
    </row>
    <row r="698" spans="1:3" x14ac:dyDescent="0.25">
      <c r="A698" s="829">
        <v>97811</v>
      </c>
      <c r="B698" s="829" t="s">
        <v>3236</v>
      </c>
      <c r="C698" s="852">
        <v>1170323.8600000001</v>
      </c>
    </row>
    <row r="699" spans="1:3" x14ac:dyDescent="0.25">
      <c r="A699" s="829">
        <v>97817</v>
      </c>
      <c r="B699" s="829" t="s">
        <v>3237</v>
      </c>
      <c r="C699" s="852">
        <v>13790.33</v>
      </c>
    </row>
    <row r="700" spans="1:3" x14ac:dyDescent="0.25">
      <c r="A700" s="829">
        <v>97818</v>
      </c>
      <c r="B700" s="829" t="s">
        <v>3238</v>
      </c>
      <c r="C700" s="852">
        <v>10225.219999999999</v>
      </c>
    </row>
    <row r="701" spans="1:3" x14ac:dyDescent="0.25">
      <c r="A701" s="829">
        <v>97821</v>
      </c>
      <c r="B701" s="829" t="s">
        <v>3239</v>
      </c>
      <c r="C701" s="852">
        <v>68059.789999999994</v>
      </c>
    </row>
    <row r="702" spans="1:3" x14ac:dyDescent="0.25">
      <c r="A702" s="829">
        <v>97823</v>
      </c>
      <c r="B702" s="829" t="s">
        <v>3240</v>
      </c>
      <c r="C702" s="852">
        <v>11236.36</v>
      </c>
    </row>
    <row r="703" spans="1:3" x14ac:dyDescent="0.25">
      <c r="A703" s="829">
        <v>97831</v>
      </c>
      <c r="B703" s="829" t="s">
        <v>3241</v>
      </c>
      <c r="C703" s="852">
        <v>86433.49</v>
      </c>
    </row>
    <row r="704" spans="1:3" x14ac:dyDescent="0.25">
      <c r="A704" s="829">
        <v>97837</v>
      </c>
      <c r="B704" s="829" t="s">
        <v>3242</v>
      </c>
      <c r="C704" s="852">
        <v>7118.4</v>
      </c>
    </row>
    <row r="705" spans="1:3" x14ac:dyDescent="0.25">
      <c r="A705" s="829">
        <v>97840</v>
      </c>
      <c r="B705" s="829" t="s">
        <v>3243</v>
      </c>
      <c r="C705" s="852">
        <v>115822.16</v>
      </c>
    </row>
    <row r="706" spans="1:3" x14ac:dyDescent="0.25">
      <c r="A706" s="829">
        <v>97841</v>
      </c>
      <c r="B706" s="829" t="s">
        <v>3244</v>
      </c>
      <c r="C706" s="852">
        <v>6778.58</v>
      </c>
    </row>
    <row r="707" spans="1:3" x14ac:dyDescent="0.25">
      <c r="A707" s="829">
        <v>97847</v>
      </c>
      <c r="B707" s="829" t="s">
        <v>3245</v>
      </c>
      <c r="C707" s="852">
        <v>2336.88</v>
      </c>
    </row>
    <row r="708" spans="1:3" x14ac:dyDescent="0.25">
      <c r="A708" s="829">
        <v>97851</v>
      </c>
      <c r="B708" s="829" t="s">
        <v>3246</v>
      </c>
      <c r="C708" s="852">
        <v>115501.54</v>
      </c>
    </row>
    <row r="709" spans="1:3" x14ac:dyDescent="0.25">
      <c r="A709" s="829">
        <v>97853</v>
      </c>
      <c r="B709" s="829" t="s">
        <v>3247</v>
      </c>
      <c r="C709" s="852">
        <v>40633.69</v>
      </c>
    </row>
    <row r="710" spans="1:3" x14ac:dyDescent="0.25">
      <c r="A710" s="829">
        <v>97861</v>
      </c>
      <c r="B710" s="829" t="s">
        <v>3248</v>
      </c>
      <c r="C710" s="852">
        <v>26837.61</v>
      </c>
    </row>
    <row r="711" spans="1:3" x14ac:dyDescent="0.25">
      <c r="A711" s="829">
        <v>97871</v>
      </c>
      <c r="B711" s="829" t="s">
        <v>3249</v>
      </c>
      <c r="C711" s="852">
        <v>295105.89</v>
      </c>
    </row>
    <row r="712" spans="1:3" x14ac:dyDescent="0.25">
      <c r="A712" s="829">
        <v>97877</v>
      </c>
      <c r="B712" s="829" t="s">
        <v>3250</v>
      </c>
      <c r="C712" s="852">
        <v>2779.92</v>
      </c>
    </row>
    <row r="713" spans="1:3" x14ac:dyDescent="0.25">
      <c r="A713" s="829">
        <v>97901</v>
      </c>
      <c r="B713" s="829" t="s">
        <v>3251</v>
      </c>
      <c r="C713" s="852">
        <v>2084645.48</v>
      </c>
    </row>
    <row r="714" spans="1:3" x14ac:dyDescent="0.25">
      <c r="A714" s="829">
        <v>97911</v>
      </c>
      <c r="B714" s="829" t="s">
        <v>3252</v>
      </c>
      <c r="C714" s="852">
        <v>644048.35</v>
      </c>
    </row>
    <row r="715" spans="1:3" x14ac:dyDescent="0.25">
      <c r="A715" s="829">
        <v>97913</v>
      </c>
      <c r="B715" s="829" t="s">
        <v>3253</v>
      </c>
      <c r="C715" s="852">
        <v>27203.83</v>
      </c>
    </row>
    <row r="716" spans="1:3" x14ac:dyDescent="0.25">
      <c r="A716" s="829">
        <v>97917</v>
      </c>
      <c r="B716" s="829" t="s">
        <v>3254</v>
      </c>
      <c r="C716" s="852">
        <v>13764.36</v>
      </c>
    </row>
    <row r="717" spans="1:3" x14ac:dyDescent="0.25">
      <c r="A717" s="829">
        <v>97921</v>
      </c>
      <c r="B717" s="829" t="s">
        <v>3255</v>
      </c>
      <c r="C717" s="852">
        <v>111642.37</v>
      </c>
    </row>
    <row r="718" spans="1:3" x14ac:dyDescent="0.25">
      <c r="A718" s="829">
        <v>97931</v>
      </c>
      <c r="B718" s="829" t="s">
        <v>3256</v>
      </c>
      <c r="C718" s="852">
        <v>33195.64</v>
      </c>
    </row>
    <row r="719" spans="1:3" x14ac:dyDescent="0.25">
      <c r="A719" s="829">
        <v>97941</v>
      </c>
      <c r="B719" s="829" t="s">
        <v>3257</v>
      </c>
      <c r="C719" s="852">
        <v>115094.14</v>
      </c>
    </row>
    <row r="720" spans="1:3" x14ac:dyDescent="0.25">
      <c r="A720" s="829">
        <v>97947</v>
      </c>
      <c r="B720" s="829" t="s">
        <v>3258</v>
      </c>
      <c r="C720" s="852">
        <v>13148.63</v>
      </c>
    </row>
    <row r="721" spans="1:3" x14ac:dyDescent="0.25">
      <c r="A721" s="829">
        <v>97948</v>
      </c>
      <c r="B721" s="829" t="s">
        <v>3259</v>
      </c>
      <c r="C721" s="852">
        <v>11621.97</v>
      </c>
    </row>
    <row r="722" spans="1:3" x14ac:dyDescent="0.25">
      <c r="A722" s="829">
        <v>97951</v>
      </c>
      <c r="B722" s="829" t="s">
        <v>3260</v>
      </c>
      <c r="C722" s="852">
        <v>633574.65</v>
      </c>
    </row>
    <row r="723" spans="1:3" x14ac:dyDescent="0.25">
      <c r="A723" s="829">
        <v>97957</v>
      </c>
      <c r="B723" s="829" t="s">
        <v>3261</v>
      </c>
      <c r="C723" s="852">
        <v>13052.77</v>
      </c>
    </row>
    <row r="724" spans="1:3" x14ac:dyDescent="0.25">
      <c r="A724" s="829">
        <v>98001</v>
      </c>
      <c r="B724" s="829" t="s">
        <v>3262</v>
      </c>
      <c r="C724" s="852">
        <v>2616829.2999999998</v>
      </c>
    </row>
    <row r="725" spans="1:3" x14ac:dyDescent="0.25">
      <c r="A725" s="829">
        <v>98002</v>
      </c>
      <c r="B725" s="829" t="s">
        <v>3263</v>
      </c>
      <c r="C725" s="852">
        <v>4737.4799999999996</v>
      </c>
    </row>
    <row r="726" spans="1:3" x14ac:dyDescent="0.25">
      <c r="A726" s="829">
        <v>98003</v>
      </c>
      <c r="B726" s="829" t="s">
        <v>3264</v>
      </c>
      <c r="C726" s="852">
        <v>72872.41</v>
      </c>
    </row>
    <row r="727" spans="1:3" x14ac:dyDescent="0.25">
      <c r="A727" s="829">
        <v>98004</v>
      </c>
      <c r="B727" s="829" t="s">
        <v>3265</v>
      </c>
      <c r="C727" s="852">
        <v>81879.759999999995</v>
      </c>
    </row>
    <row r="728" spans="1:3" x14ac:dyDescent="0.25">
      <c r="A728" s="829">
        <v>98008</v>
      </c>
      <c r="B728" s="829" t="s">
        <v>3266</v>
      </c>
      <c r="C728" s="852">
        <v>3731.25</v>
      </c>
    </row>
    <row r="729" spans="1:3" x14ac:dyDescent="0.25">
      <c r="A729" s="829">
        <v>98011</v>
      </c>
      <c r="B729" s="829" t="s">
        <v>3267</v>
      </c>
      <c r="C729" s="852">
        <v>1591661.3</v>
      </c>
    </row>
    <row r="730" spans="1:3" x14ac:dyDescent="0.25">
      <c r="A730" s="829">
        <v>98013</v>
      </c>
      <c r="B730" s="829" t="s">
        <v>3268</v>
      </c>
      <c r="C730" s="852">
        <v>141746.74</v>
      </c>
    </row>
    <row r="731" spans="1:3" x14ac:dyDescent="0.25">
      <c r="A731" s="829">
        <v>98021</v>
      </c>
      <c r="B731" s="829" t="s">
        <v>3269</v>
      </c>
      <c r="C731" s="852">
        <v>27245.13</v>
      </c>
    </row>
    <row r="732" spans="1:3" x14ac:dyDescent="0.25">
      <c r="A732" s="829">
        <v>98023</v>
      </c>
      <c r="B732" s="829" t="s">
        <v>3270</v>
      </c>
      <c r="C732" s="852">
        <v>7199.78</v>
      </c>
    </row>
    <row r="733" spans="1:3" x14ac:dyDescent="0.25">
      <c r="A733" s="829">
        <v>98031</v>
      </c>
      <c r="B733" s="829" t="s">
        <v>3271</v>
      </c>
      <c r="C733" s="852">
        <v>74400.47</v>
      </c>
    </row>
    <row r="734" spans="1:3" x14ac:dyDescent="0.25">
      <c r="A734" s="829">
        <v>98041</v>
      </c>
      <c r="B734" s="829" t="s">
        <v>3272</v>
      </c>
      <c r="C734" s="852">
        <v>95602.72</v>
      </c>
    </row>
    <row r="735" spans="1:3" x14ac:dyDescent="0.25">
      <c r="A735" s="829">
        <v>98051</v>
      </c>
      <c r="B735" s="829" t="s">
        <v>3273</v>
      </c>
      <c r="C735" s="852">
        <v>141617.46</v>
      </c>
    </row>
    <row r="736" spans="1:3" x14ac:dyDescent="0.25">
      <c r="A736" s="829">
        <v>98061</v>
      </c>
      <c r="B736" s="829" t="s">
        <v>3274</v>
      </c>
      <c r="C736" s="852">
        <v>55302.94</v>
      </c>
    </row>
    <row r="737" spans="1:3" x14ac:dyDescent="0.25">
      <c r="A737" s="829">
        <v>98071</v>
      </c>
      <c r="B737" s="829" t="s">
        <v>3275</v>
      </c>
      <c r="C737" s="852">
        <v>30464.18</v>
      </c>
    </row>
    <row r="738" spans="1:3" x14ac:dyDescent="0.25">
      <c r="A738" s="829">
        <v>98081</v>
      </c>
      <c r="B738" s="829" t="s">
        <v>3276</v>
      </c>
      <c r="C738" s="852">
        <v>8013.51</v>
      </c>
    </row>
    <row r="739" spans="1:3" x14ac:dyDescent="0.25">
      <c r="A739" s="829">
        <v>98091</v>
      </c>
      <c r="B739" s="829" t="s">
        <v>3277</v>
      </c>
      <c r="C739" s="852">
        <v>27903.11</v>
      </c>
    </row>
    <row r="740" spans="1:3" x14ac:dyDescent="0.25">
      <c r="A740" s="829">
        <v>98101</v>
      </c>
      <c r="B740" s="829" t="s">
        <v>3278</v>
      </c>
      <c r="C740" s="852">
        <v>1264504.67</v>
      </c>
    </row>
    <row r="741" spans="1:3" x14ac:dyDescent="0.25">
      <c r="A741" s="829">
        <v>98102</v>
      </c>
      <c r="B741" s="829" t="s">
        <v>3279</v>
      </c>
      <c r="C741" s="852">
        <v>75316.100000000006</v>
      </c>
    </row>
    <row r="742" spans="1:3" x14ac:dyDescent="0.25">
      <c r="A742" s="829">
        <v>98103</v>
      </c>
      <c r="B742" s="829" t="s">
        <v>3280</v>
      </c>
      <c r="C742" s="852">
        <v>250406.86</v>
      </c>
    </row>
    <row r="743" spans="1:3" x14ac:dyDescent="0.25">
      <c r="A743" s="829">
        <v>98107</v>
      </c>
      <c r="B743" s="829" t="s">
        <v>3281</v>
      </c>
      <c r="C743" s="852">
        <v>9422.6299999999992</v>
      </c>
    </row>
    <row r="744" spans="1:3" x14ac:dyDescent="0.25">
      <c r="A744" s="829">
        <v>98109</v>
      </c>
      <c r="B744" s="829" t="s">
        <v>3282</v>
      </c>
      <c r="C744" s="852">
        <v>83279.89</v>
      </c>
    </row>
    <row r="745" spans="1:3" x14ac:dyDescent="0.25">
      <c r="A745" s="829">
        <v>98111</v>
      </c>
      <c r="B745" s="829" t="s">
        <v>3283</v>
      </c>
      <c r="C745" s="852">
        <v>454903.8</v>
      </c>
    </row>
    <row r="746" spans="1:3" x14ac:dyDescent="0.25">
      <c r="A746" s="829">
        <v>98113</v>
      </c>
      <c r="B746" s="829" t="s">
        <v>3284</v>
      </c>
      <c r="C746" s="852">
        <v>25001.439999999999</v>
      </c>
    </row>
    <row r="747" spans="1:3" x14ac:dyDescent="0.25">
      <c r="A747" s="829">
        <v>98121</v>
      </c>
      <c r="B747" s="829" t="s">
        <v>3285</v>
      </c>
      <c r="C747" s="852">
        <v>95547.88</v>
      </c>
    </row>
    <row r="748" spans="1:3" x14ac:dyDescent="0.25">
      <c r="A748" s="829">
        <v>98131</v>
      </c>
      <c r="B748" s="829" t="s">
        <v>3286</v>
      </c>
      <c r="C748" s="852">
        <v>119074.04</v>
      </c>
    </row>
    <row r="749" spans="1:3" x14ac:dyDescent="0.25">
      <c r="A749" s="829">
        <v>98141</v>
      </c>
      <c r="B749" s="829" t="s">
        <v>3287</v>
      </c>
      <c r="C749" s="852">
        <v>135297.06</v>
      </c>
    </row>
    <row r="750" spans="1:3" x14ac:dyDescent="0.25">
      <c r="A750" s="829">
        <v>98147</v>
      </c>
      <c r="B750" s="829" t="s">
        <v>3288</v>
      </c>
      <c r="C750" s="852">
        <v>10696.96</v>
      </c>
    </row>
    <row r="751" spans="1:3" x14ac:dyDescent="0.25">
      <c r="A751" s="829">
        <v>98161</v>
      </c>
      <c r="B751" s="829" t="s">
        <v>3289</v>
      </c>
      <c r="C751" s="852">
        <v>5373.22</v>
      </c>
    </row>
    <row r="752" spans="1:3" x14ac:dyDescent="0.25">
      <c r="A752" s="829">
        <v>98201</v>
      </c>
      <c r="B752" s="829" t="s">
        <v>3290</v>
      </c>
      <c r="C752" s="852">
        <v>1507010.88</v>
      </c>
    </row>
    <row r="753" spans="1:3" x14ac:dyDescent="0.25">
      <c r="A753" s="829">
        <v>98205</v>
      </c>
      <c r="B753" s="829" t="s">
        <v>3291</v>
      </c>
      <c r="C753" s="852">
        <v>21656.19</v>
      </c>
    </row>
    <row r="754" spans="1:3" x14ac:dyDescent="0.25">
      <c r="A754" s="829">
        <v>98211</v>
      </c>
      <c r="B754" s="829" t="s">
        <v>3292</v>
      </c>
      <c r="C754" s="852">
        <v>397199.49</v>
      </c>
    </row>
    <row r="755" spans="1:3" x14ac:dyDescent="0.25">
      <c r="A755" s="829">
        <v>98218</v>
      </c>
      <c r="B755" s="829" t="s">
        <v>3293</v>
      </c>
      <c r="C755" s="852">
        <v>8526.1</v>
      </c>
    </row>
    <row r="756" spans="1:3" x14ac:dyDescent="0.25">
      <c r="A756" s="829">
        <v>98221</v>
      </c>
      <c r="B756" s="829" t="s">
        <v>3294</v>
      </c>
      <c r="C756" s="852">
        <v>11112.23</v>
      </c>
    </row>
    <row r="757" spans="1:3" x14ac:dyDescent="0.25">
      <c r="A757" s="829">
        <v>98231</v>
      </c>
      <c r="B757" s="829" t="s">
        <v>3295</v>
      </c>
      <c r="C757" s="852">
        <v>16564.939999999999</v>
      </c>
    </row>
    <row r="758" spans="1:3" x14ac:dyDescent="0.25">
      <c r="A758" s="829">
        <v>98237</v>
      </c>
      <c r="B758" s="829" t="s">
        <v>3296</v>
      </c>
      <c r="C758" s="852">
        <v>3817.74</v>
      </c>
    </row>
    <row r="759" spans="1:3" x14ac:dyDescent="0.25">
      <c r="A759" s="829">
        <v>98241</v>
      </c>
      <c r="B759" s="829" t="s">
        <v>3297</v>
      </c>
      <c r="C759" s="852">
        <v>7467.94</v>
      </c>
    </row>
    <row r="760" spans="1:3" x14ac:dyDescent="0.25">
      <c r="A760" s="829">
        <v>98251</v>
      </c>
      <c r="B760" s="829" t="s">
        <v>3298</v>
      </c>
      <c r="C760" s="852">
        <v>2395.2399999999998</v>
      </c>
    </row>
    <row r="761" spans="1:3" x14ac:dyDescent="0.25">
      <c r="A761" s="829">
        <v>98261</v>
      </c>
      <c r="B761" s="829" t="s">
        <v>3299</v>
      </c>
      <c r="C761" s="852">
        <v>19407.86</v>
      </c>
    </row>
    <row r="762" spans="1:3" x14ac:dyDescent="0.25">
      <c r="A762" s="829">
        <v>98271</v>
      </c>
      <c r="B762" s="829" t="s">
        <v>3300</v>
      </c>
      <c r="C762" s="852">
        <v>3923.2</v>
      </c>
    </row>
    <row r="763" spans="1:3" x14ac:dyDescent="0.25">
      <c r="A763" s="829">
        <v>98301</v>
      </c>
      <c r="B763" s="829" t="s">
        <v>3301</v>
      </c>
      <c r="C763" s="852">
        <v>898600.6</v>
      </c>
    </row>
    <row r="764" spans="1:3" x14ac:dyDescent="0.25">
      <c r="A764" s="829">
        <v>98304</v>
      </c>
      <c r="B764" s="829" t="s">
        <v>3302</v>
      </c>
      <c r="C764" s="852">
        <v>13953.18</v>
      </c>
    </row>
    <row r="765" spans="1:3" x14ac:dyDescent="0.25">
      <c r="A765" s="829">
        <v>98308</v>
      </c>
      <c r="B765" s="829" t="s">
        <v>3303</v>
      </c>
      <c r="C765" s="852">
        <v>16525.68</v>
      </c>
    </row>
    <row r="766" spans="1:3" x14ac:dyDescent="0.25">
      <c r="A766" s="829">
        <v>98311</v>
      </c>
      <c r="B766" s="829" t="s">
        <v>3304</v>
      </c>
      <c r="C766" s="852">
        <v>482185.97</v>
      </c>
    </row>
    <row r="767" spans="1:3" x14ac:dyDescent="0.25">
      <c r="A767" s="829">
        <v>98313</v>
      </c>
      <c r="B767" s="829" t="s">
        <v>3305</v>
      </c>
      <c r="C767" s="852">
        <v>272640.74</v>
      </c>
    </row>
    <row r="768" spans="1:3" x14ac:dyDescent="0.25">
      <c r="A768" s="829">
        <v>98321</v>
      </c>
      <c r="B768" s="829" t="s">
        <v>3306</v>
      </c>
      <c r="C768" s="852">
        <v>10544.29</v>
      </c>
    </row>
    <row r="769" spans="1:3" x14ac:dyDescent="0.25">
      <c r="A769" s="829">
        <v>98331</v>
      </c>
      <c r="B769" s="829" t="s">
        <v>3307</v>
      </c>
      <c r="C769" s="852">
        <v>6678.17</v>
      </c>
    </row>
    <row r="770" spans="1:3" x14ac:dyDescent="0.25">
      <c r="A770" s="829">
        <v>98401</v>
      </c>
      <c r="B770" s="829" t="s">
        <v>3308</v>
      </c>
      <c r="C770" s="852">
        <v>1479388.47</v>
      </c>
    </row>
    <row r="771" spans="1:3" x14ac:dyDescent="0.25">
      <c r="A771" s="829">
        <v>98404</v>
      </c>
      <c r="B771" s="829" t="s">
        <v>3561</v>
      </c>
      <c r="C771" s="852">
        <v>8376.92</v>
      </c>
    </row>
    <row r="772" spans="1:3" x14ac:dyDescent="0.25">
      <c r="A772" s="829">
        <v>98411</v>
      </c>
      <c r="B772" s="829" t="s">
        <v>3309</v>
      </c>
      <c r="C772" s="852">
        <v>907144.49</v>
      </c>
    </row>
    <row r="773" spans="1:3" x14ac:dyDescent="0.25">
      <c r="A773" s="829">
        <v>98414</v>
      </c>
      <c r="B773" s="829" t="s">
        <v>2548</v>
      </c>
      <c r="C773" s="852">
        <v>18061.77</v>
      </c>
    </row>
    <row r="774" spans="1:3" x14ac:dyDescent="0.25">
      <c r="A774" s="829">
        <v>98417</v>
      </c>
      <c r="B774" s="829" t="s">
        <v>3310</v>
      </c>
      <c r="C774" s="852">
        <v>15438.2</v>
      </c>
    </row>
    <row r="775" spans="1:3" x14ac:dyDescent="0.25">
      <c r="A775" s="829">
        <v>98421</v>
      </c>
      <c r="B775" s="829" t="s">
        <v>3311</v>
      </c>
      <c r="C775" s="852">
        <v>50452.71</v>
      </c>
    </row>
    <row r="776" spans="1:3" x14ac:dyDescent="0.25">
      <c r="A776" s="829">
        <v>98427</v>
      </c>
      <c r="B776" s="829" t="s">
        <v>3312</v>
      </c>
      <c r="C776" s="852">
        <v>3303.88</v>
      </c>
    </row>
    <row r="777" spans="1:3" x14ac:dyDescent="0.25">
      <c r="A777" s="829">
        <v>98431</v>
      </c>
      <c r="B777" s="829" t="s">
        <v>3313</v>
      </c>
      <c r="C777" s="852">
        <v>82786.559999999998</v>
      </c>
    </row>
    <row r="778" spans="1:3" x14ac:dyDescent="0.25">
      <c r="A778" s="829">
        <v>98441</v>
      </c>
      <c r="B778" s="829" t="s">
        <v>3314</v>
      </c>
      <c r="C778" s="852">
        <v>44922.59</v>
      </c>
    </row>
    <row r="779" spans="1:3" x14ac:dyDescent="0.25">
      <c r="A779" s="829">
        <v>98451</v>
      </c>
      <c r="B779" s="829" t="s">
        <v>3315</v>
      </c>
      <c r="C779" s="852">
        <v>26696.44</v>
      </c>
    </row>
    <row r="780" spans="1:3" x14ac:dyDescent="0.25">
      <c r="A780" s="829">
        <v>98471</v>
      </c>
      <c r="B780" s="829" t="s">
        <v>3847</v>
      </c>
      <c r="C780" s="852">
        <v>3934.46</v>
      </c>
    </row>
    <row r="781" spans="1:3" x14ac:dyDescent="0.25">
      <c r="A781" s="829">
        <v>98481</v>
      </c>
      <c r="B781" s="829" t="s">
        <v>3316</v>
      </c>
      <c r="C781" s="852">
        <v>30725.66</v>
      </c>
    </row>
    <row r="782" spans="1:3" x14ac:dyDescent="0.25">
      <c r="A782" s="829">
        <v>98501</v>
      </c>
      <c r="B782" s="829" t="s">
        <v>3317</v>
      </c>
      <c r="C782" s="852">
        <v>837926.02</v>
      </c>
    </row>
    <row r="783" spans="1:3" x14ac:dyDescent="0.25">
      <c r="A783" s="829">
        <v>98511</v>
      </c>
      <c r="B783" s="829" t="s">
        <v>3318</v>
      </c>
      <c r="C783" s="852">
        <v>23329.99</v>
      </c>
    </row>
    <row r="784" spans="1:3" x14ac:dyDescent="0.25">
      <c r="A784" s="829">
        <v>98517</v>
      </c>
      <c r="B784" s="829" t="s">
        <v>3319</v>
      </c>
      <c r="C784" s="852">
        <v>3273.82</v>
      </c>
    </row>
    <row r="785" spans="1:3" x14ac:dyDescent="0.25">
      <c r="A785" s="829">
        <v>98521</v>
      </c>
      <c r="B785" s="829" t="s">
        <v>3320</v>
      </c>
      <c r="C785" s="852">
        <v>295494.87</v>
      </c>
    </row>
    <row r="786" spans="1:3" x14ac:dyDescent="0.25">
      <c r="A786" s="829">
        <v>98601</v>
      </c>
      <c r="B786" s="829" t="s">
        <v>3321</v>
      </c>
      <c r="C786" s="852">
        <v>1634846.49</v>
      </c>
    </row>
    <row r="787" spans="1:3" x14ac:dyDescent="0.25">
      <c r="A787" s="829">
        <v>98604</v>
      </c>
      <c r="B787" s="829" t="s">
        <v>3322</v>
      </c>
      <c r="C787" s="852">
        <v>7854.38</v>
      </c>
    </row>
    <row r="788" spans="1:3" x14ac:dyDescent="0.25">
      <c r="A788" s="829">
        <v>98607</v>
      </c>
      <c r="B788" s="829" t="s">
        <v>3323</v>
      </c>
      <c r="C788" s="852">
        <v>4218.6099999999997</v>
      </c>
    </row>
    <row r="789" spans="1:3" x14ac:dyDescent="0.25">
      <c r="A789" s="829">
        <v>98608</v>
      </c>
      <c r="B789" s="829" t="s">
        <v>3324</v>
      </c>
      <c r="C789" s="852">
        <v>25288.2</v>
      </c>
    </row>
    <row r="790" spans="1:3" x14ac:dyDescent="0.25">
      <c r="A790" s="829">
        <v>98611</v>
      </c>
      <c r="B790" s="829" t="s">
        <v>3325</v>
      </c>
      <c r="C790" s="852">
        <v>57797.36</v>
      </c>
    </row>
    <row r="791" spans="1:3" x14ac:dyDescent="0.25">
      <c r="A791" s="829">
        <v>98621</v>
      </c>
      <c r="B791" s="829" t="s">
        <v>3326</v>
      </c>
      <c r="C791" s="852">
        <v>62283.9</v>
      </c>
    </row>
    <row r="792" spans="1:3" x14ac:dyDescent="0.25">
      <c r="A792" s="829">
        <v>98627</v>
      </c>
      <c r="B792" s="829" t="s">
        <v>3327</v>
      </c>
      <c r="C792" s="852">
        <v>3575.57</v>
      </c>
    </row>
    <row r="793" spans="1:3" x14ac:dyDescent="0.25">
      <c r="A793" s="829">
        <v>98631</v>
      </c>
      <c r="B793" s="829" t="s">
        <v>3328</v>
      </c>
      <c r="C793" s="852">
        <v>508131.29</v>
      </c>
    </row>
    <row r="794" spans="1:3" x14ac:dyDescent="0.25">
      <c r="A794" s="829">
        <v>98637</v>
      </c>
      <c r="B794" s="829" t="s">
        <v>3329</v>
      </c>
      <c r="C794" s="852">
        <v>16672.61</v>
      </c>
    </row>
    <row r="795" spans="1:3" x14ac:dyDescent="0.25">
      <c r="A795" s="829">
        <v>98641</v>
      </c>
      <c r="B795" s="829" t="s">
        <v>3330</v>
      </c>
      <c r="C795" s="852">
        <v>148772.99</v>
      </c>
    </row>
    <row r="796" spans="1:3" x14ac:dyDescent="0.25">
      <c r="A796" s="854" t="s">
        <v>4293</v>
      </c>
      <c r="B796" s="829" t="s">
        <v>3331</v>
      </c>
      <c r="C796" s="852">
        <v>0</v>
      </c>
    </row>
    <row r="797" spans="1:3" x14ac:dyDescent="0.25">
      <c r="A797" s="829">
        <v>98701</v>
      </c>
      <c r="B797" s="829" t="s">
        <v>3332</v>
      </c>
      <c r="C797" s="852">
        <v>523932.85</v>
      </c>
    </row>
    <row r="798" spans="1:3" x14ac:dyDescent="0.25">
      <c r="A798" s="829">
        <v>98711</v>
      </c>
      <c r="B798" s="829" t="s">
        <v>3333</v>
      </c>
      <c r="C798" s="852">
        <v>71577.820000000007</v>
      </c>
    </row>
    <row r="799" spans="1:3" x14ac:dyDescent="0.25">
      <c r="A799" s="829">
        <v>98717</v>
      </c>
      <c r="B799" s="829" t="s">
        <v>3334</v>
      </c>
      <c r="C799" s="852">
        <v>8771.7099999999991</v>
      </c>
    </row>
    <row r="800" spans="1:3" x14ac:dyDescent="0.25">
      <c r="A800" s="829">
        <v>98801</v>
      </c>
      <c r="B800" s="829" t="s">
        <v>3335</v>
      </c>
      <c r="C800" s="852">
        <v>1082761.1000000001</v>
      </c>
    </row>
    <row r="801" spans="1:3" x14ac:dyDescent="0.25">
      <c r="A801" s="829">
        <v>98811</v>
      </c>
      <c r="B801" s="829" t="s">
        <v>3336</v>
      </c>
      <c r="C801" s="852">
        <v>335491.15000000002</v>
      </c>
    </row>
    <row r="802" spans="1:3" x14ac:dyDescent="0.25">
      <c r="A802" s="829">
        <v>98817</v>
      </c>
      <c r="B802" s="829" t="s">
        <v>3337</v>
      </c>
      <c r="C802" s="852">
        <v>14010.05</v>
      </c>
    </row>
    <row r="803" spans="1:3" x14ac:dyDescent="0.25">
      <c r="A803" s="829">
        <v>98901</v>
      </c>
      <c r="B803" s="829" t="s">
        <v>3338</v>
      </c>
      <c r="C803" s="852">
        <v>163215.01999999999</v>
      </c>
    </row>
    <row r="804" spans="1:3" x14ac:dyDescent="0.25">
      <c r="A804" s="829">
        <v>98904</v>
      </c>
      <c r="B804" s="829" t="s">
        <v>3339</v>
      </c>
      <c r="C804" s="852">
        <v>1642.56</v>
      </c>
    </row>
    <row r="805" spans="1:3" x14ac:dyDescent="0.25">
      <c r="A805" s="829">
        <v>98911</v>
      </c>
      <c r="B805" s="829" t="s">
        <v>3340</v>
      </c>
      <c r="C805" s="852">
        <v>20020.240000000002</v>
      </c>
    </row>
    <row r="806" spans="1:3" x14ac:dyDescent="0.25">
      <c r="A806" s="829">
        <v>99001</v>
      </c>
      <c r="B806" s="829" t="s">
        <v>3341</v>
      </c>
      <c r="C806" s="852">
        <v>3958566.49</v>
      </c>
    </row>
    <row r="807" spans="1:3" x14ac:dyDescent="0.25">
      <c r="A807" s="829">
        <v>99011</v>
      </c>
      <c r="B807" s="829" t="s">
        <v>3342</v>
      </c>
      <c r="C807" s="852">
        <v>1899632.22</v>
      </c>
    </row>
    <row r="808" spans="1:3" x14ac:dyDescent="0.25">
      <c r="A808" s="829">
        <v>99013</v>
      </c>
      <c r="B808" s="829" t="s">
        <v>3343</v>
      </c>
      <c r="C808" s="852">
        <v>28477.32</v>
      </c>
    </row>
    <row r="809" spans="1:3" x14ac:dyDescent="0.25">
      <c r="A809" s="829">
        <v>99014</v>
      </c>
      <c r="B809" s="829" t="s">
        <v>3344</v>
      </c>
      <c r="C809" s="852">
        <v>11820.69</v>
      </c>
    </row>
    <row r="810" spans="1:3" x14ac:dyDescent="0.25">
      <c r="A810" s="829">
        <v>99017</v>
      </c>
      <c r="B810" s="829" t="s">
        <v>3345</v>
      </c>
      <c r="C810" s="852">
        <v>23294.35</v>
      </c>
    </row>
    <row r="811" spans="1:3" x14ac:dyDescent="0.25">
      <c r="A811" s="829">
        <v>99021</v>
      </c>
      <c r="B811" s="829" t="s">
        <v>3346</v>
      </c>
      <c r="C811" s="852">
        <v>66405.3</v>
      </c>
    </row>
    <row r="812" spans="1:3" x14ac:dyDescent="0.25">
      <c r="A812" s="829">
        <v>99022</v>
      </c>
      <c r="B812" s="829" t="s">
        <v>1945</v>
      </c>
      <c r="C812" s="852">
        <v>11974.44</v>
      </c>
    </row>
    <row r="813" spans="1:3" x14ac:dyDescent="0.25">
      <c r="A813" s="829">
        <v>99031</v>
      </c>
      <c r="B813" s="829" t="s">
        <v>3347</v>
      </c>
      <c r="C813" s="852">
        <v>59595.82</v>
      </c>
    </row>
    <row r="814" spans="1:3" x14ac:dyDescent="0.25">
      <c r="A814" s="829">
        <v>99041</v>
      </c>
      <c r="B814" s="829" t="s">
        <v>3348</v>
      </c>
      <c r="C814" s="852">
        <v>282617.76</v>
      </c>
    </row>
    <row r="815" spans="1:3" x14ac:dyDescent="0.25">
      <c r="A815" s="829">
        <v>99047</v>
      </c>
      <c r="B815" s="829" t="s">
        <v>3349</v>
      </c>
      <c r="C815" s="852">
        <v>9763.7000000000007</v>
      </c>
    </row>
    <row r="816" spans="1:3" x14ac:dyDescent="0.25">
      <c r="A816" s="829">
        <v>99051</v>
      </c>
      <c r="B816" s="829" t="s">
        <v>3350</v>
      </c>
      <c r="C816" s="852">
        <v>158783.9</v>
      </c>
    </row>
    <row r="817" spans="1:3" x14ac:dyDescent="0.25">
      <c r="A817" s="829">
        <v>99061</v>
      </c>
      <c r="B817" s="829" t="s">
        <v>3351</v>
      </c>
      <c r="C817" s="852">
        <v>8410.99</v>
      </c>
    </row>
    <row r="818" spans="1:3" x14ac:dyDescent="0.25">
      <c r="A818" s="829">
        <v>99071</v>
      </c>
      <c r="B818" s="829" t="s">
        <v>3352</v>
      </c>
      <c r="C818" s="852">
        <v>13710.69</v>
      </c>
    </row>
    <row r="819" spans="1:3" x14ac:dyDescent="0.25">
      <c r="A819" s="829">
        <v>99081</v>
      </c>
      <c r="B819" s="829" t="s">
        <v>3353</v>
      </c>
      <c r="C819" s="852">
        <v>9239.99</v>
      </c>
    </row>
    <row r="820" spans="1:3" x14ac:dyDescent="0.25">
      <c r="A820" s="829">
        <v>99091</v>
      </c>
      <c r="B820" s="829" t="s">
        <v>3354</v>
      </c>
      <c r="C820" s="852">
        <v>4994.4399999999996</v>
      </c>
    </row>
    <row r="821" spans="1:3" x14ac:dyDescent="0.25">
      <c r="A821" s="829">
        <v>99101</v>
      </c>
      <c r="B821" s="829" t="s">
        <v>3355</v>
      </c>
      <c r="C821" s="852">
        <v>1006565.27</v>
      </c>
    </row>
    <row r="822" spans="1:3" x14ac:dyDescent="0.25">
      <c r="A822" s="829">
        <v>99104</v>
      </c>
      <c r="B822" s="829" t="s">
        <v>3356</v>
      </c>
      <c r="C822" s="852">
        <v>25543.919999999998</v>
      </c>
    </row>
    <row r="823" spans="1:3" x14ac:dyDescent="0.25">
      <c r="A823" s="829">
        <v>99109</v>
      </c>
      <c r="B823" s="829" t="s">
        <v>3357</v>
      </c>
      <c r="C823" s="852">
        <v>58597.74</v>
      </c>
    </row>
    <row r="824" spans="1:3" x14ac:dyDescent="0.25">
      <c r="A824" s="829">
        <v>99110</v>
      </c>
      <c r="B824" s="829" t="s">
        <v>3358</v>
      </c>
      <c r="C824" s="852">
        <v>123992.65</v>
      </c>
    </row>
    <row r="825" spans="1:3" x14ac:dyDescent="0.25">
      <c r="A825" s="829">
        <v>99111</v>
      </c>
      <c r="B825" s="829" t="s">
        <v>3359</v>
      </c>
      <c r="C825" s="852">
        <v>587063.1</v>
      </c>
    </row>
    <row r="826" spans="1:3" x14ac:dyDescent="0.25">
      <c r="A826" s="829">
        <v>99201</v>
      </c>
      <c r="B826" s="829" t="s">
        <v>3360</v>
      </c>
      <c r="C826" s="852">
        <v>16630537.85</v>
      </c>
    </row>
    <row r="827" spans="1:3" x14ac:dyDescent="0.25">
      <c r="A827" s="829">
        <v>99202</v>
      </c>
      <c r="B827" s="829" t="s">
        <v>3361</v>
      </c>
      <c r="C827" s="852">
        <v>1207449.74</v>
      </c>
    </row>
    <row r="828" spans="1:3" x14ac:dyDescent="0.25">
      <c r="A828" s="829">
        <v>99203</v>
      </c>
      <c r="B828" s="829" t="s">
        <v>3362</v>
      </c>
      <c r="C828" s="852">
        <v>138128.78</v>
      </c>
    </row>
    <row r="829" spans="1:3" x14ac:dyDescent="0.25">
      <c r="A829" s="829">
        <v>99204</v>
      </c>
      <c r="B829" s="829" t="s">
        <v>3363</v>
      </c>
      <c r="C829" s="852">
        <v>441547.84</v>
      </c>
    </row>
    <row r="830" spans="1:3" x14ac:dyDescent="0.25">
      <c r="A830" s="829">
        <v>99206</v>
      </c>
      <c r="B830" s="829" t="s">
        <v>3364</v>
      </c>
      <c r="C830" s="852">
        <v>1331612.92</v>
      </c>
    </row>
    <row r="831" spans="1:3" x14ac:dyDescent="0.25">
      <c r="A831" s="829">
        <v>99207</v>
      </c>
      <c r="B831" s="829" t="s">
        <v>3562</v>
      </c>
      <c r="C831" s="852">
        <v>177544.7</v>
      </c>
    </row>
    <row r="832" spans="1:3" x14ac:dyDescent="0.25">
      <c r="A832" s="829">
        <v>99208</v>
      </c>
      <c r="B832" s="829" t="s">
        <v>3366</v>
      </c>
      <c r="C832" s="852">
        <v>97509.21</v>
      </c>
    </row>
    <row r="833" spans="1:3" x14ac:dyDescent="0.25">
      <c r="A833" s="829">
        <v>99210</v>
      </c>
      <c r="B833" s="829" t="s">
        <v>3367</v>
      </c>
      <c r="C833" s="852">
        <v>867924.78</v>
      </c>
    </row>
    <row r="834" spans="1:3" x14ac:dyDescent="0.25">
      <c r="A834" s="829">
        <v>99211</v>
      </c>
      <c r="B834" s="829" t="s">
        <v>3368</v>
      </c>
      <c r="C834" s="852">
        <v>18340588.710000001</v>
      </c>
    </row>
    <row r="835" spans="1:3" x14ac:dyDescent="0.25">
      <c r="A835" s="829">
        <v>99212</v>
      </c>
      <c r="B835" s="829" t="s">
        <v>3369</v>
      </c>
      <c r="C835" s="852">
        <v>32043.03</v>
      </c>
    </row>
    <row r="836" spans="1:3" x14ac:dyDescent="0.25">
      <c r="A836" s="829">
        <v>99213</v>
      </c>
      <c r="B836" s="829" t="s">
        <v>3370</v>
      </c>
      <c r="C836" s="852">
        <v>380592.3</v>
      </c>
    </row>
    <row r="837" spans="1:3" x14ac:dyDescent="0.25">
      <c r="A837" s="829">
        <v>99218</v>
      </c>
      <c r="B837" s="829" t="s">
        <v>3371</v>
      </c>
      <c r="C837" s="852">
        <v>1674667.37</v>
      </c>
    </row>
    <row r="838" spans="1:3" x14ac:dyDescent="0.25">
      <c r="A838" s="829">
        <v>99221</v>
      </c>
      <c r="B838" s="829" t="s">
        <v>3372</v>
      </c>
      <c r="C838" s="852">
        <v>6080354.96</v>
      </c>
    </row>
    <row r="839" spans="1:3" x14ac:dyDescent="0.25">
      <c r="A839" s="829">
        <v>99222</v>
      </c>
      <c r="B839" s="829" t="s">
        <v>3373</v>
      </c>
      <c r="C839" s="852">
        <v>16571.34</v>
      </c>
    </row>
    <row r="840" spans="1:3" x14ac:dyDescent="0.25">
      <c r="A840" s="829">
        <v>99231</v>
      </c>
      <c r="B840" s="829" t="s">
        <v>3374</v>
      </c>
      <c r="C840" s="852">
        <v>170674.7</v>
      </c>
    </row>
    <row r="841" spans="1:3" x14ac:dyDescent="0.25">
      <c r="A841" s="829">
        <v>99241</v>
      </c>
      <c r="B841" s="829" t="s">
        <v>3375</v>
      </c>
      <c r="C841" s="852">
        <v>256913.26</v>
      </c>
    </row>
    <row r="842" spans="1:3" x14ac:dyDescent="0.25">
      <c r="A842" s="829">
        <v>99251</v>
      </c>
      <c r="B842" s="829" t="s">
        <v>3376</v>
      </c>
      <c r="C842" s="852">
        <v>772183.6</v>
      </c>
    </row>
    <row r="843" spans="1:3" x14ac:dyDescent="0.25">
      <c r="A843" s="829">
        <v>99252</v>
      </c>
      <c r="B843" s="829" t="s">
        <v>3377</v>
      </c>
      <c r="C843" s="852">
        <v>237606.74</v>
      </c>
    </row>
    <row r="844" spans="1:3" x14ac:dyDescent="0.25">
      <c r="A844" s="829">
        <v>99261</v>
      </c>
      <c r="B844" s="829" t="s">
        <v>3378</v>
      </c>
      <c r="C844" s="852">
        <v>905361.5</v>
      </c>
    </row>
    <row r="845" spans="1:3" x14ac:dyDescent="0.25">
      <c r="A845" s="829">
        <v>99271</v>
      </c>
      <c r="B845" s="829" t="s">
        <v>3379</v>
      </c>
      <c r="C845" s="852">
        <v>1965196.73</v>
      </c>
    </row>
    <row r="846" spans="1:3" x14ac:dyDescent="0.25">
      <c r="A846" s="829">
        <v>99281</v>
      </c>
      <c r="B846" s="829" t="s">
        <v>3380</v>
      </c>
      <c r="C846" s="852">
        <v>1110975.83</v>
      </c>
    </row>
    <row r="847" spans="1:3" x14ac:dyDescent="0.25">
      <c r="A847" s="829">
        <v>99291</v>
      </c>
      <c r="B847" s="829" t="s">
        <v>3381</v>
      </c>
      <c r="C847" s="852">
        <v>339511.85</v>
      </c>
    </row>
    <row r="848" spans="1:3" x14ac:dyDescent="0.25">
      <c r="A848" s="829">
        <v>99301</v>
      </c>
      <c r="B848" s="829" t="s">
        <v>3382</v>
      </c>
      <c r="C848" s="852">
        <v>823901.37</v>
      </c>
    </row>
    <row r="849" spans="1:3" x14ac:dyDescent="0.25">
      <c r="A849" s="829">
        <v>99304</v>
      </c>
      <c r="B849" s="829" t="s">
        <v>3383</v>
      </c>
      <c r="C849" s="852">
        <v>8236.34</v>
      </c>
    </row>
    <row r="850" spans="1:3" x14ac:dyDescent="0.25">
      <c r="A850" s="829">
        <v>99311</v>
      </c>
      <c r="B850" s="829" t="s">
        <v>3384</v>
      </c>
      <c r="C850" s="852">
        <v>29080.85</v>
      </c>
    </row>
    <row r="851" spans="1:3" x14ac:dyDescent="0.25">
      <c r="A851" s="829">
        <v>99321</v>
      </c>
      <c r="B851" s="829" t="s">
        <v>3385</v>
      </c>
      <c r="C851" s="852">
        <v>95723.9</v>
      </c>
    </row>
    <row r="852" spans="1:3" x14ac:dyDescent="0.25">
      <c r="A852" s="829">
        <v>99401</v>
      </c>
      <c r="B852" s="829" t="s">
        <v>3386</v>
      </c>
      <c r="C852" s="852">
        <v>413423.39</v>
      </c>
    </row>
    <row r="853" spans="1:3" x14ac:dyDescent="0.25">
      <c r="A853" s="829">
        <v>99404</v>
      </c>
      <c r="B853" s="829" t="s">
        <v>3387</v>
      </c>
      <c r="C853" s="852">
        <v>5670.57</v>
      </c>
    </row>
    <row r="854" spans="1:3" x14ac:dyDescent="0.25">
      <c r="A854" s="829">
        <v>99405</v>
      </c>
      <c r="B854" s="829" t="s">
        <v>3388</v>
      </c>
      <c r="C854" s="852">
        <v>37755.47</v>
      </c>
    </row>
    <row r="855" spans="1:3" x14ac:dyDescent="0.25">
      <c r="A855" s="829">
        <v>99411</v>
      </c>
      <c r="B855" s="829" t="s">
        <v>3389</v>
      </c>
      <c r="C855" s="852">
        <v>87340.43</v>
      </c>
    </row>
    <row r="856" spans="1:3" x14ac:dyDescent="0.25">
      <c r="A856" s="829">
        <v>99413</v>
      </c>
      <c r="B856" s="829" t="s">
        <v>3390</v>
      </c>
      <c r="C856" s="852">
        <v>15517.46</v>
      </c>
    </row>
    <row r="857" spans="1:3" x14ac:dyDescent="0.25">
      <c r="A857" s="829">
        <v>99421</v>
      </c>
      <c r="B857" s="829" t="s">
        <v>3391</v>
      </c>
      <c r="C857" s="852">
        <v>5425.83</v>
      </c>
    </row>
    <row r="858" spans="1:3" x14ac:dyDescent="0.25">
      <c r="A858" s="829">
        <v>99431</v>
      </c>
      <c r="B858" s="829" t="s">
        <v>3392</v>
      </c>
      <c r="C858" s="852">
        <v>8235.16</v>
      </c>
    </row>
    <row r="859" spans="1:3" x14ac:dyDescent="0.25">
      <c r="A859" s="829">
        <v>99501</v>
      </c>
      <c r="B859" s="829" t="s">
        <v>3393</v>
      </c>
      <c r="C859" s="852">
        <v>860942.17</v>
      </c>
    </row>
    <row r="860" spans="1:3" x14ac:dyDescent="0.25">
      <c r="A860" s="829">
        <v>99502</v>
      </c>
      <c r="B860" s="829" t="s">
        <v>3394</v>
      </c>
      <c r="C860" s="852">
        <v>70621.81</v>
      </c>
    </row>
    <row r="861" spans="1:3" x14ac:dyDescent="0.25">
      <c r="A861" s="829">
        <v>99508</v>
      </c>
      <c r="B861" s="829" t="s">
        <v>3395</v>
      </c>
      <c r="C861" s="852">
        <v>10663.91</v>
      </c>
    </row>
    <row r="862" spans="1:3" x14ac:dyDescent="0.25">
      <c r="A862" s="829">
        <v>99509</v>
      </c>
      <c r="B862" s="829" t="s">
        <v>3396</v>
      </c>
      <c r="C862" s="852">
        <v>12210.75</v>
      </c>
    </row>
    <row r="863" spans="1:3" x14ac:dyDescent="0.25">
      <c r="A863" s="829">
        <v>99511</v>
      </c>
      <c r="B863" s="829" t="s">
        <v>3397</v>
      </c>
      <c r="C863" s="852">
        <v>608442.87</v>
      </c>
    </row>
    <row r="864" spans="1:3" x14ac:dyDescent="0.25">
      <c r="A864" s="829">
        <v>99521</v>
      </c>
      <c r="B864" s="829" t="s">
        <v>3398</v>
      </c>
      <c r="C864" s="852">
        <v>207271.34</v>
      </c>
    </row>
    <row r="865" spans="1:3" x14ac:dyDescent="0.25">
      <c r="A865" s="829">
        <v>99527</v>
      </c>
      <c r="B865" s="829" t="s">
        <v>3399</v>
      </c>
      <c r="C865" s="852">
        <v>6662.99</v>
      </c>
    </row>
    <row r="866" spans="1:3" x14ac:dyDescent="0.25">
      <c r="A866" s="829">
        <v>99531</v>
      </c>
      <c r="B866" s="829" t="s">
        <v>3400</v>
      </c>
      <c r="C866" s="852">
        <v>76574.2</v>
      </c>
    </row>
    <row r="867" spans="1:3" x14ac:dyDescent="0.25">
      <c r="A867" s="829">
        <v>99601</v>
      </c>
      <c r="B867" s="829" t="s">
        <v>3401</v>
      </c>
      <c r="C867" s="852">
        <v>2762866.06</v>
      </c>
    </row>
    <row r="868" spans="1:3" x14ac:dyDescent="0.25">
      <c r="A868" s="829">
        <v>99602</v>
      </c>
      <c r="B868" s="829" t="s">
        <v>3402</v>
      </c>
      <c r="C868" s="852">
        <v>30210.42</v>
      </c>
    </row>
    <row r="869" spans="1:3" x14ac:dyDescent="0.25">
      <c r="A869" s="829">
        <v>99603</v>
      </c>
      <c r="B869" s="829" t="s">
        <v>3403</v>
      </c>
      <c r="C869" s="852">
        <v>95619.12</v>
      </c>
    </row>
    <row r="870" spans="1:3" x14ac:dyDescent="0.25">
      <c r="A870" s="829">
        <v>99604</v>
      </c>
      <c r="B870" s="829" t="s">
        <v>3404</v>
      </c>
      <c r="C870" s="852">
        <v>60989.77</v>
      </c>
    </row>
    <row r="871" spans="1:3" x14ac:dyDescent="0.25">
      <c r="A871" s="829">
        <v>99609</v>
      </c>
      <c r="B871" s="829" t="s">
        <v>3405</v>
      </c>
      <c r="C871" s="852">
        <v>10625.98</v>
      </c>
    </row>
    <row r="872" spans="1:3" x14ac:dyDescent="0.25">
      <c r="A872" s="829">
        <v>99610</v>
      </c>
      <c r="B872" s="829" t="s">
        <v>3406</v>
      </c>
      <c r="C872" s="852">
        <v>91548.23</v>
      </c>
    </row>
    <row r="873" spans="1:3" x14ac:dyDescent="0.25">
      <c r="A873" s="829">
        <v>99611</v>
      </c>
      <c r="B873" s="829" t="s">
        <v>3407</v>
      </c>
      <c r="C873" s="852">
        <v>1569191.05</v>
      </c>
    </row>
    <row r="874" spans="1:3" x14ac:dyDescent="0.25">
      <c r="A874" s="829">
        <v>99613</v>
      </c>
      <c r="B874" s="829" t="s">
        <v>3408</v>
      </c>
      <c r="C874" s="852">
        <v>343923.36</v>
      </c>
    </row>
    <row r="875" spans="1:3" x14ac:dyDescent="0.25">
      <c r="A875" s="829">
        <v>99621</v>
      </c>
      <c r="B875" s="829" t="s">
        <v>3409</v>
      </c>
      <c r="C875" s="852">
        <v>177823.09</v>
      </c>
    </row>
    <row r="876" spans="1:3" x14ac:dyDescent="0.25">
      <c r="A876" s="829">
        <v>99623</v>
      </c>
      <c r="B876" s="829" t="s">
        <v>3410</v>
      </c>
      <c r="C876" s="852">
        <v>9487.02</v>
      </c>
    </row>
    <row r="877" spans="1:3" x14ac:dyDescent="0.25">
      <c r="A877" s="829">
        <v>99631</v>
      </c>
      <c r="B877" s="829" t="s">
        <v>3411</v>
      </c>
      <c r="C877" s="852">
        <v>51697.48</v>
      </c>
    </row>
    <row r="878" spans="1:3" x14ac:dyDescent="0.25">
      <c r="A878" s="829">
        <v>99651</v>
      </c>
      <c r="B878" s="829" t="s">
        <v>3412</v>
      </c>
      <c r="C878" s="852">
        <v>29238.94</v>
      </c>
    </row>
    <row r="879" spans="1:3" x14ac:dyDescent="0.25">
      <c r="A879" s="829">
        <v>99661</v>
      </c>
      <c r="B879" s="829" t="s">
        <v>3413</v>
      </c>
      <c r="C879" s="852">
        <v>43148.81</v>
      </c>
    </row>
    <row r="880" spans="1:3" x14ac:dyDescent="0.25">
      <c r="A880" s="829">
        <v>99701</v>
      </c>
      <c r="B880" s="829" t="s">
        <v>3414</v>
      </c>
      <c r="C880" s="852">
        <v>1391279.5</v>
      </c>
    </row>
    <row r="881" spans="1:3" x14ac:dyDescent="0.25">
      <c r="A881" s="829">
        <v>99705</v>
      </c>
      <c r="B881" s="829" t="s">
        <v>3415</v>
      </c>
      <c r="C881" s="852">
        <v>93269.38</v>
      </c>
    </row>
    <row r="882" spans="1:3" x14ac:dyDescent="0.25">
      <c r="A882" s="829">
        <v>99711</v>
      </c>
      <c r="B882" s="829" t="s">
        <v>3416</v>
      </c>
      <c r="C882" s="852">
        <v>225681.88</v>
      </c>
    </row>
    <row r="883" spans="1:3" x14ac:dyDescent="0.25">
      <c r="A883" s="829">
        <v>99717</v>
      </c>
      <c r="B883" s="829" t="s">
        <v>3417</v>
      </c>
      <c r="C883" s="852">
        <v>8973.93</v>
      </c>
    </row>
    <row r="884" spans="1:3" x14ac:dyDescent="0.25">
      <c r="A884" s="829">
        <v>99721</v>
      </c>
      <c r="B884" s="829" t="s">
        <v>3418</v>
      </c>
      <c r="C884" s="852">
        <v>270994.73</v>
      </c>
    </row>
    <row r="885" spans="1:3" x14ac:dyDescent="0.25">
      <c r="A885" s="829">
        <v>99727</v>
      </c>
      <c r="B885" s="829" t="s">
        <v>3419</v>
      </c>
      <c r="C885" s="852">
        <v>49308.21</v>
      </c>
    </row>
    <row r="886" spans="1:3" x14ac:dyDescent="0.25">
      <c r="A886" s="829">
        <v>99801</v>
      </c>
      <c r="B886" s="829" t="s">
        <v>3420</v>
      </c>
      <c r="C886" s="852">
        <v>2325185.9300000002</v>
      </c>
    </row>
    <row r="887" spans="1:3" x14ac:dyDescent="0.25">
      <c r="A887" s="829">
        <v>99802</v>
      </c>
      <c r="B887" s="829" t="s">
        <v>3421</v>
      </c>
      <c r="C887" s="852">
        <v>6755.72</v>
      </c>
    </row>
    <row r="888" spans="1:3" x14ac:dyDescent="0.25">
      <c r="A888" s="829">
        <v>99804</v>
      </c>
      <c r="B888" s="829" t="s">
        <v>3422</v>
      </c>
      <c r="C888" s="852">
        <v>47970.47</v>
      </c>
    </row>
    <row r="889" spans="1:3" x14ac:dyDescent="0.25">
      <c r="A889" s="829">
        <v>99811</v>
      </c>
      <c r="B889" s="829" t="s">
        <v>3423</v>
      </c>
      <c r="C889" s="852">
        <v>3068778.47</v>
      </c>
    </row>
    <row r="890" spans="1:3" x14ac:dyDescent="0.25">
      <c r="A890" s="829">
        <v>99812</v>
      </c>
      <c r="B890" s="829" t="s">
        <v>3424</v>
      </c>
      <c r="C890" s="852">
        <v>21421.98</v>
      </c>
    </row>
    <row r="891" spans="1:3" x14ac:dyDescent="0.25">
      <c r="A891" s="829">
        <v>99818</v>
      </c>
      <c r="B891" s="829" t="s">
        <v>3425</v>
      </c>
      <c r="C891" s="852">
        <v>13445.47</v>
      </c>
    </row>
    <row r="892" spans="1:3" x14ac:dyDescent="0.25">
      <c r="A892" s="829">
        <v>99821</v>
      </c>
      <c r="B892" s="829" t="s">
        <v>3426</v>
      </c>
      <c r="C892" s="852">
        <v>50520.73</v>
      </c>
    </row>
    <row r="893" spans="1:3" x14ac:dyDescent="0.25">
      <c r="A893" s="829">
        <v>99831</v>
      </c>
      <c r="B893" s="829" t="s">
        <v>3427</v>
      </c>
      <c r="C893" s="852">
        <v>27477.87</v>
      </c>
    </row>
    <row r="894" spans="1:3" x14ac:dyDescent="0.25">
      <c r="A894" s="829">
        <v>99841</v>
      </c>
      <c r="B894" s="829" t="s">
        <v>3428</v>
      </c>
      <c r="C894" s="852">
        <v>17368.88</v>
      </c>
    </row>
    <row r="895" spans="1:3" x14ac:dyDescent="0.25">
      <c r="A895" s="829">
        <v>99851</v>
      </c>
      <c r="B895" s="829" t="s">
        <v>3429</v>
      </c>
      <c r="C895" s="852">
        <v>8025.38</v>
      </c>
    </row>
    <row r="896" spans="1:3" x14ac:dyDescent="0.25">
      <c r="A896" s="829">
        <v>99901</v>
      </c>
      <c r="B896" s="829" t="s">
        <v>3430</v>
      </c>
      <c r="C896" s="852">
        <v>758558.05</v>
      </c>
    </row>
    <row r="897" spans="1:6" x14ac:dyDescent="0.25">
      <c r="A897" s="829">
        <v>99911</v>
      </c>
      <c r="B897" s="829" t="s">
        <v>3431</v>
      </c>
      <c r="C897" s="852">
        <v>126859.94</v>
      </c>
    </row>
    <row r="898" spans="1:6" x14ac:dyDescent="0.25">
      <c r="A898" s="829">
        <v>99921</v>
      </c>
      <c r="B898" s="829" t="s">
        <v>3432</v>
      </c>
      <c r="C898" s="852">
        <v>60518.37</v>
      </c>
    </row>
    <row r="899" spans="1:6" x14ac:dyDescent="0.25">
      <c r="A899" s="829">
        <v>99931</v>
      </c>
      <c r="B899" s="829" t="s">
        <v>3433</v>
      </c>
      <c r="C899" s="852">
        <v>9991.64</v>
      </c>
    </row>
    <row r="900" spans="1:6" x14ac:dyDescent="0.25">
      <c r="A900" s="829">
        <v>99941</v>
      </c>
      <c r="B900" s="829" t="s">
        <v>3434</v>
      </c>
      <c r="C900" s="852">
        <v>34874.080000000002</v>
      </c>
    </row>
    <row r="901" spans="1:6" x14ac:dyDescent="0.25">
      <c r="A901" s="829">
        <v>99991</v>
      </c>
      <c r="B901" s="829" t="s">
        <v>3435</v>
      </c>
      <c r="C901" s="855">
        <v>256527.41</v>
      </c>
    </row>
    <row r="902" spans="1:6" x14ac:dyDescent="0.25">
      <c r="A902" s="829">
        <v>99999</v>
      </c>
      <c r="B902" s="829" t="s">
        <v>3436</v>
      </c>
      <c r="C902" s="852">
        <v>529104.24</v>
      </c>
      <c r="F902" s="852"/>
    </row>
    <row r="903" spans="1:6" s="829" customFormat="1" x14ac:dyDescent="0.25">
      <c r="A903" s="854" t="s">
        <v>2526</v>
      </c>
      <c r="B903" s="829" t="s">
        <v>4835</v>
      </c>
      <c r="C903" s="852">
        <v>154957.62</v>
      </c>
    </row>
    <row r="904" spans="1:6" ht="15.75" thickBot="1" x14ac:dyDescent="0.3">
      <c r="C904" s="856">
        <f>SUM(C3:C902)-SUM(C664,C665)</f>
        <v>489372689.06999999</v>
      </c>
    </row>
    <row r="905" spans="1:6" ht="15.75" thickTop="1" x14ac:dyDescent="0.25"/>
    <row r="906" spans="1:6" x14ac:dyDescent="0.25">
      <c r="A906" s="829" t="s">
        <v>4839</v>
      </c>
    </row>
    <row r="907" spans="1:6" x14ac:dyDescent="0.25">
      <c r="A907" s="829">
        <v>91119</v>
      </c>
      <c r="B907" s="829" t="s">
        <v>1254</v>
      </c>
      <c r="C907" s="852">
        <v>0</v>
      </c>
    </row>
    <row r="908" spans="1:6" x14ac:dyDescent="0.25">
      <c r="A908" s="829">
        <v>92414</v>
      </c>
      <c r="B908" s="829" t="s">
        <v>4392</v>
      </c>
      <c r="C908" s="852">
        <v>0</v>
      </c>
    </row>
    <row r="909" spans="1:6" x14ac:dyDescent="0.25">
      <c r="A909" s="829">
        <v>92608</v>
      </c>
      <c r="B909" s="829" t="s">
        <v>2793</v>
      </c>
      <c r="C909" s="852">
        <v>0</v>
      </c>
    </row>
    <row r="910" spans="1:6" x14ac:dyDescent="0.25">
      <c r="A910" s="829">
        <v>93408</v>
      </c>
      <c r="B910" s="829" t="s">
        <v>2863</v>
      </c>
      <c r="C910" s="852">
        <v>0</v>
      </c>
    </row>
    <row r="911" spans="1:6" x14ac:dyDescent="0.25">
      <c r="A911" s="829">
        <v>94402</v>
      </c>
      <c r="B911" s="829" t="s">
        <v>2959</v>
      </c>
      <c r="C911" s="852">
        <v>0</v>
      </c>
    </row>
    <row r="912" spans="1:6" x14ac:dyDescent="0.25">
      <c r="A912" s="829">
        <v>95412</v>
      </c>
      <c r="B912" s="829" t="s">
        <v>3039</v>
      </c>
      <c r="C912" s="852">
        <v>0</v>
      </c>
    </row>
    <row r="913" spans="1:3" x14ac:dyDescent="0.25">
      <c r="A913" s="829">
        <v>93202</v>
      </c>
      <c r="B913" s="829" t="s">
        <v>2842</v>
      </c>
      <c r="C913" s="852">
        <v>0</v>
      </c>
    </row>
    <row r="914" spans="1:3" x14ac:dyDescent="0.25">
      <c r="A914" s="829">
        <v>93677</v>
      </c>
      <c r="B914" s="829" t="s">
        <v>1497</v>
      </c>
      <c r="C914" s="852">
        <v>0</v>
      </c>
    </row>
    <row r="915" spans="1:3" x14ac:dyDescent="0.25">
      <c r="A915" s="829">
        <v>94512</v>
      </c>
      <c r="B915" s="829" t="s">
        <v>2970</v>
      </c>
      <c r="C915" s="852">
        <v>0</v>
      </c>
    </row>
    <row r="916" spans="1:3" x14ac:dyDescent="0.25">
      <c r="A916" s="829">
        <v>97010</v>
      </c>
      <c r="B916" s="829" t="s">
        <v>3171</v>
      </c>
      <c r="C916" s="852">
        <v>0</v>
      </c>
    </row>
    <row r="917" spans="1:3" x14ac:dyDescent="0.25">
      <c r="A917" s="829">
        <v>97491</v>
      </c>
      <c r="B917" s="829" t="s">
        <v>4493</v>
      </c>
    </row>
    <row r="2344" spans="1:1" x14ac:dyDescent="0.25">
      <c r="A2344" s="857"/>
    </row>
  </sheetData>
  <pageMargins left="0.7" right="0.7" top="0.75" bottom="0.75" header="0.3" footer="0.3"/>
  <pageSetup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D2340"/>
  <sheetViews>
    <sheetView workbookViewId="0"/>
  </sheetViews>
  <sheetFormatPr defaultColWidth="9.140625" defaultRowHeight="15" x14ac:dyDescent="0.25"/>
  <cols>
    <col min="1" max="1" width="12.140625" style="747" bestFit="1" customWidth="1"/>
    <col min="2" max="2" width="55.5703125" style="747" bestFit="1" customWidth="1"/>
    <col min="3" max="3" width="27" style="752" bestFit="1" customWidth="1"/>
    <col min="4" max="4" width="9.140625" style="747"/>
    <col min="5" max="16384" width="9.140625" style="748"/>
  </cols>
  <sheetData>
    <row r="1" spans="1:4" x14ac:dyDescent="0.25">
      <c r="A1" s="745" t="s">
        <v>3841</v>
      </c>
      <c r="B1" s="745" t="s">
        <v>3842</v>
      </c>
      <c r="C1" s="746" t="s">
        <v>3843</v>
      </c>
      <c r="D1" s="747" t="s">
        <v>3844</v>
      </c>
    </row>
    <row r="2" spans="1:4" x14ac:dyDescent="0.25">
      <c r="A2" s="749" t="s">
        <v>480</v>
      </c>
      <c r="B2" s="750" t="s">
        <v>2094</v>
      </c>
      <c r="C2" s="751">
        <v>0</v>
      </c>
    </row>
    <row r="3" spans="1:4" x14ac:dyDescent="0.25">
      <c r="A3" s="747">
        <v>70505</v>
      </c>
      <c r="B3" s="747" t="s">
        <v>2547</v>
      </c>
      <c r="C3" s="752">
        <v>195765.21</v>
      </c>
    </row>
    <row r="4" spans="1:4" x14ac:dyDescent="0.25">
      <c r="A4" s="747">
        <v>71786</v>
      </c>
      <c r="B4" s="747" t="s">
        <v>2548</v>
      </c>
      <c r="C4" s="752">
        <v>7060.1</v>
      </c>
    </row>
    <row r="5" spans="1:4" x14ac:dyDescent="0.25">
      <c r="A5" s="747">
        <v>72265</v>
      </c>
      <c r="B5" s="747" t="s">
        <v>2549</v>
      </c>
      <c r="C5" s="752">
        <v>61817.37</v>
      </c>
    </row>
    <row r="6" spans="1:4" x14ac:dyDescent="0.25">
      <c r="A6" s="747">
        <v>72593</v>
      </c>
      <c r="B6" s="747" t="s">
        <v>3548</v>
      </c>
      <c r="C6" s="752">
        <v>1530.78</v>
      </c>
    </row>
    <row r="7" spans="1:4" x14ac:dyDescent="0.25">
      <c r="A7" s="747">
        <v>72657</v>
      </c>
      <c r="B7" s="747" t="s">
        <v>2550</v>
      </c>
      <c r="C7" s="752">
        <v>16620.14</v>
      </c>
    </row>
    <row r="8" spans="1:4" x14ac:dyDescent="0.25">
      <c r="A8" s="747">
        <v>90001</v>
      </c>
      <c r="B8" s="747" t="s">
        <v>2551</v>
      </c>
      <c r="C8" s="752">
        <v>386652.24</v>
      </c>
    </row>
    <row r="9" spans="1:4" x14ac:dyDescent="0.25">
      <c r="A9" s="747">
        <v>90002</v>
      </c>
      <c r="B9" s="747" t="s">
        <v>2552</v>
      </c>
      <c r="C9" s="752">
        <v>6252.52</v>
      </c>
    </row>
    <row r="10" spans="1:4" x14ac:dyDescent="0.25">
      <c r="A10" s="747">
        <v>90011</v>
      </c>
      <c r="B10" s="747" t="s">
        <v>2553</v>
      </c>
      <c r="C10" s="752">
        <v>84204.77</v>
      </c>
    </row>
    <row r="11" spans="1:4" x14ac:dyDescent="0.25">
      <c r="A11" s="747">
        <v>90092</v>
      </c>
      <c r="B11" s="747" t="s">
        <v>2554</v>
      </c>
      <c r="C11" s="752">
        <v>186641.43</v>
      </c>
    </row>
    <row r="12" spans="1:4" x14ac:dyDescent="0.25">
      <c r="A12" s="747">
        <v>90096</v>
      </c>
      <c r="B12" s="747" t="s">
        <v>2555</v>
      </c>
      <c r="C12" s="752">
        <v>535126.6</v>
      </c>
    </row>
    <row r="13" spans="1:4" x14ac:dyDescent="0.25">
      <c r="A13" s="747">
        <v>90098</v>
      </c>
      <c r="B13" s="747" t="s">
        <v>2556</v>
      </c>
      <c r="C13" s="752">
        <v>140183.54999999999</v>
      </c>
    </row>
    <row r="14" spans="1:4" x14ac:dyDescent="0.25">
      <c r="A14" s="747">
        <v>90099</v>
      </c>
      <c r="B14" s="747" t="s">
        <v>2557</v>
      </c>
      <c r="C14" s="752">
        <v>271208.03000000003</v>
      </c>
    </row>
    <row r="15" spans="1:4" x14ac:dyDescent="0.25">
      <c r="A15" s="747">
        <v>90101</v>
      </c>
      <c r="B15" s="747" t="s">
        <v>2558</v>
      </c>
      <c r="C15" s="752">
        <v>2960721.15</v>
      </c>
    </row>
    <row r="16" spans="1:4" x14ac:dyDescent="0.25">
      <c r="A16" s="747">
        <v>90111</v>
      </c>
      <c r="B16" s="747" t="s">
        <v>2559</v>
      </c>
      <c r="C16" s="752">
        <v>2229765.8199999998</v>
      </c>
    </row>
    <row r="17" spans="1:3" x14ac:dyDescent="0.25">
      <c r="A17" s="747">
        <v>90114</v>
      </c>
      <c r="B17" s="747" t="s">
        <v>2560</v>
      </c>
      <c r="C17" s="752">
        <v>1108463.6299999999</v>
      </c>
    </row>
    <row r="18" spans="1:3" x14ac:dyDescent="0.25">
      <c r="A18" s="747">
        <v>90117</v>
      </c>
      <c r="B18" s="747" t="s">
        <v>2561</v>
      </c>
      <c r="C18" s="752">
        <v>80146.720000000001</v>
      </c>
    </row>
    <row r="19" spans="1:3" x14ac:dyDescent="0.25">
      <c r="A19" s="747">
        <v>90121</v>
      </c>
      <c r="B19" s="747" t="s">
        <v>2562</v>
      </c>
      <c r="C19" s="752">
        <v>452142.02</v>
      </c>
    </row>
    <row r="20" spans="1:3" x14ac:dyDescent="0.25">
      <c r="A20" s="747">
        <v>90131</v>
      </c>
      <c r="B20" s="747" t="s">
        <v>2563</v>
      </c>
      <c r="C20" s="752">
        <v>207243.4</v>
      </c>
    </row>
    <row r="21" spans="1:3" x14ac:dyDescent="0.25">
      <c r="A21" s="747">
        <v>90141</v>
      </c>
      <c r="B21" s="747" t="s">
        <v>2564</v>
      </c>
      <c r="C21" s="752">
        <v>62654.99</v>
      </c>
    </row>
    <row r="22" spans="1:3" x14ac:dyDescent="0.25">
      <c r="A22" s="747">
        <v>90151</v>
      </c>
      <c r="B22" s="747" t="s">
        <v>2565</v>
      </c>
      <c r="C22" s="752">
        <v>3085.32</v>
      </c>
    </row>
    <row r="23" spans="1:3" x14ac:dyDescent="0.25">
      <c r="A23" s="747">
        <v>90161</v>
      </c>
      <c r="B23" s="747" t="s">
        <v>2566</v>
      </c>
      <c r="C23" s="752">
        <v>15626.57</v>
      </c>
    </row>
    <row r="24" spans="1:3" x14ac:dyDescent="0.25">
      <c r="A24" s="747">
        <v>90201</v>
      </c>
      <c r="B24" s="747" t="s">
        <v>2567</v>
      </c>
      <c r="C24" s="752">
        <v>536124.22</v>
      </c>
    </row>
    <row r="25" spans="1:3" x14ac:dyDescent="0.25">
      <c r="A25" s="747">
        <v>90203</v>
      </c>
      <c r="B25" s="747" t="s">
        <v>2568</v>
      </c>
      <c r="C25" s="752">
        <v>91056.15</v>
      </c>
    </row>
    <row r="26" spans="1:3" x14ac:dyDescent="0.25">
      <c r="A26" s="747">
        <v>90205</v>
      </c>
      <c r="B26" s="747" t="s">
        <v>2569</v>
      </c>
      <c r="C26" s="752">
        <v>14232.99</v>
      </c>
    </row>
    <row r="27" spans="1:3" x14ac:dyDescent="0.25">
      <c r="A27" s="747">
        <v>90206</v>
      </c>
      <c r="B27" s="747" t="s">
        <v>2570</v>
      </c>
      <c r="C27" s="752">
        <v>184249.22</v>
      </c>
    </row>
    <row r="28" spans="1:3" x14ac:dyDescent="0.25">
      <c r="A28" s="747">
        <v>90211</v>
      </c>
      <c r="B28" s="747" t="s">
        <v>2571</v>
      </c>
      <c r="C28" s="752">
        <v>71260.37</v>
      </c>
    </row>
    <row r="29" spans="1:3" x14ac:dyDescent="0.25">
      <c r="A29" s="747">
        <v>90301</v>
      </c>
      <c r="B29" s="747" t="s">
        <v>2572</v>
      </c>
      <c r="C29" s="752">
        <v>280575.03000000003</v>
      </c>
    </row>
    <row r="30" spans="1:3" x14ac:dyDescent="0.25">
      <c r="A30" s="747">
        <v>90305</v>
      </c>
      <c r="B30" s="747" t="s">
        <v>2573</v>
      </c>
      <c r="C30" s="752">
        <v>85892.08</v>
      </c>
    </row>
    <row r="31" spans="1:3" x14ac:dyDescent="0.25">
      <c r="A31" s="747">
        <v>90307</v>
      </c>
      <c r="B31" s="747" t="s">
        <v>2574</v>
      </c>
      <c r="C31" s="752">
        <v>4130.32</v>
      </c>
    </row>
    <row r="32" spans="1:3" x14ac:dyDescent="0.25">
      <c r="A32" s="747">
        <v>90401</v>
      </c>
      <c r="B32" s="747" t="s">
        <v>2575</v>
      </c>
      <c r="C32" s="752">
        <v>624954.77</v>
      </c>
    </row>
    <row r="33" spans="1:3" x14ac:dyDescent="0.25">
      <c r="A33" s="747">
        <v>90411</v>
      </c>
      <c r="B33" s="747" t="s">
        <v>2576</v>
      </c>
      <c r="C33" s="752">
        <v>152316.79999999999</v>
      </c>
    </row>
    <row r="34" spans="1:3" x14ac:dyDescent="0.25">
      <c r="A34" s="747">
        <v>90413</v>
      </c>
      <c r="B34" s="747" t="s">
        <v>2577</v>
      </c>
      <c r="C34" s="752">
        <v>17002.28</v>
      </c>
    </row>
    <row r="35" spans="1:3" x14ac:dyDescent="0.25">
      <c r="A35" s="747">
        <v>90417</v>
      </c>
      <c r="B35" s="747" t="s">
        <v>2578</v>
      </c>
      <c r="C35" s="752">
        <v>8372.39</v>
      </c>
    </row>
    <row r="36" spans="1:3" x14ac:dyDescent="0.25">
      <c r="A36" s="747">
        <v>90421</v>
      </c>
      <c r="B36" s="747" t="s">
        <v>2579</v>
      </c>
      <c r="C36" s="752">
        <v>8533.8700000000008</v>
      </c>
    </row>
    <row r="37" spans="1:3" x14ac:dyDescent="0.25">
      <c r="A37" s="747">
        <v>90431</v>
      </c>
      <c r="B37" s="747" t="s">
        <v>2580</v>
      </c>
      <c r="C37" s="752">
        <v>21843.88</v>
      </c>
    </row>
    <row r="38" spans="1:3" x14ac:dyDescent="0.25">
      <c r="A38" s="747">
        <v>90441</v>
      </c>
      <c r="B38" s="747" t="s">
        <v>2581</v>
      </c>
      <c r="C38" s="752">
        <v>4909.99</v>
      </c>
    </row>
    <row r="39" spans="1:3" x14ac:dyDescent="0.25">
      <c r="A39" s="747">
        <v>90451</v>
      </c>
      <c r="B39" s="747" t="s">
        <v>2582</v>
      </c>
      <c r="C39" s="752">
        <v>7776.44</v>
      </c>
    </row>
    <row r="40" spans="1:3" x14ac:dyDescent="0.25">
      <c r="A40" s="747">
        <v>90461</v>
      </c>
      <c r="B40" s="747" t="s">
        <v>2583</v>
      </c>
      <c r="C40" s="752">
        <v>3690.65</v>
      </c>
    </row>
    <row r="41" spans="1:3" x14ac:dyDescent="0.25">
      <c r="A41" s="747">
        <v>90501</v>
      </c>
      <c r="B41" s="747" t="s">
        <v>2584</v>
      </c>
      <c r="C41" s="752">
        <v>670210.42000000004</v>
      </c>
    </row>
    <row r="42" spans="1:3" x14ac:dyDescent="0.25">
      <c r="A42" s="747">
        <v>90507</v>
      </c>
      <c r="B42" s="747" t="s">
        <v>1182</v>
      </c>
      <c r="C42" s="752">
        <v>10407.64</v>
      </c>
    </row>
    <row r="43" spans="1:3" x14ac:dyDescent="0.25">
      <c r="A43" s="747">
        <v>90511</v>
      </c>
      <c r="B43" s="747" t="s">
        <v>2585</v>
      </c>
      <c r="C43" s="752">
        <v>52403.39</v>
      </c>
    </row>
    <row r="44" spans="1:3" x14ac:dyDescent="0.25">
      <c r="A44" s="747">
        <v>90521</v>
      </c>
      <c r="B44" s="747" t="s">
        <v>2586</v>
      </c>
      <c r="C44" s="752">
        <v>56198.41</v>
      </c>
    </row>
    <row r="45" spans="1:3" x14ac:dyDescent="0.25">
      <c r="A45" s="747">
        <v>90601</v>
      </c>
      <c r="B45" s="747" t="s">
        <v>2587</v>
      </c>
      <c r="C45" s="752">
        <v>540984.88</v>
      </c>
    </row>
    <row r="46" spans="1:3" x14ac:dyDescent="0.25">
      <c r="A46" s="747">
        <v>90602</v>
      </c>
      <c r="B46" s="747" t="s">
        <v>2095</v>
      </c>
      <c r="C46" s="752">
        <v>34827.93</v>
      </c>
    </row>
    <row r="47" spans="1:3" x14ac:dyDescent="0.25">
      <c r="A47" s="747">
        <v>90605</v>
      </c>
      <c r="B47" s="747" t="s">
        <v>2588</v>
      </c>
      <c r="C47" s="752">
        <v>25460.9</v>
      </c>
    </row>
    <row r="48" spans="1:3" x14ac:dyDescent="0.25">
      <c r="A48" s="747">
        <v>90611</v>
      </c>
      <c r="B48" s="747" t="s">
        <v>2589</v>
      </c>
      <c r="C48" s="752">
        <v>64370.78</v>
      </c>
    </row>
    <row r="49" spans="1:3" x14ac:dyDescent="0.25">
      <c r="A49" s="747">
        <v>90617</v>
      </c>
      <c r="B49" s="747" t="s">
        <v>2590</v>
      </c>
      <c r="C49" s="752">
        <v>15820.72</v>
      </c>
    </row>
    <row r="50" spans="1:3" x14ac:dyDescent="0.25">
      <c r="A50" s="747">
        <v>90621</v>
      </c>
      <c r="B50" s="747" t="s">
        <v>2591</v>
      </c>
      <c r="C50" s="752">
        <v>27531.68</v>
      </c>
    </row>
    <row r="51" spans="1:3" x14ac:dyDescent="0.25">
      <c r="A51" s="747">
        <v>90631</v>
      </c>
      <c r="B51" s="747" t="s">
        <v>2592</v>
      </c>
      <c r="C51" s="752">
        <v>175401.59</v>
      </c>
    </row>
    <row r="52" spans="1:3" x14ac:dyDescent="0.25">
      <c r="A52" s="747">
        <v>90641</v>
      </c>
      <c r="B52" s="747" t="s">
        <v>2593</v>
      </c>
      <c r="C52" s="752">
        <v>6943.9</v>
      </c>
    </row>
    <row r="53" spans="1:3" x14ac:dyDescent="0.25">
      <c r="A53" s="747">
        <v>90651</v>
      </c>
      <c r="B53" s="747" t="s">
        <v>2594</v>
      </c>
      <c r="C53" s="752">
        <v>98054.44</v>
      </c>
    </row>
    <row r="54" spans="1:3" x14ac:dyDescent="0.25">
      <c r="A54" s="747">
        <v>90701</v>
      </c>
      <c r="B54" s="747" t="s">
        <v>3549</v>
      </c>
      <c r="C54" s="752">
        <v>1110621.1499999999</v>
      </c>
    </row>
    <row r="55" spans="1:3" x14ac:dyDescent="0.25">
      <c r="A55" s="747">
        <v>90704</v>
      </c>
      <c r="B55" s="747" t="s">
        <v>2596</v>
      </c>
      <c r="C55" s="752">
        <v>23859.119999999999</v>
      </c>
    </row>
    <row r="56" spans="1:3" x14ac:dyDescent="0.25">
      <c r="A56" s="747">
        <v>90705</v>
      </c>
      <c r="B56" s="747" t="s">
        <v>2597</v>
      </c>
      <c r="C56" s="752">
        <v>23099.5</v>
      </c>
    </row>
    <row r="57" spans="1:3" x14ac:dyDescent="0.25">
      <c r="A57" s="747">
        <v>90709</v>
      </c>
      <c r="B57" s="747" t="s">
        <v>2598</v>
      </c>
      <c r="C57" s="752">
        <v>61709.8</v>
      </c>
    </row>
    <row r="58" spans="1:3" x14ac:dyDescent="0.25">
      <c r="A58" s="747">
        <v>90711</v>
      </c>
      <c r="B58" s="747" t="s">
        <v>2599</v>
      </c>
      <c r="C58" s="752">
        <v>774256.15</v>
      </c>
    </row>
    <row r="59" spans="1:3" x14ac:dyDescent="0.25">
      <c r="A59" s="747">
        <v>90721</v>
      </c>
      <c r="B59" s="747" t="s">
        <v>2600</v>
      </c>
      <c r="C59" s="752">
        <v>15288.73</v>
      </c>
    </row>
    <row r="60" spans="1:3" x14ac:dyDescent="0.25">
      <c r="A60" s="747">
        <v>90731</v>
      </c>
      <c r="B60" s="747" t="s">
        <v>2601</v>
      </c>
      <c r="C60" s="752">
        <v>79539.97</v>
      </c>
    </row>
    <row r="61" spans="1:3" x14ac:dyDescent="0.25">
      <c r="A61" s="747">
        <v>90741</v>
      </c>
      <c r="B61" s="747" t="s">
        <v>2602</v>
      </c>
      <c r="C61" s="752">
        <v>6432.99</v>
      </c>
    </row>
    <row r="62" spans="1:3" x14ac:dyDescent="0.25">
      <c r="A62" s="747">
        <v>90751</v>
      </c>
      <c r="B62" s="747" t="s">
        <v>2603</v>
      </c>
      <c r="C62" s="752">
        <v>27590.68</v>
      </c>
    </row>
    <row r="63" spans="1:3" x14ac:dyDescent="0.25">
      <c r="A63" s="747">
        <v>90801</v>
      </c>
      <c r="B63" s="747" t="s">
        <v>2604</v>
      </c>
      <c r="C63" s="752">
        <v>521155.69</v>
      </c>
    </row>
    <row r="64" spans="1:3" x14ac:dyDescent="0.25">
      <c r="A64" s="747">
        <v>90804</v>
      </c>
      <c r="B64" s="747" t="s">
        <v>2605</v>
      </c>
      <c r="C64" s="752">
        <v>2751.12</v>
      </c>
    </row>
    <row r="65" spans="1:3" x14ac:dyDescent="0.25">
      <c r="A65" s="747">
        <v>90805</v>
      </c>
      <c r="B65" s="747" t="s">
        <v>2606</v>
      </c>
      <c r="C65" s="752">
        <v>35600.44</v>
      </c>
    </row>
    <row r="66" spans="1:3" x14ac:dyDescent="0.25">
      <c r="A66" s="747">
        <v>90808</v>
      </c>
      <c r="B66" s="747" t="s">
        <v>2607</v>
      </c>
      <c r="C66" s="752">
        <v>56029.3</v>
      </c>
    </row>
    <row r="67" spans="1:3" x14ac:dyDescent="0.25">
      <c r="A67" s="747">
        <v>90811</v>
      </c>
      <c r="B67" s="747" t="s">
        <v>2608</v>
      </c>
      <c r="C67" s="752">
        <v>11655.32</v>
      </c>
    </row>
    <row r="68" spans="1:3" x14ac:dyDescent="0.25">
      <c r="A68" s="747">
        <v>90812</v>
      </c>
      <c r="B68" s="747" t="s">
        <v>2609</v>
      </c>
      <c r="C68" s="752">
        <v>105039.99</v>
      </c>
    </row>
    <row r="69" spans="1:3" x14ac:dyDescent="0.25">
      <c r="A69" s="747">
        <v>90813</v>
      </c>
      <c r="B69" s="747" t="s">
        <v>2610</v>
      </c>
      <c r="C69" s="752">
        <v>2060.62</v>
      </c>
    </row>
    <row r="70" spans="1:3" x14ac:dyDescent="0.25">
      <c r="A70" s="747">
        <v>90861</v>
      </c>
      <c r="B70" s="747" t="s">
        <v>2611</v>
      </c>
      <c r="C70" s="752">
        <v>3702.72</v>
      </c>
    </row>
    <row r="71" spans="1:3" x14ac:dyDescent="0.25">
      <c r="A71" s="747">
        <v>90901</v>
      </c>
      <c r="B71" s="747" t="s">
        <v>2612</v>
      </c>
      <c r="C71" s="752">
        <v>980897.39</v>
      </c>
    </row>
    <row r="72" spans="1:3" x14ac:dyDescent="0.25">
      <c r="A72" s="747">
        <v>90911</v>
      </c>
      <c r="B72" s="747" t="s">
        <v>2613</v>
      </c>
      <c r="C72" s="752">
        <v>159535.14000000001</v>
      </c>
    </row>
    <row r="73" spans="1:3" x14ac:dyDescent="0.25">
      <c r="A73" s="747">
        <v>90917</v>
      </c>
      <c r="B73" s="747" t="s">
        <v>2614</v>
      </c>
      <c r="C73" s="752">
        <v>5783.6</v>
      </c>
    </row>
    <row r="74" spans="1:3" x14ac:dyDescent="0.25">
      <c r="A74" s="747">
        <v>90918</v>
      </c>
      <c r="B74" s="747" t="s">
        <v>2615</v>
      </c>
      <c r="C74" s="752">
        <v>4772.93</v>
      </c>
    </row>
    <row r="75" spans="1:3" x14ac:dyDescent="0.25">
      <c r="A75" s="747">
        <v>90921</v>
      </c>
      <c r="B75" s="747" t="s">
        <v>2616</v>
      </c>
      <c r="C75" s="752">
        <v>59485.69</v>
      </c>
    </row>
    <row r="76" spans="1:3" x14ac:dyDescent="0.25">
      <c r="A76" s="747">
        <v>90931</v>
      </c>
      <c r="B76" s="747" t="s">
        <v>2617</v>
      </c>
      <c r="C76" s="752">
        <v>16167.95</v>
      </c>
    </row>
    <row r="77" spans="1:3" x14ac:dyDescent="0.25">
      <c r="A77" s="747">
        <v>90941</v>
      </c>
      <c r="B77" s="747" t="s">
        <v>2618</v>
      </c>
      <c r="C77" s="752">
        <v>35454.620000000003</v>
      </c>
    </row>
    <row r="78" spans="1:3" x14ac:dyDescent="0.25">
      <c r="A78" s="747">
        <v>91001</v>
      </c>
      <c r="B78" s="747" t="s">
        <v>2619</v>
      </c>
      <c r="C78" s="752">
        <v>2867177.59</v>
      </c>
    </row>
    <row r="79" spans="1:3" x14ac:dyDescent="0.25">
      <c r="A79" s="747">
        <v>91002</v>
      </c>
      <c r="B79" s="747" t="s">
        <v>2620</v>
      </c>
      <c r="C79" s="752">
        <v>257314.65</v>
      </c>
    </row>
    <row r="80" spans="1:3" x14ac:dyDescent="0.25">
      <c r="A80" s="747">
        <v>91003</v>
      </c>
      <c r="B80" s="747" t="s">
        <v>2621</v>
      </c>
      <c r="C80" s="752">
        <v>268788.57</v>
      </c>
    </row>
    <row r="81" spans="1:3" x14ac:dyDescent="0.25">
      <c r="A81" s="747">
        <v>91004</v>
      </c>
      <c r="B81" s="747" t="s">
        <v>2622</v>
      </c>
      <c r="C81" s="752">
        <v>13567.85</v>
      </c>
    </row>
    <row r="82" spans="1:3" x14ac:dyDescent="0.25">
      <c r="A82" s="747">
        <v>91006</v>
      </c>
      <c r="B82" s="747" t="s">
        <v>2623</v>
      </c>
      <c r="C82" s="752">
        <v>446629.41</v>
      </c>
    </row>
    <row r="83" spans="1:3" x14ac:dyDescent="0.25">
      <c r="A83" s="747">
        <v>91007</v>
      </c>
      <c r="B83" s="747" t="s">
        <v>2624</v>
      </c>
      <c r="C83" s="752">
        <v>9502.15</v>
      </c>
    </row>
    <row r="84" spans="1:3" x14ac:dyDescent="0.25">
      <c r="A84" s="747">
        <v>91008</v>
      </c>
      <c r="B84" s="747" t="s">
        <v>2625</v>
      </c>
      <c r="C84" s="752">
        <v>68974.3</v>
      </c>
    </row>
    <row r="85" spans="1:3" x14ac:dyDescent="0.25">
      <c r="A85" s="747">
        <v>91009</v>
      </c>
      <c r="B85" s="747" t="s">
        <v>2626</v>
      </c>
      <c r="C85" s="752">
        <v>11391.89</v>
      </c>
    </row>
    <row r="86" spans="1:3" x14ac:dyDescent="0.25">
      <c r="A86" s="747">
        <v>91010</v>
      </c>
      <c r="B86" s="747" t="s">
        <v>2627</v>
      </c>
      <c r="C86" s="752">
        <v>32517.29</v>
      </c>
    </row>
    <row r="87" spans="1:3" x14ac:dyDescent="0.25">
      <c r="A87" s="747">
        <v>91011</v>
      </c>
      <c r="B87" s="747" t="s">
        <v>2628</v>
      </c>
      <c r="C87" s="752">
        <v>159847.21</v>
      </c>
    </row>
    <row r="88" spans="1:3" x14ac:dyDescent="0.25">
      <c r="A88" s="747">
        <v>91012</v>
      </c>
      <c r="B88" s="747" t="s">
        <v>2629</v>
      </c>
      <c r="C88" s="752">
        <v>8622.4599999999991</v>
      </c>
    </row>
    <row r="89" spans="1:3" x14ac:dyDescent="0.25">
      <c r="A89" s="747">
        <v>91013</v>
      </c>
      <c r="B89" s="747" t="s">
        <v>2630</v>
      </c>
      <c r="C89" s="752">
        <v>29321.599999999999</v>
      </c>
    </row>
    <row r="90" spans="1:3" x14ac:dyDescent="0.25">
      <c r="A90" s="747">
        <v>91014</v>
      </c>
      <c r="B90" s="747" t="s">
        <v>2631</v>
      </c>
      <c r="C90" s="752">
        <v>97691.51</v>
      </c>
    </row>
    <row r="91" spans="1:3" x14ac:dyDescent="0.25">
      <c r="A91" s="747">
        <v>91015</v>
      </c>
      <c r="B91" s="747" t="s">
        <v>3845</v>
      </c>
      <c r="C91" s="752">
        <v>3402</v>
      </c>
    </row>
    <row r="92" spans="1:3" x14ac:dyDescent="0.25">
      <c r="A92" s="747">
        <v>91017</v>
      </c>
      <c r="B92" s="747" t="s">
        <v>2632</v>
      </c>
      <c r="C92" s="752">
        <v>12461.87</v>
      </c>
    </row>
    <row r="93" spans="1:3" x14ac:dyDescent="0.25">
      <c r="A93" s="747">
        <v>91020</v>
      </c>
      <c r="B93" s="747" t="s">
        <v>2633</v>
      </c>
      <c r="C93" s="752">
        <v>10948.67</v>
      </c>
    </row>
    <row r="94" spans="1:3" x14ac:dyDescent="0.25">
      <c r="A94" s="747">
        <v>91021</v>
      </c>
      <c r="B94" s="747" t="s">
        <v>2634</v>
      </c>
      <c r="C94" s="752">
        <v>387781.66</v>
      </c>
    </row>
    <row r="95" spans="1:3" x14ac:dyDescent="0.25">
      <c r="A95" s="747">
        <v>91024</v>
      </c>
      <c r="B95" s="747" t="s">
        <v>2635</v>
      </c>
      <c r="C95" s="752">
        <v>34457.870000000003</v>
      </c>
    </row>
    <row r="96" spans="1:3" x14ac:dyDescent="0.25">
      <c r="A96" s="747">
        <v>91026</v>
      </c>
      <c r="B96" s="747" t="s">
        <v>1233</v>
      </c>
      <c r="C96" s="752">
        <v>40780.620000000003</v>
      </c>
    </row>
    <row r="97" spans="1:3" x14ac:dyDescent="0.25">
      <c r="A97" s="747">
        <v>91027</v>
      </c>
      <c r="B97" s="747" t="s">
        <v>2636</v>
      </c>
      <c r="C97" s="752">
        <v>15968.39</v>
      </c>
    </row>
    <row r="98" spans="1:3" x14ac:dyDescent="0.25">
      <c r="A98" s="747">
        <v>91032</v>
      </c>
      <c r="B98" s="747" t="s">
        <v>2637</v>
      </c>
      <c r="C98" s="752">
        <v>16167.77</v>
      </c>
    </row>
    <row r="99" spans="1:3" x14ac:dyDescent="0.25">
      <c r="A99" s="747">
        <v>91041</v>
      </c>
      <c r="B99" s="747" t="s">
        <v>2638</v>
      </c>
      <c r="C99" s="752">
        <v>157510.79</v>
      </c>
    </row>
    <row r="100" spans="1:3" x14ac:dyDescent="0.25">
      <c r="A100" s="747">
        <v>91042</v>
      </c>
      <c r="B100" s="747" t="s">
        <v>2639</v>
      </c>
      <c r="C100" s="752">
        <v>99550.59</v>
      </c>
    </row>
    <row r="101" spans="1:3" x14ac:dyDescent="0.25">
      <c r="A101" s="747">
        <v>91047</v>
      </c>
      <c r="B101" s="747" t="s">
        <v>2640</v>
      </c>
      <c r="C101" s="752">
        <v>16395.95</v>
      </c>
    </row>
    <row r="102" spans="1:3" x14ac:dyDescent="0.25">
      <c r="A102" s="747">
        <v>91051</v>
      </c>
      <c r="B102" s="747" t="s">
        <v>2641</v>
      </c>
      <c r="C102" s="752">
        <v>30963.919999999998</v>
      </c>
    </row>
    <row r="103" spans="1:3" x14ac:dyDescent="0.25">
      <c r="A103" s="747">
        <v>91057</v>
      </c>
      <c r="B103" s="747" t="s">
        <v>2642</v>
      </c>
      <c r="C103" s="752">
        <v>9616.17</v>
      </c>
    </row>
    <row r="104" spans="1:3" x14ac:dyDescent="0.25">
      <c r="A104" s="747">
        <v>91061</v>
      </c>
      <c r="B104" s="747" t="s">
        <v>2643</v>
      </c>
      <c r="C104" s="752">
        <v>172504.15</v>
      </c>
    </row>
    <row r="105" spans="1:3" x14ac:dyDescent="0.25">
      <c r="A105" s="747">
        <v>91067</v>
      </c>
      <c r="B105" s="747" t="s">
        <v>2644</v>
      </c>
      <c r="C105" s="752">
        <v>9046.16</v>
      </c>
    </row>
    <row r="106" spans="1:3" x14ac:dyDescent="0.25">
      <c r="A106" s="747">
        <v>91071</v>
      </c>
      <c r="B106" s="747" t="s">
        <v>2645</v>
      </c>
      <c r="C106" s="752">
        <v>93244.52</v>
      </c>
    </row>
    <row r="107" spans="1:3" x14ac:dyDescent="0.25">
      <c r="A107" s="747">
        <v>91077</v>
      </c>
      <c r="B107" s="747" t="s">
        <v>2646</v>
      </c>
      <c r="C107" s="752">
        <v>3277.25</v>
      </c>
    </row>
    <row r="108" spans="1:3" x14ac:dyDescent="0.25">
      <c r="A108" s="747">
        <v>91081</v>
      </c>
      <c r="B108" s="747" t="s">
        <v>2647</v>
      </c>
      <c r="C108" s="752">
        <v>169111.92</v>
      </c>
    </row>
    <row r="109" spans="1:3" x14ac:dyDescent="0.25">
      <c r="A109" s="747">
        <v>91091</v>
      </c>
      <c r="B109" s="747" t="s">
        <v>2648</v>
      </c>
      <c r="C109" s="752">
        <v>225749.39</v>
      </c>
    </row>
    <row r="110" spans="1:3" x14ac:dyDescent="0.25">
      <c r="A110" s="747">
        <v>91101</v>
      </c>
      <c r="B110" s="747" t="s">
        <v>2649</v>
      </c>
      <c r="C110" s="752">
        <v>5894550.5700000003</v>
      </c>
    </row>
    <row r="111" spans="1:3" x14ac:dyDescent="0.25">
      <c r="A111" s="747">
        <v>91102</v>
      </c>
      <c r="B111" s="747" t="s">
        <v>2650</v>
      </c>
      <c r="C111" s="752">
        <v>156560.34</v>
      </c>
    </row>
    <row r="112" spans="1:3" x14ac:dyDescent="0.25">
      <c r="A112" s="747">
        <v>91104</v>
      </c>
      <c r="B112" s="747" t="s">
        <v>2651</v>
      </c>
      <c r="C112" s="752">
        <v>5627.53</v>
      </c>
    </row>
    <row r="113" spans="1:3" x14ac:dyDescent="0.25">
      <c r="A113" s="747">
        <v>91107</v>
      </c>
      <c r="B113" s="747" t="s">
        <v>3550</v>
      </c>
      <c r="C113" s="752">
        <v>36616.22</v>
      </c>
    </row>
    <row r="114" spans="1:3" x14ac:dyDescent="0.25">
      <c r="A114" s="747">
        <v>91108</v>
      </c>
      <c r="B114" s="747" t="s">
        <v>2653</v>
      </c>
      <c r="C114" s="752">
        <v>613475.99</v>
      </c>
    </row>
    <row r="115" spans="1:3" x14ac:dyDescent="0.25">
      <c r="A115" s="747">
        <v>91109</v>
      </c>
      <c r="B115" s="747" t="s">
        <v>2654</v>
      </c>
      <c r="C115" s="752">
        <v>45066.21</v>
      </c>
    </row>
    <row r="116" spans="1:3" x14ac:dyDescent="0.25">
      <c r="A116" s="747">
        <v>91111</v>
      </c>
      <c r="B116" s="747" t="s">
        <v>2655</v>
      </c>
      <c r="C116" s="752">
        <v>110902.83</v>
      </c>
    </row>
    <row r="117" spans="1:3" x14ac:dyDescent="0.25">
      <c r="A117" s="747">
        <v>91120</v>
      </c>
      <c r="B117" s="747" t="s">
        <v>2656</v>
      </c>
      <c r="C117" s="752">
        <v>45448.52</v>
      </c>
    </row>
    <row r="118" spans="1:3" x14ac:dyDescent="0.25">
      <c r="A118" s="747">
        <v>91121</v>
      </c>
      <c r="B118" s="747" t="s">
        <v>2657</v>
      </c>
      <c r="C118" s="752">
        <v>4272051.3499999996</v>
      </c>
    </row>
    <row r="119" spans="1:3" x14ac:dyDescent="0.25">
      <c r="A119" s="747">
        <v>91127</v>
      </c>
      <c r="B119" s="747" t="s">
        <v>2658</v>
      </c>
      <c r="C119" s="752">
        <v>146935.43</v>
      </c>
    </row>
    <row r="120" spans="1:3" x14ac:dyDescent="0.25">
      <c r="A120" s="747">
        <v>91128</v>
      </c>
      <c r="B120" s="747" t="s">
        <v>2659</v>
      </c>
      <c r="C120" s="752">
        <v>238305.37</v>
      </c>
    </row>
    <row r="121" spans="1:3" x14ac:dyDescent="0.25">
      <c r="A121" s="747">
        <v>91138</v>
      </c>
      <c r="B121" s="747" t="s">
        <v>2660</v>
      </c>
      <c r="C121" s="752">
        <v>220646.32</v>
      </c>
    </row>
    <row r="122" spans="1:3" x14ac:dyDescent="0.25">
      <c r="A122" s="747">
        <v>91141</v>
      </c>
      <c r="B122" s="747" t="s">
        <v>2661</v>
      </c>
      <c r="C122" s="752">
        <v>236315.18</v>
      </c>
    </row>
    <row r="123" spans="1:3" x14ac:dyDescent="0.25">
      <c r="A123" s="747">
        <v>91147</v>
      </c>
      <c r="B123" s="747" t="s">
        <v>2662</v>
      </c>
      <c r="C123" s="752">
        <v>12125.2</v>
      </c>
    </row>
    <row r="124" spans="1:3" x14ac:dyDescent="0.25">
      <c r="A124" s="747">
        <v>91151</v>
      </c>
      <c r="B124" s="747" t="s">
        <v>2663</v>
      </c>
      <c r="C124" s="752">
        <v>254759.84</v>
      </c>
    </row>
    <row r="125" spans="1:3" x14ac:dyDescent="0.25">
      <c r="A125" s="747">
        <v>91154</v>
      </c>
      <c r="B125" s="747" t="s">
        <v>2664</v>
      </c>
      <c r="C125" s="752">
        <v>10901.68</v>
      </c>
    </row>
    <row r="126" spans="1:3" x14ac:dyDescent="0.25">
      <c r="A126" s="747">
        <v>91161</v>
      </c>
      <c r="B126" s="747" t="s">
        <v>2665</v>
      </c>
      <c r="C126" s="752">
        <v>44456.92</v>
      </c>
    </row>
    <row r="127" spans="1:3" x14ac:dyDescent="0.25">
      <c r="A127" s="747">
        <v>91171</v>
      </c>
      <c r="B127" s="747" t="s">
        <v>2666</v>
      </c>
      <c r="C127" s="752">
        <v>93650.89</v>
      </c>
    </row>
    <row r="128" spans="1:3" x14ac:dyDescent="0.25">
      <c r="A128" s="747">
        <v>91201</v>
      </c>
      <c r="B128" s="747" t="s">
        <v>2667</v>
      </c>
      <c r="C128" s="752">
        <v>970290.72</v>
      </c>
    </row>
    <row r="129" spans="1:3" x14ac:dyDescent="0.25">
      <c r="A129" s="747">
        <v>91202</v>
      </c>
      <c r="B129" s="747" t="s">
        <v>2668</v>
      </c>
      <c r="C129" s="752">
        <v>96478.46</v>
      </c>
    </row>
    <row r="130" spans="1:3" x14ac:dyDescent="0.25">
      <c r="A130" s="747">
        <v>91203</v>
      </c>
      <c r="B130" s="747" t="s">
        <v>2669</v>
      </c>
      <c r="C130" s="752">
        <v>127249.16</v>
      </c>
    </row>
    <row r="131" spans="1:3" x14ac:dyDescent="0.25">
      <c r="A131" s="747">
        <v>91206</v>
      </c>
      <c r="B131" s="747" t="s">
        <v>2670</v>
      </c>
      <c r="C131" s="752">
        <v>388200.35</v>
      </c>
    </row>
    <row r="132" spans="1:3" x14ac:dyDescent="0.25">
      <c r="A132" s="747">
        <v>91208</v>
      </c>
      <c r="B132" s="747" t="s">
        <v>2671</v>
      </c>
      <c r="C132" s="752">
        <v>6397.76</v>
      </c>
    </row>
    <row r="133" spans="1:3" x14ac:dyDescent="0.25">
      <c r="A133" s="747">
        <v>91211</v>
      </c>
      <c r="B133" s="747" t="s">
        <v>2672</v>
      </c>
      <c r="C133" s="752">
        <v>223513.02</v>
      </c>
    </row>
    <row r="134" spans="1:3" x14ac:dyDescent="0.25">
      <c r="A134" s="747">
        <v>91213</v>
      </c>
      <c r="B134" s="747" t="s">
        <v>2673</v>
      </c>
      <c r="C134" s="752">
        <v>12090.4</v>
      </c>
    </row>
    <row r="135" spans="1:3" x14ac:dyDescent="0.25">
      <c r="A135" s="747">
        <v>91214</v>
      </c>
      <c r="B135" s="747" t="s">
        <v>2674</v>
      </c>
      <c r="C135" s="752">
        <v>9668.68</v>
      </c>
    </row>
    <row r="136" spans="1:3" x14ac:dyDescent="0.25">
      <c r="A136" s="747">
        <v>91217</v>
      </c>
      <c r="B136" s="747" t="s">
        <v>2675</v>
      </c>
      <c r="C136" s="752">
        <v>14934.26</v>
      </c>
    </row>
    <row r="137" spans="1:3" x14ac:dyDescent="0.25">
      <c r="A137" s="747">
        <v>91221</v>
      </c>
      <c r="B137" s="747" t="s">
        <v>2676</v>
      </c>
      <c r="C137" s="752">
        <v>59449.13</v>
      </c>
    </row>
    <row r="138" spans="1:3" x14ac:dyDescent="0.25">
      <c r="A138" s="747">
        <v>91231</v>
      </c>
      <c r="B138" s="747" t="s">
        <v>2677</v>
      </c>
      <c r="C138" s="752">
        <v>867955.41</v>
      </c>
    </row>
    <row r="139" spans="1:3" x14ac:dyDescent="0.25">
      <c r="A139" s="747">
        <v>91233</v>
      </c>
      <c r="B139" s="747" t="s">
        <v>2678</v>
      </c>
      <c r="C139" s="752">
        <v>21828.27</v>
      </c>
    </row>
    <row r="140" spans="1:3" x14ac:dyDescent="0.25">
      <c r="A140" s="747">
        <v>91241</v>
      </c>
      <c r="B140" s="747" t="s">
        <v>2679</v>
      </c>
      <c r="C140" s="752">
        <v>17215.53</v>
      </c>
    </row>
    <row r="141" spans="1:3" x14ac:dyDescent="0.25">
      <c r="A141" s="747">
        <v>91251</v>
      </c>
      <c r="B141" s="747" t="s">
        <v>2680</v>
      </c>
      <c r="C141" s="752">
        <v>11338.78</v>
      </c>
    </row>
    <row r="142" spans="1:3" x14ac:dyDescent="0.25">
      <c r="A142" s="747">
        <v>91261</v>
      </c>
      <c r="B142" s="747" t="s">
        <v>2681</v>
      </c>
      <c r="C142" s="752">
        <v>4665.82</v>
      </c>
    </row>
    <row r="143" spans="1:3" x14ac:dyDescent="0.25">
      <c r="A143" s="747">
        <v>91301</v>
      </c>
      <c r="B143" s="747" t="s">
        <v>2682</v>
      </c>
      <c r="C143" s="752">
        <v>3428603.03</v>
      </c>
    </row>
    <row r="144" spans="1:3" x14ac:dyDescent="0.25">
      <c r="A144" s="747">
        <v>91302</v>
      </c>
      <c r="B144" s="747" t="s">
        <v>3551</v>
      </c>
      <c r="C144" s="752">
        <v>259187.16</v>
      </c>
    </row>
    <row r="145" spans="1:3" x14ac:dyDescent="0.25">
      <c r="A145" s="747">
        <v>91306</v>
      </c>
      <c r="B145" s="747" t="s">
        <v>2684</v>
      </c>
      <c r="C145" s="752">
        <v>766697.58</v>
      </c>
    </row>
    <row r="146" spans="1:3" x14ac:dyDescent="0.25">
      <c r="A146" s="747">
        <v>91308</v>
      </c>
      <c r="B146" s="747" t="s">
        <v>2685</v>
      </c>
      <c r="C146" s="752">
        <v>80232.03</v>
      </c>
    </row>
    <row r="147" spans="1:3" x14ac:dyDescent="0.25">
      <c r="A147" s="747">
        <v>91311</v>
      </c>
      <c r="B147" s="747" t="s">
        <v>2686</v>
      </c>
      <c r="C147" s="752">
        <v>3305761.29</v>
      </c>
    </row>
    <row r="148" spans="1:3" x14ac:dyDescent="0.25">
      <c r="A148" s="747">
        <v>91317</v>
      </c>
      <c r="B148" s="747" t="s">
        <v>2687</v>
      </c>
      <c r="C148" s="752">
        <v>50865.25</v>
      </c>
    </row>
    <row r="149" spans="1:3" x14ac:dyDescent="0.25">
      <c r="A149" s="747">
        <v>91321</v>
      </c>
      <c r="B149" s="747" t="s">
        <v>2688</v>
      </c>
      <c r="C149" s="752">
        <v>37213.019999999997</v>
      </c>
    </row>
    <row r="150" spans="1:3" x14ac:dyDescent="0.25">
      <c r="A150" s="747">
        <v>91327</v>
      </c>
      <c r="B150" s="747" t="s">
        <v>2689</v>
      </c>
      <c r="C150" s="752">
        <v>4494.54</v>
      </c>
    </row>
    <row r="151" spans="1:3" x14ac:dyDescent="0.25">
      <c r="A151" s="747">
        <v>91331</v>
      </c>
      <c r="B151" s="747" t="s">
        <v>2690</v>
      </c>
      <c r="C151" s="752">
        <v>1190887.26</v>
      </c>
    </row>
    <row r="152" spans="1:3" x14ac:dyDescent="0.25">
      <c r="A152" s="747">
        <v>91341</v>
      </c>
      <c r="B152" s="747" t="s">
        <v>2691</v>
      </c>
      <c r="C152" s="752">
        <v>9160.6</v>
      </c>
    </row>
    <row r="153" spans="1:3" x14ac:dyDescent="0.25">
      <c r="A153" s="747">
        <v>91401</v>
      </c>
      <c r="B153" s="747" t="s">
        <v>2692</v>
      </c>
      <c r="C153" s="752">
        <v>1559429.54</v>
      </c>
    </row>
    <row r="154" spans="1:3" x14ac:dyDescent="0.25">
      <c r="A154" s="747">
        <v>91411</v>
      </c>
      <c r="B154" s="747" t="s">
        <v>2693</v>
      </c>
      <c r="C154" s="752">
        <v>168365.22</v>
      </c>
    </row>
    <row r="155" spans="1:3" x14ac:dyDescent="0.25">
      <c r="A155" s="747">
        <v>91417</v>
      </c>
      <c r="B155" s="747" t="s">
        <v>2694</v>
      </c>
      <c r="C155" s="752">
        <v>5288.72</v>
      </c>
    </row>
    <row r="156" spans="1:3" x14ac:dyDescent="0.25">
      <c r="A156" s="747">
        <v>91421</v>
      </c>
      <c r="B156" s="747" t="s">
        <v>2695</v>
      </c>
      <c r="C156" s="752">
        <v>36488.129999999997</v>
      </c>
    </row>
    <row r="157" spans="1:3" x14ac:dyDescent="0.25">
      <c r="A157" s="747">
        <v>91423</v>
      </c>
      <c r="B157" s="747" t="s">
        <v>2696</v>
      </c>
      <c r="C157" s="752">
        <v>20619.55</v>
      </c>
    </row>
    <row r="158" spans="1:3" x14ac:dyDescent="0.25">
      <c r="A158" s="747">
        <v>91431</v>
      </c>
      <c r="B158" s="747" t="s">
        <v>2697</v>
      </c>
      <c r="C158" s="752">
        <v>80269.81</v>
      </c>
    </row>
    <row r="159" spans="1:3" x14ac:dyDescent="0.25">
      <c r="A159" s="747">
        <v>91441</v>
      </c>
      <c r="B159" s="747" t="s">
        <v>2698</v>
      </c>
      <c r="C159" s="752">
        <v>316617.68</v>
      </c>
    </row>
    <row r="160" spans="1:3" x14ac:dyDescent="0.25">
      <c r="A160" s="747">
        <v>91451</v>
      </c>
      <c r="B160" s="747" t="s">
        <v>2699</v>
      </c>
      <c r="C160" s="752">
        <v>670223.22</v>
      </c>
    </row>
    <row r="161" spans="1:3" x14ac:dyDescent="0.25">
      <c r="A161" s="747">
        <v>91457</v>
      </c>
      <c r="B161" s="747" t="s">
        <v>2700</v>
      </c>
      <c r="C161" s="752">
        <v>30669.55</v>
      </c>
    </row>
    <row r="162" spans="1:3" x14ac:dyDescent="0.25">
      <c r="A162" s="747">
        <v>91461</v>
      </c>
      <c r="B162" s="747" t="s">
        <v>2701</v>
      </c>
      <c r="C162" s="752">
        <v>2932.2</v>
      </c>
    </row>
    <row r="163" spans="1:3" x14ac:dyDescent="0.25">
      <c r="A163" s="747">
        <v>91501</v>
      </c>
      <c r="B163" s="747" t="s">
        <v>2702</v>
      </c>
      <c r="C163" s="752">
        <v>231245.96</v>
      </c>
    </row>
    <row r="164" spans="1:3" x14ac:dyDescent="0.25">
      <c r="A164" s="747">
        <v>91504</v>
      </c>
      <c r="B164" s="747" t="s">
        <v>2703</v>
      </c>
      <c r="C164" s="752">
        <v>6531.24</v>
      </c>
    </row>
    <row r="165" spans="1:3" x14ac:dyDescent="0.25">
      <c r="A165" s="747">
        <v>91601</v>
      </c>
      <c r="B165" s="747" t="s">
        <v>2704</v>
      </c>
      <c r="C165" s="752">
        <v>1323805.48</v>
      </c>
    </row>
    <row r="166" spans="1:3" x14ac:dyDescent="0.25">
      <c r="A166" s="747">
        <v>91604</v>
      </c>
      <c r="B166" s="747" t="s">
        <v>2705</v>
      </c>
      <c r="C166" s="752">
        <v>50507.07</v>
      </c>
    </row>
    <row r="167" spans="1:3" x14ac:dyDescent="0.25">
      <c r="A167" s="747">
        <v>91608</v>
      </c>
      <c r="B167" s="747" t="s">
        <v>2706</v>
      </c>
      <c r="C167" s="752">
        <v>45013.06</v>
      </c>
    </row>
    <row r="168" spans="1:3" x14ac:dyDescent="0.25">
      <c r="A168" s="747">
        <v>91611</v>
      </c>
      <c r="B168" s="747" t="s">
        <v>2707</v>
      </c>
      <c r="C168" s="752">
        <v>598448.54</v>
      </c>
    </row>
    <row r="169" spans="1:3" x14ac:dyDescent="0.25">
      <c r="A169" s="747">
        <v>91621</v>
      </c>
      <c r="B169" s="747" t="s">
        <v>2708</v>
      </c>
      <c r="C169" s="752">
        <v>108513.94</v>
      </c>
    </row>
    <row r="170" spans="1:3" x14ac:dyDescent="0.25">
      <c r="A170" s="747">
        <v>91631</v>
      </c>
      <c r="B170" s="747" t="s">
        <v>2709</v>
      </c>
      <c r="C170" s="752">
        <v>219721.63</v>
      </c>
    </row>
    <row r="171" spans="1:3" x14ac:dyDescent="0.25">
      <c r="A171" s="747">
        <v>91633</v>
      </c>
      <c r="B171" s="747" t="s">
        <v>2710</v>
      </c>
      <c r="C171" s="752">
        <v>11021.91</v>
      </c>
    </row>
    <row r="172" spans="1:3" x14ac:dyDescent="0.25">
      <c r="A172" s="747">
        <v>91641</v>
      </c>
      <c r="B172" s="747" t="s">
        <v>2711</v>
      </c>
      <c r="C172" s="752">
        <v>104378.45</v>
      </c>
    </row>
    <row r="173" spans="1:3" x14ac:dyDescent="0.25">
      <c r="A173" s="747">
        <v>91651</v>
      </c>
      <c r="B173" s="747" t="s">
        <v>2712</v>
      </c>
      <c r="C173" s="752">
        <v>205102.35</v>
      </c>
    </row>
    <row r="174" spans="1:3" x14ac:dyDescent="0.25">
      <c r="A174" s="747">
        <v>91661</v>
      </c>
      <c r="B174" s="747" t="s">
        <v>2713</v>
      </c>
      <c r="C174" s="752">
        <v>56240.800000000003</v>
      </c>
    </row>
    <row r="175" spans="1:3" x14ac:dyDescent="0.25">
      <c r="A175" s="747">
        <v>91671</v>
      </c>
      <c r="B175" s="747" t="s">
        <v>2714</v>
      </c>
      <c r="C175" s="752">
        <v>43651.26</v>
      </c>
    </row>
    <row r="176" spans="1:3" x14ac:dyDescent="0.25">
      <c r="A176" s="747">
        <v>91681</v>
      </c>
      <c r="B176" s="747" t="s">
        <v>2715</v>
      </c>
      <c r="C176" s="752">
        <v>387831.85</v>
      </c>
    </row>
    <row r="177" spans="1:3" x14ac:dyDescent="0.25">
      <c r="A177" s="747">
        <v>91691</v>
      </c>
      <c r="B177" s="747" t="s">
        <v>2716</v>
      </c>
      <c r="C177" s="752">
        <v>10219.23</v>
      </c>
    </row>
    <row r="178" spans="1:3" x14ac:dyDescent="0.25">
      <c r="A178" s="747">
        <v>91701</v>
      </c>
      <c r="B178" s="747" t="s">
        <v>2717</v>
      </c>
      <c r="C178" s="752">
        <v>542905.62</v>
      </c>
    </row>
    <row r="179" spans="1:3" x14ac:dyDescent="0.25">
      <c r="A179" s="747">
        <v>91704</v>
      </c>
      <c r="B179" s="747" t="s">
        <v>2718</v>
      </c>
      <c r="C179" s="752">
        <v>7505.75</v>
      </c>
    </row>
    <row r="180" spans="1:3" x14ac:dyDescent="0.25">
      <c r="A180" s="747">
        <v>91706</v>
      </c>
      <c r="B180" s="747" t="s">
        <v>2719</v>
      </c>
      <c r="C180" s="752">
        <v>121962.5</v>
      </c>
    </row>
    <row r="181" spans="1:3" x14ac:dyDescent="0.25">
      <c r="A181" s="747">
        <v>91719</v>
      </c>
      <c r="B181" s="747" t="s">
        <v>2720</v>
      </c>
      <c r="C181" s="752">
        <v>19656.21</v>
      </c>
    </row>
    <row r="182" spans="1:3" x14ac:dyDescent="0.25">
      <c r="A182" s="747">
        <v>91801</v>
      </c>
      <c r="B182" s="747" t="s">
        <v>2721</v>
      </c>
      <c r="C182" s="752">
        <v>3752769.06</v>
      </c>
    </row>
    <row r="183" spans="1:3" x14ac:dyDescent="0.25">
      <c r="A183" s="747">
        <v>91804</v>
      </c>
      <c r="B183" s="747" t="s">
        <v>2722</v>
      </c>
      <c r="C183" s="752">
        <v>95886.3</v>
      </c>
    </row>
    <row r="184" spans="1:3" x14ac:dyDescent="0.25">
      <c r="A184" s="747">
        <v>91811</v>
      </c>
      <c r="B184" s="747" t="s">
        <v>2723</v>
      </c>
      <c r="C184" s="752">
        <v>1964157.72</v>
      </c>
    </row>
    <row r="185" spans="1:3" x14ac:dyDescent="0.25">
      <c r="A185" s="747">
        <v>91812</v>
      </c>
      <c r="B185" s="747" t="s">
        <v>2724</v>
      </c>
      <c r="C185" s="752">
        <v>26136.17</v>
      </c>
    </row>
    <row r="186" spans="1:3" x14ac:dyDescent="0.25">
      <c r="A186" s="747">
        <v>91813</v>
      </c>
      <c r="B186" s="747" t="s">
        <v>2725</v>
      </c>
      <c r="C186" s="752">
        <v>44451.83</v>
      </c>
    </row>
    <row r="187" spans="1:3" x14ac:dyDescent="0.25">
      <c r="A187" s="747">
        <v>91818</v>
      </c>
      <c r="B187" s="747" t="s">
        <v>2726</v>
      </c>
      <c r="C187" s="752">
        <v>453408.54</v>
      </c>
    </row>
    <row r="188" spans="1:3" x14ac:dyDescent="0.25">
      <c r="A188" s="747">
        <v>91819</v>
      </c>
      <c r="B188" s="747" t="s">
        <v>2727</v>
      </c>
      <c r="C188" s="752">
        <v>138657.20000000001</v>
      </c>
    </row>
    <row r="189" spans="1:3" x14ac:dyDescent="0.25">
      <c r="A189" s="747">
        <v>91821</v>
      </c>
      <c r="B189" s="747" t="s">
        <v>2728</v>
      </c>
      <c r="C189" s="752">
        <v>71126.36</v>
      </c>
    </row>
    <row r="190" spans="1:3" x14ac:dyDescent="0.25">
      <c r="A190" s="747">
        <v>91831</v>
      </c>
      <c r="B190" s="747" t="s">
        <v>2729</v>
      </c>
      <c r="C190" s="752">
        <v>150177.89000000001</v>
      </c>
    </row>
    <row r="191" spans="1:3" x14ac:dyDescent="0.25">
      <c r="A191" s="747">
        <v>91841</v>
      </c>
      <c r="B191" s="747" t="s">
        <v>2730</v>
      </c>
      <c r="C191" s="752">
        <v>126479.16</v>
      </c>
    </row>
    <row r="192" spans="1:3" x14ac:dyDescent="0.25">
      <c r="A192" s="747">
        <v>91851</v>
      </c>
      <c r="B192" s="747" t="s">
        <v>2731</v>
      </c>
      <c r="C192" s="752">
        <v>326836.36</v>
      </c>
    </row>
    <row r="193" spans="1:3" x14ac:dyDescent="0.25">
      <c r="A193" s="747">
        <v>91861</v>
      </c>
      <c r="B193" s="747" t="s">
        <v>2732</v>
      </c>
      <c r="C193" s="752">
        <v>8022.88</v>
      </c>
    </row>
    <row r="194" spans="1:3" x14ac:dyDescent="0.25">
      <c r="A194" s="747">
        <v>91871</v>
      </c>
      <c r="B194" s="747" t="s">
        <v>2733</v>
      </c>
      <c r="C194" s="752">
        <v>588754.54</v>
      </c>
    </row>
    <row r="195" spans="1:3" x14ac:dyDescent="0.25">
      <c r="A195" s="747">
        <v>91881</v>
      </c>
      <c r="B195" s="747" t="s">
        <v>2734</v>
      </c>
      <c r="C195" s="752">
        <v>6384.3</v>
      </c>
    </row>
    <row r="196" spans="1:3" x14ac:dyDescent="0.25">
      <c r="A196" s="747">
        <v>91901</v>
      </c>
      <c r="B196" s="747" t="s">
        <v>2735</v>
      </c>
      <c r="C196" s="752">
        <v>1652492.47</v>
      </c>
    </row>
    <row r="197" spans="1:3" x14ac:dyDescent="0.25">
      <c r="A197" s="747">
        <v>91903</v>
      </c>
      <c r="B197" s="747" t="s">
        <v>2736</v>
      </c>
      <c r="C197" s="752">
        <v>5738.87</v>
      </c>
    </row>
    <row r="198" spans="1:3" x14ac:dyDescent="0.25">
      <c r="A198" s="747">
        <v>91904</v>
      </c>
      <c r="B198" s="747" t="s">
        <v>2737</v>
      </c>
      <c r="C198" s="752">
        <v>13231.24</v>
      </c>
    </row>
    <row r="199" spans="1:3" x14ac:dyDescent="0.25">
      <c r="A199" s="747">
        <v>91908</v>
      </c>
      <c r="B199" s="747" t="s">
        <v>2738</v>
      </c>
      <c r="C199" s="752">
        <v>5210.9399999999996</v>
      </c>
    </row>
    <row r="200" spans="1:3" x14ac:dyDescent="0.25">
      <c r="A200" s="747">
        <v>91911</v>
      </c>
      <c r="B200" s="747" t="s">
        <v>2739</v>
      </c>
      <c r="C200" s="752">
        <v>224256.72</v>
      </c>
    </row>
    <row r="201" spans="1:3" x14ac:dyDescent="0.25">
      <c r="A201" s="747">
        <v>91917</v>
      </c>
      <c r="B201" s="747" t="s">
        <v>2740</v>
      </c>
      <c r="C201" s="752">
        <v>6386.67</v>
      </c>
    </row>
    <row r="202" spans="1:3" x14ac:dyDescent="0.25">
      <c r="A202" s="747">
        <v>91921</v>
      </c>
      <c r="B202" s="747" t="s">
        <v>2741</v>
      </c>
      <c r="C202" s="752">
        <v>160504.93</v>
      </c>
    </row>
    <row r="203" spans="1:3" x14ac:dyDescent="0.25">
      <c r="A203" s="747">
        <v>92001</v>
      </c>
      <c r="B203" s="747" t="s">
        <v>2742</v>
      </c>
      <c r="C203" s="752">
        <v>790603.03</v>
      </c>
    </row>
    <row r="204" spans="1:3" x14ac:dyDescent="0.25">
      <c r="A204" s="747">
        <v>92005</v>
      </c>
      <c r="B204" s="747" t="s">
        <v>2743</v>
      </c>
      <c r="C204" s="752">
        <v>20947.2</v>
      </c>
    </row>
    <row r="205" spans="1:3" x14ac:dyDescent="0.25">
      <c r="A205" s="747">
        <v>92011</v>
      </c>
      <c r="B205" s="747" t="s">
        <v>2744</v>
      </c>
      <c r="C205" s="752">
        <v>90382.9</v>
      </c>
    </row>
    <row r="206" spans="1:3" x14ac:dyDescent="0.25">
      <c r="A206" s="747">
        <v>92017</v>
      </c>
      <c r="B206" s="747" t="s">
        <v>2745</v>
      </c>
      <c r="C206" s="752">
        <v>16941.37</v>
      </c>
    </row>
    <row r="207" spans="1:3" x14ac:dyDescent="0.25">
      <c r="A207" s="747">
        <v>92021</v>
      </c>
      <c r="B207" s="747" t="s">
        <v>2746</v>
      </c>
      <c r="C207" s="752">
        <v>72634.77</v>
      </c>
    </row>
    <row r="208" spans="1:3" x14ac:dyDescent="0.25">
      <c r="A208" s="747">
        <v>92101</v>
      </c>
      <c r="B208" s="747" t="s">
        <v>2747</v>
      </c>
      <c r="C208" s="752">
        <v>368518.74</v>
      </c>
    </row>
    <row r="209" spans="1:3" x14ac:dyDescent="0.25">
      <c r="A209" s="747">
        <v>92104</v>
      </c>
      <c r="B209" s="747" t="s">
        <v>2748</v>
      </c>
      <c r="C209" s="752">
        <v>5180.28</v>
      </c>
    </row>
    <row r="210" spans="1:3" x14ac:dyDescent="0.25">
      <c r="A210" s="747">
        <v>92109</v>
      </c>
      <c r="B210" s="747" t="s">
        <v>2749</v>
      </c>
      <c r="C210" s="752">
        <v>79222.570000000007</v>
      </c>
    </row>
    <row r="211" spans="1:3" x14ac:dyDescent="0.25">
      <c r="A211" s="747">
        <v>92111</v>
      </c>
      <c r="B211" s="747" t="s">
        <v>2750</v>
      </c>
      <c r="C211" s="752">
        <v>231048.73</v>
      </c>
    </row>
    <row r="212" spans="1:3" x14ac:dyDescent="0.25">
      <c r="A212" s="747">
        <v>92113</v>
      </c>
      <c r="B212" s="747" t="s">
        <v>2751</v>
      </c>
      <c r="C212" s="752">
        <v>10340.59</v>
      </c>
    </row>
    <row r="213" spans="1:3" x14ac:dyDescent="0.25">
      <c r="A213" s="747">
        <v>92201</v>
      </c>
      <c r="B213" s="747" t="s">
        <v>2752</v>
      </c>
      <c r="C213" s="752">
        <v>452317.97</v>
      </c>
    </row>
    <row r="214" spans="1:3" x14ac:dyDescent="0.25">
      <c r="A214" s="747">
        <v>92301</v>
      </c>
      <c r="B214" s="747" t="s">
        <v>2753</v>
      </c>
      <c r="C214" s="752">
        <v>2376667.8199999998</v>
      </c>
    </row>
    <row r="215" spans="1:3" x14ac:dyDescent="0.25">
      <c r="A215" s="747">
        <v>92302</v>
      </c>
      <c r="B215" s="747" t="s">
        <v>3552</v>
      </c>
      <c r="C215" s="752">
        <v>124071.08</v>
      </c>
    </row>
    <row r="216" spans="1:3" x14ac:dyDescent="0.25">
      <c r="A216" s="747">
        <v>92311</v>
      </c>
      <c r="B216" s="747" t="s">
        <v>2755</v>
      </c>
      <c r="C216" s="752">
        <v>989308.2</v>
      </c>
    </row>
    <row r="217" spans="1:3" x14ac:dyDescent="0.25">
      <c r="A217" s="747">
        <v>92317</v>
      </c>
      <c r="B217" s="747" t="s">
        <v>2756</v>
      </c>
      <c r="C217" s="752">
        <v>22749.040000000001</v>
      </c>
    </row>
    <row r="218" spans="1:3" x14ac:dyDescent="0.25">
      <c r="A218" s="747">
        <v>92321</v>
      </c>
      <c r="B218" s="747" t="s">
        <v>2757</v>
      </c>
      <c r="C218" s="752">
        <v>553265.69999999995</v>
      </c>
    </row>
    <row r="219" spans="1:3" x14ac:dyDescent="0.25">
      <c r="A219" s="747">
        <v>92327</v>
      </c>
      <c r="B219" s="747" t="s">
        <v>2758</v>
      </c>
      <c r="C219" s="752">
        <v>5653.37</v>
      </c>
    </row>
    <row r="220" spans="1:3" x14ac:dyDescent="0.25">
      <c r="A220" s="747">
        <v>92331</v>
      </c>
      <c r="B220" s="747" t="s">
        <v>2759</v>
      </c>
      <c r="C220" s="752">
        <v>60877.5</v>
      </c>
    </row>
    <row r="221" spans="1:3" x14ac:dyDescent="0.25">
      <c r="A221" s="747">
        <v>92341</v>
      </c>
      <c r="B221" s="747" t="s">
        <v>2760</v>
      </c>
      <c r="C221" s="752">
        <v>3179.09</v>
      </c>
    </row>
    <row r="222" spans="1:3" x14ac:dyDescent="0.25">
      <c r="A222" s="747">
        <v>92351</v>
      </c>
      <c r="B222" s="747" t="s">
        <v>2761</v>
      </c>
      <c r="C222" s="752">
        <v>9506.67</v>
      </c>
    </row>
    <row r="223" spans="1:3" x14ac:dyDescent="0.25">
      <c r="A223" s="747">
        <v>92401</v>
      </c>
      <c r="B223" s="747" t="s">
        <v>2762</v>
      </c>
      <c r="C223" s="752">
        <v>1303902.48</v>
      </c>
    </row>
    <row r="224" spans="1:3" x14ac:dyDescent="0.25">
      <c r="A224" s="747">
        <v>92403</v>
      </c>
      <c r="B224" s="747" t="s">
        <v>2763</v>
      </c>
      <c r="C224" s="752">
        <v>5891.95</v>
      </c>
    </row>
    <row r="225" spans="1:3" x14ac:dyDescent="0.25">
      <c r="A225" s="747">
        <v>92411</v>
      </c>
      <c r="B225" s="747" t="s">
        <v>2764</v>
      </c>
      <c r="C225" s="752">
        <v>203731.75</v>
      </c>
    </row>
    <row r="226" spans="1:3" x14ac:dyDescent="0.25">
      <c r="A226" s="747">
        <v>92417</v>
      </c>
      <c r="B226" s="747" t="s">
        <v>2765</v>
      </c>
      <c r="C226" s="752">
        <v>5972.12</v>
      </c>
    </row>
    <row r="227" spans="1:3" x14ac:dyDescent="0.25">
      <c r="A227" s="747">
        <v>92421</v>
      </c>
      <c r="B227" s="747" t="s">
        <v>2766</v>
      </c>
      <c r="C227" s="752">
        <v>7579.9</v>
      </c>
    </row>
    <row r="228" spans="1:3" x14ac:dyDescent="0.25">
      <c r="A228" s="747">
        <v>92427</v>
      </c>
      <c r="B228" s="747" t="s">
        <v>2767</v>
      </c>
      <c r="C228" s="752">
        <v>1462.7</v>
      </c>
    </row>
    <row r="229" spans="1:3" x14ac:dyDescent="0.25">
      <c r="A229" s="747">
        <v>92431</v>
      </c>
      <c r="B229" s="747" t="s">
        <v>2768</v>
      </c>
      <c r="C229" s="752">
        <v>22456.17</v>
      </c>
    </row>
    <row r="230" spans="1:3" x14ac:dyDescent="0.25">
      <c r="A230" s="747">
        <v>92441</v>
      </c>
      <c r="B230" s="747" t="s">
        <v>2769</v>
      </c>
      <c r="C230" s="752">
        <v>38184.480000000003</v>
      </c>
    </row>
    <row r="231" spans="1:3" x14ac:dyDescent="0.25">
      <c r="A231" s="747">
        <v>92444</v>
      </c>
      <c r="B231" s="747" t="s">
        <v>2770</v>
      </c>
      <c r="C231" s="752">
        <v>2108.3200000000002</v>
      </c>
    </row>
    <row r="232" spans="1:3" x14ac:dyDescent="0.25">
      <c r="A232" s="747">
        <v>92451</v>
      </c>
      <c r="B232" s="747" t="s">
        <v>2771</v>
      </c>
      <c r="C232" s="752">
        <v>77937.69</v>
      </c>
    </row>
    <row r="233" spans="1:3" x14ac:dyDescent="0.25">
      <c r="A233" s="747">
        <v>92461</v>
      </c>
      <c r="B233" s="747" t="s">
        <v>2772</v>
      </c>
      <c r="C233" s="752">
        <v>40871.760000000002</v>
      </c>
    </row>
    <row r="234" spans="1:3" x14ac:dyDescent="0.25">
      <c r="A234" s="747">
        <v>92501</v>
      </c>
      <c r="B234" s="747" t="s">
        <v>2773</v>
      </c>
      <c r="C234" s="752">
        <v>1869584.19</v>
      </c>
    </row>
    <row r="235" spans="1:3" x14ac:dyDescent="0.25">
      <c r="A235" s="747">
        <v>92502</v>
      </c>
      <c r="B235" s="747" t="s">
        <v>2774</v>
      </c>
      <c r="C235" s="752">
        <v>14163.86</v>
      </c>
    </row>
    <row r="236" spans="1:3" x14ac:dyDescent="0.25">
      <c r="A236" s="747">
        <v>92504</v>
      </c>
      <c r="B236" s="747" t="s">
        <v>2775</v>
      </c>
      <c r="C236" s="752">
        <v>49663.95</v>
      </c>
    </row>
    <row r="237" spans="1:3" x14ac:dyDescent="0.25">
      <c r="A237" s="747">
        <v>92505</v>
      </c>
      <c r="B237" s="747" t="s">
        <v>2776</v>
      </c>
      <c r="C237" s="752">
        <v>119135.7</v>
      </c>
    </row>
    <row r="238" spans="1:3" x14ac:dyDescent="0.25">
      <c r="A238" s="747">
        <v>92506</v>
      </c>
      <c r="B238" s="747" t="s">
        <v>2777</v>
      </c>
      <c r="C238" s="752">
        <v>26569.89</v>
      </c>
    </row>
    <row r="239" spans="1:3" x14ac:dyDescent="0.25">
      <c r="A239" s="747">
        <v>92507</v>
      </c>
      <c r="B239" s="747" t="s">
        <v>2778</v>
      </c>
      <c r="C239" s="752">
        <v>40749.97</v>
      </c>
    </row>
    <row r="240" spans="1:3" x14ac:dyDescent="0.25">
      <c r="A240" s="747">
        <v>92508</v>
      </c>
      <c r="B240" s="747" t="s">
        <v>2779</v>
      </c>
      <c r="C240" s="752">
        <v>152020.5</v>
      </c>
    </row>
    <row r="241" spans="1:3" x14ac:dyDescent="0.25">
      <c r="A241" s="747">
        <v>92511</v>
      </c>
      <c r="B241" s="747" t="s">
        <v>2781</v>
      </c>
      <c r="C241" s="752">
        <v>1524503.09</v>
      </c>
    </row>
    <row r="242" spans="1:3" x14ac:dyDescent="0.25">
      <c r="A242" s="747">
        <v>92513</v>
      </c>
      <c r="B242" s="747" t="s">
        <v>2782</v>
      </c>
      <c r="C242" s="752">
        <v>1669953.62</v>
      </c>
    </row>
    <row r="243" spans="1:3" x14ac:dyDescent="0.25">
      <c r="A243" s="747">
        <v>92521</v>
      </c>
      <c r="B243" s="747" t="s">
        <v>2783</v>
      </c>
      <c r="C243" s="752">
        <v>37384.129999999997</v>
      </c>
    </row>
    <row r="244" spans="1:3" x14ac:dyDescent="0.25">
      <c r="A244" s="747">
        <v>92531</v>
      </c>
      <c r="B244" s="747" t="s">
        <v>2784</v>
      </c>
      <c r="C244" s="752">
        <v>358463.96</v>
      </c>
    </row>
    <row r="245" spans="1:3" x14ac:dyDescent="0.25">
      <c r="A245" s="747">
        <v>92541</v>
      </c>
      <c r="B245" s="747" t="s">
        <v>2785</v>
      </c>
      <c r="C245" s="752">
        <v>58963.519999999997</v>
      </c>
    </row>
    <row r="246" spans="1:3" x14ac:dyDescent="0.25">
      <c r="A246" s="747">
        <v>92551</v>
      </c>
      <c r="B246" s="747" t="s">
        <v>2786</v>
      </c>
      <c r="C246" s="752">
        <v>19992.34</v>
      </c>
    </row>
    <row r="247" spans="1:3" x14ac:dyDescent="0.25">
      <c r="A247" s="747">
        <v>92561</v>
      </c>
      <c r="B247" s="747" t="s">
        <v>2787</v>
      </c>
      <c r="C247" s="752">
        <v>11715.66</v>
      </c>
    </row>
    <row r="248" spans="1:3" x14ac:dyDescent="0.25">
      <c r="A248" s="747">
        <v>92571</v>
      </c>
      <c r="B248" s="747" t="s">
        <v>2788</v>
      </c>
      <c r="C248" s="752">
        <v>6486.43</v>
      </c>
    </row>
    <row r="249" spans="1:3" x14ac:dyDescent="0.25">
      <c r="A249" s="747">
        <v>92601</v>
      </c>
      <c r="B249" s="747" t="s">
        <v>2789</v>
      </c>
      <c r="C249" s="752">
        <v>7108398.0499999998</v>
      </c>
    </row>
    <row r="250" spans="1:3" x14ac:dyDescent="0.25">
      <c r="A250" s="747">
        <v>92602</v>
      </c>
      <c r="B250" s="747" t="s">
        <v>2790</v>
      </c>
      <c r="C250" s="752">
        <v>3604.49</v>
      </c>
    </row>
    <row r="251" spans="1:3" x14ac:dyDescent="0.25">
      <c r="A251" s="747">
        <v>92604</v>
      </c>
      <c r="B251" s="747" t="s">
        <v>2791</v>
      </c>
      <c r="C251" s="752">
        <v>178690.81</v>
      </c>
    </row>
    <row r="252" spans="1:3" x14ac:dyDescent="0.25">
      <c r="A252" s="747">
        <v>92607</v>
      </c>
      <c r="B252" s="747" t="s">
        <v>2792</v>
      </c>
      <c r="C252" s="752">
        <v>38426.51</v>
      </c>
    </row>
    <row r="253" spans="1:3" x14ac:dyDescent="0.25">
      <c r="A253" s="747">
        <v>92611</v>
      </c>
      <c r="B253" s="747" t="s">
        <v>2794</v>
      </c>
      <c r="C253" s="752">
        <v>5890415</v>
      </c>
    </row>
    <row r="254" spans="1:3" x14ac:dyDescent="0.25">
      <c r="A254" s="747">
        <v>92613</v>
      </c>
      <c r="B254" s="747" t="s">
        <v>2795</v>
      </c>
      <c r="C254" s="752">
        <v>143120.74</v>
      </c>
    </row>
    <row r="255" spans="1:3" x14ac:dyDescent="0.25">
      <c r="A255" s="747">
        <v>92614</v>
      </c>
      <c r="B255" s="747" t="s">
        <v>2796</v>
      </c>
      <c r="C255" s="752">
        <v>4788008.4000000004</v>
      </c>
    </row>
    <row r="256" spans="1:3" x14ac:dyDescent="0.25">
      <c r="A256" s="747">
        <v>92621</v>
      </c>
      <c r="B256" s="747" t="s">
        <v>2797</v>
      </c>
      <c r="C256" s="752">
        <v>11242.97</v>
      </c>
    </row>
    <row r="257" spans="1:3" x14ac:dyDescent="0.25">
      <c r="A257" s="747">
        <v>92631</v>
      </c>
      <c r="B257" s="747" t="s">
        <v>2798</v>
      </c>
      <c r="C257" s="752">
        <v>397128.07</v>
      </c>
    </row>
    <row r="258" spans="1:3" x14ac:dyDescent="0.25">
      <c r="A258" s="747">
        <v>92641</v>
      </c>
      <c r="B258" s="747" t="s">
        <v>2799</v>
      </c>
      <c r="C258" s="752">
        <v>5720.12</v>
      </c>
    </row>
    <row r="259" spans="1:3" x14ac:dyDescent="0.25">
      <c r="A259" s="747">
        <v>92651</v>
      </c>
      <c r="B259" s="747" t="s">
        <v>2800</v>
      </c>
      <c r="C259" s="752">
        <v>3150.96</v>
      </c>
    </row>
    <row r="260" spans="1:3" x14ac:dyDescent="0.25">
      <c r="A260" s="747">
        <v>92661</v>
      </c>
      <c r="B260" s="747" t="s">
        <v>2801</v>
      </c>
      <c r="C260" s="752">
        <v>591164.31999999995</v>
      </c>
    </row>
    <row r="261" spans="1:3" x14ac:dyDescent="0.25">
      <c r="A261" s="747">
        <v>92671</v>
      </c>
      <c r="B261" s="747" t="s">
        <v>2802</v>
      </c>
      <c r="C261" s="752">
        <v>5278.64</v>
      </c>
    </row>
    <row r="262" spans="1:3" x14ac:dyDescent="0.25">
      <c r="A262" s="747">
        <v>92681</v>
      </c>
      <c r="B262" s="747" t="s">
        <v>2803</v>
      </c>
      <c r="C262" s="752">
        <v>11572</v>
      </c>
    </row>
    <row r="263" spans="1:3" x14ac:dyDescent="0.25">
      <c r="A263" s="747">
        <v>92701</v>
      </c>
      <c r="B263" s="747" t="s">
        <v>2804</v>
      </c>
      <c r="C263" s="752">
        <v>1358590.69</v>
      </c>
    </row>
    <row r="264" spans="1:3" x14ac:dyDescent="0.25">
      <c r="A264" s="747">
        <v>92704</v>
      </c>
      <c r="B264" s="747" t="s">
        <v>2805</v>
      </c>
      <c r="C264" s="752">
        <v>18894.43</v>
      </c>
    </row>
    <row r="265" spans="1:3" x14ac:dyDescent="0.25">
      <c r="A265" s="747">
        <v>92801</v>
      </c>
      <c r="B265" s="747" t="s">
        <v>2806</v>
      </c>
      <c r="C265" s="752">
        <v>2417020.31</v>
      </c>
    </row>
    <row r="266" spans="1:3" x14ac:dyDescent="0.25">
      <c r="A266" s="747">
        <v>92802</v>
      </c>
      <c r="B266" s="747" t="s">
        <v>2807</v>
      </c>
      <c r="C266" s="752">
        <v>55827.79</v>
      </c>
    </row>
    <row r="267" spans="1:3" x14ac:dyDescent="0.25">
      <c r="A267" s="747">
        <v>92804</v>
      </c>
      <c r="B267" s="747" t="s">
        <v>2808</v>
      </c>
      <c r="C267" s="752">
        <v>57776.63</v>
      </c>
    </row>
    <row r="268" spans="1:3" x14ac:dyDescent="0.25">
      <c r="A268" s="747">
        <v>92811</v>
      </c>
      <c r="B268" s="747" t="s">
        <v>2809</v>
      </c>
      <c r="C268" s="752">
        <v>442634.87</v>
      </c>
    </row>
    <row r="269" spans="1:3" x14ac:dyDescent="0.25">
      <c r="A269" s="747">
        <v>92821</v>
      </c>
      <c r="B269" s="747" t="s">
        <v>2810</v>
      </c>
      <c r="C269" s="752">
        <v>481049.22</v>
      </c>
    </row>
    <row r="270" spans="1:3" x14ac:dyDescent="0.25">
      <c r="A270" s="747">
        <v>92831</v>
      </c>
      <c r="B270" s="747" t="s">
        <v>2811</v>
      </c>
      <c r="C270" s="752">
        <v>122075.53</v>
      </c>
    </row>
    <row r="271" spans="1:3" x14ac:dyDescent="0.25">
      <c r="A271" s="747">
        <v>92841</v>
      </c>
      <c r="B271" s="747" t="s">
        <v>2812</v>
      </c>
      <c r="C271" s="752">
        <v>116983.39</v>
      </c>
    </row>
    <row r="272" spans="1:3" x14ac:dyDescent="0.25">
      <c r="A272" s="747">
        <v>92851</v>
      </c>
      <c r="B272" s="747" t="s">
        <v>2813</v>
      </c>
      <c r="C272" s="752">
        <v>187164.34</v>
      </c>
    </row>
    <row r="273" spans="1:3" x14ac:dyDescent="0.25">
      <c r="A273" s="747">
        <v>92861</v>
      </c>
      <c r="B273" s="747" t="s">
        <v>2814</v>
      </c>
      <c r="C273" s="752">
        <v>121951.42</v>
      </c>
    </row>
    <row r="274" spans="1:3" x14ac:dyDescent="0.25">
      <c r="A274" s="747">
        <v>92901</v>
      </c>
      <c r="B274" s="747" t="s">
        <v>2815</v>
      </c>
      <c r="C274" s="752">
        <v>2645958.38</v>
      </c>
    </row>
    <row r="275" spans="1:3" x14ac:dyDescent="0.25">
      <c r="A275" s="747">
        <v>92911</v>
      </c>
      <c r="B275" s="747" t="s">
        <v>2816</v>
      </c>
      <c r="C275" s="752">
        <v>924132.14</v>
      </c>
    </row>
    <row r="276" spans="1:3" x14ac:dyDescent="0.25">
      <c r="A276" s="747">
        <v>92913</v>
      </c>
      <c r="B276" s="747" t="s">
        <v>2817</v>
      </c>
      <c r="C276" s="752">
        <v>57759.519999999997</v>
      </c>
    </row>
    <row r="277" spans="1:3" x14ac:dyDescent="0.25">
      <c r="A277" s="747">
        <v>92914</v>
      </c>
      <c r="B277" s="747" t="s">
        <v>3553</v>
      </c>
      <c r="C277" s="752">
        <v>10513.27</v>
      </c>
    </row>
    <row r="278" spans="1:3" x14ac:dyDescent="0.25">
      <c r="A278" s="747">
        <v>92917</v>
      </c>
      <c r="B278" s="747" t="s">
        <v>2818</v>
      </c>
      <c r="C278" s="752">
        <v>16081.77</v>
      </c>
    </row>
    <row r="279" spans="1:3" x14ac:dyDescent="0.25">
      <c r="A279" s="747">
        <v>92921</v>
      </c>
      <c r="B279" s="747" t="s">
        <v>2819</v>
      </c>
      <c r="C279" s="752">
        <v>41072.51</v>
      </c>
    </row>
    <row r="280" spans="1:3" x14ac:dyDescent="0.25">
      <c r="A280" s="747">
        <v>92931</v>
      </c>
      <c r="B280" s="747" t="s">
        <v>2820</v>
      </c>
      <c r="C280" s="752">
        <v>1109331.33</v>
      </c>
    </row>
    <row r="281" spans="1:3" x14ac:dyDescent="0.25">
      <c r="A281" s="747">
        <v>92941</v>
      </c>
      <c r="B281" s="747" t="s">
        <v>1420</v>
      </c>
      <c r="C281" s="752">
        <v>8546.51</v>
      </c>
    </row>
    <row r="282" spans="1:3" x14ac:dyDescent="0.25">
      <c r="A282" s="747">
        <v>93001</v>
      </c>
      <c r="B282" s="747" t="s">
        <v>2821</v>
      </c>
      <c r="C282" s="752">
        <v>981066.02</v>
      </c>
    </row>
    <row r="283" spans="1:3" x14ac:dyDescent="0.25">
      <c r="A283" s="747">
        <v>93009</v>
      </c>
      <c r="B283" s="747" t="s">
        <v>2822</v>
      </c>
      <c r="C283" s="752">
        <v>5347.54</v>
      </c>
    </row>
    <row r="284" spans="1:3" x14ac:dyDescent="0.25">
      <c r="A284" s="747">
        <v>93011</v>
      </c>
      <c r="B284" s="747" t="s">
        <v>2823</v>
      </c>
      <c r="C284" s="752">
        <v>118523.35</v>
      </c>
    </row>
    <row r="285" spans="1:3" x14ac:dyDescent="0.25">
      <c r="A285" s="747">
        <v>93021</v>
      </c>
      <c r="B285" s="747" t="s">
        <v>2824</v>
      </c>
      <c r="C285" s="752">
        <v>12993.63</v>
      </c>
    </row>
    <row r="286" spans="1:3" x14ac:dyDescent="0.25">
      <c r="A286" s="747">
        <v>93027</v>
      </c>
      <c r="B286" s="747" t="s">
        <v>2825</v>
      </c>
      <c r="C286" s="752">
        <v>8270.2199999999993</v>
      </c>
    </row>
    <row r="287" spans="1:3" x14ac:dyDescent="0.25">
      <c r="A287" s="747">
        <v>93031</v>
      </c>
      <c r="B287" s="747" t="s">
        <v>2826</v>
      </c>
      <c r="C287" s="752">
        <v>20396.900000000001</v>
      </c>
    </row>
    <row r="288" spans="1:3" x14ac:dyDescent="0.25">
      <c r="A288" s="747">
        <v>93101</v>
      </c>
      <c r="B288" s="747" t="s">
        <v>2827</v>
      </c>
      <c r="C288" s="752">
        <v>1521216.67</v>
      </c>
    </row>
    <row r="289" spans="1:3" x14ac:dyDescent="0.25">
      <c r="A289" s="747">
        <v>93103</v>
      </c>
      <c r="B289" s="747" t="s">
        <v>2096</v>
      </c>
      <c r="C289" s="752">
        <v>5686.32</v>
      </c>
    </row>
    <row r="290" spans="1:3" x14ac:dyDescent="0.25">
      <c r="A290" s="747">
        <v>93108</v>
      </c>
      <c r="B290" s="747" t="s">
        <v>2828</v>
      </c>
      <c r="C290" s="752">
        <v>1189196.73</v>
      </c>
    </row>
    <row r="291" spans="1:3" x14ac:dyDescent="0.25">
      <c r="A291" s="747">
        <v>93111</v>
      </c>
      <c r="B291" s="747" t="s">
        <v>2829</v>
      </c>
      <c r="C291" s="752">
        <v>27143.07</v>
      </c>
    </row>
    <row r="292" spans="1:3" x14ac:dyDescent="0.25">
      <c r="A292" s="747">
        <v>93121</v>
      </c>
      <c r="B292" s="747" t="s">
        <v>2830</v>
      </c>
      <c r="C292" s="752">
        <v>28305.74</v>
      </c>
    </row>
    <row r="293" spans="1:3" x14ac:dyDescent="0.25">
      <c r="A293" s="747">
        <v>93127</v>
      </c>
      <c r="B293" s="747" t="s">
        <v>2831</v>
      </c>
      <c r="C293" s="752">
        <v>3239.02</v>
      </c>
    </row>
    <row r="294" spans="1:3" x14ac:dyDescent="0.25">
      <c r="A294" s="747">
        <v>93131</v>
      </c>
      <c r="B294" s="747" t="s">
        <v>2832</v>
      </c>
      <c r="C294" s="752">
        <v>95091.23</v>
      </c>
    </row>
    <row r="295" spans="1:3" x14ac:dyDescent="0.25">
      <c r="A295" s="747">
        <v>93137</v>
      </c>
      <c r="B295" s="747" t="s">
        <v>2833</v>
      </c>
      <c r="C295" s="752">
        <v>2530.41</v>
      </c>
    </row>
    <row r="296" spans="1:3" x14ac:dyDescent="0.25">
      <c r="A296" s="747">
        <v>93141</v>
      </c>
      <c r="B296" s="747" t="s">
        <v>2834</v>
      </c>
      <c r="C296" s="752">
        <v>16198.56</v>
      </c>
    </row>
    <row r="297" spans="1:3" x14ac:dyDescent="0.25">
      <c r="A297" s="747">
        <v>93151</v>
      </c>
      <c r="B297" s="747" t="s">
        <v>2835</v>
      </c>
      <c r="C297" s="752">
        <v>156182.22</v>
      </c>
    </row>
    <row r="298" spans="1:3" x14ac:dyDescent="0.25">
      <c r="A298" s="747">
        <v>93157</v>
      </c>
      <c r="B298" s="747" t="s">
        <v>2836</v>
      </c>
      <c r="C298" s="752">
        <v>6045</v>
      </c>
    </row>
    <row r="299" spans="1:3" x14ac:dyDescent="0.25">
      <c r="A299" s="747">
        <v>93161</v>
      </c>
      <c r="B299" s="747" t="s">
        <v>2837</v>
      </c>
      <c r="C299" s="752">
        <v>47956.1</v>
      </c>
    </row>
    <row r="300" spans="1:3" x14ac:dyDescent="0.25">
      <c r="A300" s="747">
        <v>93171</v>
      </c>
      <c r="B300" s="747" t="s">
        <v>2838</v>
      </c>
      <c r="C300" s="752">
        <v>3888.96</v>
      </c>
    </row>
    <row r="301" spans="1:3" x14ac:dyDescent="0.25">
      <c r="A301" s="747">
        <v>93181</v>
      </c>
      <c r="B301" s="747" t="s">
        <v>2839</v>
      </c>
      <c r="C301" s="752">
        <v>5393.25</v>
      </c>
    </row>
    <row r="302" spans="1:3" x14ac:dyDescent="0.25">
      <c r="A302" s="747">
        <v>93191</v>
      </c>
      <c r="B302" s="747" t="s">
        <v>2840</v>
      </c>
      <c r="C302" s="752">
        <v>16088.93</v>
      </c>
    </row>
    <row r="303" spans="1:3" x14ac:dyDescent="0.25">
      <c r="A303" s="747">
        <v>93201</v>
      </c>
      <c r="B303" s="747" t="s">
        <v>2841</v>
      </c>
      <c r="C303" s="752">
        <v>7119269.8700000001</v>
      </c>
    </row>
    <row r="304" spans="1:3" x14ac:dyDescent="0.25">
      <c r="A304" s="747">
        <v>93204</v>
      </c>
      <c r="B304" s="747" t="s">
        <v>2843</v>
      </c>
      <c r="C304" s="752">
        <v>157546.01999999999</v>
      </c>
    </row>
    <row r="305" spans="1:3" x14ac:dyDescent="0.25">
      <c r="A305" s="747">
        <v>93209</v>
      </c>
      <c r="B305" s="747" t="s">
        <v>2844</v>
      </c>
      <c r="C305" s="752">
        <v>2094524.82</v>
      </c>
    </row>
    <row r="306" spans="1:3" x14ac:dyDescent="0.25">
      <c r="A306" s="747">
        <v>93211</v>
      </c>
      <c r="B306" s="747" t="s">
        <v>2845</v>
      </c>
      <c r="C306" s="752">
        <v>9330077.1099999994</v>
      </c>
    </row>
    <row r="307" spans="1:3" x14ac:dyDescent="0.25">
      <c r="A307" s="747">
        <v>93212</v>
      </c>
      <c r="B307" s="747" t="s">
        <v>2846</v>
      </c>
      <c r="C307" s="752">
        <v>193583.83</v>
      </c>
    </row>
    <row r="308" spans="1:3" x14ac:dyDescent="0.25">
      <c r="A308" s="747">
        <v>93219</v>
      </c>
      <c r="B308" s="747" t="s">
        <v>2847</v>
      </c>
      <c r="C308" s="752">
        <v>120178.79</v>
      </c>
    </row>
    <row r="309" spans="1:3" x14ac:dyDescent="0.25">
      <c r="A309" s="747">
        <v>93301</v>
      </c>
      <c r="B309" s="747" t="s">
        <v>2848</v>
      </c>
      <c r="C309" s="752">
        <v>1153745.6499999999</v>
      </c>
    </row>
    <row r="310" spans="1:3" x14ac:dyDescent="0.25">
      <c r="A310" s="747">
        <v>93304</v>
      </c>
      <c r="B310" s="747" t="s">
        <v>2849</v>
      </c>
      <c r="C310" s="752">
        <v>18289.23</v>
      </c>
    </row>
    <row r="311" spans="1:3" x14ac:dyDescent="0.25">
      <c r="A311" s="747">
        <v>93305</v>
      </c>
      <c r="B311" s="747" t="s">
        <v>2850</v>
      </c>
      <c r="C311" s="752">
        <v>19564.66</v>
      </c>
    </row>
    <row r="312" spans="1:3" x14ac:dyDescent="0.25">
      <c r="A312" s="747">
        <v>93309</v>
      </c>
      <c r="B312" s="747" t="s">
        <v>2851</v>
      </c>
      <c r="C312" s="752">
        <v>89050.64</v>
      </c>
    </row>
    <row r="313" spans="1:3" x14ac:dyDescent="0.25">
      <c r="A313" s="747">
        <v>93311</v>
      </c>
      <c r="B313" s="747" t="s">
        <v>2852</v>
      </c>
      <c r="C313" s="752">
        <v>529431.75</v>
      </c>
    </row>
    <row r="314" spans="1:3" x14ac:dyDescent="0.25">
      <c r="A314" s="747">
        <v>93317</v>
      </c>
      <c r="B314" s="747" t="s">
        <v>2853</v>
      </c>
      <c r="C314" s="752">
        <v>21779.42</v>
      </c>
    </row>
    <row r="315" spans="1:3" x14ac:dyDescent="0.25">
      <c r="A315" s="747">
        <v>93321</v>
      </c>
      <c r="B315" s="747" t="s">
        <v>2854</v>
      </c>
      <c r="C315" s="752">
        <v>3205901.89</v>
      </c>
    </row>
    <row r="316" spans="1:3" x14ac:dyDescent="0.25">
      <c r="A316" s="747">
        <v>93323</v>
      </c>
      <c r="B316" s="747" t="s">
        <v>2855</v>
      </c>
      <c r="C316" s="752">
        <v>8923.11</v>
      </c>
    </row>
    <row r="317" spans="1:3" x14ac:dyDescent="0.25">
      <c r="A317" s="747">
        <v>93331</v>
      </c>
      <c r="B317" s="747" t="s">
        <v>2856</v>
      </c>
      <c r="C317" s="752">
        <v>56936.17</v>
      </c>
    </row>
    <row r="318" spans="1:3" x14ac:dyDescent="0.25">
      <c r="A318" s="747">
        <v>93333</v>
      </c>
      <c r="B318" s="747" t="s">
        <v>2857</v>
      </c>
      <c r="C318" s="752">
        <v>190543.43</v>
      </c>
    </row>
    <row r="319" spans="1:3" x14ac:dyDescent="0.25">
      <c r="A319" s="747">
        <v>93341</v>
      </c>
      <c r="B319" s="747" t="s">
        <v>2858</v>
      </c>
      <c r="C319" s="752">
        <v>12932.78</v>
      </c>
    </row>
    <row r="320" spans="1:3" x14ac:dyDescent="0.25">
      <c r="A320" s="747">
        <v>93351</v>
      </c>
      <c r="B320" s="747" t="s">
        <v>2859</v>
      </c>
      <c r="C320" s="752">
        <v>16318.86</v>
      </c>
    </row>
    <row r="321" spans="1:3" x14ac:dyDescent="0.25">
      <c r="A321" s="747">
        <v>93401</v>
      </c>
      <c r="B321" s="747" t="s">
        <v>2860</v>
      </c>
      <c r="C321" s="752">
        <v>6356857.0800000001</v>
      </c>
    </row>
    <row r="322" spans="1:3" x14ac:dyDescent="0.25">
      <c r="A322" s="747">
        <v>93402</v>
      </c>
      <c r="B322" s="747" t="s">
        <v>2861</v>
      </c>
      <c r="C322" s="752">
        <v>38603.800000000003</v>
      </c>
    </row>
    <row r="323" spans="1:3" x14ac:dyDescent="0.25">
      <c r="A323" s="747">
        <v>93406</v>
      </c>
      <c r="B323" s="747" t="s">
        <v>2862</v>
      </c>
      <c r="C323" s="752">
        <v>289720.40000000002</v>
      </c>
    </row>
    <row r="324" spans="1:3" x14ac:dyDescent="0.25">
      <c r="A324" s="747">
        <v>93408</v>
      </c>
      <c r="B324" s="747" t="s">
        <v>2863</v>
      </c>
      <c r="C324" s="752">
        <v>73961.63</v>
      </c>
    </row>
    <row r="325" spans="1:3" x14ac:dyDescent="0.25">
      <c r="A325" s="747">
        <v>93411</v>
      </c>
      <c r="B325" s="747" t="s">
        <v>2864</v>
      </c>
      <c r="C325" s="752">
        <v>8222693.9100000001</v>
      </c>
    </row>
    <row r="326" spans="1:3" x14ac:dyDescent="0.25">
      <c r="A326" s="747">
        <v>93413</v>
      </c>
      <c r="B326" s="747" t="s">
        <v>2865</v>
      </c>
      <c r="C326" s="752">
        <v>378795.94</v>
      </c>
    </row>
    <row r="327" spans="1:3" x14ac:dyDescent="0.25">
      <c r="A327" s="747">
        <v>93417</v>
      </c>
      <c r="B327" s="747" t="s">
        <v>2866</v>
      </c>
      <c r="C327" s="752">
        <v>172878.16</v>
      </c>
    </row>
    <row r="328" spans="1:3" x14ac:dyDescent="0.25">
      <c r="A328" s="747">
        <v>93421</v>
      </c>
      <c r="B328" s="747" t="s">
        <v>2867</v>
      </c>
      <c r="C328" s="752">
        <v>893357</v>
      </c>
    </row>
    <row r="329" spans="1:3" x14ac:dyDescent="0.25">
      <c r="A329" s="747">
        <v>93431</v>
      </c>
      <c r="B329" s="747" t="s">
        <v>2868</v>
      </c>
      <c r="C329" s="752">
        <v>61080.39</v>
      </c>
    </row>
    <row r="330" spans="1:3" x14ac:dyDescent="0.25">
      <c r="A330" s="747">
        <v>93441</v>
      </c>
      <c r="B330" s="747" t="s">
        <v>2869</v>
      </c>
      <c r="C330" s="752">
        <v>77932.77</v>
      </c>
    </row>
    <row r="331" spans="1:3" x14ac:dyDescent="0.25">
      <c r="A331" s="747">
        <v>93442</v>
      </c>
      <c r="B331" s="747" t="s">
        <v>2870</v>
      </c>
      <c r="C331" s="752">
        <v>57506.51</v>
      </c>
    </row>
    <row r="332" spans="1:3" x14ac:dyDescent="0.25">
      <c r="A332" s="747">
        <v>93451</v>
      </c>
      <c r="B332" s="747" t="s">
        <v>2871</v>
      </c>
      <c r="C332" s="752">
        <v>41774.85</v>
      </c>
    </row>
    <row r="333" spans="1:3" x14ac:dyDescent="0.25">
      <c r="A333" s="747">
        <v>93461</v>
      </c>
      <c r="B333" s="747" t="s">
        <v>2872</v>
      </c>
      <c r="C333" s="752">
        <v>8263.56</v>
      </c>
    </row>
    <row r="334" spans="1:3" x14ac:dyDescent="0.25">
      <c r="A334" s="747">
        <v>93471</v>
      </c>
      <c r="B334" s="747" t="s">
        <v>2873</v>
      </c>
      <c r="C334" s="752">
        <v>8324.42</v>
      </c>
    </row>
    <row r="335" spans="1:3" x14ac:dyDescent="0.25">
      <c r="A335" s="747">
        <v>93501</v>
      </c>
      <c r="B335" s="747" t="s">
        <v>2874</v>
      </c>
      <c r="C335" s="752">
        <v>1661032.88</v>
      </c>
    </row>
    <row r="336" spans="1:3" x14ac:dyDescent="0.25">
      <c r="A336" s="747">
        <v>93511</v>
      </c>
      <c r="B336" s="747" t="s">
        <v>2875</v>
      </c>
      <c r="C336" s="752">
        <v>45050.15</v>
      </c>
    </row>
    <row r="337" spans="1:3" x14ac:dyDescent="0.25">
      <c r="A337" s="747">
        <v>93517</v>
      </c>
      <c r="B337" s="747" t="s">
        <v>2876</v>
      </c>
      <c r="C337" s="752">
        <v>4387.08</v>
      </c>
    </row>
    <row r="338" spans="1:3" x14ac:dyDescent="0.25">
      <c r="A338" s="747">
        <v>93521</v>
      </c>
      <c r="B338" s="747" t="s">
        <v>2877</v>
      </c>
      <c r="C338" s="752">
        <v>213304.85</v>
      </c>
    </row>
    <row r="339" spans="1:3" x14ac:dyDescent="0.25">
      <c r="A339" s="747">
        <v>93527</v>
      </c>
      <c r="B339" s="747" t="s">
        <v>2878</v>
      </c>
      <c r="C339" s="752">
        <v>9590.98</v>
      </c>
    </row>
    <row r="340" spans="1:3" x14ac:dyDescent="0.25">
      <c r="A340" s="747">
        <v>93531</v>
      </c>
      <c r="B340" s="747" t="s">
        <v>2879</v>
      </c>
      <c r="C340" s="752">
        <v>11623.46</v>
      </c>
    </row>
    <row r="341" spans="1:3" x14ac:dyDescent="0.25">
      <c r="A341" s="747">
        <v>93537</v>
      </c>
      <c r="B341" s="747" t="s">
        <v>2880</v>
      </c>
      <c r="C341" s="752">
        <v>4063.54</v>
      </c>
    </row>
    <row r="342" spans="1:3" x14ac:dyDescent="0.25">
      <c r="A342" s="747">
        <v>93541</v>
      </c>
      <c r="B342" s="747" t="s">
        <v>2881</v>
      </c>
      <c r="C342" s="752">
        <v>49275.9</v>
      </c>
    </row>
    <row r="343" spans="1:3" x14ac:dyDescent="0.25">
      <c r="A343" s="747">
        <v>93601</v>
      </c>
      <c r="B343" s="747" t="s">
        <v>2882</v>
      </c>
      <c r="C343" s="752">
        <v>5038239.96</v>
      </c>
    </row>
    <row r="344" spans="1:3" x14ac:dyDescent="0.25">
      <c r="A344" s="747">
        <v>93602</v>
      </c>
      <c r="B344" s="747" t="s">
        <v>2883</v>
      </c>
      <c r="C344" s="752">
        <v>82188.28</v>
      </c>
    </row>
    <row r="345" spans="1:3" x14ac:dyDescent="0.25">
      <c r="A345" s="747">
        <v>93609</v>
      </c>
      <c r="B345" s="747" t="s">
        <v>2884</v>
      </c>
      <c r="C345" s="752">
        <v>1743934.29</v>
      </c>
    </row>
    <row r="346" spans="1:3" x14ac:dyDescent="0.25">
      <c r="A346" s="747">
        <v>93610</v>
      </c>
      <c r="B346" s="747" t="s">
        <v>2885</v>
      </c>
      <c r="C346" s="752">
        <v>5845.83</v>
      </c>
    </row>
    <row r="347" spans="1:3" x14ac:dyDescent="0.25">
      <c r="A347" s="747">
        <v>93611</v>
      </c>
      <c r="B347" s="747" t="s">
        <v>2886</v>
      </c>
      <c r="C347" s="752">
        <v>3250732.82</v>
      </c>
    </row>
    <row r="348" spans="1:3" x14ac:dyDescent="0.25">
      <c r="A348" s="747">
        <v>93617</v>
      </c>
      <c r="B348" s="747" t="s">
        <v>2887</v>
      </c>
      <c r="C348" s="752">
        <v>49099.68</v>
      </c>
    </row>
    <row r="349" spans="1:3" x14ac:dyDescent="0.25">
      <c r="A349" s="747">
        <v>93618</v>
      </c>
      <c r="B349" s="747" t="s">
        <v>2888</v>
      </c>
      <c r="C349" s="752">
        <v>23981.69</v>
      </c>
    </row>
    <row r="350" spans="1:3" x14ac:dyDescent="0.25">
      <c r="A350" s="747">
        <v>93621</v>
      </c>
      <c r="B350" s="747" t="s">
        <v>2889</v>
      </c>
      <c r="C350" s="752">
        <v>412639.12</v>
      </c>
    </row>
    <row r="351" spans="1:3" x14ac:dyDescent="0.25">
      <c r="A351" s="747">
        <v>93623</v>
      </c>
      <c r="B351" s="747" t="s">
        <v>2890</v>
      </c>
      <c r="C351" s="752">
        <v>8719.73</v>
      </c>
    </row>
    <row r="352" spans="1:3" x14ac:dyDescent="0.25">
      <c r="A352" s="747">
        <v>93631</v>
      </c>
      <c r="B352" s="747" t="s">
        <v>2891</v>
      </c>
      <c r="C352" s="752">
        <v>100500.61</v>
      </c>
    </row>
    <row r="353" spans="1:3" x14ac:dyDescent="0.25">
      <c r="A353" s="747">
        <v>93641</v>
      </c>
      <c r="B353" s="747" t="s">
        <v>2892</v>
      </c>
      <c r="C353" s="752">
        <v>197852.16</v>
      </c>
    </row>
    <row r="354" spans="1:3" x14ac:dyDescent="0.25">
      <c r="A354" s="747">
        <v>93647</v>
      </c>
      <c r="B354" s="747" t="s">
        <v>2893</v>
      </c>
      <c r="C354" s="752">
        <v>9062</v>
      </c>
    </row>
    <row r="355" spans="1:3" x14ac:dyDescent="0.25">
      <c r="A355" s="747">
        <v>93651</v>
      </c>
      <c r="B355" s="747" t="s">
        <v>2894</v>
      </c>
      <c r="C355" s="752">
        <v>185953.3</v>
      </c>
    </row>
    <row r="356" spans="1:3" x14ac:dyDescent="0.25">
      <c r="A356" s="747">
        <v>93661</v>
      </c>
      <c r="B356" s="747" t="s">
        <v>2895</v>
      </c>
      <c r="C356" s="752">
        <v>66083.95</v>
      </c>
    </row>
    <row r="357" spans="1:3" x14ac:dyDescent="0.25">
      <c r="A357" s="747">
        <v>93671</v>
      </c>
      <c r="B357" s="747" t="s">
        <v>2896</v>
      </c>
      <c r="C357" s="752">
        <v>172671.45</v>
      </c>
    </row>
    <row r="358" spans="1:3" x14ac:dyDescent="0.25">
      <c r="A358" s="747">
        <v>93681</v>
      </c>
      <c r="B358" s="747" t="s">
        <v>2897</v>
      </c>
      <c r="C358" s="752">
        <v>48114.98</v>
      </c>
    </row>
    <row r="359" spans="1:3" x14ac:dyDescent="0.25">
      <c r="A359" s="747">
        <v>93691</v>
      </c>
      <c r="B359" s="747" t="s">
        <v>2898</v>
      </c>
      <c r="C359" s="752">
        <v>464181.78</v>
      </c>
    </row>
    <row r="360" spans="1:3" x14ac:dyDescent="0.25">
      <c r="A360" s="747">
        <v>93701</v>
      </c>
      <c r="B360" s="747" t="s">
        <v>3554</v>
      </c>
      <c r="C360" s="752">
        <v>201820.37</v>
      </c>
    </row>
    <row r="361" spans="1:3" x14ac:dyDescent="0.25">
      <c r="A361" s="747">
        <v>93704</v>
      </c>
      <c r="B361" s="747" t="s">
        <v>2900</v>
      </c>
      <c r="C361" s="752">
        <v>1962.36</v>
      </c>
    </row>
    <row r="362" spans="1:3" x14ac:dyDescent="0.25">
      <c r="A362" s="747">
        <v>93801</v>
      </c>
      <c r="B362" s="747" t="s">
        <v>2901</v>
      </c>
      <c r="C362" s="752">
        <v>205983.46</v>
      </c>
    </row>
    <row r="363" spans="1:3" x14ac:dyDescent="0.25">
      <c r="A363" s="747">
        <v>93803</v>
      </c>
      <c r="B363" s="747" t="s">
        <v>2902</v>
      </c>
      <c r="C363" s="752">
        <v>50572.67</v>
      </c>
    </row>
    <row r="364" spans="1:3" x14ac:dyDescent="0.25">
      <c r="A364" s="747">
        <v>93806</v>
      </c>
      <c r="B364" s="747" t="s">
        <v>2903</v>
      </c>
      <c r="C364" s="752">
        <v>41336.410000000003</v>
      </c>
    </row>
    <row r="365" spans="1:3" x14ac:dyDescent="0.25">
      <c r="A365" s="747">
        <v>93821</v>
      </c>
      <c r="B365" s="747" t="s">
        <v>2904</v>
      </c>
      <c r="C365" s="752">
        <v>36176.93</v>
      </c>
    </row>
    <row r="366" spans="1:3" x14ac:dyDescent="0.25">
      <c r="A366" s="747">
        <v>93901</v>
      </c>
      <c r="B366" s="747" t="s">
        <v>2905</v>
      </c>
      <c r="C366" s="752">
        <v>887169.47</v>
      </c>
    </row>
    <row r="367" spans="1:3" x14ac:dyDescent="0.25">
      <c r="A367" s="747">
        <v>93904</v>
      </c>
      <c r="B367" s="747" t="s">
        <v>2906</v>
      </c>
      <c r="C367" s="752">
        <v>17302.099999999999</v>
      </c>
    </row>
    <row r="368" spans="1:3" x14ac:dyDescent="0.25">
      <c r="A368" s="747">
        <v>93906</v>
      </c>
      <c r="B368" s="747" t="s">
        <v>2907</v>
      </c>
      <c r="C368" s="752">
        <v>1486050.97</v>
      </c>
    </row>
    <row r="369" spans="1:3" x14ac:dyDescent="0.25">
      <c r="A369" s="747">
        <v>93908</v>
      </c>
      <c r="B369" s="747" t="s">
        <v>3555</v>
      </c>
      <c r="C369" s="752">
        <v>237113.54</v>
      </c>
    </row>
    <row r="370" spans="1:3" x14ac:dyDescent="0.25">
      <c r="A370" s="747">
        <v>93910</v>
      </c>
      <c r="B370" s="747" t="s">
        <v>2909</v>
      </c>
      <c r="C370" s="752">
        <v>117577.95</v>
      </c>
    </row>
    <row r="371" spans="1:3" x14ac:dyDescent="0.25">
      <c r="A371" s="747">
        <v>93911</v>
      </c>
      <c r="B371" s="747" t="s">
        <v>2910</v>
      </c>
      <c r="C371" s="752">
        <v>301989.03999999998</v>
      </c>
    </row>
    <row r="372" spans="1:3" x14ac:dyDescent="0.25">
      <c r="A372" s="747">
        <v>93913</v>
      </c>
      <c r="B372" s="747" t="s">
        <v>2911</v>
      </c>
      <c r="C372" s="752">
        <v>29910.37</v>
      </c>
    </row>
    <row r="373" spans="1:3" x14ac:dyDescent="0.25">
      <c r="A373" s="747">
        <v>93914</v>
      </c>
      <c r="B373" s="747" t="s">
        <v>2912</v>
      </c>
      <c r="C373" s="752">
        <v>6536.24</v>
      </c>
    </row>
    <row r="374" spans="1:3" x14ac:dyDescent="0.25">
      <c r="A374" s="747">
        <v>93921</v>
      </c>
      <c r="B374" s="747" t="s">
        <v>2913</v>
      </c>
      <c r="C374" s="752">
        <v>126883.55</v>
      </c>
    </row>
    <row r="375" spans="1:3" x14ac:dyDescent="0.25">
      <c r="A375" s="747">
        <v>93931</v>
      </c>
      <c r="B375" s="747" t="s">
        <v>2914</v>
      </c>
      <c r="C375" s="752">
        <v>212622.69</v>
      </c>
    </row>
    <row r="376" spans="1:3" x14ac:dyDescent="0.25">
      <c r="A376" s="747">
        <v>94001</v>
      </c>
      <c r="B376" s="747" t="s">
        <v>2915</v>
      </c>
      <c r="C376" s="752">
        <v>430502.87</v>
      </c>
    </row>
    <row r="377" spans="1:3" x14ac:dyDescent="0.25">
      <c r="A377" s="747">
        <v>94002</v>
      </c>
      <c r="B377" s="747" t="s">
        <v>2916</v>
      </c>
      <c r="C377" s="752">
        <v>4692.72</v>
      </c>
    </row>
    <row r="378" spans="1:3" x14ac:dyDescent="0.25">
      <c r="A378" s="747">
        <v>94004</v>
      </c>
      <c r="B378" s="747" t="s">
        <v>2917</v>
      </c>
      <c r="C378" s="752">
        <v>4145.3</v>
      </c>
    </row>
    <row r="379" spans="1:3" x14ac:dyDescent="0.25">
      <c r="A379" s="747">
        <v>94005</v>
      </c>
      <c r="B379" s="747" t="s">
        <v>2918</v>
      </c>
      <c r="C379" s="752">
        <v>560.08000000000004</v>
      </c>
    </row>
    <row r="380" spans="1:3" x14ac:dyDescent="0.25">
      <c r="A380" s="747">
        <v>94011</v>
      </c>
      <c r="B380" s="747" t="s">
        <v>2919</v>
      </c>
      <c r="C380" s="752">
        <v>9232.91</v>
      </c>
    </row>
    <row r="381" spans="1:3" x14ac:dyDescent="0.25">
      <c r="A381" s="747">
        <v>94021</v>
      </c>
      <c r="B381" s="747" t="s">
        <v>2920</v>
      </c>
      <c r="C381" s="752">
        <v>47346.080000000002</v>
      </c>
    </row>
    <row r="382" spans="1:3" x14ac:dyDescent="0.25">
      <c r="A382" s="747">
        <v>94031</v>
      </c>
      <c r="B382" s="747" t="s">
        <v>2921</v>
      </c>
      <c r="C382" s="752">
        <v>6799.77</v>
      </c>
    </row>
    <row r="383" spans="1:3" x14ac:dyDescent="0.25">
      <c r="A383" s="747">
        <v>94101</v>
      </c>
      <c r="B383" s="747" t="s">
        <v>2922</v>
      </c>
      <c r="C383" s="752">
        <v>8515875.1699999999</v>
      </c>
    </row>
    <row r="384" spans="1:3" x14ac:dyDescent="0.25">
      <c r="A384" s="747">
        <v>94102</v>
      </c>
      <c r="B384" s="747" t="s">
        <v>2923</v>
      </c>
      <c r="C384" s="752">
        <v>104557.32</v>
      </c>
    </row>
    <row r="385" spans="1:3" x14ac:dyDescent="0.25">
      <c r="A385" s="747">
        <v>94108</v>
      </c>
      <c r="B385" s="747" t="s">
        <v>2924</v>
      </c>
      <c r="C385" s="752">
        <v>112936.32000000001</v>
      </c>
    </row>
    <row r="386" spans="1:3" x14ac:dyDescent="0.25">
      <c r="A386" s="747">
        <v>94109</v>
      </c>
      <c r="B386" s="747" t="s">
        <v>2925</v>
      </c>
      <c r="C386" s="752">
        <v>31710.15</v>
      </c>
    </row>
    <row r="387" spans="1:3" x14ac:dyDescent="0.25">
      <c r="A387" s="747">
        <v>94111</v>
      </c>
      <c r="B387" s="747" t="s">
        <v>2926</v>
      </c>
      <c r="C387" s="752">
        <v>11270051.1</v>
      </c>
    </row>
    <row r="388" spans="1:3" x14ac:dyDescent="0.25">
      <c r="A388" s="747">
        <v>94112</v>
      </c>
      <c r="B388" s="747" t="s">
        <v>2927</v>
      </c>
      <c r="C388" s="752">
        <v>68639.710000000006</v>
      </c>
    </row>
    <row r="389" spans="1:3" x14ac:dyDescent="0.25">
      <c r="A389" s="747">
        <v>94117</v>
      </c>
      <c r="B389" s="747" t="s">
        <v>2928</v>
      </c>
      <c r="C389" s="752">
        <v>179744.39</v>
      </c>
    </row>
    <row r="390" spans="1:3" x14ac:dyDescent="0.25">
      <c r="A390" s="747">
        <v>94118</v>
      </c>
      <c r="B390" s="747" t="s">
        <v>2929</v>
      </c>
      <c r="C390" s="752">
        <v>57233.17</v>
      </c>
    </row>
    <row r="391" spans="1:3" x14ac:dyDescent="0.25">
      <c r="A391" s="747">
        <v>94121</v>
      </c>
      <c r="B391" s="747" t="s">
        <v>2930</v>
      </c>
      <c r="C391" s="752">
        <v>5240634.42</v>
      </c>
    </row>
    <row r="392" spans="1:3" x14ac:dyDescent="0.25">
      <c r="A392" s="747">
        <v>94127</v>
      </c>
      <c r="B392" s="747" t="s">
        <v>2931</v>
      </c>
      <c r="C392" s="752">
        <v>70092.83</v>
      </c>
    </row>
    <row r="393" spans="1:3" x14ac:dyDescent="0.25">
      <c r="A393" s="747">
        <v>94131</v>
      </c>
      <c r="B393" s="747" t="s">
        <v>2932</v>
      </c>
      <c r="C393" s="752">
        <v>91155.82</v>
      </c>
    </row>
    <row r="394" spans="1:3" x14ac:dyDescent="0.25">
      <c r="A394" s="747">
        <v>94151</v>
      </c>
      <c r="B394" s="747" t="s">
        <v>2933</v>
      </c>
      <c r="C394" s="752">
        <v>171244.06</v>
      </c>
    </row>
    <row r="395" spans="1:3" x14ac:dyDescent="0.25">
      <c r="A395" s="747">
        <v>94157</v>
      </c>
      <c r="B395" s="747" t="s">
        <v>2934</v>
      </c>
      <c r="C395" s="752">
        <v>5185.84</v>
      </c>
    </row>
    <row r="396" spans="1:3" x14ac:dyDescent="0.25">
      <c r="A396" s="747">
        <v>94161</v>
      </c>
      <c r="B396" s="747" t="s">
        <v>2935</v>
      </c>
      <c r="C396" s="752">
        <v>24924.69</v>
      </c>
    </row>
    <row r="397" spans="1:3" x14ac:dyDescent="0.25">
      <c r="A397" s="747">
        <v>94168</v>
      </c>
      <c r="B397" s="747" t="s">
        <v>2936</v>
      </c>
      <c r="C397" s="752">
        <v>14686.17</v>
      </c>
    </row>
    <row r="398" spans="1:3" x14ac:dyDescent="0.25">
      <c r="A398" s="747">
        <v>94171</v>
      </c>
      <c r="B398" s="747" t="s">
        <v>2937</v>
      </c>
      <c r="C398" s="752">
        <v>26827.68</v>
      </c>
    </row>
    <row r="399" spans="1:3" x14ac:dyDescent="0.25">
      <c r="A399" s="747">
        <v>94172</v>
      </c>
      <c r="B399" s="747" t="s">
        <v>2938</v>
      </c>
      <c r="C399" s="752">
        <v>91552.69</v>
      </c>
    </row>
    <row r="400" spans="1:3" x14ac:dyDescent="0.25">
      <c r="A400" s="747">
        <v>94201</v>
      </c>
      <c r="B400" s="747" t="s">
        <v>2939</v>
      </c>
      <c r="C400" s="752">
        <v>1556105.08</v>
      </c>
    </row>
    <row r="401" spans="1:3" x14ac:dyDescent="0.25">
      <c r="A401" s="747">
        <v>94204</v>
      </c>
      <c r="B401" s="747" t="s">
        <v>2940</v>
      </c>
      <c r="C401" s="752">
        <v>17428.34</v>
      </c>
    </row>
    <row r="402" spans="1:3" x14ac:dyDescent="0.25">
      <c r="A402" s="747">
        <v>94205</v>
      </c>
      <c r="B402" s="747" t="s">
        <v>2941</v>
      </c>
      <c r="C402" s="752">
        <v>11901.92</v>
      </c>
    </row>
    <row r="403" spans="1:3" x14ac:dyDescent="0.25">
      <c r="A403" s="747">
        <v>94209</v>
      </c>
      <c r="B403" s="747" t="s">
        <v>2942</v>
      </c>
      <c r="C403" s="752">
        <v>157002.72</v>
      </c>
    </row>
    <row r="404" spans="1:3" x14ac:dyDescent="0.25">
      <c r="A404" s="747">
        <v>94211</v>
      </c>
      <c r="B404" s="747" t="s">
        <v>2943</v>
      </c>
      <c r="C404" s="752">
        <v>61663.42</v>
      </c>
    </row>
    <row r="405" spans="1:3" x14ac:dyDescent="0.25">
      <c r="A405" s="747">
        <v>94221</v>
      </c>
      <c r="B405" s="747" t="s">
        <v>2944</v>
      </c>
      <c r="C405" s="752">
        <v>459327.54</v>
      </c>
    </row>
    <row r="406" spans="1:3" x14ac:dyDescent="0.25">
      <c r="A406" s="747">
        <v>94231</v>
      </c>
      <c r="B406" s="747" t="s">
        <v>2945</v>
      </c>
      <c r="C406" s="752">
        <v>101171.11</v>
      </c>
    </row>
    <row r="407" spans="1:3" x14ac:dyDescent="0.25">
      <c r="A407" s="747">
        <v>94241</v>
      </c>
      <c r="B407" s="747" t="s">
        <v>2946</v>
      </c>
      <c r="C407" s="752">
        <v>53316.480000000003</v>
      </c>
    </row>
    <row r="408" spans="1:3" x14ac:dyDescent="0.25">
      <c r="A408" s="747">
        <v>94251</v>
      </c>
      <c r="B408" s="747" t="s">
        <v>2947</v>
      </c>
      <c r="C408" s="752">
        <v>8455.27</v>
      </c>
    </row>
    <row r="409" spans="1:3" x14ac:dyDescent="0.25">
      <c r="A409" s="747">
        <v>94261</v>
      </c>
      <c r="B409" s="747" t="s">
        <v>2948</v>
      </c>
      <c r="C409" s="752">
        <v>18725.830000000002</v>
      </c>
    </row>
    <row r="410" spans="1:3" x14ac:dyDescent="0.25">
      <c r="A410" s="747">
        <v>94301</v>
      </c>
      <c r="B410" s="747" t="s">
        <v>2949</v>
      </c>
      <c r="C410" s="752">
        <v>2799559.67</v>
      </c>
    </row>
    <row r="411" spans="1:3" x14ac:dyDescent="0.25">
      <c r="A411" s="747">
        <v>94311</v>
      </c>
      <c r="B411" s="747" t="s">
        <v>2950</v>
      </c>
      <c r="C411" s="752">
        <v>355079.11</v>
      </c>
    </row>
    <row r="412" spans="1:3" x14ac:dyDescent="0.25">
      <c r="A412" s="747">
        <v>94313</v>
      </c>
      <c r="B412" s="747" t="s">
        <v>2951</v>
      </c>
      <c r="C412" s="752">
        <v>12662.72</v>
      </c>
    </row>
    <row r="413" spans="1:3" x14ac:dyDescent="0.25">
      <c r="A413" s="747">
        <v>94317</v>
      </c>
      <c r="B413" s="747" t="s">
        <v>2952</v>
      </c>
      <c r="C413" s="752">
        <v>9618.07</v>
      </c>
    </row>
    <row r="414" spans="1:3" x14ac:dyDescent="0.25">
      <c r="A414" s="747">
        <v>94321</v>
      </c>
      <c r="B414" s="747" t="s">
        <v>2953</v>
      </c>
      <c r="C414" s="752">
        <v>115394.57</v>
      </c>
    </row>
    <row r="415" spans="1:3" x14ac:dyDescent="0.25">
      <c r="A415" s="747">
        <v>94331</v>
      </c>
      <c r="B415" s="747" t="s">
        <v>2954</v>
      </c>
      <c r="C415" s="752">
        <v>68283.990000000005</v>
      </c>
    </row>
    <row r="416" spans="1:3" x14ac:dyDescent="0.25">
      <c r="A416" s="747">
        <v>94341</v>
      </c>
      <c r="B416" s="747" t="s">
        <v>2955</v>
      </c>
      <c r="C416" s="752">
        <v>38534.32</v>
      </c>
    </row>
    <row r="417" spans="1:3" x14ac:dyDescent="0.25">
      <c r="A417" s="747">
        <v>94347</v>
      </c>
      <c r="B417" s="747" t="s">
        <v>2956</v>
      </c>
      <c r="C417" s="752">
        <v>8690.85</v>
      </c>
    </row>
    <row r="418" spans="1:3" x14ac:dyDescent="0.25">
      <c r="A418" s="747">
        <v>94351</v>
      </c>
      <c r="B418" s="747" t="s">
        <v>2957</v>
      </c>
      <c r="C418" s="752">
        <v>104638.5</v>
      </c>
    </row>
    <row r="419" spans="1:3" x14ac:dyDescent="0.25">
      <c r="A419" s="747">
        <v>94401</v>
      </c>
      <c r="B419" s="747" t="s">
        <v>3556</v>
      </c>
      <c r="C419" s="752">
        <v>1551159.4</v>
      </c>
    </row>
    <row r="420" spans="1:3" x14ac:dyDescent="0.25">
      <c r="A420" s="747">
        <v>94403</v>
      </c>
      <c r="B420" s="747" t="s">
        <v>3557</v>
      </c>
      <c r="C420" s="752">
        <v>9903.66</v>
      </c>
    </row>
    <row r="421" spans="1:3" x14ac:dyDescent="0.25">
      <c r="A421" s="747">
        <v>94408</v>
      </c>
      <c r="B421" s="747" t="s">
        <v>2960</v>
      </c>
      <c r="C421" s="752">
        <v>14750.31</v>
      </c>
    </row>
    <row r="422" spans="1:3" x14ac:dyDescent="0.25">
      <c r="A422" s="747">
        <v>94411</v>
      </c>
      <c r="B422" s="747" t="s">
        <v>2961</v>
      </c>
      <c r="C422" s="752">
        <v>555106.06000000006</v>
      </c>
    </row>
    <row r="423" spans="1:3" x14ac:dyDescent="0.25">
      <c r="A423" s="747">
        <v>94412</v>
      </c>
      <c r="B423" s="747" t="s">
        <v>2962</v>
      </c>
      <c r="C423" s="752">
        <v>13059</v>
      </c>
    </row>
    <row r="424" spans="1:3" x14ac:dyDescent="0.25">
      <c r="A424" s="747">
        <v>94421</v>
      </c>
      <c r="B424" s="747" t="s">
        <v>2963</v>
      </c>
      <c r="C424" s="752">
        <v>80768.41</v>
      </c>
    </row>
    <row r="425" spans="1:3" x14ac:dyDescent="0.25">
      <c r="A425" s="747">
        <v>94427</v>
      </c>
      <c r="B425" s="747" t="s">
        <v>2964</v>
      </c>
      <c r="C425" s="752">
        <v>9339.9599999999991</v>
      </c>
    </row>
    <row r="426" spans="1:3" x14ac:dyDescent="0.25">
      <c r="A426" s="747">
        <v>94428</v>
      </c>
      <c r="B426" s="747" t="s">
        <v>2965</v>
      </c>
      <c r="C426" s="752">
        <v>33460.42</v>
      </c>
    </row>
    <row r="427" spans="1:3" x14ac:dyDescent="0.25">
      <c r="A427" s="747">
        <v>94431</v>
      </c>
      <c r="B427" s="747" t="s">
        <v>2966</v>
      </c>
      <c r="C427" s="752">
        <v>293285.84999999998</v>
      </c>
    </row>
    <row r="428" spans="1:3" x14ac:dyDescent="0.25">
      <c r="A428" s="747">
        <v>94437</v>
      </c>
      <c r="B428" s="747" t="s">
        <v>2967</v>
      </c>
      <c r="C428" s="752">
        <v>12848.36</v>
      </c>
    </row>
    <row r="429" spans="1:3" x14ac:dyDescent="0.25">
      <c r="A429" s="747">
        <v>94501</v>
      </c>
      <c r="B429" s="747" t="s">
        <v>2968</v>
      </c>
      <c r="C429" s="752">
        <v>2726192.43</v>
      </c>
    </row>
    <row r="430" spans="1:3" x14ac:dyDescent="0.25">
      <c r="A430" s="747">
        <v>94511</v>
      </c>
      <c r="B430" s="747" t="s">
        <v>2969</v>
      </c>
      <c r="C430" s="752">
        <v>773013.4</v>
      </c>
    </row>
    <row r="431" spans="1:3" x14ac:dyDescent="0.25">
      <c r="A431" s="747">
        <v>94517</v>
      </c>
      <c r="B431" s="747" t="s">
        <v>2971</v>
      </c>
      <c r="C431" s="752">
        <v>31749.57</v>
      </c>
    </row>
    <row r="432" spans="1:3" x14ac:dyDescent="0.25">
      <c r="A432" s="747">
        <v>94521</v>
      </c>
      <c r="B432" s="747" t="s">
        <v>2972</v>
      </c>
      <c r="C432" s="752">
        <v>61288.84</v>
      </c>
    </row>
    <row r="433" spans="1:3" x14ac:dyDescent="0.25">
      <c r="A433" s="747">
        <v>94527</v>
      </c>
      <c r="B433" s="747" t="s">
        <v>2973</v>
      </c>
      <c r="C433" s="752">
        <v>2381.96</v>
      </c>
    </row>
    <row r="434" spans="1:3" x14ac:dyDescent="0.25">
      <c r="A434" s="747">
        <v>94531</v>
      </c>
      <c r="B434" s="747" t="s">
        <v>2974</v>
      </c>
      <c r="C434" s="752">
        <v>11395.84</v>
      </c>
    </row>
    <row r="435" spans="1:3" x14ac:dyDescent="0.25">
      <c r="A435" s="747">
        <v>94532</v>
      </c>
      <c r="B435" s="747" t="s">
        <v>2975</v>
      </c>
      <c r="C435" s="752">
        <v>45014.32</v>
      </c>
    </row>
    <row r="436" spans="1:3" x14ac:dyDescent="0.25">
      <c r="A436" s="747">
        <v>94541</v>
      </c>
      <c r="B436" s="747" t="s">
        <v>2976</v>
      </c>
      <c r="C436" s="752">
        <v>124372.05</v>
      </c>
    </row>
    <row r="437" spans="1:3" x14ac:dyDescent="0.25">
      <c r="A437" s="747">
        <v>94547</v>
      </c>
      <c r="B437" s="747" t="s">
        <v>2977</v>
      </c>
      <c r="C437" s="752">
        <v>8019.29</v>
      </c>
    </row>
    <row r="438" spans="1:3" x14ac:dyDescent="0.25">
      <c r="A438" s="747">
        <v>94551</v>
      </c>
      <c r="B438" s="747" t="s">
        <v>2978</v>
      </c>
      <c r="C438" s="752">
        <v>24928.99</v>
      </c>
    </row>
    <row r="439" spans="1:3" x14ac:dyDescent="0.25">
      <c r="A439" s="747">
        <v>94601</v>
      </c>
      <c r="B439" s="747" t="s">
        <v>2979</v>
      </c>
      <c r="C439" s="752">
        <v>501425.25</v>
      </c>
    </row>
    <row r="440" spans="1:3" x14ac:dyDescent="0.25">
      <c r="A440" s="747">
        <v>94604</v>
      </c>
      <c r="B440" s="747" t="s">
        <v>2980</v>
      </c>
      <c r="C440" s="752">
        <v>14408.03</v>
      </c>
    </row>
    <row r="441" spans="1:3" x14ac:dyDescent="0.25">
      <c r="A441" s="747">
        <v>94606</v>
      </c>
      <c r="B441" s="747" t="s">
        <v>2981</v>
      </c>
      <c r="C441" s="752">
        <v>106916.28</v>
      </c>
    </row>
    <row r="442" spans="1:3" x14ac:dyDescent="0.25">
      <c r="A442" s="747">
        <v>94611</v>
      </c>
      <c r="B442" s="747" t="s">
        <v>2982</v>
      </c>
      <c r="C442" s="752">
        <v>191640.99</v>
      </c>
    </row>
    <row r="443" spans="1:3" x14ac:dyDescent="0.25">
      <c r="A443" s="747">
        <v>94621</v>
      </c>
      <c r="B443" s="747" t="s">
        <v>2983</v>
      </c>
      <c r="C443" s="752">
        <v>66540.759999999995</v>
      </c>
    </row>
    <row r="444" spans="1:3" x14ac:dyDescent="0.25">
      <c r="A444" s="747">
        <v>94631</v>
      </c>
      <c r="B444" s="747" t="s">
        <v>2984</v>
      </c>
      <c r="C444" s="752">
        <v>22452.62</v>
      </c>
    </row>
    <row r="445" spans="1:3" x14ac:dyDescent="0.25">
      <c r="A445" s="747">
        <v>94641</v>
      </c>
      <c r="B445" s="747" t="s">
        <v>2985</v>
      </c>
      <c r="C445" s="752">
        <v>5004.1499999999996</v>
      </c>
    </row>
    <row r="446" spans="1:3" x14ac:dyDescent="0.25">
      <c r="A446" s="747">
        <v>94701</v>
      </c>
      <c r="B446" s="747" t="s">
        <v>2986</v>
      </c>
      <c r="C446" s="752">
        <v>1148600.23</v>
      </c>
    </row>
    <row r="447" spans="1:3" x14ac:dyDescent="0.25">
      <c r="A447" s="747">
        <v>94704</v>
      </c>
      <c r="B447" s="747" t="s">
        <v>2987</v>
      </c>
      <c r="C447" s="752">
        <v>5070.34</v>
      </c>
    </row>
    <row r="448" spans="1:3" x14ac:dyDescent="0.25">
      <c r="A448" s="747">
        <v>94711</v>
      </c>
      <c r="B448" s="747" t="s">
        <v>2988</v>
      </c>
      <c r="C448" s="752">
        <v>165327.16</v>
      </c>
    </row>
    <row r="449" spans="1:3" x14ac:dyDescent="0.25">
      <c r="A449" s="747">
        <v>94801</v>
      </c>
      <c r="B449" s="747" t="s">
        <v>2989</v>
      </c>
      <c r="C449" s="752">
        <v>342416</v>
      </c>
    </row>
    <row r="450" spans="1:3" x14ac:dyDescent="0.25">
      <c r="A450" s="747">
        <v>94804</v>
      </c>
      <c r="B450" s="747" t="s">
        <v>2990</v>
      </c>
      <c r="C450" s="752">
        <v>2740.23</v>
      </c>
    </row>
    <row r="451" spans="1:3" x14ac:dyDescent="0.25">
      <c r="A451" s="747">
        <v>94812</v>
      </c>
      <c r="B451" s="747" t="s">
        <v>2991</v>
      </c>
      <c r="C451" s="752">
        <v>19657.82</v>
      </c>
    </row>
    <row r="452" spans="1:3" x14ac:dyDescent="0.25">
      <c r="A452" s="747">
        <v>94901</v>
      </c>
      <c r="B452" s="747" t="s">
        <v>2992</v>
      </c>
      <c r="C452" s="752">
        <v>3201092.76</v>
      </c>
    </row>
    <row r="453" spans="1:3" x14ac:dyDescent="0.25">
      <c r="A453" s="747">
        <v>94908</v>
      </c>
      <c r="B453" s="747" t="s">
        <v>2993</v>
      </c>
      <c r="C453" s="752">
        <v>7868.1</v>
      </c>
    </row>
    <row r="454" spans="1:3" x14ac:dyDescent="0.25">
      <c r="A454" s="747">
        <v>94911</v>
      </c>
      <c r="B454" s="747" t="s">
        <v>2994</v>
      </c>
      <c r="C454" s="752">
        <v>1295988.0900000001</v>
      </c>
    </row>
    <row r="455" spans="1:3" x14ac:dyDescent="0.25">
      <c r="A455" s="747">
        <v>94917</v>
      </c>
      <c r="B455" s="747" t="s">
        <v>2995</v>
      </c>
      <c r="C455" s="752">
        <v>27131.37</v>
      </c>
    </row>
    <row r="456" spans="1:3" x14ac:dyDescent="0.25">
      <c r="A456" s="747">
        <v>94921</v>
      </c>
      <c r="B456" s="747" t="s">
        <v>2996</v>
      </c>
      <c r="C456" s="752">
        <v>1632572.15</v>
      </c>
    </row>
    <row r="457" spans="1:3" x14ac:dyDescent="0.25">
      <c r="A457" s="747">
        <v>94923</v>
      </c>
      <c r="B457" s="747" t="s">
        <v>2997</v>
      </c>
      <c r="C457" s="752">
        <v>14810.39</v>
      </c>
    </row>
    <row r="458" spans="1:3" x14ac:dyDescent="0.25">
      <c r="A458" s="747">
        <v>94927</v>
      </c>
      <c r="B458" s="747" t="s">
        <v>2998</v>
      </c>
      <c r="C458" s="752">
        <v>17352.64</v>
      </c>
    </row>
    <row r="459" spans="1:3" x14ac:dyDescent="0.25">
      <c r="A459" s="747">
        <v>94931</v>
      </c>
      <c r="B459" s="747" t="s">
        <v>2999</v>
      </c>
      <c r="C459" s="752">
        <v>96301.56</v>
      </c>
    </row>
    <row r="460" spans="1:3" x14ac:dyDescent="0.25">
      <c r="A460" s="747">
        <v>94941</v>
      </c>
      <c r="B460" s="747" t="s">
        <v>3000</v>
      </c>
      <c r="C460" s="752">
        <v>242953.81</v>
      </c>
    </row>
    <row r="461" spans="1:3" x14ac:dyDescent="0.25">
      <c r="A461" s="747">
        <v>95001</v>
      </c>
      <c r="B461" s="747" t="s">
        <v>3001</v>
      </c>
      <c r="C461" s="752">
        <v>1196131.21</v>
      </c>
    </row>
    <row r="462" spans="1:3" x14ac:dyDescent="0.25">
      <c r="A462" s="747">
        <v>95002</v>
      </c>
      <c r="B462" s="747" t="s">
        <v>3002</v>
      </c>
      <c r="C462" s="752">
        <v>100854.15</v>
      </c>
    </row>
    <row r="463" spans="1:3" x14ac:dyDescent="0.25">
      <c r="A463" s="747">
        <v>95005</v>
      </c>
      <c r="B463" s="747" t="s">
        <v>3003</v>
      </c>
      <c r="C463" s="752">
        <v>111066.47</v>
      </c>
    </row>
    <row r="464" spans="1:3" x14ac:dyDescent="0.25">
      <c r="A464" s="747">
        <v>95008</v>
      </c>
      <c r="B464" s="747" t="s">
        <v>3004</v>
      </c>
      <c r="C464" s="752">
        <v>62834.27</v>
      </c>
    </row>
    <row r="465" spans="1:3" x14ac:dyDescent="0.25">
      <c r="A465" s="747">
        <v>95009</v>
      </c>
      <c r="B465" s="747" t="s">
        <v>3558</v>
      </c>
      <c r="C465" s="752">
        <v>1917855.88</v>
      </c>
    </row>
    <row r="466" spans="1:3" x14ac:dyDescent="0.25">
      <c r="A466" s="747">
        <v>95011</v>
      </c>
      <c r="B466" s="747" t="s">
        <v>3006</v>
      </c>
      <c r="C466" s="752">
        <v>78934.13</v>
      </c>
    </row>
    <row r="467" spans="1:3" x14ac:dyDescent="0.25">
      <c r="A467" s="747">
        <v>95017</v>
      </c>
      <c r="B467" s="747" t="s">
        <v>3007</v>
      </c>
      <c r="C467" s="752">
        <v>15329.87</v>
      </c>
    </row>
    <row r="468" spans="1:3" x14ac:dyDescent="0.25">
      <c r="A468" s="747">
        <v>95101</v>
      </c>
      <c r="B468" s="747" t="s">
        <v>3008</v>
      </c>
      <c r="C468" s="752">
        <v>3555097.08</v>
      </c>
    </row>
    <row r="469" spans="1:3" x14ac:dyDescent="0.25">
      <c r="A469" s="747">
        <v>95103</v>
      </c>
      <c r="B469" s="747" t="s">
        <v>3009</v>
      </c>
      <c r="C469" s="752">
        <v>33036.129999999997</v>
      </c>
    </row>
    <row r="470" spans="1:3" x14ac:dyDescent="0.25">
      <c r="A470" s="747">
        <v>95104</v>
      </c>
      <c r="B470" s="747" t="s">
        <v>3010</v>
      </c>
      <c r="C470" s="752">
        <v>55855.62</v>
      </c>
    </row>
    <row r="471" spans="1:3" x14ac:dyDescent="0.25">
      <c r="A471" s="747">
        <v>95105</v>
      </c>
      <c r="B471" s="747" t="s">
        <v>3011</v>
      </c>
      <c r="C471" s="752">
        <v>33363.379999999997</v>
      </c>
    </row>
    <row r="472" spans="1:3" x14ac:dyDescent="0.25">
      <c r="A472" s="747">
        <v>95106</v>
      </c>
      <c r="B472" s="747" t="s">
        <v>3012</v>
      </c>
      <c r="C472" s="752">
        <v>5271.85</v>
      </c>
    </row>
    <row r="473" spans="1:3" x14ac:dyDescent="0.25">
      <c r="A473" s="747">
        <v>95110</v>
      </c>
      <c r="B473" s="747" t="s">
        <v>3013</v>
      </c>
      <c r="C473" s="752">
        <v>1965505.09</v>
      </c>
    </row>
    <row r="474" spans="1:3" x14ac:dyDescent="0.25">
      <c r="A474" s="747">
        <v>95111</v>
      </c>
      <c r="B474" s="747" t="s">
        <v>3014</v>
      </c>
      <c r="C474" s="752">
        <v>470002.71</v>
      </c>
    </row>
    <row r="475" spans="1:3" x14ac:dyDescent="0.25">
      <c r="A475" s="747">
        <v>95113</v>
      </c>
      <c r="B475" s="747" t="s">
        <v>3015</v>
      </c>
      <c r="C475" s="752">
        <v>66186.570000000007</v>
      </c>
    </row>
    <row r="476" spans="1:3" x14ac:dyDescent="0.25">
      <c r="A476" s="747">
        <v>95121</v>
      </c>
      <c r="B476" s="747" t="s">
        <v>3016</v>
      </c>
      <c r="C476" s="752">
        <v>224753.49</v>
      </c>
    </row>
    <row r="477" spans="1:3" x14ac:dyDescent="0.25">
      <c r="A477" s="747">
        <v>95122</v>
      </c>
      <c r="B477" s="747" t="s">
        <v>3017</v>
      </c>
      <c r="C477" s="752">
        <v>3102.98</v>
      </c>
    </row>
    <row r="478" spans="1:3" x14ac:dyDescent="0.25">
      <c r="A478" s="747">
        <v>95123</v>
      </c>
      <c r="B478" s="747" t="s">
        <v>3018</v>
      </c>
      <c r="C478" s="752">
        <v>29190.51</v>
      </c>
    </row>
    <row r="479" spans="1:3" x14ac:dyDescent="0.25">
      <c r="A479" s="747">
        <v>95131</v>
      </c>
      <c r="B479" s="747" t="s">
        <v>3019</v>
      </c>
      <c r="C479" s="752">
        <v>749707.41</v>
      </c>
    </row>
    <row r="480" spans="1:3" x14ac:dyDescent="0.25">
      <c r="A480" s="747">
        <v>95141</v>
      </c>
      <c r="B480" s="747" t="s">
        <v>3020</v>
      </c>
      <c r="C480" s="752">
        <v>131053.09</v>
      </c>
    </row>
    <row r="481" spans="1:3" x14ac:dyDescent="0.25">
      <c r="A481" s="747">
        <v>95151</v>
      </c>
      <c r="B481" s="747" t="s">
        <v>3021</v>
      </c>
      <c r="C481" s="752">
        <v>46662.9</v>
      </c>
    </row>
    <row r="482" spans="1:3" x14ac:dyDescent="0.25">
      <c r="A482" s="747">
        <v>95161</v>
      </c>
      <c r="B482" s="747" t="s">
        <v>3022</v>
      </c>
      <c r="C482" s="752">
        <v>38087.31</v>
      </c>
    </row>
    <row r="483" spans="1:3" x14ac:dyDescent="0.25">
      <c r="A483" s="747">
        <v>95171</v>
      </c>
      <c r="B483" s="747" t="s">
        <v>3023</v>
      </c>
      <c r="C483" s="752">
        <v>53916.92</v>
      </c>
    </row>
    <row r="484" spans="1:3" x14ac:dyDescent="0.25">
      <c r="A484" s="747">
        <v>95181</v>
      </c>
      <c r="B484" s="747" t="s">
        <v>3024</v>
      </c>
      <c r="C484" s="752">
        <v>30098.97</v>
      </c>
    </row>
    <row r="485" spans="1:3" x14ac:dyDescent="0.25">
      <c r="A485" s="747">
        <v>95191</v>
      </c>
      <c r="B485" s="747" t="s">
        <v>3025</v>
      </c>
      <c r="C485" s="752">
        <v>31310.75</v>
      </c>
    </row>
    <row r="486" spans="1:3" x14ac:dyDescent="0.25">
      <c r="A486" s="747">
        <v>95201</v>
      </c>
      <c r="B486" s="747" t="s">
        <v>3026</v>
      </c>
      <c r="C486" s="752">
        <v>303948.90000000002</v>
      </c>
    </row>
    <row r="487" spans="1:3" x14ac:dyDescent="0.25">
      <c r="A487" s="747">
        <v>95204</v>
      </c>
      <c r="B487" s="747" t="s">
        <v>3027</v>
      </c>
      <c r="C487" s="752">
        <v>7225.91</v>
      </c>
    </row>
    <row r="488" spans="1:3" x14ac:dyDescent="0.25">
      <c r="A488" s="747">
        <v>95205</v>
      </c>
      <c r="B488" s="747" t="s">
        <v>3028</v>
      </c>
      <c r="C488" s="752">
        <v>2455.09</v>
      </c>
    </row>
    <row r="489" spans="1:3" x14ac:dyDescent="0.25">
      <c r="A489" s="747">
        <v>95211</v>
      </c>
      <c r="B489" s="747" t="s">
        <v>3029</v>
      </c>
      <c r="C489" s="752">
        <v>4221.8500000000004</v>
      </c>
    </row>
    <row r="490" spans="1:3" x14ac:dyDescent="0.25">
      <c r="A490" s="747">
        <v>95221</v>
      </c>
      <c r="B490" s="747" t="s">
        <v>3030</v>
      </c>
      <c r="C490" s="752">
        <v>20360.849999999999</v>
      </c>
    </row>
    <row r="491" spans="1:3" x14ac:dyDescent="0.25">
      <c r="A491" s="747">
        <v>95301</v>
      </c>
      <c r="B491" s="747" t="s">
        <v>3031</v>
      </c>
      <c r="C491" s="752">
        <v>1141657.08</v>
      </c>
    </row>
    <row r="492" spans="1:3" x14ac:dyDescent="0.25">
      <c r="A492" s="747">
        <v>95311</v>
      </c>
      <c r="B492" s="747" t="s">
        <v>3032</v>
      </c>
      <c r="C492" s="752">
        <v>1275633.6599999999</v>
      </c>
    </row>
    <row r="493" spans="1:3" x14ac:dyDescent="0.25">
      <c r="A493" s="747">
        <v>95317</v>
      </c>
      <c r="B493" s="747" t="s">
        <v>3033</v>
      </c>
      <c r="C493" s="752">
        <v>27510.73</v>
      </c>
    </row>
    <row r="494" spans="1:3" x14ac:dyDescent="0.25">
      <c r="A494" s="747">
        <v>95321</v>
      </c>
      <c r="B494" s="747" t="s">
        <v>3034</v>
      </c>
      <c r="C494" s="752">
        <v>27222.02</v>
      </c>
    </row>
    <row r="495" spans="1:3" x14ac:dyDescent="0.25">
      <c r="A495" s="747">
        <v>95401</v>
      </c>
      <c r="B495" s="747" t="s">
        <v>3035</v>
      </c>
      <c r="C495" s="752">
        <v>1351002.13</v>
      </c>
    </row>
    <row r="496" spans="1:3" x14ac:dyDescent="0.25">
      <c r="A496" s="747">
        <v>95404</v>
      </c>
      <c r="B496" s="747" t="s">
        <v>3036</v>
      </c>
      <c r="C496" s="752">
        <v>22122.720000000001</v>
      </c>
    </row>
    <row r="497" spans="1:3" x14ac:dyDescent="0.25">
      <c r="A497" s="747">
        <v>95405</v>
      </c>
      <c r="B497" s="747" t="s">
        <v>3037</v>
      </c>
      <c r="C497" s="752">
        <v>17052.54</v>
      </c>
    </row>
    <row r="498" spans="1:3" x14ac:dyDescent="0.25">
      <c r="A498" s="747">
        <v>95411</v>
      </c>
      <c r="B498" s="747" t="s">
        <v>3038</v>
      </c>
      <c r="C498" s="752">
        <v>1058017.01</v>
      </c>
    </row>
    <row r="499" spans="1:3" x14ac:dyDescent="0.25">
      <c r="A499" s="747">
        <v>95413</v>
      </c>
      <c r="B499" s="747" t="s">
        <v>3040</v>
      </c>
      <c r="C499" s="752">
        <v>285392.24</v>
      </c>
    </row>
    <row r="500" spans="1:3" x14ac:dyDescent="0.25">
      <c r="A500" s="747">
        <v>95415</v>
      </c>
      <c r="B500" s="747" t="s">
        <v>3041</v>
      </c>
      <c r="C500" s="752">
        <v>28157.95</v>
      </c>
    </row>
    <row r="501" spans="1:3" x14ac:dyDescent="0.25">
      <c r="A501" s="747">
        <v>95421</v>
      </c>
      <c r="B501" s="747" t="s">
        <v>3042</v>
      </c>
      <c r="C501" s="752">
        <v>18384.72</v>
      </c>
    </row>
    <row r="502" spans="1:3" x14ac:dyDescent="0.25">
      <c r="A502" s="747">
        <v>95431</v>
      </c>
      <c r="B502" s="747" t="s">
        <v>3043</v>
      </c>
      <c r="C502" s="752">
        <v>61885.41</v>
      </c>
    </row>
    <row r="503" spans="1:3" x14ac:dyDescent="0.25">
      <c r="A503" s="747">
        <v>95501</v>
      </c>
      <c r="B503" s="747" t="s">
        <v>3044</v>
      </c>
      <c r="C503" s="752">
        <v>2104813.36</v>
      </c>
    </row>
    <row r="504" spans="1:3" x14ac:dyDescent="0.25">
      <c r="A504" s="747">
        <v>95504</v>
      </c>
      <c r="B504" s="747" t="s">
        <v>3045</v>
      </c>
      <c r="C504" s="752">
        <v>9296.76</v>
      </c>
    </row>
    <row r="505" spans="1:3" x14ac:dyDescent="0.25">
      <c r="A505" s="747">
        <v>95511</v>
      </c>
      <c r="B505" s="747" t="s">
        <v>3046</v>
      </c>
      <c r="C505" s="752">
        <v>484187.91</v>
      </c>
    </row>
    <row r="506" spans="1:3" x14ac:dyDescent="0.25">
      <c r="A506" s="747">
        <v>95513</v>
      </c>
      <c r="B506" s="747" t="s">
        <v>3047</v>
      </c>
      <c r="C506" s="752">
        <v>31793.06</v>
      </c>
    </row>
    <row r="507" spans="1:3" x14ac:dyDescent="0.25">
      <c r="A507" s="747">
        <v>95517</v>
      </c>
      <c r="B507" s="747" t="s">
        <v>3048</v>
      </c>
      <c r="C507" s="752">
        <v>15695.16</v>
      </c>
    </row>
    <row r="508" spans="1:3" x14ac:dyDescent="0.25">
      <c r="A508" s="747">
        <v>95601</v>
      </c>
      <c r="B508" s="747" t="s">
        <v>3049</v>
      </c>
      <c r="C508" s="752">
        <v>1208852.72</v>
      </c>
    </row>
    <row r="509" spans="1:3" x14ac:dyDescent="0.25">
      <c r="A509" s="747">
        <v>95611</v>
      </c>
      <c r="B509" s="747" t="s">
        <v>3050</v>
      </c>
      <c r="C509" s="752">
        <v>186383.47</v>
      </c>
    </row>
    <row r="510" spans="1:3" x14ac:dyDescent="0.25">
      <c r="A510" s="747">
        <v>95617</v>
      </c>
      <c r="B510" s="747" t="s">
        <v>3051</v>
      </c>
      <c r="C510" s="752">
        <v>8201.3799999999992</v>
      </c>
    </row>
    <row r="511" spans="1:3" x14ac:dyDescent="0.25">
      <c r="A511" s="747">
        <v>95621</v>
      </c>
      <c r="B511" s="747" t="s">
        <v>3052</v>
      </c>
      <c r="C511" s="752">
        <v>227836.4</v>
      </c>
    </row>
    <row r="512" spans="1:3" x14ac:dyDescent="0.25">
      <c r="A512" s="747">
        <v>95701</v>
      </c>
      <c r="B512" s="747" t="s">
        <v>3053</v>
      </c>
      <c r="C512" s="752">
        <v>600622.13</v>
      </c>
    </row>
    <row r="513" spans="1:3" x14ac:dyDescent="0.25">
      <c r="A513" s="747">
        <v>95711</v>
      </c>
      <c r="B513" s="747" t="s">
        <v>3054</v>
      </c>
      <c r="C513" s="752">
        <v>55784.89</v>
      </c>
    </row>
    <row r="514" spans="1:3" x14ac:dyDescent="0.25">
      <c r="A514" s="747">
        <v>95721</v>
      </c>
      <c r="B514" s="747" t="s">
        <v>3055</v>
      </c>
      <c r="C514" s="752">
        <v>25093.1</v>
      </c>
    </row>
    <row r="515" spans="1:3" x14ac:dyDescent="0.25">
      <c r="A515" s="747">
        <v>95733</v>
      </c>
      <c r="B515" s="747" t="s">
        <v>3056</v>
      </c>
      <c r="C515" s="752">
        <v>6897.59</v>
      </c>
    </row>
    <row r="516" spans="1:3" x14ac:dyDescent="0.25">
      <c r="A516" s="747">
        <v>95801</v>
      </c>
      <c r="B516" s="747" t="s">
        <v>3057</v>
      </c>
      <c r="C516" s="752">
        <v>449778.57</v>
      </c>
    </row>
    <row r="517" spans="1:3" x14ac:dyDescent="0.25">
      <c r="A517" s="747">
        <v>95802</v>
      </c>
      <c r="B517" s="747" t="s">
        <v>3058</v>
      </c>
      <c r="C517" s="752">
        <v>5123.8599999999997</v>
      </c>
    </row>
    <row r="518" spans="1:3" x14ac:dyDescent="0.25">
      <c r="A518" s="747">
        <v>95804</v>
      </c>
      <c r="B518" s="747" t="s">
        <v>3059</v>
      </c>
      <c r="C518" s="752">
        <v>7566.22</v>
      </c>
    </row>
    <row r="519" spans="1:3" x14ac:dyDescent="0.25">
      <c r="A519" s="747">
        <v>95811</v>
      </c>
      <c r="B519" s="747" t="s">
        <v>3060</v>
      </c>
      <c r="C519" s="752">
        <v>243909.3</v>
      </c>
    </row>
    <row r="520" spans="1:3" x14ac:dyDescent="0.25">
      <c r="A520" s="747">
        <v>95813</v>
      </c>
      <c r="B520" s="747" t="s">
        <v>3061</v>
      </c>
      <c r="C520" s="752">
        <v>63298.64</v>
      </c>
    </row>
    <row r="521" spans="1:3" x14ac:dyDescent="0.25">
      <c r="A521" s="747">
        <v>95821</v>
      </c>
      <c r="B521" s="747" t="s">
        <v>3062</v>
      </c>
      <c r="C521" s="752">
        <v>609.75</v>
      </c>
    </row>
    <row r="522" spans="1:3" x14ac:dyDescent="0.25">
      <c r="A522" s="747">
        <v>95831</v>
      </c>
      <c r="B522" s="747" t="s">
        <v>3063</v>
      </c>
      <c r="C522" s="752">
        <v>22033.83</v>
      </c>
    </row>
    <row r="523" spans="1:3" x14ac:dyDescent="0.25">
      <c r="A523" s="747">
        <v>95841</v>
      </c>
      <c r="B523" s="747" t="s">
        <v>3064</v>
      </c>
      <c r="C523" s="752">
        <v>10804.93</v>
      </c>
    </row>
    <row r="524" spans="1:3" x14ac:dyDescent="0.25">
      <c r="A524" s="747">
        <v>95851</v>
      </c>
      <c r="B524" s="747" t="s">
        <v>3065</v>
      </c>
      <c r="C524" s="752">
        <v>142459.17000000001</v>
      </c>
    </row>
    <row r="525" spans="1:3" x14ac:dyDescent="0.25">
      <c r="A525" s="747">
        <v>95853</v>
      </c>
      <c r="B525" s="747" t="s">
        <v>3066</v>
      </c>
      <c r="C525" s="752">
        <v>14343.84</v>
      </c>
    </row>
    <row r="526" spans="1:3" x14ac:dyDescent="0.25">
      <c r="A526" s="747">
        <v>95901</v>
      </c>
      <c r="B526" s="747" t="s">
        <v>3067</v>
      </c>
      <c r="C526" s="752">
        <v>815701.69</v>
      </c>
    </row>
    <row r="527" spans="1:3" x14ac:dyDescent="0.25">
      <c r="A527" s="747">
        <v>95908</v>
      </c>
      <c r="B527" s="747" t="s">
        <v>3068</v>
      </c>
      <c r="C527" s="752">
        <v>24597.75</v>
      </c>
    </row>
    <row r="528" spans="1:3" x14ac:dyDescent="0.25">
      <c r="A528" s="747">
        <v>95911</v>
      </c>
      <c r="B528" s="747" t="s">
        <v>3069</v>
      </c>
      <c r="C528" s="752">
        <v>244844.94</v>
      </c>
    </row>
    <row r="529" spans="1:3" x14ac:dyDescent="0.25">
      <c r="A529" s="747">
        <v>95917</v>
      </c>
      <c r="B529" s="747" t="s">
        <v>3070</v>
      </c>
      <c r="C529" s="752">
        <v>11000.84</v>
      </c>
    </row>
    <row r="530" spans="1:3" x14ac:dyDescent="0.25">
      <c r="A530" s="747">
        <v>95921</v>
      </c>
      <c r="B530" s="747" t="s">
        <v>3071</v>
      </c>
      <c r="C530" s="752">
        <v>19771.79</v>
      </c>
    </row>
    <row r="531" spans="1:3" x14ac:dyDescent="0.25">
      <c r="A531" s="747">
        <v>96001</v>
      </c>
      <c r="B531" s="747" t="s">
        <v>3072</v>
      </c>
      <c r="C531" s="752">
        <v>20012604.809999999</v>
      </c>
    </row>
    <row r="532" spans="1:3" x14ac:dyDescent="0.25">
      <c r="A532" s="747">
        <v>96003</v>
      </c>
      <c r="B532" s="747" t="s">
        <v>3073</v>
      </c>
      <c r="C532" s="752">
        <v>743373.24</v>
      </c>
    </row>
    <row r="533" spans="1:3" x14ac:dyDescent="0.25">
      <c r="A533" s="747">
        <v>96004</v>
      </c>
      <c r="B533" s="747" t="s">
        <v>3074</v>
      </c>
      <c r="C533" s="752">
        <v>462351.76</v>
      </c>
    </row>
    <row r="534" spans="1:3" x14ac:dyDescent="0.25">
      <c r="A534" s="747">
        <v>96005</v>
      </c>
      <c r="B534" s="747" t="s">
        <v>3075</v>
      </c>
      <c r="C534" s="752">
        <v>1240289.72</v>
      </c>
    </row>
    <row r="535" spans="1:3" x14ac:dyDescent="0.25">
      <c r="A535" s="747">
        <v>96008</v>
      </c>
      <c r="B535" s="747" t="s">
        <v>3076</v>
      </c>
      <c r="C535" s="752">
        <v>2075075.95</v>
      </c>
    </row>
    <row r="536" spans="1:3" x14ac:dyDescent="0.25">
      <c r="A536" s="747">
        <v>96009</v>
      </c>
      <c r="B536" s="747" t="s">
        <v>3077</v>
      </c>
      <c r="C536" s="752">
        <v>192063</v>
      </c>
    </row>
    <row r="537" spans="1:3" x14ac:dyDescent="0.25">
      <c r="A537" s="747">
        <v>96011</v>
      </c>
      <c r="B537" s="747" t="s">
        <v>3078</v>
      </c>
      <c r="C537" s="752">
        <v>28379211.379999999</v>
      </c>
    </row>
    <row r="538" spans="1:3" x14ac:dyDescent="0.25">
      <c r="A538" s="747">
        <v>96012</v>
      </c>
      <c r="B538" s="747" t="s">
        <v>3079</v>
      </c>
      <c r="C538" s="752">
        <v>1092788.4099999999</v>
      </c>
    </row>
    <row r="539" spans="1:3" x14ac:dyDescent="0.25">
      <c r="A539" s="747">
        <v>96018</v>
      </c>
      <c r="B539" s="747" t="s">
        <v>3080</v>
      </c>
      <c r="C539" s="752">
        <v>18034.45</v>
      </c>
    </row>
    <row r="540" spans="1:3" x14ac:dyDescent="0.25">
      <c r="A540" s="747">
        <v>96021</v>
      </c>
      <c r="B540" s="747" t="s">
        <v>3081</v>
      </c>
      <c r="C540" s="752">
        <v>327690.39</v>
      </c>
    </row>
    <row r="541" spans="1:3" x14ac:dyDescent="0.25">
      <c r="A541" s="747">
        <v>96031</v>
      </c>
      <c r="B541" s="747" t="s">
        <v>3082</v>
      </c>
      <c r="C541" s="752">
        <v>325475.46999999997</v>
      </c>
    </row>
    <row r="542" spans="1:3" x14ac:dyDescent="0.25">
      <c r="A542" s="747">
        <v>96041</v>
      </c>
      <c r="B542" s="747" t="s">
        <v>3083</v>
      </c>
      <c r="C542" s="752">
        <v>721544.05</v>
      </c>
    </row>
    <row r="543" spans="1:3" x14ac:dyDescent="0.25">
      <c r="A543" s="747">
        <v>96051</v>
      </c>
      <c r="B543" s="747" t="s">
        <v>3084</v>
      </c>
      <c r="C543" s="752">
        <v>418345.64</v>
      </c>
    </row>
    <row r="544" spans="1:3" x14ac:dyDescent="0.25">
      <c r="A544" s="747">
        <v>96061</v>
      </c>
      <c r="B544" s="747" t="s">
        <v>3085</v>
      </c>
      <c r="C544" s="752">
        <v>154987.99</v>
      </c>
    </row>
    <row r="545" spans="1:3" x14ac:dyDescent="0.25">
      <c r="A545" s="747">
        <v>96071</v>
      </c>
      <c r="B545" s="747" t="s">
        <v>3086</v>
      </c>
      <c r="C545" s="752">
        <v>554008.97</v>
      </c>
    </row>
    <row r="546" spans="1:3" x14ac:dyDescent="0.25">
      <c r="A546" s="747">
        <v>96081</v>
      </c>
      <c r="B546" s="747" t="s">
        <v>3087</v>
      </c>
      <c r="C546" s="752">
        <v>211520.19</v>
      </c>
    </row>
    <row r="547" spans="1:3" x14ac:dyDescent="0.25">
      <c r="A547" s="747">
        <v>96101</v>
      </c>
      <c r="B547" s="747" t="s">
        <v>3088</v>
      </c>
      <c r="C547" s="752">
        <v>371540.9</v>
      </c>
    </row>
    <row r="548" spans="1:3" x14ac:dyDescent="0.25">
      <c r="A548" s="747">
        <v>96102</v>
      </c>
      <c r="B548" s="747" t="s">
        <v>3089</v>
      </c>
      <c r="C548" s="752">
        <v>5077.9399999999996</v>
      </c>
    </row>
    <row r="549" spans="1:3" x14ac:dyDescent="0.25">
      <c r="A549" s="747">
        <v>96111</v>
      </c>
      <c r="B549" s="747" t="s">
        <v>3090</v>
      </c>
      <c r="C549" s="752">
        <v>74819.210000000006</v>
      </c>
    </row>
    <row r="550" spans="1:3" x14ac:dyDescent="0.25">
      <c r="A550" s="747">
        <v>96121</v>
      </c>
      <c r="B550" s="747" t="s">
        <v>3091</v>
      </c>
      <c r="C550" s="752">
        <v>9052.41</v>
      </c>
    </row>
    <row r="551" spans="1:3" x14ac:dyDescent="0.25">
      <c r="A551" s="747">
        <v>96201</v>
      </c>
      <c r="B551" s="747" t="s">
        <v>3092</v>
      </c>
      <c r="C551" s="752">
        <v>527645.29</v>
      </c>
    </row>
    <row r="552" spans="1:3" x14ac:dyDescent="0.25">
      <c r="A552" s="747">
        <v>96204</v>
      </c>
      <c r="B552" s="747" t="s">
        <v>3093</v>
      </c>
      <c r="C552" s="752">
        <v>8503.01</v>
      </c>
    </row>
    <row r="553" spans="1:3" x14ac:dyDescent="0.25">
      <c r="A553" s="747">
        <v>96211</v>
      </c>
      <c r="B553" s="747" t="s">
        <v>3094</v>
      </c>
      <c r="C553" s="752">
        <v>16678.38</v>
      </c>
    </row>
    <row r="554" spans="1:3" x14ac:dyDescent="0.25">
      <c r="A554" s="747">
        <v>96221</v>
      </c>
      <c r="B554" s="747" t="s">
        <v>3095</v>
      </c>
      <c r="C554" s="752">
        <v>98415.24</v>
      </c>
    </row>
    <row r="555" spans="1:3" x14ac:dyDescent="0.25">
      <c r="A555" s="747">
        <v>96231</v>
      </c>
      <c r="B555" s="747" t="s">
        <v>3096</v>
      </c>
      <c r="C555" s="752">
        <v>48595.12</v>
      </c>
    </row>
    <row r="556" spans="1:3" x14ac:dyDescent="0.25">
      <c r="A556" s="747">
        <v>96241</v>
      </c>
      <c r="B556" s="747" t="s">
        <v>3097</v>
      </c>
      <c r="C556" s="752">
        <v>22791.16</v>
      </c>
    </row>
    <row r="557" spans="1:3" x14ac:dyDescent="0.25">
      <c r="A557" s="747">
        <v>96251</v>
      </c>
      <c r="B557" s="747" t="s">
        <v>3098</v>
      </c>
      <c r="C557" s="752">
        <v>36737.410000000003</v>
      </c>
    </row>
    <row r="558" spans="1:3" x14ac:dyDescent="0.25">
      <c r="A558" s="747">
        <v>96301</v>
      </c>
      <c r="B558" s="747" t="s">
        <v>3099</v>
      </c>
      <c r="C558" s="752">
        <v>1938349.74</v>
      </c>
    </row>
    <row r="559" spans="1:3" x14ac:dyDescent="0.25">
      <c r="A559" s="747">
        <v>96302</v>
      </c>
      <c r="B559" s="747" t="s">
        <v>3100</v>
      </c>
      <c r="C559" s="752">
        <v>12120.93</v>
      </c>
    </row>
    <row r="560" spans="1:3" x14ac:dyDescent="0.25">
      <c r="A560" s="747">
        <v>96304</v>
      </c>
      <c r="B560" s="747" t="s">
        <v>3101</v>
      </c>
      <c r="C560" s="752">
        <v>27293.759999999998</v>
      </c>
    </row>
    <row r="561" spans="1:3" x14ac:dyDescent="0.25">
      <c r="A561" s="747">
        <v>96305</v>
      </c>
      <c r="B561" s="747" t="s">
        <v>3102</v>
      </c>
      <c r="C561" s="752">
        <v>30519.599999999999</v>
      </c>
    </row>
    <row r="562" spans="1:3" x14ac:dyDescent="0.25">
      <c r="A562" s="747">
        <v>96310</v>
      </c>
      <c r="B562" s="747" t="s">
        <v>3103</v>
      </c>
      <c r="C562" s="752">
        <v>26766.78</v>
      </c>
    </row>
    <row r="563" spans="1:3" x14ac:dyDescent="0.25">
      <c r="A563" s="747">
        <v>96311</v>
      </c>
      <c r="B563" s="747" t="s">
        <v>3104</v>
      </c>
      <c r="C563" s="752">
        <v>595123.57999999996</v>
      </c>
    </row>
    <row r="564" spans="1:3" x14ac:dyDescent="0.25">
      <c r="A564" s="747">
        <v>96312</v>
      </c>
      <c r="B564" s="747" t="s">
        <v>3105</v>
      </c>
      <c r="C564" s="752">
        <v>4819.92</v>
      </c>
    </row>
    <row r="565" spans="1:3" x14ac:dyDescent="0.25">
      <c r="A565" s="747">
        <v>96318</v>
      </c>
      <c r="B565" s="747" t="s">
        <v>3106</v>
      </c>
      <c r="C565" s="752">
        <v>1061237.49</v>
      </c>
    </row>
    <row r="566" spans="1:3" x14ac:dyDescent="0.25">
      <c r="A566" s="747">
        <v>96321</v>
      </c>
      <c r="B566" s="747" t="s">
        <v>3107</v>
      </c>
      <c r="C566" s="752">
        <v>18736.63</v>
      </c>
    </row>
    <row r="567" spans="1:3" x14ac:dyDescent="0.25">
      <c r="A567" s="747">
        <v>96331</v>
      </c>
      <c r="B567" s="747" t="s">
        <v>3108</v>
      </c>
      <c r="C567" s="752">
        <v>321182.36</v>
      </c>
    </row>
    <row r="568" spans="1:3" x14ac:dyDescent="0.25">
      <c r="A568" s="747">
        <v>96341</v>
      </c>
      <c r="B568" s="747" t="s">
        <v>3109</v>
      </c>
      <c r="C568" s="752">
        <v>35035.769999999997</v>
      </c>
    </row>
    <row r="569" spans="1:3" x14ac:dyDescent="0.25">
      <c r="A569" s="747">
        <v>96351</v>
      </c>
      <c r="B569" s="747" t="s">
        <v>3110</v>
      </c>
      <c r="C569" s="752">
        <v>488440.63</v>
      </c>
    </row>
    <row r="570" spans="1:3" x14ac:dyDescent="0.25">
      <c r="A570" s="747">
        <v>96361</v>
      </c>
      <c r="B570" s="747" t="s">
        <v>3111</v>
      </c>
      <c r="C570" s="752">
        <v>24289.03</v>
      </c>
    </row>
    <row r="571" spans="1:3" x14ac:dyDescent="0.25">
      <c r="A571" s="747">
        <v>96371</v>
      </c>
      <c r="B571" s="747" t="s">
        <v>3112</v>
      </c>
      <c r="C571" s="752">
        <v>67275.77</v>
      </c>
    </row>
    <row r="572" spans="1:3" x14ac:dyDescent="0.25">
      <c r="A572" s="747">
        <v>96381</v>
      </c>
      <c r="B572" s="747" t="s">
        <v>3113</v>
      </c>
      <c r="C572" s="752">
        <v>15357.09</v>
      </c>
    </row>
    <row r="573" spans="1:3" x14ac:dyDescent="0.25">
      <c r="A573" s="747">
        <v>96391</v>
      </c>
      <c r="B573" s="747" t="s">
        <v>3114</v>
      </c>
      <c r="C573" s="752">
        <v>74519.070000000007</v>
      </c>
    </row>
    <row r="574" spans="1:3" x14ac:dyDescent="0.25">
      <c r="A574" s="747">
        <v>96401</v>
      </c>
      <c r="B574" s="747" t="s">
        <v>3115</v>
      </c>
      <c r="C574" s="752">
        <v>2040109.23</v>
      </c>
    </row>
    <row r="575" spans="1:3" x14ac:dyDescent="0.25">
      <c r="A575" s="747">
        <v>96404</v>
      </c>
      <c r="B575" s="747" t="s">
        <v>3116</v>
      </c>
      <c r="C575" s="752">
        <v>57854.71</v>
      </c>
    </row>
    <row r="576" spans="1:3" x14ac:dyDescent="0.25">
      <c r="A576" s="747">
        <v>96405</v>
      </c>
      <c r="B576" s="747" t="s">
        <v>3117</v>
      </c>
      <c r="C576" s="752">
        <v>86618.240000000005</v>
      </c>
    </row>
    <row r="577" spans="1:3" x14ac:dyDescent="0.25">
      <c r="A577" s="747">
        <v>96411</v>
      </c>
      <c r="B577" s="747" t="s">
        <v>3118</v>
      </c>
      <c r="C577" s="752">
        <v>28784.39</v>
      </c>
    </row>
    <row r="578" spans="1:3" x14ac:dyDescent="0.25">
      <c r="A578" s="747">
        <v>96421</v>
      </c>
      <c r="B578" s="747" t="s">
        <v>3119</v>
      </c>
      <c r="C578" s="752">
        <v>170403.58</v>
      </c>
    </row>
    <row r="579" spans="1:3" x14ac:dyDescent="0.25">
      <c r="A579" s="747">
        <v>96431</v>
      </c>
      <c r="B579" s="747" t="s">
        <v>3120</v>
      </c>
      <c r="C579" s="752">
        <v>21289.47</v>
      </c>
    </row>
    <row r="580" spans="1:3" x14ac:dyDescent="0.25">
      <c r="A580" s="747">
        <v>96441</v>
      </c>
      <c r="B580" s="747" t="s">
        <v>3121</v>
      </c>
      <c r="C580" s="752">
        <v>18706.77</v>
      </c>
    </row>
    <row r="581" spans="1:3" x14ac:dyDescent="0.25">
      <c r="A581" s="747">
        <v>96451</v>
      </c>
      <c r="B581" s="747" t="s">
        <v>3122</v>
      </c>
      <c r="C581" s="752">
        <v>8566.18</v>
      </c>
    </row>
    <row r="582" spans="1:3" x14ac:dyDescent="0.25">
      <c r="A582" s="747">
        <v>96461</v>
      </c>
      <c r="B582" s="747" t="s">
        <v>3123</v>
      </c>
      <c r="C582" s="752">
        <v>63932.06</v>
      </c>
    </row>
    <row r="583" spans="1:3" x14ac:dyDescent="0.25">
      <c r="A583" s="747">
        <v>96501</v>
      </c>
      <c r="B583" s="747" t="s">
        <v>3124</v>
      </c>
      <c r="C583" s="752">
        <v>6399555.9400000004</v>
      </c>
    </row>
    <row r="584" spans="1:3" x14ac:dyDescent="0.25">
      <c r="A584" s="747">
        <v>96502</v>
      </c>
      <c r="B584" s="747" t="s">
        <v>3125</v>
      </c>
      <c r="C584" s="752">
        <v>198105.11</v>
      </c>
    </row>
    <row r="585" spans="1:3" x14ac:dyDescent="0.25">
      <c r="A585" s="747">
        <v>96503</v>
      </c>
      <c r="B585" s="747" t="s">
        <v>3559</v>
      </c>
      <c r="C585" s="752">
        <v>293862.68</v>
      </c>
    </row>
    <row r="586" spans="1:3" x14ac:dyDescent="0.25">
      <c r="A586" s="747">
        <v>96504</v>
      </c>
      <c r="B586" s="747" t="s">
        <v>3127</v>
      </c>
      <c r="C586" s="752">
        <v>189891.95</v>
      </c>
    </row>
    <row r="587" spans="1:3" x14ac:dyDescent="0.25">
      <c r="A587" s="747">
        <v>96507</v>
      </c>
      <c r="B587" s="747" t="s">
        <v>3128</v>
      </c>
      <c r="C587" s="752">
        <v>1026624.38</v>
      </c>
    </row>
    <row r="588" spans="1:3" x14ac:dyDescent="0.25">
      <c r="A588" s="747">
        <v>96508</v>
      </c>
      <c r="B588" s="747" t="s">
        <v>3129</v>
      </c>
      <c r="C588" s="752">
        <v>11086.08</v>
      </c>
    </row>
    <row r="589" spans="1:3" x14ac:dyDescent="0.25">
      <c r="A589" s="747">
        <v>96511</v>
      </c>
      <c r="B589" s="747" t="s">
        <v>3130</v>
      </c>
      <c r="C589" s="752">
        <v>276057.34999999998</v>
      </c>
    </row>
    <row r="590" spans="1:3" x14ac:dyDescent="0.25">
      <c r="A590" s="747">
        <v>96512</v>
      </c>
      <c r="B590" s="747" t="s">
        <v>3131</v>
      </c>
      <c r="C590" s="752">
        <v>72714.91</v>
      </c>
    </row>
    <row r="591" spans="1:3" x14ac:dyDescent="0.25">
      <c r="A591" s="747">
        <v>96521</v>
      </c>
      <c r="B591" s="747" t="s">
        <v>3133</v>
      </c>
      <c r="C591" s="752">
        <v>408177.79</v>
      </c>
    </row>
    <row r="592" spans="1:3" x14ac:dyDescent="0.25">
      <c r="A592" s="747">
        <v>96531</v>
      </c>
      <c r="B592" s="747" t="s">
        <v>3134</v>
      </c>
      <c r="C592" s="752">
        <v>3779880.62</v>
      </c>
    </row>
    <row r="593" spans="1:3" x14ac:dyDescent="0.25">
      <c r="A593" s="747">
        <v>96541</v>
      </c>
      <c r="B593" s="747" t="s">
        <v>3135</v>
      </c>
      <c r="C593" s="752">
        <v>156792.44</v>
      </c>
    </row>
    <row r="594" spans="1:3" x14ac:dyDescent="0.25">
      <c r="A594" s="747">
        <v>96601</v>
      </c>
      <c r="B594" s="747" t="s">
        <v>3136</v>
      </c>
      <c r="C594" s="752">
        <v>878871.71</v>
      </c>
    </row>
    <row r="595" spans="1:3" x14ac:dyDescent="0.25">
      <c r="A595" s="747">
        <v>96604</v>
      </c>
      <c r="B595" s="747" t="s">
        <v>3137</v>
      </c>
      <c r="C595" s="752">
        <v>5010.91</v>
      </c>
    </row>
    <row r="596" spans="1:3" x14ac:dyDescent="0.25">
      <c r="A596" s="747">
        <v>96611</v>
      </c>
      <c r="B596" s="747" t="s">
        <v>3138</v>
      </c>
      <c r="C596" s="752">
        <v>12016.16</v>
      </c>
    </row>
    <row r="597" spans="1:3" x14ac:dyDescent="0.25">
      <c r="A597" s="747">
        <v>96612</v>
      </c>
      <c r="B597" s="747" t="s">
        <v>3139</v>
      </c>
      <c r="C597" s="752">
        <v>32834.22</v>
      </c>
    </row>
    <row r="598" spans="1:3" x14ac:dyDescent="0.25">
      <c r="A598" s="747">
        <v>96621</v>
      </c>
      <c r="B598" s="747" t="s">
        <v>3140</v>
      </c>
      <c r="C598" s="752">
        <v>13235.42</v>
      </c>
    </row>
    <row r="599" spans="1:3" x14ac:dyDescent="0.25">
      <c r="A599" s="747">
        <v>96631</v>
      </c>
      <c r="B599" s="747" t="s">
        <v>3141</v>
      </c>
      <c r="C599" s="752">
        <v>11904.52</v>
      </c>
    </row>
    <row r="600" spans="1:3" x14ac:dyDescent="0.25">
      <c r="A600" s="747">
        <v>96641</v>
      </c>
      <c r="B600" s="747" t="s">
        <v>3142</v>
      </c>
      <c r="C600" s="752">
        <v>20865.259999999998</v>
      </c>
    </row>
    <row r="601" spans="1:3" x14ac:dyDescent="0.25">
      <c r="A601" s="747">
        <v>96651</v>
      </c>
      <c r="B601" s="747" t="s">
        <v>3143</v>
      </c>
      <c r="C601" s="752">
        <v>11419.39</v>
      </c>
    </row>
    <row r="602" spans="1:3" x14ac:dyDescent="0.25">
      <c r="A602" s="747">
        <v>96661</v>
      </c>
      <c r="B602" s="747" t="s">
        <v>3144</v>
      </c>
      <c r="C602" s="752">
        <v>10399.49</v>
      </c>
    </row>
    <row r="603" spans="1:3" x14ac:dyDescent="0.25">
      <c r="A603" s="747">
        <v>96671</v>
      </c>
      <c r="B603" s="747" t="s">
        <v>3145</v>
      </c>
      <c r="C603" s="752">
        <v>8399.93</v>
      </c>
    </row>
    <row r="604" spans="1:3" x14ac:dyDescent="0.25">
      <c r="A604" s="747">
        <v>96681</v>
      </c>
      <c r="B604" s="747" t="s">
        <v>3146</v>
      </c>
      <c r="C604" s="752">
        <v>12178.62</v>
      </c>
    </row>
    <row r="605" spans="1:3" x14ac:dyDescent="0.25">
      <c r="A605" s="747">
        <v>96701</v>
      </c>
      <c r="B605" s="747" t="s">
        <v>3147</v>
      </c>
      <c r="C605" s="752">
        <v>3657207.72</v>
      </c>
    </row>
    <row r="606" spans="1:3" x14ac:dyDescent="0.25">
      <c r="A606" s="747">
        <v>96704</v>
      </c>
      <c r="B606" s="747" t="s">
        <v>3148</v>
      </c>
      <c r="C606" s="752">
        <v>92320.03</v>
      </c>
    </row>
    <row r="607" spans="1:3" x14ac:dyDescent="0.25">
      <c r="A607" s="747">
        <v>96708</v>
      </c>
      <c r="B607" s="747" t="s">
        <v>3149</v>
      </c>
      <c r="C607" s="752">
        <v>441727</v>
      </c>
    </row>
    <row r="608" spans="1:3" x14ac:dyDescent="0.25">
      <c r="A608" s="747">
        <v>96711</v>
      </c>
      <c r="B608" s="747" t="s">
        <v>3150</v>
      </c>
      <c r="C608" s="752">
        <v>1869918</v>
      </c>
    </row>
    <row r="609" spans="1:3" x14ac:dyDescent="0.25">
      <c r="A609" s="747">
        <v>96721</v>
      </c>
      <c r="B609" s="747" t="s">
        <v>3151</v>
      </c>
      <c r="C609" s="752">
        <v>96163.24</v>
      </c>
    </row>
    <row r="610" spans="1:3" x14ac:dyDescent="0.25">
      <c r="A610" s="747">
        <v>96731</v>
      </c>
      <c r="B610" s="747" t="s">
        <v>3152</v>
      </c>
      <c r="C610" s="752">
        <v>72355.61</v>
      </c>
    </row>
    <row r="611" spans="1:3" x14ac:dyDescent="0.25">
      <c r="A611" s="747">
        <v>96733</v>
      </c>
      <c r="B611" s="747" t="s">
        <v>3153</v>
      </c>
      <c r="C611" s="752">
        <v>4278.46</v>
      </c>
    </row>
    <row r="612" spans="1:3" x14ac:dyDescent="0.25">
      <c r="A612" s="747">
        <v>96741</v>
      </c>
      <c r="B612" s="747" t="s">
        <v>3154</v>
      </c>
      <c r="C612" s="752">
        <v>41447.85</v>
      </c>
    </row>
    <row r="613" spans="1:3" x14ac:dyDescent="0.25">
      <c r="A613" s="747">
        <v>96751</v>
      </c>
      <c r="B613" s="747" t="s">
        <v>3155</v>
      </c>
      <c r="C613" s="752">
        <v>115659.58</v>
      </c>
    </row>
    <row r="614" spans="1:3" x14ac:dyDescent="0.25">
      <c r="A614" s="747">
        <v>96801</v>
      </c>
      <c r="B614" s="747" t="s">
        <v>3156</v>
      </c>
      <c r="C614" s="752">
        <v>3611119.7</v>
      </c>
    </row>
    <row r="615" spans="1:3" x14ac:dyDescent="0.25">
      <c r="A615" s="747">
        <v>96804</v>
      </c>
      <c r="B615" s="747" t="s">
        <v>3157</v>
      </c>
      <c r="C615" s="752">
        <v>109175.44</v>
      </c>
    </row>
    <row r="616" spans="1:3" x14ac:dyDescent="0.25">
      <c r="A616" s="747">
        <v>96808</v>
      </c>
      <c r="B616" s="747" t="s">
        <v>3158</v>
      </c>
      <c r="C616" s="752">
        <v>593249.02</v>
      </c>
    </row>
    <row r="617" spans="1:3" x14ac:dyDescent="0.25">
      <c r="A617" s="747">
        <v>96811</v>
      </c>
      <c r="B617" s="747" t="s">
        <v>3159</v>
      </c>
      <c r="C617" s="752">
        <v>2786024.56</v>
      </c>
    </row>
    <row r="618" spans="1:3" x14ac:dyDescent="0.25">
      <c r="A618" s="747">
        <v>96821</v>
      </c>
      <c r="B618" s="747" t="s">
        <v>3160</v>
      </c>
      <c r="C618" s="752">
        <v>603955.94999999995</v>
      </c>
    </row>
    <row r="619" spans="1:3" x14ac:dyDescent="0.25">
      <c r="A619" s="747">
        <v>96831</v>
      </c>
      <c r="B619" s="747" t="s">
        <v>3161</v>
      </c>
      <c r="C619" s="752">
        <v>426593.44</v>
      </c>
    </row>
    <row r="620" spans="1:3" x14ac:dyDescent="0.25">
      <c r="A620" s="747">
        <v>96901</v>
      </c>
      <c r="B620" s="747" t="s">
        <v>3162</v>
      </c>
      <c r="C620" s="752">
        <v>411770.29</v>
      </c>
    </row>
    <row r="621" spans="1:3" x14ac:dyDescent="0.25">
      <c r="A621" s="747">
        <v>96911</v>
      </c>
      <c r="B621" s="747" t="s">
        <v>3163</v>
      </c>
      <c r="C621" s="752">
        <v>1941.57</v>
      </c>
    </row>
    <row r="622" spans="1:3" x14ac:dyDescent="0.25">
      <c r="A622" s="747">
        <v>96912</v>
      </c>
      <c r="B622" s="747" t="s">
        <v>3164</v>
      </c>
      <c r="C622" s="752">
        <v>24609.72</v>
      </c>
    </row>
    <row r="623" spans="1:3" x14ac:dyDescent="0.25">
      <c r="A623" s="747">
        <v>96918</v>
      </c>
      <c r="B623" s="747" t="s">
        <v>3165</v>
      </c>
      <c r="C623" s="752">
        <v>20288.79</v>
      </c>
    </row>
    <row r="624" spans="1:3" x14ac:dyDescent="0.25">
      <c r="A624" s="747">
        <v>97001</v>
      </c>
      <c r="B624" s="747" t="s">
        <v>3166</v>
      </c>
      <c r="C624" s="752">
        <v>710694.22</v>
      </c>
    </row>
    <row r="625" spans="1:3" x14ac:dyDescent="0.25">
      <c r="A625" s="747">
        <v>97002</v>
      </c>
      <c r="B625" s="747" t="s">
        <v>3167</v>
      </c>
      <c r="C625" s="752">
        <v>182319.24</v>
      </c>
    </row>
    <row r="626" spans="1:3" x14ac:dyDescent="0.25">
      <c r="A626" s="747">
        <v>97004</v>
      </c>
      <c r="B626" s="747" t="s">
        <v>3168</v>
      </c>
      <c r="C626" s="752">
        <v>8257.23</v>
      </c>
    </row>
    <row r="627" spans="1:3" x14ac:dyDescent="0.25">
      <c r="A627" s="747">
        <v>97005</v>
      </c>
      <c r="B627" s="747" t="s">
        <v>3169</v>
      </c>
      <c r="C627" s="752">
        <v>15091.84</v>
      </c>
    </row>
    <row r="628" spans="1:3" x14ac:dyDescent="0.25">
      <c r="A628" s="747">
        <v>97008</v>
      </c>
      <c r="B628" s="747" t="s">
        <v>3170</v>
      </c>
      <c r="C628" s="752">
        <v>128453.32</v>
      </c>
    </row>
    <row r="629" spans="1:3" x14ac:dyDescent="0.25">
      <c r="A629" s="747">
        <v>97011</v>
      </c>
      <c r="B629" s="747" t="s">
        <v>3172</v>
      </c>
      <c r="C629" s="752">
        <v>907457.57</v>
      </c>
    </row>
    <row r="630" spans="1:3" x14ac:dyDescent="0.25">
      <c r="A630" s="747">
        <v>97012</v>
      </c>
      <c r="B630" s="747" t="s">
        <v>3173</v>
      </c>
      <c r="C630" s="752">
        <v>12374.49</v>
      </c>
    </row>
    <row r="631" spans="1:3" x14ac:dyDescent="0.25">
      <c r="A631" s="747">
        <v>97013</v>
      </c>
      <c r="B631" s="747" t="s">
        <v>3174</v>
      </c>
      <c r="C631" s="752">
        <v>11432.48</v>
      </c>
    </row>
    <row r="632" spans="1:3" x14ac:dyDescent="0.25">
      <c r="A632" s="747">
        <v>97015</v>
      </c>
      <c r="B632" s="747" t="s">
        <v>3175</v>
      </c>
      <c r="C632" s="752">
        <v>23035.67</v>
      </c>
    </row>
    <row r="633" spans="1:3" x14ac:dyDescent="0.25">
      <c r="A633" s="747">
        <v>97018</v>
      </c>
      <c r="B633" s="747" t="s">
        <v>3176</v>
      </c>
      <c r="C633" s="752">
        <v>8134.56</v>
      </c>
    </row>
    <row r="634" spans="1:3" x14ac:dyDescent="0.25">
      <c r="A634" s="747">
        <v>97101</v>
      </c>
      <c r="B634" s="747" t="s">
        <v>3177</v>
      </c>
      <c r="C634" s="752">
        <v>1208499.9099999999</v>
      </c>
    </row>
    <row r="635" spans="1:3" x14ac:dyDescent="0.25">
      <c r="A635" s="747">
        <v>97104</v>
      </c>
      <c r="B635" s="747" t="s">
        <v>3178</v>
      </c>
      <c r="C635" s="752">
        <v>29146.93</v>
      </c>
    </row>
    <row r="636" spans="1:3" x14ac:dyDescent="0.25">
      <c r="A636" s="747">
        <v>97111</v>
      </c>
      <c r="B636" s="747" t="s">
        <v>3179</v>
      </c>
      <c r="C636" s="752">
        <v>108870.46</v>
      </c>
    </row>
    <row r="637" spans="1:3" x14ac:dyDescent="0.25">
      <c r="A637" s="747">
        <v>97121</v>
      </c>
      <c r="B637" s="747" t="s">
        <v>3180</v>
      </c>
      <c r="C637" s="752">
        <v>66521.84</v>
      </c>
    </row>
    <row r="638" spans="1:3" x14ac:dyDescent="0.25">
      <c r="A638" s="747">
        <v>97131</v>
      </c>
      <c r="B638" s="747" t="s">
        <v>3181</v>
      </c>
      <c r="C638" s="752">
        <v>280483.40000000002</v>
      </c>
    </row>
    <row r="639" spans="1:3" x14ac:dyDescent="0.25">
      <c r="A639" s="747">
        <v>97201</v>
      </c>
      <c r="B639" s="747" t="s">
        <v>3182</v>
      </c>
      <c r="C639" s="752">
        <v>248231.81</v>
      </c>
    </row>
    <row r="640" spans="1:3" x14ac:dyDescent="0.25">
      <c r="A640" s="747">
        <v>97211</v>
      </c>
      <c r="B640" s="747" t="s">
        <v>3183</v>
      </c>
      <c r="C640" s="752">
        <v>74901.72</v>
      </c>
    </row>
    <row r="641" spans="1:3" x14ac:dyDescent="0.25">
      <c r="A641" s="747">
        <v>97213</v>
      </c>
      <c r="B641" s="747" t="s">
        <v>3184</v>
      </c>
      <c r="C641" s="752">
        <v>24679.99</v>
      </c>
    </row>
    <row r="642" spans="1:3" x14ac:dyDescent="0.25">
      <c r="A642" s="747">
        <v>97217</v>
      </c>
      <c r="B642" s="747" t="s">
        <v>3185</v>
      </c>
      <c r="C642" s="752">
        <v>6889.51</v>
      </c>
    </row>
    <row r="643" spans="1:3" x14ac:dyDescent="0.25">
      <c r="A643" s="747">
        <v>97221</v>
      </c>
      <c r="B643" s="747" t="s">
        <v>3186</v>
      </c>
      <c r="C643" s="752">
        <v>7777.74</v>
      </c>
    </row>
    <row r="644" spans="1:3" x14ac:dyDescent="0.25">
      <c r="A644" s="747">
        <v>97301</v>
      </c>
      <c r="B644" s="747" t="s">
        <v>3187</v>
      </c>
      <c r="C644" s="752">
        <v>1186932.25</v>
      </c>
    </row>
    <row r="645" spans="1:3" x14ac:dyDescent="0.25">
      <c r="A645" s="747">
        <v>97304</v>
      </c>
      <c r="B645" s="747" t="s">
        <v>3188</v>
      </c>
      <c r="C645" s="752">
        <v>13381.54</v>
      </c>
    </row>
    <row r="646" spans="1:3" x14ac:dyDescent="0.25">
      <c r="A646" s="747">
        <v>97311</v>
      </c>
      <c r="B646" s="747" t="s">
        <v>3189</v>
      </c>
      <c r="C646" s="752">
        <v>407124.4</v>
      </c>
    </row>
    <row r="647" spans="1:3" x14ac:dyDescent="0.25">
      <c r="A647" s="747">
        <v>97401</v>
      </c>
      <c r="B647" s="747" t="s">
        <v>3190</v>
      </c>
      <c r="C647" s="752">
        <v>3322668.78</v>
      </c>
    </row>
    <row r="648" spans="1:3" x14ac:dyDescent="0.25">
      <c r="A648" s="747">
        <v>97402</v>
      </c>
      <c r="B648" s="747" t="s">
        <v>3191</v>
      </c>
      <c r="C648" s="752">
        <v>25207.21</v>
      </c>
    </row>
    <row r="649" spans="1:3" x14ac:dyDescent="0.25">
      <c r="A649" s="747">
        <v>97404</v>
      </c>
      <c r="B649" s="747" t="s">
        <v>3192</v>
      </c>
      <c r="C649" s="752">
        <v>84648.55</v>
      </c>
    </row>
    <row r="650" spans="1:3" x14ac:dyDescent="0.25">
      <c r="A650" s="747">
        <v>97405</v>
      </c>
      <c r="B650" s="747" t="s">
        <v>3193</v>
      </c>
      <c r="C650" s="752">
        <v>65705.47</v>
      </c>
    </row>
    <row r="651" spans="1:3" x14ac:dyDescent="0.25">
      <c r="A651" s="747">
        <v>97408</v>
      </c>
      <c r="B651" s="747" t="s">
        <v>3194</v>
      </c>
      <c r="C651" s="752">
        <v>27498.81</v>
      </c>
    </row>
    <row r="652" spans="1:3" x14ac:dyDescent="0.25">
      <c r="A652" s="747">
        <v>97411</v>
      </c>
      <c r="B652" s="747" t="s">
        <v>3195</v>
      </c>
      <c r="C652" s="752">
        <v>2979172.5</v>
      </c>
    </row>
    <row r="653" spans="1:3" x14ac:dyDescent="0.25">
      <c r="A653" s="747">
        <v>97412</v>
      </c>
      <c r="B653" s="747" t="s">
        <v>3196</v>
      </c>
      <c r="C653" s="752">
        <v>2155643.56</v>
      </c>
    </row>
    <row r="654" spans="1:3" x14ac:dyDescent="0.25">
      <c r="A654" s="747">
        <v>97413</v>
      </c>
      <c r="B654" s="747" t="s">
        <v>3197</v>
      </c>
      <c r="C654" s="752">
        <v>140808.79999999999</v>
      </c>
    </row>
    <row r="655" spans="1:3" x14ac:dyDescent="0.25">
      <c r="A655" s="747">
        <v>97421</v>
      </c>
      <c r="B655" s="747" t="s">
        <v>3198</v>
      </c>
      <c r="C655" s="752">
        <v>192260.81</v>
      </c>
    </row>
    <row r="656" spans="1:3" x14ac:dyDescent="0.25">
      <c r="A656" s="747">
        <v>97423</v>
      </c>
      <c r="B656" s="747" t="s">
        <v>3199</v>
      </c>
      <c r="C656" s="752">
        <v>42975.93</v>
      </c>
    </row>
    <row r="657" spans="1:3" x14ac:dyDescent="0.25">
      <c r="A657" s="747">
        <v>97431</v>
      </c>
      <c r="B657" s="747" t="s">
        <v>3200</v>
      </c>
      <c r="C657" s="752">
        <v>44546.02</v>
      </c>
    </row>
    <row r="658" spans="1:3" x14ac:dyDescent="0.25">
      <c r="A658" s="747">
        <v>97441</v>
      </c>
      <c r="B658" s="747" t="s">
        <v>3201</v>
      </c>
      <c r="C658" s="752">
        <v>25243.599999999999</v>
      </c>
    </row>
    <row r="659" spans="1:3" x14ac:dyDescent="0.25">
      <c r="A659" s="747">
        <v>97451</v>
      </c>
      <c r="B659" s="747" t="s">
        <v>3202</v>
      </c>
      <c r="C659" s="752">
        <v>245214.42</v>
      </c>
    </row>
    <row r="660" spans="1:3" x14ac:dyDescent="0.25">
      <c r="A660" s="747">
        <v>97461</v>
      </c>
      <c r="B660" s="747" t="s">
        <v>3203</v>
      </c>
      <c r="C660" s="752">
        <v>228349.54</v>
      </c>
    </row>
    <row r="661" spans="1:3" x14ac:dyDescent="0.25">
      <c r="A661" s="747">
        <v>97463</v>
      </c>
      <c r="B661" s="747" t="s">
        <v>3204</v>
      </c>
      <c r="C661" s="752">
        <v>16311.75</v>
      </c>
    </row>
    <row r="662" spans="1:3" x14ac:dyDescent="0.25">
      <c r="A662" s="747">
        <v>97471</v>
      </c>
      <c r="B662" s="747" t="s">
        <v>3205</v>
      </c>
      <c r="C662" s="752">
        <v>10246.98</v>
      </c>
    </row>
    <row r="663" spans="1:3" x14ac:dyDescent="0.25">
      <c r="A663" s="747">
        <v>97481</v>
      </c>
      <c r="B663" s="747" t="s">
        <v>3206</v>
      </c>
      <c r="C663" s="752">
        <v>6015.34</v>
      </c>
    </row>
    <row r="664" spans="1:3" x14ac:dyDescent="0.25">
      <c r="A664" s="747">
        <v>97501</v>
      </c>
      <c r="B664" s="747" t="s">
        <v>3208</v>
      </c>
      <c r="C664" s="752">
        <v>517522.17</v>
      </c>
    </row>
    <row r="665" spans="1:3" x14ac:dyDescent="0.25">
      <c r="A665" s="747">
        <v>97511</v>
      </c>
      <c r="B665" s="747" t="s">
        <v>3209</v>
      </c>
      <c r="C665" s="752">
        <v>112043.93</v>
      </c>
    </row>
    <row r="666" spans="1:3" x14ac:dyDescent="0.25">
      <c r="A666" s="747">
        <v>97521</v>
      </c>
      <c r="B666" s="747" t="s">
        <v>3210</v>
      </c>
      <c r="C666" s="752">
        <v>56687.74</v>
      </c>
    </row>
    <row r="667" spans="1:3" x14ac:dyDescent="0.25">
      <c r="A667" s="747">
        <v>97527</v>
      </c>
      <c r="B667" s="747" t="s">
        <v>3846</v>
      </c>
      <c r="C667" s="752">
        <v>532.11</v>
      </c>
    </row>
    <row r="668" spans="1:3" x14ac:dyDescent="0.25">
      <c r="A668" s="747">
        <v>97531</v>
      </c>
      <c r="B668" s="747" t="s">
        <v>3211</v>
      </c>
      <c r="C668" s="752">
        <v>25035.19</v>
      </c>
    </row>
    <row r="669" spans="1:3" x14ac:dyDescent="0.25">
      <c r="A669" s="747">
        <v>97601</v>
      </c>
      <c r="B669" s="747" t="s">
        <v>3212</v>
      </c>
      <c r="C669" s="752">
        <v>2286999.6</v>
      </c>
    </row>
    <row r="670" spans="1:3" x14ac:dyDescent="0.25">
      <c r="A670" s="747">
        <v>97607</v>
      </c>
      <c r="B670" s="747" t="s">
        <v>3213</v>
      </c>
      <c r="C670" s="752">
        <v>17254.64</v>
      </c>
    </row>
    <row r="671" spans="1:3" x14ac:dyDescent="0.25">
      <c r="A671" s="747">
        <v>97611</v>
      </c>
      <c r="B671" s="747" t="s">
        <v>3214</v>
      </c>
      <c r="C671" s="752">
        <v>1108487.74</v>
      </c>
    </row>
    <row r="672" spans="1:3" x14ac:dyDescent="0.25">
      <c r="A672" s="747">
        <v>97613</v>
      </c>
      <c r="B672" s="747" t="s">
        <v>3215</v>
      </c>
      <c r="C672" s="752">
        <v>60156.71</v>
      </c>
    </row>
    <row r="673" spans="1:3" x14ac:dyDescent="0.25">
      <c r="A673" s="747">
        <v>97621</v>
      </c>
      <c r="B673" s="747" t="s">
        <v>3216</v>
      </c>
      <c r="C673" s="752">
        <v>179046.86</v>
      </c>
    </row>
    <row r="674" spans="1:3" x14ac:dyDescent="0.25">
      <c r="A674" s="747">
        <v>97623</v>
      </c>
      <c r="B674" s="747" t="s">
        <v>3217</v>
      </c>
      <c r="C674" s="752">
        <v>11113.43</v>
      </c>
    </row>
    <row r="675" spans="1:3" x14ac:dyDescent="0.25">
      <c r="A675" s="747">
        <v>97627</v>
      </c>
      <c r="B675" s="747" t="s">
        <v>3218</v>
      </c>
      <c r="C675" s="752">
        <v>5007.6000000000004</v>
      </c>
    </row>
    <row r="676" spans="1:3" x14ac:dyDescent="0.25">
      <c r="A676" s="747">
        <v>97631</v>
      </c>
      <c r="B676" s="747" t="s">
        <v>3219</v>
      </c>
      <c r="C676" s="752">
        <v>85999.29</v>
      </c>
    </row>
    <row r="677" spans="1:3" x14ac:dyDescent="0.25">
      <c r="A677" s="747">
        <v>97637</v>
      </c>
      <c r="B677" s="747" t="s">
        <v>3220</v>
      </c>
      <c r="C677" s="752">
        <v>3072.12</v>
      </c>
    </row>
    <row r="678" spans="1:3" x14ac:dyDescent="0.25">
      <c r="A678" s="747">
        <v>97641</v>
      </c>
      <c r="B678" s="747" t="s">
        <v>3221</v>
      </c>
      <c r="C678" s="752">
        <v>35026.46</v>
      </c>
    </row>
    <row r="679" spans="1:3" x14ac:dyDescent="0.25">
      <c r="A679" s="747">
        <v>97651</v>
      </c>
      <c r="B679" s="747" t="s">
        <v>3222</v>
      </c>
      <c r="C679" s="752">
        <v>222466.39</v>
      </c>
    </row>
    <row r="680" spans="1:3" x14ac:dyDescent="0.25">
      <c r="A680" s="747">
        <v>97661</v>
      </c>
      <c r="B680" s="747" t="s">
        <v>3223</v>
      </c>
      <c r="C680" s="752">
        <v>24365.61</v>
      </c>
    </row>
    <row r="681" spans="1:3" x14ac:dyDescent="0.25">
      <c r="A681" s="747">
        <v>97701</v>
      </c>
      <c r="B681" s="747" t="s">
        <v>3224</v>
      </c>
      <c r="C681" s="752">
        <v>1156151.48</v>
      </c>
    </row>
    <row r="682" spans="1:3" x14ac:dyDescent="0.25">
      <c r="A682" s="747">
        <v>97705</v>
      </c>
      <c r="B682" s="747" t="s">
        <v>3225</v>
      </c>
      <c r="C682" s="752">
        <v>22208.68</v>
      </c>
    </row>
    <row r="683" spans="1:3" x14ac:dyDescent="0.25">
      <c r="A683" s="747">
        <v>97711</v>
      </c>
      <c r="B683" s="747" t="s">
        <v>3226</v>
      </c>
      <c r="C683" s="752">
        <v>424323.98</v>
      </c>
    </row>
    <row r="684" spans="1:3" x14ac:dyDescent="0.25">
      <c r="A684" s="747">
        <v>97713</v>
      </c>
      <c r="B684" s="747" t="s">
        <v>3227</v>
      </c>
      <c r="C684" s="752">
        <v>17328.419999999998</v>
      </c>
    </row>
    <row r="685" spans="1:3" x14ac:dyDescent="0.25">
      <c r="A685" s="747">
        <v>97717</v>
      </c>
      <c r="B685" s="747" t="s">
        <v>3228</v>
      </c>
      <c r="C685" s="752">
        <v>2478.17</v>
      </c>
    </row>
    <row r="686" spans="1:3" x14ac:dyDescent="0.25">
      <c r="A686" s="747">
        <v>97721</v>
      </c>
      <c r="B686" s="747" t="s">
        <v>3229</v>
      </c>
      <c r="C686" s="752">
        <v>255784.58</v>
      </c>
    </row>
    <row r="687" spans="1:3" x14ac:dyDescent="0.25">
      <c r="A687" s="747">
        <v>97727</v>
      </c>
      <c r="B687" s="747" t="s">
        <v>3230</v>
      </c>
      <c r="C687" s="752">
        <v>10991.85</v>
      </c>
    </row>
    <row r="688" spans="1:3" x14ac:dyDescent="0.25">
      <c r="A688" s="747">
        <v>97731</v>
      </c>
      <c r="B688" s="747" t="s">
        <v>3231</v>
      </c>
      <c r="C688" s="752">
        <v>18459.8</v>
      </c>
    </row>
    <row r="689" spans="1:3" x14ac:dyDescent="0.25">
      <c r="A689" s="747">
        <v>97801</v>
      </c>
      <c r="B689" s="747" t="s">
        <v>3560</v>
      </c>
      <c r="C689" s="752">
        <v>3179608.48</v>
      </c>
    </row>
    <row r="690" spans="1:3" x14ac:dyDescent="0.25">
      <c r="A690" s="747">
        <v>97802</v>
      </c>
      <c r="B690" s="747" t="s">
        <v>3233</v>
      </c>
      <c r="C690" s="752">
        <v>76715.05</v>
      </c>
    </row>
    <row r="691" spans="1:3" x14ac:dyDescent="0.25">
      <c r="A691" s="747">
        <v>97803</v>
      </c>
      <c r="B691" s="747" t="s">
        <v>3234</v>
      </c>
      <c r="C691" s="752">
        <v>38230.68</v>
      </c>
    </row>
    <row r="692" spans="1:3" x14ac:dyDescent="0.25">
      <c r="A692" s="747">
        <v>97805</v>
      </c>
      <c r="B692" s="747" t="s">
        <v>3235</v>
      </c>
      <c r="C692" s="752">
        <v>39470.879999999997</v>
      </c>
    </row>
    <row r="693" spans="1:3" x14ac:dyDescent="0.25">
      <c r="A693" s="747">
        <v>97811</v>
      </c>
      <c r="B693" s="747" t="s">
        <v>3236</v>
      </c>
      <c r="C693" s="752">
        <v>1101269.8</v>
      </c>
    </row>
    <row r="694" spans="1:3" x14ac:dyDescent="0.25">
      <c r="A694" s="747">
        <v>97817</v>
      </c>
      <c r="B694" s="747" t="s">
        <v>3237</v>
      </c>
      <c r="C694" s="752">
        <v>14126.6</v>
      </c>
    </row>
    <row r="695" spans="1:3" x14ac:dyDescent="0.25">
      <c r="A695" s="747">
        <v>97818</v>
      </c>
      <c r="B695" s="747" t="s">
        <v>3238</v>
      </c>
      <c r="C695" s="752">
        <v>9809.0300000000007</v>
      </c>
    </row>
    <row r="696" spans="1:3" x14ac:dyDescent="0.25">
      <c r="A696" s="747">
        <v>97821</v>
      </c>
      <c r="B696" s="747" t="s">
        <v>3239</v>
      </c>
      <c r="C696" s="752">
        <v>61404.09</v>
      </c>
    </row>
    <row r="697" spans="1:3" x14ac:dyDescent="0.25">
      <c r="A697" s="747">
        <v>97823</v>
      </c>
      <c r="B697" s="747" t="s">
        <v>3240</v>
      </c>
      <c r="C697" s="752">
        <v>13091.51</v>
      </c>
    </row>
    <row r="698" spans="1:3" x14ac:dyDescent="0.25">
      <c r="A698" s="747">
        <v>97831</v>
      </c>
      <c r="B698" s="747" t="s">
        <v>3241</v>
      </c>
      <c r="C698" s="752">
        <v>78812.62</v>
      </c>
    </row>
    <row r="699" spans="1:3" x14ac:dyDescent="0.25">
      <c r="A699" s="747">
        <v>97837</v>
      </c>
      <c r="B699" s="747" t="s">
        <v>3242</v>
      </c>
      <c r="C699" s="752">
        <v>6053.01</v>
      </c>
    </row>
    <row r="700" spans="1:3" x14ac:dyDescent="0.25">
      <c r="A700" s="747">
        <v>97840</v>
      </c>
      <c r="B700" s="747" t="s">
        <v>3243</v>
      </c>
      <c r="C700" s="752">
        <v>107784.16</v>
      </c>
    </row>
    <row r="701" spans="1:3" x14ac:dyDescent="0.25">
      <c r="A701" s="747">
        <v>97841</v>
      </c>
      <c r="B701" s="747" t="s">
        <v>3244</v>
      </c>
      <c r="C701" s="752">
        <v>6425.33</v>
      </c>
    </row>
    <row r="702" spans="1:3" x14ac:dyDescent="0.25">
      <c r="A702" s="747">
        <v>97847</v>
      </c>
      <c r="B702" s="747" t="s">
        <v>3245</v>
      </c>
      <c r="C702" s="752">
        <v>2258.88</v>
      </c>
    </row>
    <row r="703" spans="1:3" x14ac:dyDescent="0.25">
      <c r="A703" s="747">
        <v>97851</v>
      </c>
      <c r="B703" s="747" t="s">
        <v>3246</v>
      </c>
      <c r="C703" s="752">
        <v>116408.28</v>
      </c>
    </row>
    <row r="704" spans="1:3" x14ac:dyDescent="0.25">
      <c r="A704" s="747">
        <v>97853</v>
      </c>
      <c r="B704" s="747" t="s">
        <v>3247</v>
      </c>
      <c r="C704" s="752">
        <v>44042.97</v>
      </c>
    </row>
    <row r="705" spans="1:3" x14ac:dyDescent="0.25">
      <c r="A705" s="747">
        <v>97861</v>
      </c>
      <c r="B705" s="747" t="s">
        <v>3248</v>
      </c>
      <c r="C705" s="752">
        <v>27517.03</v>
      </c>
    </row>
    <row r="706" spans="1:3" x14ac:dyDescent="0.25">
      <c r="A706" s="747">
        <v>97871</v>
      </c>
      <c r="B706" s="747" t="s">
        <v>3249</v>
      </c>
      <c r="C706" s="752">
        <v>273653.90000000002</v>
      </c>
    </row>
    <row r="707" spans="1:3" x14ac:dyDescent="0.25">
      <c r="A707" s="747">
        <v>97877</v>
      </c>
      <c r="B707" s="747" t="s">
        <v>3250</v>
      </c>
      <c r="C707" s="752">
        <v>2104.1</v>
      </c>
    </row>
    <row r="708" spans="1:3" x14ac:dyDescent="0.25">
      <c r="A708" s="747">
        <v>97901</v>
      </c>
      <c r="B708" s="747" t="s">
        <v>3251</v>
      </c>
      <c r="C708" s="752">
        <v>2091023.45</v>
      </c>
    </row>
    <row r="709" spans="1:3" x14ac:dyDescent="0.25">
      <c r="A709" s="747">
        <v>97911</v>
      </c>
      <c r="B709" s="747" t="s">
        <v>3252</v>
      </c>
      <c r="C709" s="752">
        <v>613264.98</v>
      </c>
    </row>
    <row r="710" spans="1:3" x14ac:dyDescent="0.25">
      <c r="A710" s="747">
        <v>97913</v>
      </c>
      <c r="B710" s="747" t="s">
        <v>3253</v>
      </c>
      <c r="C710" s="752">
        <v>27559.27</v>
      </c>
    </row>
    <row r="711" spans="1:3" x14ac:dyDescent="0.25">
      <c r="A711" s="747">
        <v>97917</v>
      </c>
      <c r="B711" s="747" t="s">
        <v>3254</v>
      </c>
      <c r="C711" s="752">
        <v>13418.63</v>
      </c>
    </row>
    <row r="712" spans="1:3" x14ac:dyDescent="0.25">
      <c r="A712" s="747">
        <v>97921</v>
      </c>
      <c r="B712" s="747" t="s">
        <v>3255</v>
      </c>
      <c r="C712" s="752">
        <v>103162.98</v>
      </c>
    </row>
    <row r="713" spans="1:3" x14ac:dyDescent="0.25">
      <c r="A713" s="747">
        <v>97931</v>
      </c>
      <c r="B713" s="747" t="s">
        <v>3256</v>
      </c>
      <c r="C713" s="752">
        <v>31939.19</v>
      </c>
    </row>
    <row r="714" spans="1:3" x14ac:dyDescent="0.25">
      <c r="A714" s="747">
        <v>97941</v>
      </c>
      <c r="B714" s="747" t="s">
        <v>3257</v>
      </c>
      <c r="C714" s="752">
        <v>106969.88</v>
      </c>
    </row>
    <row r="715" spans="1:3" x14ac:dyDescent="0.25">
      <c r="A715" s="747">
        <v>97947</v>
      </c>
      <c r="B715" s="747" t="s">
        <v>3258</v>
      </c>
      <c r="C715" s="752">
        <v>11470.6</v>
      </c>
    </row>
    <row r="716" spans="1:3" x14ac:dyDescent="0.25">
      <c r="A716" s="747">
        <v>97948</v>
      </c>
      <c r="B716" s="747" t="s">
        <v>3259</v>
      </c>
      <c r="C716" s="752">
        <v>10840.35</v>
      </c>
    </row>
    <row r="717" spans="1:3" x14ac:dyDescent="0.25">
      <c r="A717" s="747">
        <v>97951</v>
      </c>
      <c r="B717" s="747" t="s">
        <v>3260</v>
      </c>
      <c r="C717" s="752">
        <v>597832.21</v>
      </c>
    </row>
    <row r="718" spans="1:3" x14ac:dyDescent="0.25">
      <c r="A718" s="747">
        <v>97957</v>
      </c>
      <c r="B718" s="747" t="s">
        <v>3261</v>
      </c>
      <c r="C718" s="752">
        <v>12857.2</v>
      </c>
    </row>
    <row r="719" spans="1:3" x14ac:dyDescent="0.25">
      <c r="A719" s="747">
        <v>98001</v>
      </c>
      <c r="B719" s="747" t="s">
        <v>3262</v>
      </c>
      <c r="C719" s="752">
        <v>2367016.2000000002</v>
      </c>
    </row>
    <row r="720" spans="1:3" x14ac:dyDescent="0.25">
      <c r="A720" s="747">
        <v>98002</v>
      </c>
      <c r="B720" s="747" t="s">
        <v>3263</v>
      </c>
      <c r="C720" s="752">
        <v>4125.92</v>
      </c>
    </row>
    <row r="721" spans="1:3" x14ac:dyDescent="0.25">
      <c r="A721" s="747">
        <v>98003</v>
      </c>
      <c r="B721" s="747" t="s">
        <v>3264</v>
      </c>
      <c r="C721" s="752">
        <v>70273.84</v>
      </c>
    </row>
    <row r="722" spans="1:3" x14ac:dyDescent="0.25">
      <c r="A722" s="747">
        <v>98004</v>
      </c>
      <c r="B722" s="747" t="s">
        <v>3265</v>
      </c>
      <c r="C722" s="752">
        <v>78049.56</v>
      </c>
    </row>
    <row r="723" spans="1:3" x14ac:dyDescent="0.25">
      <c r="A723" s="747">
        <v>98008</v>
      </c>
      <c r="B723" s="747" t="s">
        <v>3266</v>
      </c>
      <c r="C723" s="752">
        <v>3536.66</v>
      </c>
    </row>
    <row r="724" spans="1:3" x14ac:dyDescent="0.25">
      <c r="A724" s="747">
        <v>98011</v>
      </c>
      <c r="B724" s="747" t="s">
        <v>3267</v>
      </c>
      <c r="C724" s="752">
        <v>1430081.86</v>
      </c>
    </row>
    <row r="725" spans="1:3" x14ac:dyDescent="0.25">
      <c r="A725" s="747">
        <v>98013</v>
      </c>
      <c r="B725" s="747" t="s">
        <v>3268</v>
      </c>
      <c r="C725" s="752">
        <v>138520.69</v>
      </c>
    </row>
    <row r="726" spans="1:3" x14ac:dyDescent="0.25">
      <c r="A726" s="747">
        <v>98021</v>
      </c>
      <c r="B726" s="747" t="s">
        <v>3269</v>
      </c>
      <c r="C726" s="752">
        <v>28536.18</v>
      </c>
    </row>
    <row r="727" spans="1:3" x14ac:dyDescent="0.25">
      <c r="A727" s="747">
        <v>98023</v>
      </c>
      <c r="B727" s="747" t="s">
        <v>3270</v>
      </c>
      <c r="C727" s="752">
        <v>6869.39</v>
      </c>
    </row>
    <row r="728" spans="1:3" x14ac:dyDescent="0.25">
      <c r="A728" s="747">
        <v>98031</v>
      </c>
      <c r="B728" s="747" t="s">
        <v>3271</v>
      </c>
      <c r="C728" s="752">
        <v>67740.09</v>
      </c>
    </row>
    <row r="729" spans="1:3" x14ac:dyDescent="0.25">
      <c r="A729" s="747">
        <v>98041</v>
      </c>
      <c r="B729" s="747" t="s">
        <v>3272</v>
      </c>
      <c r="C729" s="752">
        <v>80473.600000000006</v>
      </c>
    </row>
    <row r="730" spans="1:3" x14ac:dyDescent="0.25">
      <c r="A730" s="747">
        <v>98051</v>
      </c>
      <c r="B730" s="747" t="s">
        <v>3273</v>
      </c>
      <c r="C730" s="752">
        <v>136144.79</v>
      </c>
    </row>
    <row r="731" spans="1:3" x14ac:dyDescent="0.25">
      <c r="A731" s="747">
        <v>98061</v>
      </c>
      <c r="B731" s="747" t="s">
        <v>3274</v>
      </c>
      <c r="C731" s="752">
        <v>47389.56</v>
      </c>
    </row>
    <row r="732" spans="1:3" x14ac:dyDescent="0.25">
      <c r="A732" s="747">
        <v>98071</v>
      </c>
      <c r="B732" s="747" t="s">
        <v>3275</v>
      </c>
      <c r="C732" s="752">
        <v>28232.94</v>
      </c>
    </row>
    <row r="733" spans="1:3" x14ac:dyDescent="0.25">
      <c r="A733" s="747">
        <v>98081</v>
      </c>
      <c r="B733" s="747" t="s">
        <v>3276</v>
      </c>
      <c r="C733" s="752">
        <v>7556.32</v>
      </c>
    </row>
    <row r="734" spans="1:3" x14ac:dyDescent="0.25">
      <c r="A734" s="747">
        <v>98091</v>
      </c>
      <c r="B734" s="747" t="s">
        <v>3277</v>
      </c>
      <c r="C734" s="752">
        <v>25240.61</v>
      </c>
    </row>
    <row r="735" spans="1:3" x14ac:dyDescent="0.25">
      <c r="A735" s="747">
        <v>98101</v>
      </c>
      <c r="B735" s="747" t="s">
        <v>3278</v>
      </c>
      <c r="C735" s="752">
        <v>1210233.97</v>
      </c>
    </row>
    <row r="736" spans="1:3" x14ac:dyDescent="0.25">
      <c r="A736" s="747">
        <v>98102</v>
      </c>
      <c r="B736" s="747" t="s">
        <v>3279</v>
      </c>
      <c r="C736" s="752">
        <v>71621.289999999994</v>
      </c>
    </row>
    <row r="737" spans="1:3" x14ac:dyDescent="0.25">
      <c r="A737" s="747">
        <v>98103</v>
      </c>
      <c r="B737" s="747" t="s">
        <v>3280</v>
      </c>
      <c r="C737" s="752">
        <v>255161.38</v>
      </c>
    </row>
    <row r="738" spans="1:3" x14ac:dyDescent="0.25">
      <c r="A738" s="747">
        <v>98107</v>
      </c>
      <c r="B738" s="747" t="s">
        <v>3281</v>
      </c>
      <c r="C738" s="752">
        <v>9241.77</v>
      </c>
    </row>
    <row r="739" spans="1:3" x14ac:dyDescent="0.25">
      <c r="A739" s="747">
        <v>98109</v>
      </c>
      <c r="B739" s="747" t="s">
        <v>3282</v>
      </c>
      <c r="C739" s="752">
        <v>76015.77</v>
      </c>
    </row>
    <row r="740" spans="1:3" x14ac:dyDescent="0.25">
      <c r="A740" s="747">
        <v>98111</v>
      </c>
      <c r="B740" s="747" t="s">
        <v>3283</v>
      </c>
      <c r="C740" s="752">
        <v>432530.07</v>
      </c>
    </row>
    <row r="741" spans="1:3" x14ac:dyDescent="0.25">
      <c r="A741" s="747">
        <v>98113</v>
      </c>
      <c r="B741" s="747" t="s">
        <v>3284</v>
      </c>
      <c r="C741" s="752">
        <v>23491.62</v>
      </c>
    </row>
    <row r="742" spans="1:3" x14ac:dyDescent="0.25">
      <c r="A742" s="747">
        <v>98121</v>
      </c>
      <c r="B742" s="747" t="s">
        <v>3285</v>
      </c>
      <c r="C742" s="752">
        <v>89370.18</v>
      </c>
    </row>
    <row r="743" spans="1:3" x14ac:dyDescent="0.25">
      <c r="A743" s="747">
        <v>98131</v>
      </c>
      <c r="B743" s="747" t="s">
        <v>3286</v>
      </c>
      <c r="C743" s="752">
        <v>119696.65</v>
      </c>
    </row>
    <row r="744" spans="1:3" x14ac:dyDescent="0.25">
      <c r="A744" s="747">
        <v>98141</v>
      </c>
      <c r="B744" s="747" t="s">
        <v>3287</v>
      </c>
      <c r="C744" s="752">
        <v>133558.14000000001</v>
      </c>
    </row>
    <row r="745" spans="1:3" x14ac:dyDescent="0.25">
      <c r="A745" s="747">
        <v>98147</v>
      </c>
      <c r="B745" s="747" t="s">
        <v>3288</v>
      </c>
      <c r="C745" s="752">
        <v>9893.14</v>
      </c>
    </row>
    <row r="746" spans="1:3" x14ac:dyDescent="0.25">
      <c r="A746" s="747">
        <v>98161</v>
      </c>
      <c r="B746" s="747" t="s">
        <v>3289</v>
      </c>
      <c r="C746" s="752">
        <v>5046.24</v>
      </c>
    </row>
    <row r="747" spans="1:3" x14ac:dyDescent="0.25">
      <c r="A747" s="747">
        <v>98201</v>
      </c>
      <c r="B747" s="747" t="s">
        <v>3290</v>
      </c>
      <c r="C747" s="752">
        <v>1424603.84</v>
      </c>
    </row>
    <row r="748" spans="1:3" x14ac:dyDescent="0.25">
      <c r="A748" s="747">
        <v>98205</v>
      </c>
      <c r="B748" s="747" t="s">
        <v>3291</v>
      </c>
      <c r="C748" s="752">
        <v>23504.78</v>
      </c>
    </row>
    <row r="749" spans="1:3" x14ac:dyDescent="0.25">
      <c r="A749" s="747">
        <v>98211</v>
      </c>
      <c r="B749" s="747" t="s">
        <v>3292</v>
      </c>
      <c r="C749" s="752">
        <v>365217.98</v>
      </c>
    </row>
    <row r="750" spans="1:3" x14ac:dyDescent="0.25">
      <c r="A750" s="747">
        <v>98218</v>
      </c>
      <c r="B750" s="747" t="s">
        <v>3293</v>
      </c>
      <c r="C750" s="752">
        <v>5829.3</v>
      </c>
    </row>
    <row r="751" spans="1:3" x14ac:dyDescent="0.25">
      <c r="A751" s="747">
        <v>98221</v>
      </c>
      <c r="B751" s="747" t="s">
        <v>3294</v>
      </c>
      <c r="C751" s="752">
        <v>9739.18</v>
      </c>
    </row>
    <row r="752" spans="1:3" x14ac:dyDescent="0.25">
      <c r="A752" s="747">
        <v>98231</v>
      </c>
      <c r="B752" s="747" t="s">
        <v>3295</v>
      </c>
      <c r="C752" s="752">
        <v>11487.39</v>
      </c>
    </row>
    <row r="753" spans="1:3" x14ac:dyDescent="0.25">
      <c r="A753" s="747">
        <v>98237</v>
      </c>
      <c r="B753" s="747" t="s">
        <v>3296</v>
      </c>
      <c r="C753" s="752">
        <v>4384.58</v>
      </c>
    </row>
    <row r="754" spans="1:3" x14ac:dyDescent="0.25">
      <c r="A754" s="747">
        <v>98241</v>
      </c>
      <c r="B754" s="747" t="s">
        <v>3297</v>
      </c>
      <c r="C754" s="752">
        <v>8387.8799999999992</v>
      </c>
    </row>
    <row r="755" spans="1:3" x14ac:dyDescent="0.25">
      <c r="A755" s="747">
        <v>98251</v>
      </c>
      <c r="B755" s="747" t="s">
        <v>3298</v>
      </c>
      <c r="C755" s="752">
        <v>2206.39</v>
      </c>
    </row>
    <row r="756" spans="1:3" x14ac:dyDescent="0.25">
      <c r="A756" s="747">
        <v>98261</v>
      </c>
      <c r="B756" s="747" t="s">
        <v>3299</v>
      </c>
      <c r="C756" s="752">
        <v>16864.509999999998</v>
      </c>
    </row>
    <row r="757" spans="1:3" x14ac:dyDescent="0.25">
      <c r="A757" s="747">
        <v>98271</v>
      </c>
      <c r="B757" s="747" t="s">
        <v>3300</v>
      </c>
      <c r="C757" s="752">
        <v>2676.11</v>
      </c>
    </row>
    <row r="758" spans="1:3" x14ac:dyDescent="0.25">
      <c r="A758" s="747">
        <v>98301</v>
      </c>
      <c r="B758" s="747" t="s">
        <v>3301</v>
      </c>
      <c r="C758" s="752">
        <v>825877.52</v>
      </c>
    </row>
    <row r="759" spans="1:3" x14ac:dyDescent="0.25">
      <c r="A759" s="747">
        <v>98304</v>
      </c>
      <c r="B759" s="747" t="s">
        <v>3302</v>
      </c>
      <c r="C759" s="752">
        <v>12751.15</v>
      </c>
    </row>
    <row r="760" spans="1:3" x14ac:dyDescent="0.25">
      <c r="A760" s="747">
        <v>98308</v>
      </c>
      <c r="B760" s="747" t="s">
        <v>3303</v>
      </c>
      <c r="C760" s="752">
        <v>15362.64</v>
      </c>
    </row>
    <row r="761" spans="1:3" x14ac:dyDescent="0.25">
      <c r="A761" s="747">
        <v>98311</v>
      </c>
      <c r="B761" s="747" t="s">
        <v>3304</v>
      </c>
      <c r="C761" s="752">
        <v>462216.84</v>
      </c>
    </row>
    <row r="762" spans="1:3" x14ac:dyDescent="0.25">
      <c r="A762" s="747">
        <v>98313</v>
      </c>
      <c r="B762" s="747" t="s">
        <v>3305</v>
      </c>
      <c r="C762" s="752">
        <v>259158.18</v>
      </c>
    </row>
    <row r="763" spans="1:3" x14ac:dyDescent="0.25">
      <c r="A763" s="747">
        <v>98321</v>
      </c>
      <c r="B763" s="747" t="s">
        <v>3306</v>
      </c>
      <c r="C763" s="752">
        <v>10270.049999999999</v>
      </c>
    </row>
    <row r="764" spans="1:3" x14ac:dyDescent="0.25">
      <c r="A764" s="747">
        <v>98331</v>
      </c>
      <c r="B764" s="747" t="s">
        <v>3307</v>
      </c>
      <c r="C764" s="752">
        <v>6280.7</v>
      </c>
    </row>
    <row r="765" spans="1:3" x14ac:dyDescent="0.25">
      <c r="A765" s="747">
        <v>98401</v>
      </c>
      <c r="B765" s="747" t="s">
        <v>3308</v>
      </c>
      <c r="C765" s="752">
        <v>1399311.01</v>
      </c>
    </row>
    <row r="766" spans="1:3" x14ac:dyDescent="0.25">
      <c r="A766" s="747">
        <v>98404</v>
      </c>
      <c r="B766" s="747" t="s">
        <v>3561</v>
      </c>
      <c r="C766" s="752">
        <v>5851.81</v>
      </c>
    </row>
    <row r="767" spans="1:3" x14ac:dyDescent="0.25">
      <c r="A767" s="747">
        <v>98411</v>
      </c>
      <c r="B767" s="747" t="s">
        <v>3309</v>
      </c>
      <c r="C767" s="752">
        <v>869963.94</v>
      </c>
    </row>
    <row r="768" spans="1:3" x14ac:dyDescent="0.25">
      <c r="A768" s="747">
        <v>98414</v>
      </c>
      <c r="B768" s="747" t="s">
        <v>2548</v>
      </c>
      <c r="C768" s="752">
        <v>7367.21</v>
      </c>
    </row>
    <row r="769" spans="1:3" x14ac:dyDescent="0.25">
      <c r="A769" s="747">
        <v>98417</v>
      </c>
      <c r="B769" s="747" t="s">
        <v>3310</v>
      </c>
      <c r="C769" s="752">
        <v>14125.46</v>
      </c>
    </row>
    <row r="770" spans="1:3" x14ac:dyDescent="0.25">
      <c r="A770" s="747">
        <v>98421</v>
      </c>
      <c r="B770" s="747" t="s">
        <v>3311</v>
      </c>
      <c r="C770" s="752">
        <v>44395.67</v>
      </c>
    </row>
    <row r="771" spans="1:3" x14ac:dyDescent="0.25">
      <c r="A771" s="747">
        <v>98427</v>
      </c>
      <c r="B771" s="747" t="s">
        <v>3312</v>
      </c>
      <c r="C771" s="752">
        <v>3231.11</v>
      </c>
    </row>
    <row r="772" spans="1:3" x14ac:dyDescent="0.25">
      <c r="A772" s="747">
        <v>98431</v>
      </c>
      <c r="B772" s="747" t="s">
        <v>3313</v>
      </c>
      <c r="C772" s="752">
        <v>78481.45</v>
      </c>
    </row>
    <row r="773" spans="1:3" x14ac:dyDescent="0.25">
      <c r="A773" s="747">
        <v>98441</v>
      </c>
      <c r="B773" s="747" t="s">
        <v>3314</v>
      </c>
      <c r="C773" s="752">
        <v>35571.949999999997</v>
      </c>
    </row>
    <row r="774" spans="1:3" x14ac:dyDescent="0.25">
      <c r="A774" s="747">
        <v>98451</v>
      </c>
      <c r="B774" s="747" t="s">
        <v>3315</v>
      </c>
      <c r="C774" s="752">
        <v>26131.94</v>
      </c>
    </row>
    <row r="775" spans="1:3" x14ac:dyDescent="0.25">
      <c r="A775" s="747">
        <v>98471</v>
      </c>
      <c r="B775" s="747" t="s">
        <v>3847</v>
      </c>
      <c r="C775" s="752">
        <v>1832.31</v>
      </c>
    </row>
    <row r="776" spans="1:3" x14ac:dyDescent="0.25">
      <c r="A776" s="747">
        <v>98481</v>
      </c>
      <c r="B776" s="747" t="s">
        <v>3316</v>
      </c>
      <c r="C776" s="752">
        <v>27197.51</v>
      </c>
    </row>
    <row r="777" spans="1:3" x14ac:dyDescent="0.25">
      <c r="A777" s="747">
        <v>98501</v>
      </c>
      <c r="B777" s="747" t="s">
        <v>3317</v>
      </c>
      <c r="C777" s="752">
        <v>760833.22</v>
      </c>
    </row>
    <row r="778" spans="1:3" x14ac:dyDescent="0.25">
      <c r="A778" s="747">
        <v>98511</v>
      </c>
      <c r="B778" s="747" t="s">
        <v>3318</v>
      </c>
      <c r="C778" s="752">
        <v>23435.01</v>
      </c>
    </row>
    <row r="779" spans="1:3" x14ac:dyDescent="0.25">
      <c r="A779" s="747">
        <v>98517</v>
      </c>
      <c r="B779" s="747" t="s">
        <v>3319</v>
      </c>
      <c r="C779" s="752">
        <v>2484.08</v>
      </c>
    </row>
    <row r="780" spans="1:3" x14ac:dyDescent="0.25">
      <c r="A780" s="747">
        <v>98521</v>
      </c>
      <c r="B780" s="747" t="s">
        <v>3320</v>
      </c>
      <c r="C780" s="752">
        <v>270882.26</v>
      </c>
    </row>
    <row r="781" spans="1:3" x14ac:dyDescent="0.25">
      <c r="A781" s="747">
        <v>98601</v>
      </c>
      <c r="B781" s="747" t="s">
        <v>3321</v>
      </c>
      <c r="C781" s="752">
        <v>1494584.1</v>
      </c>
    </row>
    <row r="782" spans="1:3" x14ac:dyDescent="0.25">
      <c r="A782" s="747">
        <v>98604</v>
      </c>
      <c r="B782" s="747" t="s">
        <v>3322</v>
      </c>
      <c r="C782" s="752">
        <v>7587.6</v>
      </c>
    </row>
    <row r="783" spans="1:3" x14ac:dyDescent="0.25">
      <c r="A783" s="747">
        <v>98607</v>
      </c>
      <c r="B783" s="747" t="s">
        <v>3323</v>
      </c>
      <c r="C783" s="752">
        <v>2774.21</v>
      </c>
    </row>
    <row r="784" spans="1:3" x14ac:dyDescent="0.25">
      <c r="A784" s="747">
        <v>98608</v>
      </c>
      <c r="B784" s="747" t="s">
        <v>3324</v>
      </c>
      <c r="C784" s="752">
        <v>20059.189999999999</v>
      </c>
    </row>
    <row r="785" spans="1:3" x14ac:dyDescent="0.25">
      <c r="A785" s="747">
        <v>98611</v>
      </c>
      <c r="B785" s="747" t="s">
        <v>3325</v>
      </c>
      <c r="C785" s="752">
        <v>49930.89</v>
      </c>
    </row>
    <row r="786" spans="1:3" x14ac:dyDescent="0.25">
      <c r="A786" s="747">
        <v>98621</v>
      </c>
      <c r="B786" s="747" t="s">
        <v>3326</v>
      </c>
      <c r="C786" s="752">
        <v>55891.29</v>
      </c>
    </row>
    <row r="787" spans="1:3" x14ac:dyDescent="0.25">
      <c r="A787" s="747">
        <v>98627</v>
      </c>
      <c r="B787" s="747" t="s">
        <v>3327</v>
      </c>
      <c r="C787" s="752">
        <v>3353.93</v>
      </c>
    </row>
    <row r="788" spans="1:3" x14ac:dyDescent="0.25">
      <c r="A788" s="747">
        <v>98631</v>
      </c>
      <c r="B788" s="747" t="s">
        <v>3328</v>
      </c>
      <c r="C788" s="752">
        <v>466622.49</v>
      </c>
    </row>
    <row r="789" spans="1:3" x14ac:dyDescent="0.25">
      <c r="A789" s="747">
        <v>98637</v>
      </c>
      <c r="B789" s="747" t="s">
        <v>3329</v>
      </c>
      <c r="C789" s="752">
        <v>15729.22</v>
      </c>
    </row>
    <row r="790" spans="1:3" x14ac:dyDescent="0.25">
      <c r="A790" s="747">
        <v>98641</v>
      </c>
      <c r="B790" s="747" t="s">
        <v>3330</v>
      </c>
      <c r="C790" s="752">
        <v>140670.06</v>
      </c>
    </row>
    <row r="791" spans="1:3" x14ac:dyDescent="0.25">
      <c r="A791" s="747">
        <v>98701</v>
      </c>
      <c r="B791" s="747" t="s">
        <v>3332</v>
      </c>
      <c r="C791" s="752">
        <v>514112.93</v>
      </c>
    </row>
    <row r="792" spans="1:3" x14ac:dyDescent="0.25">
      <c r="A792" s="747">
        <v>98711</v>
      </c>
      <c r="B792" s="747" t="s">
        <v>3333</v>
      </c>
      <c r="C792" s="752">
        <v>70342.11</v>
      </c>
    </row>
    <row r="793" spans="1:3" x14ac:dyDescent="0.25">
      <c r="A793" s="747">
        <v>98717</v>
      </c>
      <c r="B793" s="747" t="s">
        <v>3334</v>
      </c>
      <c r="C793" s="752">
        <v>8758.7199999999993</v>
      </c>
    </row>
    <row r="794" spans="1:3" x14ac:dyDescent="0.25">
      <c r="A794" s="747">
        <v>98801</v>
      </c>
      <c r="B794" s="747" t="s">
        <v>3335</v>
      </c>
      <c r="C794" s="752">
        <v>1067051.19</v>
      </c>
    </row>
    <row r="795" spans="1:3" x14ac:dyDescent="0.25">
      <c r="A795" s="747">
        <v>98811</v>
      </c>
      <c r="B795" s="747" t="s">
        <v>3336</v>
      </c>
      <c r="C795" s="752">
        <v>323262.17</v>
      </c>
    </row>
    <row r="796" spans="1:3" x14ac:dyDescent="0.25">
      <c r="A796" s="747">
        <v>98817</v>
      </c>
      <c r="B796" s="747" t="s">
        <v>3337</v>
      </c>
      <c r="C796" s="752">
        <v>14663.34</v>
      </c>
    </row>
    <row r="797" spans="1:3" x14ac:dyDescent="0.25">
      <c r="A797" s="747">
        <v>98901</v>
      </c>
      <c r="B797" s="747" t="s">
        <v>3338</v>
      </c>
      <c r="C797" s="752">
        <v>159126.35</v>
      </c>
    </row>
    <row r="798" spans="1:3" x14ac:dyDescent="0.25">
      <c r="A798" s="747">
        <v>98904</v>
      </c>
      <c r="B798" s="747" t="s">
        <v>3339</v>
      </c>
      <c r="C798" s="752">
        <v>1607.95</v>
      </c>
    </row>
    <row r="799" spans="1:3" x14ac:dyDescent="0.25">
      <c r="A799" s="747">
        <v>98911</v>
      </c>
      <c r="B799" s="747" t="s">
        <v>3340</v>
      </c>
      <c r="C799" s="752">
        <v>17944.88</v>
      </c>
    </row>
    <row r="800" spans="1:3" x14ac:dyDescent="0.25">
      <c r="A800" s="747">
        <v>99001</v>
      </c>
      <c r="B800" s="747" t="s">
        <v>3341</v>
      </c>
      <c r="C800" s="752">
        <v>3574722.49</v>
      </c>
    </row>
    <row r="801" spans="1:3" x14ac:dyDescent="0.25">
      <c r="A801" s="747">
        <v>99011</v>
      </c>
      <c r="B801" s="747" t="s">
        <v>3342</v>
      </c>
      <c r="C801" s="752">
        <v>1767796.68</v>
      </c>
    </row>
    <row r="802" spans="1:3" x14ac:dyDescent="0.25">
      <c r="A802" s="747">
        <v>99013</v>
      </c>
      <c r="B802" s="747" t="s">
        <v>3343</v>
      </c>
      <c r="C802" s="752">
        <v>27132.69</v>
      </c>
    </row>
    <row r="803" spans="1:3" x14ac:dyDescent="0.25">
      <c r="A803" s="747">
        <v>99014</v>
      </c>
      <c r="B803" s="747" t="s">
        <v>3344</v>
      </c>
      <c r="C803" s="752">
        <v>13999.21</v>
      </c>
    </row>
    <row r="804" spans="1:3" x14ac:dyDescent="0.25">
      <c r="A804" s="747">
        <v>99017</v>
      </c>
      <c r="B804" s="747" t="s">
        <v>3345</v>
      </c>
      <c r="C804" s="752">
        <v>25055.15</v>
      </c>
    </row>
    <row r="805" spans="1:3" x14ac:dyDescent="0.25">
      <c r="A805" s="747">
        <v>99021</v>
      </c>
      <c r="B805" s="747" t="s">
        <v>3346</v>
      </c>
      <c r="C805" s="752">
        <v>64601.440000000002</v>
      </c>
    </row>
    <row r="806" spans="1:3" x14ac:dyDescent="0.25">
      <c r="A806" s="747">
        <v>99022</v>
      </c>
      <c r="B806" s="747" t="s">
        <v>1945</v>
      </c>
      <c r="C806" s="752">
        <v>11386.44</v>
      </c>
    </row>
    <row r="807" spans="1:3" x14ac:dyDescent="0.25">
      <c r="A807" s="747">
        <v>99031</v>
      </c>
      <c r="B807" s="747" t="s">
        <v>3347</v>
      </c>
      <c r="C807" s="752">
        <v>59832.480000000003</v>
      </c>
    </row>
    <row r="808" spans="1:3" x14ac:dyDescent="0.25">
      <c r="A808" s="747">
        <v>99041</v>
      </c>
      <c r="B808" s="747" t="s">
        <v>3348</v>
      </c>
      <c r="C808" s="752">
        <v>254000.11</v>
      </c>
    </row>
    <row r="809" spans="1:3" x14ac:dyDescent="0.25">
      <c r="A809" s="747">
        <v>99047</v>
      </c>
      <c r="B809" s="747" t="s">
        <v>3349</v>
      </c>
      <c r="C809" s="752">
        <v>7761.09</v>
      </c>
    </row>
    <row r="810" spans="1:3" x14ac:dyDescent="0.25">
      <c r="A810" s="747">
        <v>99051</v>
      </c>
      <c r="B810" s="747" t="s">
        <v>3350</v>
      </c>
      <c r="C810" s="752">
        <v>142316.85999999999</v>
      </c>
    </row>
    <row r="811" spans="1:3" x14ac:dyDescent="0.25">
      <c r="A811" s="747">
        <v>99061</v>
      </c>
      <c r="B811" s="747" t="s">
        <v>3351</v>
      </c>
      <c r="C811" s="752">
        <v>7897.37</v>
      </c>
    </row>
    <row r="812" spans="1:3" x14ac:dyDescent="0.25">
      <c r="A812" s="747">
        <v>99071</v>
      </c>
      <c r="B812" s="747" t="s">
        <v>3352</v>
      </c>
      <c r="C812" s="752">
        <v>15062.04</v>
      </c>
    </row>
    <row r="813" spans="1:3" x14ac:dyDescent="0.25">
      <c r="A813" s="747">
        <v>99081</v>
      </c>
      <c r="B813" s="747" t="s">
        <v>3353</v>
      </c>
      <c r="C813" s="752">
        <v>10194.719999999999</v>
      </c>
    </row>
    <row r="814" spans="1:3" x14ac:dyDescent="0.25">
      <c r="A814" s="747">
        <v>99091</v>
      </c>
      <c r="B814" s="747" t="s">
        <v>3354</v>
      </c>
      <c r="C814" s="752">
        <v>4830.95</v>
      </c>
    </row>
    <row r="815" spans="1:3" x14ac:dyDescent="0.25">
      <c r="A815" s="747">
        <v>99101</v>
      </c>
      <c r="B815" s="747" t="s">
        <v>3355</v>
      </c>
      <c r="C815" s="752">
        <v>914274.04</v>
      </c>
    </row>
    <row r="816" spans="1:3" x14ac:dyDescent="0.25">
      <c r="A816" s="747">
        <v>99104</v>
      </c>
      <c r="B816" s="747" t="s">
        <v>3356</v>
      </c>
      <c r="C816" s="752">
        <v>22873.95</v>
      </c>
    </row>
    <row r="817" spans="1:3" x14ac:dyDescent="0.25">
      <c r="A817" s="747">
        <v>99109</v>
      </c>
      <c r="B817" s="747" t="s">
        <v>3357</v>
      </c>
      <c r="C817" s="752">
        <v>56338.23</v>
      </c>
    </row>
    <row r="818" spans="1:3" x14ac:dyDescent="0.25">
      <c r="A818" s="747">
        <v>99110</v>
      </c>
      <c r="B818" s="747" t="s">
        <v>3358</v>
      </c>
      <c r="C818" s="752">
        <v>119962.69</v>
      </c>
    </row>
    <row r="819" spans="1:3" x14ac:dyDescent="0.25">
      <c r="A819" s="747">
        <v>99111</v>
      </c>
      <c r="B819" s="747" t="s">
        <v>3359</v>
      </c>
      <c r="C819" s="752">
        <v>543583.17000000004</v>
      </c>
    </row>
    <row r="820" spans="1:3" x14ac:dyDescent="0.25">
      <c r="A820" s="747">
        <v>99201</v>
      </c>
      <c r="B820" s="747" t="s">
        <v>3360</v>
      </c>
      <c r="C820" s="752">
        <v>15084486.75</v>
      </c>
    </row>
    <row r="821" spans="1:3" x14ac:dyDescent="0.25">
      <c r="A821" s="747">
        <v>99202</v>
      </c>
      <c r="B821" s="747" t="s">
        <v>3361</v>
      </c>
      <c r="C821" s="752">
        <v>1072067.46</v>
      </c>
    </row>
    <row r="822" spans="1:3" x14ac:dyDescent="0.25">
      <c r="A822" s="747">
        <v>99203</v>
      </c>
      <c r="B822" s="747" t="s">
        <v>3362</v>
      </c>
      <c r="C822" s="752">
        <v>126936.26</v>
      </c>
    </row>
    <row r="823" spans="1:3" x14ac:dyDescent="0.25">
      <c r="A823" s="747">
        <v>99204</v>
      </c>
      <c r="B823" s="747" t="s">
        <v>3363</v>
      </c>
      <c r="C823" s="752">
        <v>375261.16</v>
      </c>
    </row>
    <row r="824" spans="1:3" x14ac:dyDescent="0.25">
      <c r="A824" s="747">
        <v>99206</v>
      </c>
      <c r="B824" s="747" t="s">
        <v>3364</v>
      </c>
      <c r="C824" s="752">
        <v>1210224.8700000001</v>
      </c>
    </row>
    <row r="825" spans="1:3" x14ac:dyDescent="0.25">
      <c r="A825" s="747">
        <v>99207</v>
      </c>
      <c r="B825" s="747" t="s">
        <v>3562</v>
      </c>
      <c r="C825" s="752">
        <v>175075.09</v>
      </c>
    </row>
    <row r="826" spans="1:3" x14ac:dyDescent="0.25">
      <c r="A826" s="747">
        <v>99208</v>
      </c>
      <c r="B826" s="747" t="s">
        <v>3366</v>
      </c>
      <c r="C826" s="752">
        <v>57804.04</v>
      </c>
    </row>
    <row r="827" spans="1:3" x14ac:dyDescent="0.25">
      <c r="A827" s="747">
        <v>99210</v>
      </c>
      <c r="B827" s="747" t="s">
        <v>3367</v>
      </c>
      <c r="C827" s="752">
        <v>789521.27</v>
      </c>
    </row>
    <row r="828" spans="1:3" x14ac:dyDescent="0.25">
      <c r="A828" s="747">
        <v>99211</v>
      </c>
      <c r="B828" s="747" t="s">
        <v>3368</v>
      </c>
      <c r="C828" s="752">
        <v>16957538.620000001</v>
      </c>
    </row>
    <row r="829" spans="1:3" x14ac:dyDescent="0.25">
      <c r="A829" s="747">
        <v>99212</v>
      </c>
      <c r="B829" s="747" t="s">
        <v>3369</v>
      </c>
      <c r="C829" s="752">
        <v>31804.81</v>
      </c>
    </row>
    <row r="830" spans="1:3" x14ac:dyDescent="0.25">
      <c r="A830" s="747">
        <v>99213</v>
      </c>
      <c r="B830" s="747" t="s">
        <v>3370</v>
      </c>
      <c r="C830" s="752">
        <v>353816.66</v>
      </c>
    </row>
    <row r="831" spans="1:3" x14ac:dyDescent="0.25">
      <c r="A831" s="747">
        <v>99218</v>
      </c>
      <c r="B831" s="747" t="s">
        <v>3371</v>
      </c>
      <c r="C831" s="752">
        <v>1493014.08</v>
      </c>
    </row>
    <row r="832" spans="1:3" x14ac:dyDescent="0.25">
      <c r="A832" s="747">
        <v>99221</v>
      </c>
      <c r="B832" s="747" t="s">
        <v>3372</v>
      </c>
      <c r="C832" s="752">
        <v>5876509.1200000001</v>
      </c>
    </row>
    <row r="833" spans="1:3" x14ac:dyDescent="0.25">
      <c r="A833" s="747">
        <v>99222</v>
      </c>
      <c r="B833" s="747" t="s">
        <v>3373</v>
      </c>
      <c r="C833" s="752">
        <v>15445.65</v>
      </c>
    </row>
    <row r="834" spans="1:3" x14ac:dyDescent="0.25">
      <c r="A834" s="747">
        <v>99231</v>
      </c>
      <c r="B834" s="747" t="s">
        <v>3374</v>
      </c>
      <c r="C834" s="752">
        <v>156904.4</v>
      </c>
    </row>
    <row r="835" spans="1:3" x14ac:dyDescent="0.25">
      <c r="A835" s="747">
        <v>99241</v>
      </c>
      <c r="B835" s="747" t="s">
        <v>3375</v>
      </c>
      <c r="C835" s="752">
        <v>226042.03</v>
      </c>
    </row>
    <row r="836" spans="1:3" x14ac:dyDescent="0.25">
      <c r="A836" s="747">
        <v>99251</v>
      </c>
      <c r="B836" s="747" t="s">
        <v>3376</v>
      </c>
      <c r="C836" s="752">
        <v>745407.54</v>
      </c>
    </row>
    <row r="837" spans="1:3" x14ac:dyDescent="0.25">
      <c r="A837" s="747">
        <v>99252</v>
      </c>
      <c r="B837" s="747" t="s">
        <v>3377</v>
      </c>
      <c r="C837" s="752">
        <v>212385.68</v>
      </c>
    </row>
    <row r="838" spans="1:3" x14ac:dyDescent="0.25">
      <c r="A838" s="747">
        <v>99261</v>
      </c>
      <c r="B838" s="747" t="s">
        <v>3378</v>
      </c>
      <c r="C838" s="752">
        <v>808835.41</v>
      </c>
    </row>
    <row r="839" spans="1:3" x14ac:dyDescent="0.25">
      <c r="A839" s="747">
        <v>99271</v>
      </c>
      <c r="B839" s="747" t="s">
        <v>3379</v>
      </c>
      <c r="C839" s="752">
        <v>1751675.08</v>
      </c>
    </row>
    <row r="840" spans="1:3" x14ac:dyDescent="0.25">
      <c r="A840" s="747">
        <v>99281</v>
      </c>
      <c r="B840" s="747" t="s">
        <v>3380</v>
      </c>
      <c r="C840" s="752">
        <v>984779.62</v>
      </c>
    </row>
    <row r="841" spans="1:3" x14ac:dyDescent="0.25">
      <c r="A841" s="747">
        <v>99291</v>
      </c>
      <c r="B841" s="747" t="s">
        <v>3381</v>
      </c>
      <c r="C841" s="752">
        <v>299576.15000000002</v>
      </c>
    </row>
    <row r="842" spans="1:3" x14ac:dyDescent="0.25">
      <c r="A842" s="747">
        <v>99301</v>
      </c>
      <c r="B842" s="747" t="s">
        <v>3382</v>
      </c>
      <c r="C842" s="752">
        <v>788880.01</v>
      </c>
    </row>
    <row r="843" spans="1:3" x14ac:dyDescent="0.25">
      <c r="A843" s="747">
        <v>99304</v>
      </c>
      <c r="B843" s="747" t="s">
        <v>3383</v>
      </c>
      <c r="C843" s="752">
        <v>7554.29</v>
      </c>
    </row>
    <row r="844" spans="1:3" x14ac:dyDescent="0.25">
      <c r="A844" s="747">
        <v>99311</v>
      </c>
      <c r="B844" s="747" t="s">
        <v>3384</v>
      </c>
      <c r="C844" s="752">
        <v>25361.439999999999</v>
      </c>
    </row>
    <row r="845" spans="1:3" x14ac:dyDescent="0.25">
      <c r="A845" s="747">
        <v>99321</v>
      </c>
      <c r="B845" s="747" t="s">
        <v>3385</v>
      </c>
      <c r="C845" s="752">
        <v>98498.34</v>
      </c>
    </row>
    <row r="846" spans="1:3" x14ac:dyDescent="0.25">
      <c r="A846" s="747">
        <v>99401</v>
      </c>
      <c r="B846" s="747" t="s">
        <v>3386</v>
      </c>
      <c r="C846" s="752">
        <v>414565.11</v>
      </c>
    </row>
    <row r="847" spans="1:3" x14ac:dyDescent="0.25">
      <c r="A847" s="747">
        <v>99404</v>
      </c>
      <c r="B847" s="747" t="s">
        <v>3387</v>
      </c>
      <c r="C847" s="752">
        <v>5392.64</v>
      </c>
    </row>
    <row r="848" spans="1:3" x14ac:dyDescent="0.25">
      <c r="A848" s="747">
        <v>99405</v>
      </c>
      <c r="B848" s="747" t="s">
        <v>3388</v>
      </c>
      <c r="C848" s="752">
        <v>37797.96</v>
      </c>
    </row>
    <row r="849" spans="1:3" x14ac:dyDescent="0.25">
      <c r="A849" s="747">
        <v>99411</v>
      </c>
      <c r="B849" s="747" t="s">
        <v>3389</v>
      </c>
      <c r="C849" s="752">
        <v>75832.59</v>
      </c>
    </row>
    <row r="850" spans="1:3" x14ac:dyDescent="0.25">
      <c r="A850" s="747">
        <v>99413</v>
      </c>
      <c r="B850" s="747" t="s">
        <v>3390</v>
      </c>
      <c r="C850" s="752">
        <v>18530.43</v>
      </c>
    </row>
    <row r="851" spans="1:3" x14ac:dyDescent="0.25">
      <c r="A851" s="747">
        <v>99421</v>
      </c>
      <c r="B851" s="747" t="s">
        <v>3391</v>
      </c>
      <c r="C851" s="752">
        <v>6211.08</v>
      </c>
    </row>
    <row r="852" spans="1:3" x14ac:dyDescent="0.25">
      <c r="A852" s="747">
        <v>99431</v>
      </c>
      <c r="B852" s="747" t="s">
        <v>3392</v>
      </c>
      <c r="C852" s="752">
        <v>7581.28</v>
      </c>
    </row>
    <row r="853" spans="1:3" x14ac:dyDescent="0.25">
      <c r="A853" s="747">
        <v>99501</v>
      </c>
      <c r="B853" s="747" t="s">
        <v>3393</v>
      </c>
      <c r="C853" s="752">
        <v>794395.29</v>
      </c>
    </row>
    <row r="854" spans="1:3" x14ac:dyDescent="0.25">
      <c r="A854" s="747">
        <v>99502</v>
      </c>
      <c r="B854" s="747" t="s">
        <v>3394</v>
      </c>
      <c r="C854" s="752">
        <v>65830.880000000005</v>
      </c>
    </row>
    <row r="855" spans="1:3" x14ac:dyDescent="0.25">
      <c r="A855" s="747">
        <v>99508</v>
      </c>
      <c r="B855" s="747" t="s">
        <v>3395</v>
      </c>
      <c r="C855" s="752">
        <v>9857.2999999999993</v>
      </c>
    </row>
    <row r="856" spans="1:3" x14ac:dyDescent="0.25">
      <c r="A856" s="747">
        <v>99509</v>
      </c>
      <c r="B856" s="747" t="s">
        <v>3396</v>
      </c>
      <c r="C856" s="752">
        <v>11410.27</v>
      </c>
    </row>
    <row r="857" spans="1:3" x14ac:dyDescent="0.25">
      <c r="A857" s="747">
        <v>99511</v>
      </c>
      <c r="B857" s="747" t="s">
        <v>3397</v>
      </c>
      <c r="C857" s="752">
        <v>579707.18000000005</v>
      </c>
    </row>
    <row r="858" spans="1:3" x14ac:dyDescent="0.25">
      <c r="A858" s="747">
        <v>99521</v>
      </c>
      <c r="B858" s="747" t="s">
        <v>3398</v>
      </c>
      <c r="C858" s="752">
        <v>176535.9</v>
      </c>
    </row>
    <row r="859" spans="1:3" x14ac:dyDescent="0.25">
      <c r="A859" s="747">
        <v>99527</v>
      </c>
      <c r="B859" s="747" t="s">
        <v>3399</v>
      </c>
      <c r="C859" s="752">
        <v>5941.3</v>
      </c>
    </row>
    <row r="860" spans="1:3" x14ac:dyDescent="0.25">
      <c r="A860" s="747">
        <v>99531</v>
      </c>
      <c r="B860" s="747" t="s">
        <v>3400</v>
      </c>
      <c r="C860" s="752">
        <v>72389.7</v>
      </c>
    </row>
    <row r="861" spans="1:3" x14ac:dyDescent="0.25">
      <c r="A861" s="747">
        <v>99601</v>
      </c>
      <c r="B861" s="747" t="s">
        <v>3401</v>
      </c>
      <c r="C861" s="752">
        <v>2548953.7599999998</v>
      </c>
    </row>
    <row r="862" spans="1:3" x14ac:dyDescent="0.25">
      <c r="A862" s="747">
        <v>99602</v>
      </c>
      <c r="B862" s="747" t="s">
        <v>3402</v>
      </c>
      <c r="C862" s="752">
        <v>28151.17</v>
      </c>
    </row>
    <row r="863" spans="1:3" x14ac:dyDescent="0.25">
      <c r="A863" s="747">
        <v>99603</v>
      </c>
      <c r="B863" s="747" t="s">
        <v>3403</v>
      </c>
      <c r="C863" s="752">
        <v>87236.89</v>
      </c>
    </row>
    <row r="864" spans="1:3" x14ac:dyDescent="0.25">
      <c r="A864" s="747">
        <v>99604</v>
      </c>
      <c r="B864" s="747" t="s">
        <v>3404</v>
      </c>
      <c r="C864" s="752">
        <v>52378.14</v>
      </c>
    </row>
    <row r="865" spans="1:3" x14ac:dyDescent="0.25">
      <c r="A865" s="747">
        <v>99609</v>
      </c>
      <c r="B865" s="747" t="s">
        <v>3405</v>
      </c>
      <c r="C865" s="752">
        <v>9934.65</v>
      </c>
    </row>
    <row r="866" spans="1:3" x14ac:dyDescent="0.25">
      <c r="A866" s="747">
        <v>99610</v>
      </c>
      <c r="B866" s="747" t="s">
        <v>3406</v>
      </c>
      <c r="C866" s="752">
        <v>85099.67</v>
      </c>
    </row>
    <row r="867" spans="1:3" x14ac:dyDescent="0.25">
      <c r="A867" s="747">
        <v>99611</v>
      </c>
      <c r="B867" s="747" t="s">
        <v>3407</v>
      </c>
      <c r="C867" s="752">
        <v>1474036.82</v>
      </c>
    </row>
    <row r="868" spans="1:3" x14ac:dyDescent="0.25">
      <c r="A868" s="747">
        <v>99613</v>
      </c>
      <c r="B868" s="747" t="s">
        <v>3408</v>
      </c>
      <c r="C868" s="752">
        <v>310914.55</v>
      </c>
    </row>
    <row r="869" spans="1:3" x14ac:dyDescent="0.25">
      <c r="A869" s="747">
        <v>99621</v>
      </c>
      <c r="B869" s="747" t="s">
        <v>3409</v>
      </c>
      <c r="C869" s="752">
        <v>166447.64000000001</v>
      </c>
    </row>
    <row r="870" spans="1:3" x14ac:dyDescent="0.25">
      <c r="A870" s="747">
        <v>99623</v>
      </c>
      <c r="B870" s="747" t="s">
        <v>3410</v>
      </c>
      <c r="C870" s="752">
        <v>11102.83</v>
      </c>
    </row>
    <row r="871" spans="1:3" x14ac:dyDescent="0.25">
      <c r="A871" s="747">
        <v>99631</v>
      </c>
      <c r="B871" s="747" t="s">
        <v>3411</v>
      </c>
      <c r="C871" s="752">
        <v>46230.9</v>
      </c>
    </row>
    <row r="872" spans="1:3" x14ac:dyDescent="0.25">
      <c r="A872" s="747">
        <v>99651</v>
      </c>
      <c r="B872" s="747" t="s">
        <v>3412</v>
      </c>
      <c r="C872" s="752">
        <v>30231.08</v>
      </c>
    </row>
    <row r="873" spans="1:3" x14ac:dyDescent="0.25">
      <c r="A873" s="747">
        <v>99661</v>
      </c>
      <c r="B873" s="747" t="s">
        <v>3413</v>
      </c>
      <c r="C873" s="752">
        <v>34513.29</v>
      </c>
    </row>
    <row r="874" spans="1:3" x14ac:dyDescent="0.25">
      <c r="A874" s="747">
        <v>99701</v>
      </c>
      <c r="B874" s="747" t="s">
        <v>3414</v>
      </c>
      <c r="C874" s="752">
        <v>1295370.6499999999</v>
      </c>
    </row>
    <row r="875" spans="1:3" x14ac:dyDescent="0.25">
      <c r="A875" s="747">
        <v>99705</v>
      </c>
      <c r="B875" s="747" t="s">
        <v>3415</v>
      </c>
      <c r="C875" s="752">
        <v>85450.72</v>
      </c>
    </row>
    <row r="876" spans="1:3" x14ac:dyDescent="0.25">
      <c r="A876" s="747">
        <v>99711</v>
      </c>
      <c r="B876" s="747" t="s">
        <v>3416</v>
      </c>
      <c r="C876" s="752">
        <v>209493.55</v>
      </c>
    </row>
    <row r="877" spans="1:3" x14ac:dyDescent="0.25">
      <c r="A877" s="747">
        <v>99717</v>
      </c>
      <c r="B877" s="747" t="s">
        <v>3417</v>
      </c>
      <c r="C877" s="752">
        <v>8060.36</v>
      </c>
    </row>
    <row r="878" spans="1:3" x14ac:dyDescent="0.25">
      <c r="A878" s="747">
        <v>99721</v>
      </c>
      <c r="B878" s="747" t="s">
        <v>3418</v>
      </c>
      <c r="C878" s="752">
        <v>252724.99</v>
      </c>
    </row>
    <row r="879" spans="1:3" x14ac:dyDescent="0.25">
      <c r="A879" s="747">
        <v>99727</v>
      </c>
      <c r="B879" s="747" t="s">
        <v>3419</v>
      </c>
      <c r="C879" s="752">
        <v>46314.63</v>
      </c>
    </row>
    <row r="880" spans="1:3" x14ac:dyDescent="0.25">
      <c r="A880" s="747">
        <v>99801</v>
      </c>
      <c r="B880" s="747" t="s">
        <v>3420</v>
      </c>
      <c r="C880" s="752">
        <v>2259452.0699999998</v>
      </c>
    </row>
    <row r="881" spans="1:3" x14ac:dyDescent="0.25">
      <c r="A881" s="747">
        <v>99802</v>
      </c>
      <c r="B881" s="747" t="s">
        <v>3421</v>
      </c>
      <c r="C881" s="752">
        <v>4580.8500000000004</v>
      </c>
    </row>
    <row r="882" spans="1:3" x14ac:dyDescent="0.25">
      <c r="A882" s="747">
        <v>99804</v>
      </c>
      <c r="B882" s="747" t="s">
        <v>3422</v>
      </c>
      <c r="C882" s="752">
        <v>46756.41</v>
      </c>
    </row>
    <row r="883" spans="1:3" x14ac:dyDescent="0.25">
      <c r="A883" s="747">
        <v>99811</v>
      </c>
      <c r="B883" s="747" t="s">
        <v>3423</v>
      </c>
      <c r="C883" s="752">
        <v>2884355.86</v>
      </c>
    </row>
    <row r="884" spans="1:3" x14ac:dyDescent="0.25">
      <c r="A884" s="747">
        <v>99812</v>
      </c>
      <c r="B884" s="747" t="s">
        <v>3424</v>
      </c>
      <c r="C884" s="752">
        <v>20069.04</v>
      </c>
    </row>
    <row r="885" spans="1:3" x14ac:dyDescent="0.25">
      <c r="A885" s="747">
        <v>99818</v>
      </c>
      <c r="B885" s="747" t="s">
        <v>3425</v>
      </c>
      <c r="C885" s="752">
        <v>14369.52</v>
      </c>
    </row>
    <row r="886" spans="1:3" x14ac:dyDescent="0.25">
      <c r="A886" s="747">
        <v>99821</v>
      </c>
      <c r="B886" s="747" t="s">
        <v>3426</v>
      </c>
      <c r="C886" s="752">
        <v>48801.23</v>
      </c>
    </row>
    <row r="887" spans="1:3" x14ac:dyDescent="0.25">
      <c r="A887" s="747">
        <v>99831</v>
      </c>
      <c r="B887" s="747" t="s">
        <v>3427</v>
      </c>
      <c r="C887" s="752">
        <v>28273.86</v>
      </c>
    </row>
    <row r="888" spans="1:3" x14ac:dyDescent="0.25">
      <c r="A888" s="747">
        <v>99841</v>
      </c>
      <c r="B888" s="747" t="s">
        <v>3428</v>
      </c>
      <c r="C888" s="752">
        <v>19337.830000000002</v>
      </c>
    </row>
    <row r="889" spans="1:3" x14ac:dyDescent="0.25">
      <c r="A889" s="747">
        <v>99851</v>
      </c>
      <c r="B889" s="747" t="s">
        <v>3429</v>
      </c>
      <c r="C889" s="752">
        <v>7302.38</v>
      </c>
    </row>
    <row r="890" spans="1:3" x14ac:dyDescent="0.25">
      <c r="A890" s="747">
        <v>99901</v>
      </c>
      <c r="B890" s="747" t="s">
        <v>3430</v>
      </c>
      <c r="C890" s="752">
        <v>760400.05</v>
      </c>
    </row>
    <row r="891" spans="1:3" x14ac:dyDescent="0.25">
      <c r="A891" s="747">
        <v>99911</v>
      </c>
      <c r="B891" s="747" t="s">
        <v>3431</v>
      </c>
      <c r="C891" s="752">
        <v>122065.53</v>
      </c>
    </row>
    <row r="892" spans="1:3" x14ac:dyDescent="0.25">
      <c r="A892" s="747">
        <v>99921</v>
      </c>
      <c r="B892" s="747" t="s">
        <v>3432</v>
      </c>
      <c r="C892" s="752">
        <v>65164.7</v>
      </c>
    </row>
    <row r="893" spans="1:3" x14ac:dyDescent="0.25">
      <c r="A893" s="747">
        <v>99931</v>
      </c>
      <c r="B893" s="747" t="s">
        <v>3433</v>
      </c>
      <c r="C893" s="752">
        <v>8881.11</v>
      </c>
    </row>
    <row r="894" spans="1:3" x14ac:dyDescent="0.25">
      <c r="A894" s="747">
        <v>99941</v>
      </c>
      <c r="B894" s="747" t="s">
        <v>3434</v>
      </c>
      <c r="C894" s="752">
        <v>32663.02</v>
      </c>
    </row>
    <row r="895" spans="1:3" x14ac:dyDescent="0.25">
      <c r="A895" s="747">
        <v>99991</v>
      </c>
      <c r="B895" s="747" t="s">
        <v>3435</v>
      </c>
      <c r="C895" s="752">
        <v>239781.14</v>
      </c>
    </row>
    <row r="896" spans="1:3" s="747" customFormat="1" x14ac:dyDescent="0.25">
      <c r="A896" s="747">
        <v>99999</v>
      </c>
      <c r="B896" s="747" t="s">
        <v>3436</v>
      </c>
      <c r="C896" s="752">
        <v>509175.93</v>
      </c>
    </row>
    <row r="897" spans="1:3" s="747" customFormat="1" x14ac:dyDescent="0.25">
      <c r="A897" s="755" t="s">
        <v>2526</v>
      </c>
      <c r="B897" s="747" t="s">
        <v>2525</v>
      </c>
      <c r="C897" s="752">
        <v>118523.35</v>
      </c>
    </row>
    <row r="898" spans="1:3" s="747" customFormat="1" ht="15.75" thickBot="1" x14ac:dyDescent="0.3">
      <c r="A898" s="747" t="s">
        <v>3848</v>
      </c>
      <c r="C898" s="753">
        <f>SUM(C3:C896)</f>
        <v>459089443.13999999</v>
      </c>
    </row>
    <row r="899" spans="1:3" s="747" customFormat="1" ht="15.75" thickTop="1" x14ac:dyDescent="0.25">
      <c r="C899" s="752"/>
    </row>
    <row r="2340" spans="1:3" s="747" customFormat="1" x14ac:dyDescent="0.25">
      <c r="A2340" s="754"/>
      <c r="C2340" s="752"/>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2:I31"/>
  <sheetViews>
    <sheetView workbookViewId="0">
      <selection activeCell="D20" sqref="D20"/>
    </sheetView>
  </sheetViews>
  <sheetFormatPr defaultRowHeight="12.75" x14ac:dyDescent="0.2"/>
  <cols>
    <col min="1" max="1" width="4.5703125" customWidth="1"/>
    <col min="2" max="2" width="56.7109375" customWidth="1"/>
    <col min="3" max="3" width="34.7109375" customWidth="1"/>
    <col min="4" max="4" width="29" customWidth="1"/>
  </cols>
  <sheetData>
    <row r="2" spans="1:3" ht="15.75" x14ac:dyDescent="0.25">
      <c r="A2" s="1095" t="s">
        <v>2046</v>
      </c>
      <c r="B2" s="1096"/>
      <c r="C2" s="1097"/>
    </row>
    <row r="5" spans="1:3" ht="86.45" customHeight="1" x14ac:dyDescent="0.2">
      <c r="A5" s="1105" t="s">
        <v>4929</v>
      </c>
      <c r="B5" s="1105"/>
      <c r="C5" s="1105"/>
    </row>
    <row r="11" spans="1:3" ht="15" customHeight="1" x14ac:dyDescent="0.2">
      <c r="A11" s="559" t="s">
        <v>860</v>
      </c>
      <c r="B11" s="1112" t="s">
        <v>2088</v>
      </c>
      <c r="C11" s="1113"/>
    </row>
    <row r="13" spans="1:3" ht="40.15" customHeight="1" x14ac:dyDescent="0.2">
      <c r="B13" s="1114" t="s">
        <v>2089</v>
      </c>
      <c r="C13" s="1114"/>
    </row>
    <row r="14" spans="1:3" x14ac:dyDescent="0.2">
      <c r="B14" s="531"/>
    </row>
    <row r="17" spans="1:9" x14ac:dyDescent="0.2">
      <c r="B17" s="576" t="s">
        <v>2086</v>
      </c>
      <c r="C17" s="673"/>
    </row>
    <row r="19" spans="1:9" x14ac:dyDescent="0.2">
      <c r="B19" s="571" t="s">
        <v>2087</v>
      </c>
      <c r="C19" s="864"/>
      <c r="D19" t="s">
        <v>4874</v>
      </c>
    </row>
    <row r="20" spans="1:9" x14ac:dyDescent="0.2">
      <c r="D20" s="865" t="s">
        <v>4875</v>
      </c>
    </row>
    <row r="23" spans="1:9" x14ac:dyDescent="0.2">
      <c r="A23" s="567" t="s">
        <v>861</v>
      </c>
      <c r="B23" s="959" t="s">
        <v>2044</v>
      </c>
      <c r="C23" s="960"/>
      <c r="D23" s="960"/>
      <c r="E23" s="960"/>
      <c r="F23" s="960"/>
      <c r="G23" s="960"/>
      <c r="H23" s="960"/>
      <c r="I23" s="961"/>
    </row>
    <row r="24" spans="1:9" x14ac:dyDescent="0.2">
      <c r="A24" s="567"/>
      <c r="B24" s="157"/>
      <c r="C24" s="157"/>
      <c r="D24" s="157"/>
      <c r="E24" s="157"/>
      <c r="F24" s="157"/>
      <c r="G24" s="157"/>
      <c r="H24" s="157"/>
      <c r="I24" s="157"/>
    </row>
    <row r="25" spans="1:9" x14ac:dyDescent="0.2">
      <c r="A25" s="531"/>
      <c r="B25" s="4"/>
    </row>
    <row r="26" spans="1:9" x14ac:dyDescent="0.2">
      <c r="A26" s="531"/>
      <c r="B26" s="46"/>
      <c r="C26" s="563" t="s">
        <v>2039</v>
      </c>
      <c r="D26" s="563" t="s">
        <v>2040</v>
      </c>
      <c r="G26" s="564"/>
      <c r="H26" s="564"/>
      <c r="I26" s="564"/>
    </row>
    <row r="27" spans="1:9" x14ac:dyDescent="0.2">
      <c r="A27" s="531"/>
      <c r="B27" s="572" t="s">
        <v>1133</v>
      </c>
      <c r="C27" s="344">
        <f>C19*C17</f>
        <v>0</v>
      </c>
      <c r="D27" s="344"/>
      <c r="G27" s="565"/>
      <c r="H27" s="565"/>
      <c r="I27" s="566"/>
    </row>
    <row r="28" spans="1:9" x14ac:dyDescent="0.2">
      <c r="A28" s="531"/>
      <c r="B28" s="572" t="s">
        <v>2043</v>
      </c>
      <c r="C28" s="344"/>
      <c r="D28" s="344">
        <f>C27</f>
        <v>0</v>
      </c>
      <c r="E28" s="558"/>
      <c r="G28" s="565"/>
      <c r="H28" s="565"/>
      <c r="I28" s="566"/>
    </row>
    <row r="29" spans="1:9" x14ac:dyDescent="0.2">
      <c r="A29" s="531"/>
      <c r="B29" s="46"/>
      <c r="C29" s="557"/>
      <c r="D29" s="557"/>
      <c r="G29" s="571"/>
      <c r="H29" s="571"/>
      <c r="I29" s="571"/>
    </row>
    <row r="30" spans="1:9" ht="13.5" thickBot="1" x14ac:dyDescent="0.25">
      <c r="A30" s="531"/>
      <c r="B30" s="46"/>
      <c r="C30" s="568">
        <f>SUM(C27:C29)</f>
        <v>0</v>
      </c>
      <c r="D30" s="568">
        <f>SUM(D27:D29)</f>
        <v>0</v>
      </c>
      <c r="G30" s="571"/>
      <c r="H30" s="571"/>
      <c r="I30" s="571"/>
    </row>
    <row r="31" spans="1:9" ht="13.5" thickTop="1" x14ac:dyDescent="0.2"/>
  </sheetData>
  <sheetProtection algorithmName="SHA-512" hashValue="pFgy1NtGMU+RUypdEP1gCcSqAQl14vVBUBdqmwCLSDhmMWI7czycs3Nts2jjxJ3+zWJwnEz6asf/0ntkYLA88Q==" saltValue="CFM2o7Nkb2jb1+6vaUiBrg==" spinCount="100000" sheet="1" objects="1" scenarios="1"/>
  <mergeCells count="5">
    <mergeCell ref="A2:C2"/>
    <mergeCell ref="A5:C5"/>
    <mergeCell ref="B23:I23"/>
    <mergeCell ref="B11:C11"/>
    <mergeCell ref="B13:C13"/>
  </mergeCells>
  <dataValidations count="1">
    <dataValidation type="whole" operator="greaterThanOrEqual" allowBlank="1" showInputMessage="1" showErrorMessage="1" sqref="C17" xr:uid="{00000000-0002-0000-1700-000000000000}">
      <formula1>0</formula1>
    </dataValidation>
  </dataValidations>
  <hyperlinks>
    <hyperlink ref="D20" r:id="rId1" xr:uid="{C4A026BD-8262-415E-82CA-5BE0908D2B6F}"/>
  </hyperlinks>
  <pageMargins left="0.7" right="0.7" top="0.75" bottom="0.75" header="0.3" footer="0.3"/>
  <pageSetup scale="54"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98"/>
  <sheetViews>
    <sheetView workbookViewId="0">
      <selection sqref="A1:C1"/>
    </sheetView>
  </sheetViews>
  <sheetFormatPr defaultColWidth="9.140625" defaultRowHeight="12.75" x14ac:dyDescent="0.2"/>
  <cols>
    <col min="1" max="1" width="9.140625" style="571" customWidth="1"/>
    <col min="2" max="2" width="54.42578125" style="571" customWidth="1"/>
    <col min="3" max="3" width="27.85546875" style="571" customWidth="1"/>
    <col min="4" max="4" width="16.85546875" style="571" customWidth="1"/>
    <col min="5" max="5" width="17.5703125" style="571" customWidth="1"/>
    <col min="6" max="6" width="9.140625" style="571"/>
    <col min="7" max="7" width="16.7109375" style="571" customWidth="1"/>
    <col min="8" max="8" width="16.28515625" style="571" customWidth="1"/>
    <col min="9" max="10" width="9.140625" style="571"/>
    <col min="11" max="11" width="18.85546875" style="571" customWidth="1"/>
    <col min="12" max="12" width="18" style="571" customWidth="1"/>
    <col min="13" max="16384" width="9.140625" style="571"/>
  </cols>
  <sheetData>
    <row r="1" spans="1:12" ht="15.75" x14ac:dyDescent="0.25">
      <c r="A1" s="1095" t="s">
        <v>3519</v>
      </c>
      <c r="B1" s="1096"/>
      <c r="C1" s="1097"/>
    </row>
    <row r="4" spans="1:12" ht="84.75" customHeight="1" x14ac:dyDescent="0.2">
      <c r="A4" s="1105" t="s">
        <v>3520</v>
      </c>
      <c r="B4" s="1105"/>
      <c r="C4" s="1105"/>
    </row>
    <row r="6" spans="1:12" s="701" customFormat="1" ht="15" x14ac:dyDescent="0.25">
      <c r="A6" s="798" t="s">
        <v>3539</v>
      </c>
      <c r="B6" s="764"/>
      <c r="C6" s="764"/>
      <c r="J6" s="702"/>
      <c r="K6" s="702"/>
    </row>
    <row r="7" spans="1:12" s="701" customFormat="1" ht="45" customHeight="1" x14ac:dyDescent="0.25">
      <c r="A7" s="1116" t="s">
        <v>3540</v>
      </c>
      <c r="B7" s="1116"/>
      <c r="C7" s="794"/>
      <c r="G7" s="706"/>
      <c r="J7" s="702"/>
      <c r="K7" s="702" t="s">
        <v>4847</v>
      </c>
    </row>
    <row r="8" spans="1:12" s="701" customFormat="1" ht="6" customHeight="1" x14ac:dyDescent="0.25">
      <c r="A8" s="795"/>
      <c r="B8" s="795"/>
      <c r="C8" s="796"/>
      <c r="J8" s="702"/>
      <c r="K8" s="702"/>
    </row>
    <row r="9" spans="1:12" s="701" customFormat="1" ht="30" customHeight="1" x14ac:dyDescent="0.25">
      <c r="A9" s="1116" t="s">
        <v>3541</v>
      </c>
      <c r="B9" s="1116"/>
      <c r="C9" s="794"/>
      <c r="D9" s="1117" t="str">
        <f>IF((C7+C9)&lt;&gt;D27,"Benefit payments entered in Cells C7 and C9 do not equal benefit payments entered from valuation report below.  Please confirm amounts.", "" )</f>
        <v/>
      </c>
      <c r="E9" s="1118"/>
      <c r="F9" s="1118"/>
      <c r="G9" s="1118"/>
      <c r="H9" s="1118"/>
      <c r="I9" s="1118"/>
      <c r="J9" s="1118"/>
      <c r="K9" s="702" t="s">
        <v>4848</v>
      </c>
    </row>
    <row r="10" spans="1:12" s="701" customFormat="1" ht="6" customHeight="1" x14ac:dyDescent="0.25">
      <c r="A10" s="796"/>
      <c r="B10" s="796"/>
      <c r="C10" s="796"/>
      <c r="J10" s="702"/>
      <c r="K10" s="702"/>
    </row>
    <row r="11" spans="1:12" s="701" customFormat="1" ht="30" customHeight="1" x14ac:dyDescent="0.25">
      <c r="A11" s="1116" t="s">
        <v>3920</v>
      </c>
      <c r="B11" s="1116"/>
      <c r="C11" s="794"/>
      <c r="H11" s="798"/>
      <c r="I11" s="798"/>
      <c r="J11" s="798"/>
      <c r="K11" s="798" t="s">
        <v>4849</v>
      </c>
      <c r="L11" s="798" t="s">
        <v>3921</v>
      </c>
    </row>
    <row r="12" spans="1:12" s="701" customFormat="1" ht="6" customHeight="1" x14ac:dyDescent="0.25">
      <c r="A12" s="795"/>
      <c r="B12" s="795"/>
      <c r="C12" s="797"/>
      <c r="G12" s="798"/>
      <c r="H12" s="798"/>
      <c r="I12" s="798"/>
      <c r="J12" s="798"/>
      <c r="K12" s="798"/>
      <c r="L12" s="798"/>
    </row>
    <row r="13" spans="1:12" s="701" customFormat="1" ht="45" customHeight="1" x14ac:dyDescent="0.25">
      <c r="A13" s="1116" t="s">
        <v>3542</v>
      </c>
      <c r="B13" s="1116"/>
      <c r="C13" s="794"/>
      <c r="E13" s="1119" t="s">
        <v>4846</v>
      </c>
      <c r="F13" s="1119"/>
      <c r="G13" s="1119"/>
      <c r="H13" s="1119"/>
      <c r="I13" s="1119"/>
      <c r="J13" s="1119"/>
      <c r="K13" s="798"/>
      <c r="L13" s="798"/>
    </row>
    <row r="14" spans="1:12" s="701" customFormat="1" ht="6" customHeight="1" x14ac:dyDescent="0.25">
      <c r="A14" s="795"/>
      <c r="B14" s="795"/>
      <c r="C14" s="797"/>
      <c r="E14" s="1119"/>
      <c r="F14" s="1119"/>
      <c r="G14" s="1119"/>
      <c r="H14" s="1119"/>
      <c r="I14" s="1119"/>
      <c r="J14" s="1119"/>
      <c r="K14" s="798"/>
      <c r="L14" s="798"/>
    </row>
    <row r="15" spans="1:12" s="701" customFormat="1" ht="34.5" customHeight="1" x14ac:dyDescent="0.25">
      <c r="A15" s="1116" t="s">
        <v>3543</v>
      </c>
      <c r="B15" s="1116"/>
      <c r="C15" s="794"/>
      <c r="E15" s="1119"/>
      <c r="F15" s="1119"/>
      <c r="G15" s="1119"/>
      <c r="H15" s="1119"/>
      <c r="I15" s="1119"/>
      <c r="J15" s="1119"/>
      <c r="K15" s="798"/>
      <c r="L15" s="798"/>
    </row>
    <row r="16" spans="1:12" s="701" customFormat="1" ht="6" customHeight="1" x14ac:dyDescent="0.25">
      <c r="A16" s="796"/>
      <c r="B16" s="796"/>
      <c r="C16" s="797"/>
      <c r="J16" s="702"/>
      <c r="K16" s="702"/>
    </row>
    <row r="17" spans="1:11" s="701" customFormat="1" ht="45" customHeight="1" x14ac:dyDescent="0.25">
      <c r="A17" s="1116" t="s">
        <v>4930</v>
      </c>
      <c r="B17" s="1116"/>
      <c r="C17" s="794"/>
      <c r="J17" s="702"/>
      <c r="K17" s="702"/>
    </row>
    <row r="22" spans="1:11" x14ac:dyDescent="0.2">
      <c r="A22" s="559" t="s">
        <v>860</v>
      </c>
      <c r="B22" s="560" t="s">
        <v>3521</v>
      </c>
      <c r="C22" s="581"/>
    </row>
    <row r="25" spans="1:11" ht="14.25" x14ac:dyDescent="0.2">
      <c r="B25" s="799" t="s">
        <v>3501</v>
      </c>
      <c r="C25" s="676"/>
      <c r="D25" s="697"/>
      <c r="E25" s="676"/>
      <c r="F25" s="799"/>
      <c r="G25" s="799"/>
      <c r="H25" s="799"/>
      <c r="I25" s="799"/>
      <c r="J25" s="799"/>
      <c r="K25" s="677"/>
    </row>
    <row r="26" spans="1:11" ht="14.25" x14ac:dyDescent="0.2">
      <c r="B26" s="799" t="s">
        <v>3502</v>
      </c>
      <c r="C26" s="676"/>
      <c r="D26" s="697"/>
      <c r="E26" s="676"/>
      <c r="F26" s="799" t="s">
        <v>3503</v>
      </c>
      <c r="G26" s="799"/>
      <c r="H26" s="799"/>
      <c r="I26" s="799"/>
      <c r="J26" s="799"/>
      <c r="K26" s="677"/>
    </row>
    <row r="27" spans="1:11" ht="14.25" x14ac:dyDescent="0.2">
      <c r="B27" s="799" t="s">
        <v>3504</v>
      </c>
      <c r="C27" s="676"/>
      <c r="D27" s="697"/>
      <c r="E27" s="676"/>
      <c r="F27" s="799"/>
      <c r="G27" s="799"/>
      <c r="H27" s="799"/>
      <c r="I27" s="799"/>
      <c r="J27" s="799"/>
      <c r="K27" s="677"/>
    </row>
    <row r="28" spans="1:11" ht="14.25" x14ac:dyDescent="0.2">
      <c r="B28" s="799" t="s">
        <v>3531</v>
      </c>
      <c r="C28" s="676"/>
      <c r="D28" s="697"/>
      <c r="E28" s="676"/>
      <c r="F28" s="799" t="s">
        <v>3505</v>
      </c>
      <c r="G28" s="799"/>
      <c r="H28" s="799"/>
      <c r="I28" s="799"/>
      <c r="J28" s="799"/>
      <c r="K28" s="677"/>
    </row>
    <row r="29" spans="1:11" ht="27.75" customHeight="1" x14ac:dyDescent="0.2">
      <c r="B29" s="800" t="s">
        <v>4840</v>
      </c>
      <c r="C29" s="698"/>
      <c r="D29" s="697"/>
      <c r="E29" s="676"/>
      <c r="F29" s="1115" t="s">
        <v>3506</v>
      </c>
      <c r="G29" s="1115"/>
      <c r="H29" s="1115"/>
      <c r="I29" s="1115"/>
      <c r="J29" s="1115"/>
      <c r="K29" s="1115"/>
    </row>
    <row r="30" spans="1:11" ht="14.25" x14ac:dyDescent="0.2">
      <c r="B30" s="800" t="s">
        <v>4841</v>
      </c>
      <c r="C30" s="698"/>
      <c r="D30" s="697"/>
      <c r="E30" s="676"/>
      <c r="F30" s="858"/>
      <c r="G30" s="858"/>
      <c r="H30" s="858"/>
      <c r="I30" s="858"/>
      <c r="J30" s="858"/>
      <c r="K30" s="858"/>
    </row>
    <row r="31" spans="1:11" ht="14.25" x14ac:dyDescent="0.2">
      <c r="B31" s="800" t="s">
        <v>4842</v>
      </c>
      <c r="C31" s="699"/>
      <c r="D31" s="697"/>
      <c r="E31" s="676"/>
      <c r="F31" s="1115" t="s">
        <v>3507</v>
      </c>
      <c r="G31" s="1115"/>
      <c r="H31" s="1115"/>
      <c r="I31" s="1115"/>
      <c r="J31" s="1115"/>
      <c r="K31" s="1115"/>
    </row>
    <row r="32" spans="1:11" ht="25.5" x14ac:dyDescent="0.2">
      <c r="B32" s="800" t="s">
        <v>3529</v>
      </c>
      <c r="C32" s="699"/>
      <c r="D32" s="697"/>
      <c r="E32" s="676"/>
      <c r="F32" s="1115" t="s">
        <v>3538</v>
      </c>
      <c r="G32" s="1115"/>
      <c r="H32" s="1115"/>
      <c r="I32" s="1115"/>
      <c r="J32" s="1115"/>
      <c r="K32" s="1115"/>
    </row>
    <row r="33" spans="2:12" ht="14.25" x14ac:dyDescent="0.2">
      <c r="B33" s="800" t="s">
        <v>3530</v>
      </c>
      <c r="C33" s="699"/>
      <c r="D33" s="697"/>
      <c r="E33" s="676"/>
      <c r="F33" s="1115" t="s">
        <v>3538</v>
      </c>
      <c r="G33" s="1115"/>
      <c r="H33" s="1115"/>
      <c r="I33" s="1115"/>
      <c r="J33" s="1115"/>
      <c r="K33" s="1115"/>
    </row>
    <row r="37" spans="2:12" ht="12" customHeight="1" x14ac:dyDescent="0.2"/>
    <row r="38" spans="2:12" ht="14.25" x14ac:dyDescent="0.2">
      <c r="B38" s="799" t="s">
        <v>3532</v>
      </c>
      <c r="C38" s="676"/>
      <c r="D38" s="676"/>
      <c r="E38" s="676"/>
      <c r="F38" s="676"/>
      <c r="G38" s="676"/>
      <c r="H38" s="676"/>
      <c r="I38" s="676"/>
      <c r="J38" s="676"/>
      <c r="K38" s="677">
        <f>D25</f>
        <v>0</v>
      </c>
      <c r="L38" s="677"/>
    </row>
    <row r="39" spans="2:12" ht="14.25" x14ac:dyDescent="0.2">
      <c r="B39" s="799" t="s">
        <v>3508</v>
      </c>
      <c r="C39" s="676"/>
      <c r="D39" s="676"/>
      <c r="E39" s="676"/>
      <c r="F39" s="676"/>
      <c r="G39" s="676"/>
      <c r="H39" s="676"/>
      <c r="I39" s="676"/>
      <c r="J39" s="676"/>
      <c r="K39" s="677"/>
      <c r="L39" s="677">
        <f>D26</f>
        <v>0</v>
      </c>
    </row>
    <row r="40" spans="2:12" ht="14.25" x14ac:dyDescent="0.2">
      <c r="B40" s="799" t="s">
        <v>1133</v>
      </c>
      <c r="C40" s="676"/>
      <c r="D40" s="676"/>
      <c r="E40" s="676"/>
      <c r="F40" s="676"/>
      <c r="G40" s="676"/>
      <c r="H40" s="676"/>
      <c r="I40" s="676"/>
      <c r="J40" s="676"/>
      <c r="K40" s="677">
        <f>D28</f>
        <v>0</v>
      </c>
      <c r="L40" s="677"/>
    </row>
    <row r="41" spans="2:12" ht="14.25" x14ac:dyDescent="0.2">
      <c r="B41" s="799" t="s">
        <v>3533</v>
      </c>
      <c r="C41" s="676"/>
      <c r="D41" s="676"/>
      <c r="E41" s="676"/>
      <c r="F41" s="676"/>
      <c r="G41" s="676"/>
      <c r="H41" s="676"/>
      <c r="I41" s="676"/>
      <c r="J41" s="676"/>
      <c r="K41" s="677"/>
      <c r="L41" s="677">
        <f>IF(D32&gt;0,D32,0)</f>
        <v>0</v>
      </c>
    </row>
    <row r="42" spans="2:12" ht="14.25" x14ac:dyDescent="0.2">
      <c r="B42" s="799" t="s">
        <v>3509</v>
      </c>
      <c r="C42" s="676"/>
      <c r="D42" s="676"/>
      <c r="E42" s="676"/>
      <c r="F42" s="676"/>
      <c r="G42" s="676"/>
      <c r="H42" s="676"/>
      <c r="I42" s="676"/>
      <c r="J42" s="676"/>
      <c r="K42" s="677">
        <f>IF(D29&gt;0,D29,0)</f>
        <v>0</v>
      </c>
      <c r="L42" s="677"/>
    </row>
    <row r="43" spans="2:12" ht="14.25" x14ac:dyDescent="0.2">
      <c r="B43" s="799" t="s">
        <v>3534</v>
      </c>
      <c r="C43" s="676"/>
      <c r="D43" s="676"/>
      <c r="E43" s="676"/>
      <c r="F43" s="676"/>
      <c r="G43" s="676"/>
      <c r="H43" s="676"/>
      <c r="I43" s="676"/>
      <c r="J43" s="676"/>
      <c r="K43" s="677">
        <f>IF(D32&lt;0,-D32,0)</f>
        <v>0</v>
      </c>
      <c r="L43" s="677"/>
    </row>
    <row r="44" spans="2:12" ht="14.25" x14ac:dyDescent="0.2">
      <c r="B44" s="799" t="s">
        <v>3510</v>
      </c>
      <c r="C44" s="676"/>
      <c r="D44" s="676"/>
      <c r="E44" s="676"/>
      <c r="F44" s="676"/>
      <c r="G44" s="676"/>
      <c r="H44" s="676"/>
      <c r="I44" s="676"/>
      <c r="J44" s="676"/>
      <c r="K44" s="677"/>
      <c r="L44" s="677">
        <f>IF(D29&lt;0,-D29,0)</f>
        <v>0</v>
      </c>
    </row>
    <row r="45" spans="2:12" ht="14.25" x14ac:dyDescent="0.2">
      <c r="B45" s="799" t="s">
        <v>3535</v>
      </c>
      <c r="C45" s="676"/>
      <c r="D45" s="676"/>
      <c r="E45" s="676"/>
      <c r="F45" s="676"/>
      <c r="G45" s="676"/>
      <c r="H45" s="676"/>
      <c r="I45" s="676"/>
      <c r="J45" s="676"/>
      <c r="K45" s="677"/>
      <c r="L45" s="677">
        <f>IF(D33&gt;0,D33,0)</f>
        <v>0</v>
      </c>
    </row>
    <row r="46" spans="2:12" ht="14.25" x14ac:dyDescent="0.2">
      <c r="B46" s="799" t="s">
        <v>3511</v>
      </c>
      <c r="C46" s="676"/>
      <c r="D46" s="676"/>
      <c r="E46" s="676"/>
      <c r="F46" s="676"/>
      <c r="G46" s="676"/>
      <c r="H46" s="676"/>
      <c r="I46" s="676"/>
      <c r="J46" s="676"/>
      <c r="K46" s="677">
        <f>IF(D30&gt;0,D30,0)</f>
        <v>0</v>
      </c>
      <c r="L46" s="677"/>
    </row>
    <row r="47" spans="2:12" ht="14.25" x14ac:dyDescent="0.2">
      <c r="B47" s="799" t="s">
        <v>3536</v>
      </c>
      <c r="C47" s="676"/>
      <c r="D47" s="676"/>
      <c r="E47" s="676"/>
      <c r="F47" s="676"/>
      <c r="G47" s="676"/>
      <c r="H47" s="676"/>
      <c r="I47" s="676"/>
      <c r="J47" s="676"/>
      <c r="K47" s="677">
        <f>IF(D33&lt;0,-D33,0)</f>
        <v>0</v>
      </c>
      <c r="L47" s="677"/>
    </row>
    <row r="48" spans="2:12" ht="14.25" x14ac:dyDescent="0.2">
      <c r="B48" s="799" t="s">
        <v>3512</v>
      </c>
      <c r="C48" s="676"/>
      <c r="D48" s="676"/>
      <c r="E48" s="676"/>
      <c r="F48" s="676"/>
      <c r="G48" s="676"/>
      <c r="H48" s="676"/>
      <c r="I48" s="676"/>
      <c r="J48" s="676"/>
      <c r="K48" s="677"/>
      <c r="L48" s="677">
        <f>IF(D31&lt;0,-D31,0)</f>
        <v>0</v>
      </c>
    </row>
    <row r="49" spans="1:14" ht="14.25" x14ac:dyDescent="0.2">
      <c r="B49" s="799" t="s">
        <v>3537</v>
      </c>
      <c r="C49" s="676"/>
      <c r="D49" s="676"/>
      <c r="E49" s="676"/>
      <c r="F49" s="676"/>
      <c r="G49" s="676"/>
      <c r="H49" s="676"/>
      <c r="I49" s="676"/>
      <c r="J49" s="676"/>
      <c r="K49" s="677"/>
      <c r="L49" s="677">
        <f>D27</f>
        <v>0</v>
      </c>
      <c r="M49" s="571">
        <v>7450</v>
      </c>
      <c r="N49" s="696">
        <f>L49-M49</f>
        <v>-7450</v>
      </c>
    </row>
    <row r="50" spans="1:14" ht="14.25" x14ac:dyDescent="0.2">
      <c r="B50" s="676"/>
      <c r="C50" s="799" t="s">
        <v>3513</v>
      </c>
      <c r="D50" s="676"/>
      <c r="E50" s="676"/>
      <c r="F50" s="676"/>
      <c r="G50" s="676"/>
      <c r="H50" s="676"/>
      <c r="I50" s="676"/>
      <c r="J50" s="676"/>
      <c r="K50" s="678">
        <f>SUM(K38:K49)</f>
        <v>0</v>
      </c>
      <c r="L50" s="678">
        <f>SUM(L38:L49)</f>
        <v>0</v>
      </c>
      <c r="N50" s="696">
        <f>L50-K50</f>
        <v>0</v>
      </c>
    </row>
    <row r="51" spans="1:14" ht="9.75" customHeight="1" x14ac:dyDescent="0.2">
      <c r="B51" s="676"/>
      <c r="C51" s="676"/>
      <c r="D51" s="676"/>
      <c r="E51" s="676"/>
      <c r="F51" s="676"/>
      <c r="G51" s="676"/>
      <c r="H51" s="676"/>
      <c r="I51" s="676"/>
      <c r="J51" s="676"/>
      <c r="K51" s="700"/>
      <c r="L51" s="700"/>
      <c r="N51" s="696"/>
    </row>
    <row r="52" spans="1:14" ht="14.25" x14ac:dyDescent="0.2">
      <c r="B52" s="799" t="s">
        <v>3514</v>
      </c>
      <c r="C52" s="799"/>
      <c r="D52" s="799"/>
      <c r="E52" s="799"/>
      <c r="F52" s="799"/>
      <c r="G52" s="799"/>
      <c r="H52" s="799"/>
      <c r="I52" s="676"/>
      <c r="J52" s="676"/>
      <c r="K52" s="679">
        <f>C11</f>
        <v>0</v>
      </c>
      <c r="L52" s="679"/>
    </row>
    <row r="53" spans="1:14" ht="14.25" x14ac:dyDescent="0.2">
      <c r="B53" s="799" t="s">
        <v>1133</v>
      </c>
      <c r="C53" s="799"/>
      <c r="D53" s="799"/>
      <c r="E53" s="799"/>
      <c r="F53" s="799"/>
      <c r="G53" s="799"/>
      <c r="H53" s="799"/>
      <c r="I53" s="676"/>
      <c r="J53" s="676"/>
      <c r="K53" s="679"/>
      <c r="L53" s="679">
        <f>K52</f>
        <v>0</v>
      </c>
    </row>
    <row r="54" spans="1:14" ht="14.25" x14ac:dyDescent="0.2">
      <c r="B54" s="799"/>
      <c r="C54" s="799" t="s">
        <v>3515</v>
      </c>
      <c r="D54" s="799"/>
      <c r="E54" s="799"/>
      <c r="F54" s="799"/>
      <c r="G54" s="799"/>
      <c r="H54" s="799"/>
      <c r="I54" s="676"/>
      <c r="J54" s="676"/>
      <c r="K54" s="679"/>
      <c r="L54" s="679"/>
    </row>
    <row r="55" spans="1:14" ht="9" customHeight="1" x14ac:dyDescent="0.2">
      <c r="B55" s="799"/>
      <c r="C55" s="799"/>
      <c r="D55" s="799"/>
      <c r="E55" s="799"/>
      <c r="F55" s="799"/>
      <c r="G55" s="799"/>
      <c r="H55" s="799"/>
      <c r="I55" s="676"/>
      <c r="J55" s="676"/>
      <c r="K55" s="679"/>
      <c r="L55" s="679"/>
    </row>
    <row r="56" spans="1:14" ht="14.25" x14ac:dyDescent="0.2">
      <c r="B56" s="799" t="s">
        <v>3516</v>
      </c>
      <c r="C56" s="799"/>
      <c r="D56" s="799"/>
      <c r="E56" s="799"/>
      <c r="F56" s="799"/>
      <c r="G56" s="799"/>
      <c r="H56" s="799"/>
      <c r="I56" s="676"/>
      <c r="J56" s="676"/>
      <c r="K56" s="679">
        <f>C17</f>
        <v>0</v>
      </c>
      <c r="L56" s="679"/>
    </row>
    <row r="57" spans="1:14" ht="14.25" x14ac:dyDescent="0.2">
      <c r="B57" s="799" t="s">
        <v>1133</v>
      </c>
      <c r="C57" s="799"/>
      <c r="D57" s="799"/>
      <c r="E57" s="799"/>
      <c r="F57" s="799"/>
      <c r="G57" s="799"/>
      <c r="H57" s="799"/>
      <c r="I57" s="676"/>
      <c r="J57" s="676"/>
      <c r="K57" s="677"/>
      <c r="L57" s="677">
        <f>K56</f>
        <v>0</v>
      </c>
    </row>
    <row r="58" spans="1:14" ht="14.25" x14ac:dyDescent="0.2">
      <c r="B58" s="799"/>
      <c r="C58" s="799" t="s">
        <v>3517</v>
      </c>
      <c r="D58" s="799"/>
      <c r="E58" s="799"/>
      <c r="F58" s="799"/>
      <c r="G58" s="799"/>
      <c r="H58" s="799"/>
      <c r="I58" s="676"/>
      <c r="J58" s="676"/>
      <c r="K58" s="677"/>
      <c r="L58" s="677"/>
    </row>
    <row r="62" spans="1:14" x14ac:dyDescent="0.2">
      <c r="A62" s="567" t="s">
        <v>459</v>
      </c>
      <c r="B62" s="1106" t="s">
        <v>3528</v>
      </c>
      <c r="C62" s="1107"/>
      <c r="D62" s="1107"/>
      <c r="E62" s="1107"/>
      <c r="F62" s="1107"/>
      <c r="G62" s="1107"/>
      <c r="H62" s="1107"/>
      <c r="I62" s="1108"/>
    </row>
    <row r="65" spans="2:4" x14ac:dyDescent="0.2">
      <c r="B65" s="572"/>
      <c r="C65" s="590" t="s">
        <v>2039</v>
      </c>
      <c r="D65" s="590" t="s">
        <v>2040</v>
      </c>
    </row>
    <row r="66" spans="2:4" x14ac:dyDescent="0.2">
      <c r="B66" s="572" t="s">
        <v>1106</v>
      </c>
      <c r="C66" s="680">
        <f t="shared" ref="C66:D70" si="0">G87</f>
        <v>0</v>
      </c>
      <c r="D66" s="680">
        <f t="shared" si="0"/>
        <v>0</v>
      </c>
    </row>
    <row r="67" spans="2:4" x14ac:dyDescent="0.2">
      <c r="B67" s="572" t="s">
        <v>3522</v>
      </c>
      <c r="C67" s="680">
        <f t="shared" si="0"/>
        <v>0</v>
      </c>
      <c r="D67" s="680">
        <f t="shared" si="0"/>
        <v>0</v>
      </c>
    </row>
    <row r="68" spans="2:4" x14ac:dyDescent="0.2">
      <c r="B68" s="572" t="s">
        <v>2066</v>
      </c>
      <c r="C68" s="680">
        <f t="shared" si="0"/>
        <v>0</v>
      </c>
      <c r="D68" s="680">
        <f t="shared" si="0"/>
        <v>0</v>
      </c>
    </row>
    <row r="69" spans="2:4" ht="25.5" x14ac:dyDescent="0.2">
      <c r="B69" s="572" t="s">
        <v>3490</v>
      </c>
      <c r="C69" s="680">
        <f t="shared" si="0"/>
        <v>0</v>
      </c>
      <c r="D69" s="680">
        <f t="shared" si="0"/>
        <v>0</v>
      </c>
    </row>
    <row r="70" spans="2:4" x14ac:dyDescent="0.2">
      <c r="B70" s="572" t="s">
        <v>3491</v>
      </c>
      <c r="C70" s="680">
        <f t="shared" si="0"/>
        <v>0</v>
      </c>
      <c r="D70" s="680">
        <f t="shared" si="0"/>
        <v>0</v>
      </c>
    </row>
    <row r="71" spans="2:4" ht="25.5" x14ac:dyDescent="0.2">
      <c r="B71" s="572" t="s">
        <v>3870</v>
      </c>
      <c r="C71" s="680"/>
      <c r="D71" s="680">
        <f>H94</f>
        <v>0</v>
      </c>
    </row>
    <row r="72" spans="2:4" ht="25.5" x14ac:dyDescent="0.2">
      <c r="B72" s="572" t="s">
        <v>3492</v>
      </c>
      <c r="C72" s="680">
        <f>G92</f>
        <v>0</v>
      </c>
      <c r="D72" s="680">
        <f>H92</f>
        <v>0</v>
      </c>
    </row>
    <row r="73" spans="2:4" x14ac:dyDescent="0.2">
      <c r="B73" s="572" t="s">
        <v>3495</v>
      </c>
      <c r="C73" s="680">
        <f>G93</f>
        <v>0</v>
      </c>
      <c r="D73" s="680">
        <f>H93</f>
        <v>0</v>
      </c>
    </row>
    <row r="74" spans="2:4" ht="25.5" x14ac:dyDescent="0.2">
      <c r="B74" s="572" t="s">
        <v>3523</v>
      </c>
      <c r="C74" s="680">
        <f t="shared" ref="C74:D76" si="1">G95</f>
        <v>0</v>
      </c>
      <c r="D74" s="680">
        <f t="shared" si="1"/>
        <v>0</v>
      </c>
    </row>
    <row r="75" spans="2:4" x14ac:dyDescent="0.2">
      <c r="B75" s="572" t="s">
        <v>3869</v>
      </c>
      <c r="C75" s="680">
        <f t="shared" si="1"/>
        <v>0</v>
      </c>
      <c r="D75" s="680">
        <f t="shared" si="1"/>
        <v>0</v>
      </c>
    </row>
    <row r="76" spans="2:4" x14ac:dyDescent="0.2">
      <c r="B76" s="572" t="s">
        <v>3933</v>
      </c>
      <c r="C76" s="680">
        <f t="shared" si="1"/>
        <v>0</v>
      </c>
      <c r="D76" s="680">
        <f t="shared" si="1"/>
        <v>0</v>
      </c>
    </row>
    <row r="77" spans="2:4" x14ac:dyDescent="0.2">
      <c r="B77" s="572"/>
      <c r="C77" s="681"/>
      <c r="D77" s="681"/>
    </row>
    <row r="78" spans="2:4" ht="13.5" thickBot="1" x14ac:dyDescent="0.25">
      <c r="B78" s="572"/>
      <c r="C78" s="682">
        <f>SUM(C66:C77)</f>
        <v>0</v>
      </c>
      <c r="D78" s="682">
        <f>SUM(D66:D77)</f>
        <v>0</v>
      </c>
    </row>
    <row r="79" spans="2:4" ht="13.5" thickTop="1" x14ac:dyDescent="0.2"/>
    <row r="81" spans="2:8" x14ac:dyDescent="0.2">
      <c r="B81" s="1104" t="s">
        <v>3524</v>
      </c>
      <c r="C81" s="1104"/>
      <c r="D81" s="1104"/>
      <c r="E81" s="1104"/>
      <c r="F81" s="1104"/>
      <c r="G81" s="1104"/>
      <c r="H81" s="1104"/>
    </row>
    <row r="82" spans="2:8" x14ac:dyDescent="0.2">
      <c r="B82" s="1104"/>
      <c r="C82" s="1104"/>
      <c r="D82" s="1104"/>
      <c r="E82" s="1104"/>
      <c r="F82" s="1104"/>
      <c r="G82" s="1104"/>
      <c r="H82" s="1104"/>
    </row>
    <row r="83" spans="2:8" ht="18" x14ac:dyDescent="0.25">
      <c r="B83" s="591"/>
      <c r="C83" s="591"/>
      <c r="D83" s="591"/>
      <c r="E83" s="591"/>
      <c r="F83" s="591"/>
      <c r="G83" s="591"/>
      <c r="H83" s="592"/>
    </row>
    <row r="84" spans="2:8" ht="18" x14ac:dyDescent="0.2">
      <c r="B84" s="591"/>
      <c r="C84" s="593"/>
      <c r="D84" s="594"/>
      <c r="E84" s="683"/>
      <c r="F84" s="591"/>
      <c r="G84" s="1025" t="s">
        <v>102</v>
      </c>
      <c r="H84" s="1120"/>
    </row>
    <row r="85" spans="2:8" x14ac:dyDescent="0.2">
      <c r="B85" s="572"/>
      <c r="C85" s="596"/>
      <c r="D85" s="597"/>
      <c r="E85" s="684"/>
      <c r="G85" s="685"/>
      <c r="H85" s="686"/>
    </row>
    <row r="86" spans="2:8" x14ac:dyDescent="0.2">
      <c r="B86" s="572"/>
      <c r="C86" s="599" t="s">
        <v>64</v>
      </c>
      <c r="D86" s="147" t="s">
        <v>65</v>
      </c>
      <c r="E86" s="687" t="s">
        <v>2074</v>
      </c>
      <c r="G86" s="688" t="s">
        <v>64</v>
      </c>
      <c r="H86" s="689" t="s">
        <v>65</v>
      </c>
    </row>
    <row r="87" spans="2:8" x14ac:dyDescent="0.2">
      <c r="B87" s="572" t="s">
        <v>1106</v>
      </c>
      <c r="C87" s="600">
        <f>K49</f>
        <v>0</v>
      </c>
      <c r="D87" s="601">
        <v>0</v>
      </c>
      <c r="E87" s="690">
        <f>C87-D87</f>
        <v>0</v>
      </c>
      <c r="G87" s="691">
        <f t="shared" ref="G87:G97" si="2">IF(E87&lt;0,0,E87)</f>
        <v>0</v>
      </c>
      <c r="H87" s="602">
        <f t="shared" ref="H87:H97" si="3">IF(E87&gt;0,0,E87*-1)</f>
        <v>0</v>
      </c>
    </row>
    <row r="88" spans="2:8" x14ac:dyDescent="0.2">
      <c r="B88" s="572" t="s">
        <v>3522</v>
      </c>
      <c r="C88" s="639">
        <f>K39+K38</f>
        <v>0</v>
      </c>
      <c r="D88" s="602">
        <f>L39</f>
        <v>0</v>
      </c>
      <c r="E88" s="690">
        <f t="shared" ref="E88:E97" si="4">C88-D88</f>
        <v>0</v>
      </c>
      <c r="G88" s="691">
        <f t="shared" si="2"/>
        <v>0</v>
      </c>
      <c r="H88" s="602">
        <f>IF(E88&gt;0,0,E88*-1)</f>
        <v>0</v>
      </c>
    </row>
    <row r="89" spans="2:8" x14ac:dyDescent="0.2">
      <c r="B89" s="572" t="s">
        <v>2066</v>
      </c>
      <c r="C89" s="639">
        <f>K40+K53+K57</f>
        <v>0</v>
      </c>
      <c r="D89" s="602"/>
      <c r="E89" s="690">
        <f t="shared" si="4"/>
        <v>0</v>
      </c>
      <c r="G89" s="691">
        <f>IF(E89&lt;0,0,E89-E98)</f>
        <v>0</v>
      </c>
      <c r="H89" s="602">
        <f>IF(E89&gt;0,0,-E89+E98)</f>
        <v>0</v>
      </c>
    </row>
    <row r="90" spans="2:8" ht="25.5" x14ac:dyDescent="0.2">
      <c r="B90" s="572" t="s">
        <v>3490</v>
      </c>
      <c r="C90" s="639">
        <f>K41+K42</f>
        <v>0</v>
      </c>
      <c r="D90" s="602">
        <f>L41+L42</f>
        <v>0</v>
      </c>
      <c r="E90" s="690">
        <f t="shared" si="4"/>
        <v>0</v>
      </c>
      <c r="G90" s="691">
        <f>IF(E90&lt;0,0,E90)</f>
        <v>0</v>
      </c>
      <c r="H90" s="602">
        <f t="shared" si="3"/>
        <v>0</v>
      </c>
    </row>
    <row r="91" spans="2:8" x14ac:dyDescent="0.2">
      <c r="B91" s="572" t="s">
        <v>3491</v>
      </c>
      <c r="C91" s="639">
        <f>K45+K46</f>
        <v>0</v>
      </c>
      <c r="D91" s="602">
        <f>L45+L46</f>
        <v>0</v>
      </c>
      <c r="E91" s="690">
        <f t="shared" si="4"/>
        <v>0</v>
      </c>
      <c r="G91" s="691">
        <f t="shared" si="2"/>
        <v>0</v>
      </c>
      <c r="H91" s="602">
        <f t="shared" si="3"/>
        <v>0</v>
      </c>
    </row>
    <row r="92" spans="2:8" ht="25.5" x14ac:dyDescent="0.2">
      <c r="B92" s="572" t="s">
        <v>3492</v>
      </c>
      <c r="C92" s="639">
        <f>K43+K44</f>
        <v>0</v>
      </c>
      <c r="D92" s="602">
        <f>L43+L44</f>
        <v>0</v>
      </c>
      <c r="E92" s="690">
        <f t="shared" si="4"/>
        <v>0</v>
      </c>
      <c r="G92" s="691">
        <f t="shared" si="2"/>
        <v>0</v>
      </c>
      <c r="H92" s="602">
        <f t="shared" si="3"/>
        <v>0</v>
      </c>
    </row>
    <row r="93" spans="2:8" x14ac:dyDescent="0.2">
      <c r="B93" s="572" t="s">
        <v>3495</v>
      </c>
      <c r="C93" s="639">
        <f>K47+K48</f>
        <v>0</v>
      </c>
      <c r="D93" s="602">
        <f>L47+L48</f>
        <v>0</v>
      </c>
      <c r="E93" s="690">
        <f t="shared" si="4"/>
        <v>0</v>
      </c>
      <c r="G93" s="691">
        <f t="shared" si="2"/>
        <v>0</v>
      </c>
      <c r="H93" s="602">
        <f t="shared" si="3"/>
        <v>0</v>
      </c>
    </row>
    <row r="94" spans="2:8" ht="25.5" x14ac:dyDescent="0.2">
      <c r="B94" s="572" t="s">
        <v>3849</v>
      </c>
      <c r="C94" s="639"/>
      <c r="D94" s="602">
        <v>0</v>
      </c>
      <c r="E94" s="690">
        <f t="shared" si="4"/>
        <v>0</v>
      </c>
      <c r="G94" s="691">
        <f t="shared" si="2"/>
        <v>0</v>
      </c>
      <c r="H94" s="602">
        <f t="shared" si="3"/>
        <v>0</v>
      </c>
    </row>
    <row r="95" spans="2:8" ht="25.5" x14ac:dyDescent="0.2">
      <c r="B95" s="46" t="s">
        <v>3896</v>
      </c>
      <c r="C95" s="639">
        <f>C11+C17</f>
        <v>0</v>
      </c>
      <c r="D95" s="602">
        <f>C13+C7</f>
        <v>0</v>
      </c>
      <c r="E95" s="690">
        <f t="shared" si="4"/>
        <v>0</v>
      </c>
      <c r="G95" s="691">
        <f t="shared" si="2"/>
        <v>0</v>
      </c>
      <c r="H95" s="602">
        <f t="shared" si="3"/>
        <v>0</v>
      </c>
    </row>
    <row r="96" spans="2:8" x14ac:dyDescent="0.2">
      <c r="B96" s="572" t="s">
        <v>3869</v>
      </c>
      <c r="C96" s="639"/>
      <c r="D96" s="602">
        <f>C11+C9</f>
        <v>0</v>
      </c>
      <c r="E96" s="690">
        <f t="shared" si="4"/>
        <v>0</v>
      </c>
      <c r="G96" s="691">
        <f t="shared" si="2"/>
        <v>0</v>
      </c>
      <c r="H96" s="602">
        <f t="shared" si="3"/>
        <v>0</v>
      </c>
    </row>
    <row r="97" spans="2:8" x14ac:dyDescent="0.2">
      <c r="B97" s="572" t="s">
        <v>3933</v>
      </c>
      <c r="C97" s="639"/>
      <c r="D97" s="602">
        <f>C17+C15</f>
        <v>0</v>
      </c>
      <c r="E97" s="690">
        <f t="shared" si="4"/>
        <v>0</v>
      </c>
      <c r="G97" s="691">
        <f t="shared" si="2"/>
        <v>0</v>
      </c>
      <c r="H97" s="602">
        <f t="shared" si="3"/>
        <v>0</v>
      </c>
    </row>
    <row r="98" spans="2:8" x14ac:dyDescent="0.2">
      <c r="C98" s="692">
        <f>SUM(C86:C97)</f>
        <v>0</v>
      </c>
      <c r="D98" s="693">
        <f>SUM(D86:D97)</f>
        <v>0</v>
      </c>
      <c r="E98" s="694">
        <f>SUM(E86:E97)</f>
        <v>0</v>
      </c>
      <c r="G98" s="692">
        <f>SUM(G86:G97)</f>
        <v>0</v>
      </c>
      <c r="H98" s="693">
        <f>SUM(H86:H97)</f>
        <v>0</v>
      </c>
    </row>
  </sheetData>
  <sheetProtection algorithmName="SHA-512" hashValue="fhSFLeB55mz/5Jo/MDAU8nctAi80xgzHYNpaJ2ojRRx5mNnjaX5XR8UYiq8mQQt595/1C7JHoiHL6W13X9hKBw==" saltValue="4d9RjMyyfmJNl47Ht0fGlA==" spinCount="100000" sheet="1" objects="1" scenarios="1"/>
  <mergeCells count="17">
    <mergeCell ref="B81:H82"/>
    <mergeCell ref="G84:H84"/>
    <mergeCell ref="B62:I62"/>
    <mergeCell ref="F32:K32"/>
    <mergeCell ref="F33:K33"/>
    <mergeCell ref="A1:C1"/>
    <mergeCell ref="A4:C4"/>
    <mergeCell ref="F29:K29"/>
    <mergeCell ref="F31:K31"/>
    <mergeCell ref="A7:B7"/>
    <mergeCell ref="A9:B9"/>
    <mergeCell ref="D9:J9"/>
    <mergeCell ref="A11:B11"/>
    <mergeCell ref="A13:B13"/>
    <mergeCell ref="A15:B15"/>
    <mergeCell ref="A17:B17"/>
    <mergeCell ref="E13:J15"/>
  </mergeCells>
  <pageMargins left="0.7" right="0.7" top="0.75" bottom="0.75" header="0.3" footer="0.3"/>
  <pageSetup scale="52"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N239"/>
  <sheetViews>
    <sheetView workbookViewId="0">
      <selection sqref="A1:C1"/>
    </sheetView>
  </sheetViews>
  <sheetFormatPr defaultColWidth="9.140625" defaultRowHeight="15" x14ac:dyDescent="0.25"/>
  <cols>
    <col min="1" max="1" width="11.85546875" style="765" customWidth="1"/>
    <col min="2" max="2" width="48.28515625" style="765" customWidth="1"/>
    <col min="3" max="3" width="17.140625" style="765" customWidth="1"/>
    <col min="4" max="4" width="14.140625" style="765" customWidth="1"/>
    <col min="5" max="5" width="17.7109375" style="765" customWidth="1"/>
    <col min="6" max="6" width="9.140625" style="765"/>
    <col min="7" max="8" width="13.7109375" style="765" customWidth="1"/>
    <col min="9" max="9" width="9.140625" style="765"/>
    <col min="10" max="10" width="18.42578125" style="767" customWidth="1"/>
    <col min="11" max="11" width="19.5703125" style="767" customWidth="1"/>
    <col min="12" max="12" width="15.28515625" style="765" bestFit="1" customWidth="1"/>
    <col min="13" max="13" width="13.42578125" style="765" bestFit="1" customWidth="1"/>
    <col min="14" max="14" width="9.140625" style="765"/>
    <col min="15" max="15" width="10.7109375" style="765" bestFit="1" customWidth="1"/>
    <col min="16" max="16384" width="9.140625" style="765"/>
  </cols>
  <sheetData>
    <row r="1" spans="1:11" ht="15.75" x14ac:dyDescent="0.25">
      <c r="A1" s="1095" t="s">
        <v>3888</v>
      </c>
      <c r="B1" s="1096"/>
      <c r="C1" s="1097"/>
    </row>
    <row r="3" spans="1:11" ht="49.5" customHeight="1" x14ac:dyDescent="0.25">
      <c r="A3" s="1105" t="s">
        <v>4843</v>
      </c>
      <c r="B3" s="1105"/>
      <c r="C3" s="1105"/>
    </row>
    <row r="6" spans="1:11" ht="15.75" customHeight="1" x14ac:dyDescent="0.25">
      <c r="A6" s="1112" t="s">
        <v>3890</v>
      </c>
      <c r="B6" s="1128"/>
      <c r="C6" s="1113"/>
    </row>
    <row r="7" spans="1:11" x14ac:dyDescent="0.25">
      <c r="J7" s="768"/>
    </row>
    <row r="8" spans="1:11" ht="30" hidden="1" customHeight="1" x14ac:dyDescent="0.25">
      <c r="A8" s="1123" t="s">
        <v>4931</v>
      </c>
      <c r="B8" s="1124"/>
      <c r="C8" s="769">
        <v>0</v>
      </c>
      <c r="J8" s="768"/>
    </row>
    <row r="9" spans="1:11" ht="6.75" hidden="1" customHeight="1" x14ac:dyDescent="0.25">
      <c r="A9" s="770"/>
      <c r="B9" s="770"/>
      <c r="C9" s="771"/>
      <c r="J9" s="768"/>
    </row>
    <row r="10" spans="1:11" ht="45" hidden="1" customHeight="1" x14ac:dyDescent="0.25">
      <c r="A10" s="1124" t="s">
        <v>3540</v>
      </c>
      <c r="B10" s="1124"/>
      <c r="C10" s="769">
        <v>0</v>
      </c>
      <c r="J10" s="768"/>
    </row>
    <row r="11" spans="1:11" ht="5.25" hidden="1" customHeight="1" x14ac:dyDescent="0.25">
      <c r="A11" s="770"/>
      <c r="B11" s="770"/>
      <c r="C11" s="772"/>
      <c r="J11" s="768"/>
    </row>
    <row r="12" spans="1:11" ht="5.25" hidden="1" customHeight="1" x14ac:dyDescent="0.25">
      <c r="A12" s="1124" t="s">
        <v>3541</v>
      </c>
      <c r="B12" s="1124"/>
      <c r="C12" s="769">
        <v>0</v>
      </c>
      <c r="D12" s="1125"/>
      <c r="E12" s="1126"/>
      <c r="F12" s="1126"/>
      <c r="G12" s="1126"/>
      <c r="H12" s="1126"/>
      <c r="I12" s="1126"/>
      <c r="J12" s="1126"/>
    </row>
    <row r="13" spans="1:11" ht="3.75" customHeight="1" x14ac:dyDescent="0.25">
      <c r="A13" s="772"/>
      <c r="B13" s="772"/>
      <c r="C13" s="772"/>
      <c r="J13" s="768"/>
    </row>
    <row r="14" spans="1:11" ht="30.75" customHeight="1" x14ac:dyDescent="0.25">
      <c r="A14" s="1127" t="s">
        <v>3873</v>
      </c>
      <c r="B14" s="1127"/>
      <c r="C14" s="785"/>
      <c r="D14" s="773"/>
      <c r="G14" s="772"/>
      <c r="J14" s="765"/>
      <c r="K14" s="765"/>
    </row>
    <row r="15" spans="1:11" ht="6" hidden="1" customHeight="1" x14ac:dyDescent="0.25">
      <c r="A15" s="786"/>
      <c r="B15" s="786"/>
      <c r="C15" s="787"/>
      <c r="D15" s="773"/>
      <c r="J15" s="765"/>
      <c r="K15" s="765"/>
    </row>
    <row r="16" spans="1:11" ht="45" hidden="1" customHeight="1" x14ac:dyDescent="0.25">
      <c r="A16" s="1127" t="s">
        <v>3874</v>
      </c>
      <c r="B16" s="1127"/>
      <c r="C16" s="788"/>
      <c r="D16" s="773"/>
      <c r="J16" s="765"/>
      <c r="K16" s="765"/>
    </row>
    <row r="17" spans="1:11" ht="6" hidden="1" customHeight="1" x14ac:dyDescent="0.25">
      <c r="A17" s="786"/>
      <c r="B17" s="786"/>
      <c r="C17" s="787"/>
      <c r="D17" s="773"/>
      <c r="J17" s="765"/>
      <c r="K17" s="765"/>
    </row>
    <row r="18" spans="1:11" ht="36.75" hidden="1" customHeight="1" x14ac:dyDescent="0.25">
      <c r="A18" s="1127" t="s">
        <v>3875</v>
      </c>
      <c r="B18" s="1127"/>
      <c r="C18" s="788"/>
      <c r="D18" s="773"/>
      <c r="J18" s="765"/>
      <c r="K18" s="765"/>
    </row>
    <row r="19" spans="1:11" ht="4.5" customHeight="1" x14ac:dyDescent="0.25">
      <c r="A19" s="789"/>
      <c r="B19" s="789"/>
      <c r="C19" s="787"/>
      <c r="D19" s="773"/>
      <c r="J19" s="768"/>
    </row>
    <row r="20" spans="1:11" ht="45" customHeight="1" x14ac:dyDescent="0.25">
      <c r="A20" s="1127" t="s">
        <v>3932</v>
      </c>
      <c r="B20" s="1127"/>
      <c r="C20" s="785"/>
      <c r="D20" s="773"/>
      <c r="J20" s="768"/>
    </row>
    <row r="21" spans="1:11" ht="6" customHeight="1" x14ac:dyDescent="0.25">
      <c r="A21" s="770"/>
      <c r="B21" s="770"/>
      <c r="C21" s="771"/>
    </row>
    <row r="23" spans="1:11" ht="16.5" customHeight="1" x14ac:dyDescent="0.25">
      <c r="A23" s="781" t="s">
        <v>3889</v>
      </c>
      <c r="B23" s="778"/>
      <c r="C23" s="779"/>
      <c r="G23" s="774"/>
      <c r="H23" s="774"/>
      <c r="I23" s="774"/>
      <c r="J23" s="775"/>
    </row>
    <row r="25" spans="1:11" x14ac:dyDescent="0.25">
      <c r="A25" s="765" t="s">
        <v>3876</v>
      </c>
      <c r="C25" s="782"/>
    </row>
    <row r="26" spans="1:11" x14ac:dyDescent="0.25">
      <c r="A26" s="765" t="s">
        <v>3877</v>
      </c>
      <c r="B26" s="780"/>
      <c r="C26" s="783"/>
    </row>
    <row r="27" spans="1:11" x14ac:dyDescent="0.25">
      <c r="A27" s="765" t="s">
        <v>3878</v>
      </c>
      <c r="C27" s="783"/>
    </row>
    <row r="28" spans="1:11" x14ac:dyDescent="0.25">
      <c r="A28" s="765" t="s">
        <v>3879</v>
      </c>
      <c r="C28" s="783"/>
    </row>
    <row r="29" spans="1:11" ht="14.25" customHeight="1" x14ac:dyDescent="0.25">
      <c r="A29" s="765" t="s">
        <v>3880</v>
      </c>
      <c r="C29" s="783"/>
      <c r="E29" s="1121" t="s">
        <v>3882</v>
      </c>
      <c r="F29" s="1121"/>
      <c r="G29" s="1121"/>
      <c r="H29" s="1121"/>
      <c r="I29" s="1121"/>
    </row>
    <row r="30" spans="1:11" ht="35.25" customHeight="1" x14ac:dyDescent="0.25">
      <c r="A30" s="1121" t="s">
        <v>3881</v>
      </c>
      <c r="B30" s="1121"/>
      <c r="C30" s="784"/>
      <c r="F30" s="770"/>
      <c r="G30" s="770"/>
      <c r="H30" s="770"/>
      <c r="I30" s="770"/>
      <c r="J30" s="770"/>
    </row>
    <row r="31" spans="1:11" ht="33.75" customHeight="1" x14ac:dyDescent="0.25">
      <c r="A31" s="1121" t="s">
        <v>3883</v>
      </c>
      <c r="B31" s="1121"/>
      <c r="C31" s="784"/>
      <c r="E31" s="1122"/>
      <c r="F31" s="1122"/>
      <c r="G31" s="1122"/>
      <c r="H31" s="1122"/>
      <c r="I31" s="1122"/>
      <c r="J31" s="1122"/>
    </row>
    <row r="32" spans="1:11" ht="33.75" customHeight="1" x14ac:dyDescent="0.25">
      <c r="A32" s="1121" t="s">
        <v>3884</v>
      </c>
      <c r="B32" s="1121"/>
      <c r="C32" s="784"/>
      <c r="E32" s="1122" t="s">
        <v>3885</v>
      </c>
      <c r="F32" s="1122"/>
      <c r="G32" s="1122"/>
      <c r="H32" s="1122"/>
      <c r="I32" s="1122"/>
      <c r="J32" s="1122"/>
    </row>
    <row r="33" spans="1:10" ht="33.75" customHeight="1" x14ac:dyDescent="0.25">
      <c r="A33" s="1121" t="s">
        <v>3886</v>
      </c>
      <c r="B33" s="1121"/>
      <c r="C33" s="784"/>
      <c r="E33" s="1122" t="s">
        <v>3885</v>
      </c>
      <c r="F33" s="1122"/>
      <c r="G33" s="1122"/>
      <c r="H33" s="1122"/>
      <c r="I33" s="1122"/>
      <c r="J33" s="1122"/>
    </row>
    <row r="34" spans="1:10" ht="33.75" hidden="1" customHeight="1" x14ac:dyDescent="0.25">
      <c r="A34" s="1121" t="s">
        <v>3887</v>
      </c>
      <c r="B34" s="1121"/>
      <c r="C34" s="776">
        <v>0</v>
      </c>
      <c r="E34" s="1122" t="s">
        <v>3885</v>
      </c>
      <c r="F34" s="1122"/>
      <c r="G34" s="1122"/>
      <c r="H34" s="1122"/>
      <c r="I34" s="1122"/>
      <c r="J34" s="1122"/>
    </row>
    <row r="36" spans="1:10" x14ac:dyDescent="0.25">
      <c r="A36" s="531"/>
      <c r="B36" s="46"/>
      <c r="C36" s="557"/>
      <c r="D36" s="557"/>
      <c r="E36"/>
      <c r="F36"/>
      <c r="G36"/>
      <c r="H36"/>
      <c r="I36"/>
    </row>
    <row r="37" spans="1:10" ht="30" customHeight="1" x14ac:dyDescent="0.25">
      <c r="A37" s="567"/>
      <c r="B37" s="1129" t="s">
        <v>3897</v>
      </c>
      <c r="C37" s="1130"/>
      <c r="D37" s="1130"/>
      <c r="E37" s="1130"/>
      <c r="F37" s="1130"/>
      <c r="G37" s="1130"/>
      <c r="H37" s="1130"/>
      <c r="I37" s="1131"/>
    </row>
    <row r="38" spans="1:10" x14ac:dyDescent="0.25">
      <c r="A38" s="567"/>
      <c r="B38" s="157"/>
      <c r="C38" s="157"/>
      <c r="D38" s="157"/>
      <c r="E38" s="157"/>
      <c r="F38" s="157"/>
      <c r="G38" s="157"/>
      <c r="H38" s="157"/>
      <c r="I38" s="157"/>
    </row>
    <row r="39" spans="1:10" x14ac:dyDescent="0.25">
      <c r="A39" s="567"/>
      <c r="B39" s="1109" t="s">
        <v>2065</v>
      </c>
      <c r="C39" s="1110"/>
      <c r="D39" s="1110"/>
      <c r="E39" s="1110"/>
      <c r="F39" s="792"/>
      <c r="G39" s="792"/>
      <c r="H39" s="792"/>
      <c r="I39" s="793"/>
    </row>
    <row r="40" spans="1:10" x14ac:dyDescent="0.25">
      <c r="A40" s="531"/>
      <c r="B40" s="582" t="s">
        <v>2042</v>
      </c>
      <c r="C40" s="579">
        <f>'J. Other Liability &amp; Expenses'!L151</f>
        <v>0</v>
      </c>
      <c r="D40" s="157"/>
      <c r="E40" s="157"/>
      <c r="F40"/>
      <c r="G40"/>
      <c r="H40"/>
      <c r="I40" s="561"/>
    </row>
    <row r="41" spans="1:10" x14ac:dyDescent="0.25">
      <c r="A41" s="531"/>
      <c r="B41" s="582" t="s">
        <v>2080</v>
      </c>
      <c r="C41" s="579">
        <f>'J. Other Liability &amp; Expenses'!L152</f>
        <v>0</v>
      </c>
      <c r="D41" s="759"/>
      <c r="E41" s="157"/>
      <c r="F41"/>
      <c r="G41"/>
      <c r="H41"/>
      <c r="I41" s="561"/>
    </row>
    <row r="42" spans="1:10" x14ac:dyDescent="0.25">
      <c r="A42" s="531"/>
      <c r="B42" s="582" t="s">
        <v>2052</v>
      </c>
      <c r="C42" s="579">
        <f>'J. Other Liability &amp; Expenses'!L153</f>
        <v>0</v>
      </c>
      <c r="D42" s="157"/>
      <c r="E42" s="157"/>
      <c r="F42"/>
      <c r="G42"/>
      <c r="H42"/>
      <c r="I42" s="561"/>
    </row>
    <row r="43" spans="1:10" x14ac:dyDescent="0.25">
      <c r="A43" s="531"/>
      <c r="B43" s="584" t="s">
        <v>2053</v>
      </c>
      <c r="C43" s="579">
        <f>SUM(C40:C42)</f>
        <v>0</v>
      </c>
      <c r="D43" s="157" t="str">
        <f>IF(C43=1,"","DOES NOT EQUAL 100%!!!")</f>
        <v>DOES NOT EQUAL 100%!!!</v>
      </c>
      <c r="E43"/>
      <c r="F43"/>
      <c r="G43"/>
      <c r="H43"/>
      <c r="I43" s="561"/>
    </row>
    <row r="44" spans="1:10" x14ac:dyDescent="0.25">
      <c r="A44" s="531"/>
      <c r="B44" s="585"/>
      <c r="C44"/>
      <c r="D44"/>
      <c r="E44"/>
      <c r="F44"/>
      <c r="G44"/>
      <c r="H44"/>
      <c r="I44" s="561"/>
    </row>
    <row r="45" spans="1:10" x14ac:dyDescent="0.25">
      <c r="A45" s="531"/>
      <c r="B45" s="586" t="s">
        <v>2054</v>
      </c>
      <c r="C45"/>
      <c r="D45"/>
      <c r="E45"/>
      <c r="F45"/>
      <c r="G45"/>
      <c r="H45"/>
      <c r="I45" s="561"/>
    </row>
    <row r="46" spans="1:10" x14ac:dyDescent="0.25">
      <c r="A46" s="531"/>
      <c r="B46" s="585" t="s">
        <v>2055</v>
      </c>
      <c r="C46" s="579">
        <f>'J. Other Liability &amp; Expenses'!L157</f>
        <v>0</v>
      </c>
      <c r="D46"/>
      <c r="E46"/>
      <c r="F46"/>
      <c r="G46"/>
      <c r="H46"/>
      <c r="I46" s="561"/>
    </row>
    <row r="47" spans="1:10" x14ac:dyDescent="0.25">
      <c r="A47" s="531"/>
      <c r="B47" s="585" t="s">
        <v>2056</v>
      </c>
      <c r="C47" s="579">
        <f>'J. Other Liability &amp; Expenses'!L158</f>
        <v>0</v>
      </c>
      <c r="D47"/>
      <c r="E47"/>
      <c r="F47"/>
      <c r="G47"/>
      <c r="H47"/>
      <c r="I47" s="561"/>
    </row>
    <row r="48" spans="1:10" x14ac:dyDescent="0.25">
      <c r="A48" s="531"/>
      <c r="B48" s="585" t="s">
        <v>2057</v>
      </c>
      <c r="C48" s="579">
        <f>'J. Other Liability &amp; Expenses'!L159</f>
        <v>0</v>
      </c>
      <c r="D48"/>
      <c r="E48"/>
      <c r="F48"/>
      <c r="G48"/>
      <c r="H48"/>
      <c r="I48" s="561"/>
    </row>
    <row r="49" spans="1:9" x14ac:dyDescent="0.25">
      <c r="A49" s="531"/>
      <c r="B49" s="585" t="s">
        <v>2058</v>
      </c>
      <c r="C49" s="579">
        <f>'J. Other Liability &amp; Expenses'!L160</f>
        <v>0</v>
      </c>
      <c r="D49"/>
      <c r="E49"/>
      <c r="F49"/>
      <c r="G49"/>
      <c r="H49"/>
      <c r="I49" s="561"/>
    </row>
    <row r="50" spans="1:9" x14ac:dyDescent="0.25">
      <c r="A50" s="531"/>
      <c r="B50" s="585" t="s">
        <v>4928</v>
      </c>
      <c r="C50" s="579">
        <f>'J. Other Liability &amp; Expenses'!L161</f>
        <v>0</v>
      </c>
      <c r="D50"/>
      <c r="E50"/>
      <c r="F50"/>
      <c r="G50"/>
      <c r="H50"/>
      <c r="I50" s="561"/>
    </row>
    <row r="51" spans="1:9" x14ac:dyDescent="0.25">
      <c r="A51" s="531"/>
      <c r="B51" s="585" t="s">
        <v>2059</v>
      </c>
      <c r="C51" s="579">
        <f>'J. Other Liability &amp; Expenses'!L162</f>
        <v>0</v>
      </c>
      <c r="D51"/>
      <c r="E51"/>
      <c r="F51"/>
      <c r="G51"/>
      <c r="H51"/>
      <c r="I51" s="561"/>
    </row>
    <row r="52" spans="1:9" x14ac:dyDescent="0.25">
      <c r="A52" s="531"/>
      <c r="B52" s="585" t="s">
        <v>2060</v>
      </c>
      <c r="C52" s="579">
        <f>'J. Other Liability &amp; Expenses'!L163</f>
        <v>0</v>
      </c>
      <c r="D52"/>
      <c r="E52"/>
      <c r="F52"/>
      <c r="G52"/>
      <c r="H52"/>
      <c r="I52" s="561"/>
    </row>
    <row r="53" spans="1:9" x14ac:dyDescent="0.25">
      <c r="A53" s="531"/>
      <c r="B53" s="585" t="s">
        <v>2062</v>
      </c>
      <c r="C53" s="579">
        <f>'J. Other Liability &amp; Expenses'!L164</f>
        <v>0</v>
      </c>
      <c r="D53"/>
      <c r="E53"/>
      <c r="F53"/>
      <c r="G53"/>
      <c r="H53"/>
      <c r="I53" s="561"/>
    </row>
    <row r="54" spans="1:9" x14ac:dyDescent="0.25">
      <c r="A54" s="531"/>
      <c r="B54" s="587" t="s">
        <v>2061</v>
      </c>
      <c r="C54" s="588">
        <f>SUM(C46:C53)</f>
        <v>0</v>
      </c>
      <c r="D54" s="589" t="str">
        <f>IF(C54=C40,"Equals Governmental Activities","DOES NOT EQUAL Governmental Activities!!!")</f>
        <v>Equals Governmental Activities</v>
      </c>
      <c r="E54" s="8"/>
      <c r="F54" s="8"/>
      <c r="G54" s="8"/>
      <c r="H54" s="8"/>
      <c r="I54" s="126"/>
    </row>
    <row r="55" spans="1:9" x14ac:dyDescent="0.25">
      <c r="A55" s="531"/>
      <c r="B55" s="4"/>
      <c r="C55"/>
      <c r="D55"/>
      <c r="E55"/>
      <c r="F55"/>
      <c r="G55"/>
      <c r="H55"/>
      <c r="I55"/>
    </row>
    <row r="56" spans="1:9" x14ac:dyDescent="0.25">
      <c r="A56" s="571"/>
      <c r="B56" s="572" t="s">
        <v>1106</v>
      </c>
      <c r="C56" s="680">
        <f t="shared" ref="C56:D58" si="0">G99</f>
        <v>0</v>
      </c>
      <c r="D56" s="680">
        <f t="shared" si="0"/>
        <v>0</v>
      </c>
      <c r="E56" s="571"/>
      <c r="F56" s="571"/>
      <c r="G56" s="571"/>
      <c r="H56" s="571"/>
      <c r="I56" s="571"/>
    </row>
    <row r="57" spans="1:9" x14ac:dyDescent="0.25">
      <c r="A57" s="571"/>
      <c r="B57" s="572" t="s">
        <v>3891</v>
      </c>
      <c r="C57" s="680">
        <f t="shared" si="0"/>
        <v>0</v>
      </c>
      <c r="D57" s="680">
        <f t="shared" si="0"/>
        <v>0</v>
      </c>
      <c r="E57" s="571"/>
      <c r="F57" s="571"/>
      <c r="G57" s="571"/>
      <c r="H57" s="571"/>
      <c r="I57" s="571"/>
    </row>
    <row r="58" spans="1:9" x14ac:dyDescent="0.25">
      <c r="A58" s="571"/>
      <c r="B58" s="571" t="s">
        <v>3898</v>
      </c>
      <c r="C58" s="680">
        <f t="shared" si="0"/>
        <v>0</v>
      </c>
      <c r="D58" s="680">
        <f t="shared" si="0"/>
        <v>0</v>
      </c>
      <c r="E58" s="571"/>
      <c r="F58" s="571"/>
      <c r="G58" s="571"/>
      <c r="H58" s="571"/>
      <c r="I58" s="571"/>
    </row>
    <row r="59" spans="1:9" x14ac:dyDescent="0.25">
      <c r="A59" s="571"/>
      <c r="B59" s="571" t="s">
        <v>3899</v>
      </c>
      <c r="C59" s="680">
        <f t="shared" ref="C59:C67" si="1">G102</f>
        <v>0</v>
      </c>
      <c r="D59" s="680">
        <f t="shared" ref="D59:D67" si="2">H102</f>
        <v>0</v>
      </c>
      <c r="E59" s="571"/>
      <c r="F59" s="571"/>
      <c r="G59" s="571"/>
      <c r="H59" s="571"/>
      <c r="I59" s="571"/>
    </row>
    <row r="60" spans="1:9" x14ac:dyDescent="0.25">
      <c r="A60" s="571"/>
      <c r="B60" s="571" t="s">
        <v>3900</v>
      </c>
      <c r="C60" s="680">
        <f t="shared" si="1"/>
        <v>0</v>
      </c>
      <c r="D60" s="680">
        <f t="shared" si="2"/>
        <v>0</v>
      </c>
      <c r="E60" s="571"/>
      <c r="F60" s="571"/>
      <c r="G60" s="571"/>
      <c r="H60" s="571"/>
      <c r="I60" s="571"/>
    </row>
    <row r="61" spans="1:9" x14ac:dyDescent="0.25">
      <c r="A61" s="571"/>
      <c r="B61" s="571" t="s">
        <v>3901</v>
      </c>
      <c r="C61" s="680">
        <f t="shared" si="1"/>
        <v>0</v>
      </c>
      <c r="D61" s="680">
        <f t="shared" si="2"/>
        <v>0</v>
      </c>
      <c r="E61" s="571"/>
      <c r="F61" s="571"/>
      <c r="G61" s="571"/>
      <c r="H61" s="571"/>
      <c r="I61" s="571"/>
    </row>
    <row r="62" spans="1:9" x14ac:dyDescent="0.25">
      <c r="A62" s="571"/>
      <c r="B62" s="571" t="s">
        <v>4932</v>
      </c>
      <c r="C62" s="680">
        <f t="shared" si="1"/>
        <v>0</v>
      </c>
      <c r="D62" s="680">
        <f t="shared" si="2"/>
        <v>0</v>
      </c>
      <c r="E62" s="571"/>
      <c r="F62" s="571"/>
      <c r="G62" s="571"/>
      <c r="H62" s="571"/>
      <c r="I62" s="571"/>
    </row>
    <row r="63" spans="1:9" x14ac:dyDescent="0.25">
      <c r="A63" s="571"/>
      <c r="B63" s="571" t="s">
        <v>3902</v>
      </c>
      <c r="C63" s="680">
        <f t="shared" si="1"/>
        <v>0</v>
      </c>
      <c r="D63" s="680">
        <f t="shared" si="2"/>
        <v>0</v>
      </c>
      <c r="E63" s="571"/>
      <c r="F63" s="571"/>
      <c r="G63" s="571"/>
      <c r="H63" s="571"/>
      <c r="I63" s="571"/>
    </row>
    <row r="64" spans="1:9" x14ac:dyDescent="0.25">
      <c r="A64" s="571"/>
      <c r="B64" s="571" t="s">
        <v>3903</v>
      </c>
      <c r="C64" s="680">
        <f t="shared" si="1"/>
        <v>0</v>
      </c>
      <c r="D64" s="680">
        <f t="shared" si="2"/>
        <v>0</v>
      </c>
      <c r="E64" s="571"/>
      <c r="F64" s="571"/>
      <c r="G64" s="571"/>
      <c r="H64" s="571"/>
      <c r="I64" s="571"/>
    </row>
    <row r="65" spans="1:9" x14ac:dyDescent="0.25">
      <c r="A65" s="571"/>
      <c r="B65" s="571" t="s">
        <v>3904</v>
      </c>
      <c r="C65" s="680">
        <f t="shared" si="1"/>
        <v>0</v>
      </c>
      <c r="D65" s="680">
        <f t="shared" si="2"/>
        <v>0</v>
      </c>
      <c r="E65" s="571"/>
      <c r="F65" s="571"/>
      <c r="G65" s="571"/>
      <c r="H65" s="571"/>
      <c r="I65" s="571"/>
    </row>
    <row r="66" spans="1:9" ht="26.25" x14ac:dyDescent="0.25">
      <c r="A66" s="571"/>
      <c r="B66" s="572" t="s">
        <v>3490</v>
      </c>
      <c r="C66" s="680">
        <f t="shared" si="1"/>
        <v>0</v>
      </c>
      <c r="D66" s="680">
        <f t="shared" si="2"/>
        <v>0</v>
      </c>
      <c r="E66" s="571"/>
      <c r="F66" s="571"/>
      <c r="G66" s="571"/>
      <c r="H66" s="571"/>
      <c r="I66" s="571"/>
    </row>
    <row r="67" spans="1:9" x14ac:dyDescent="0.25">
      <c r="A67" s="571"/>
      <c r="B67" s="572" t="s">
        <v>3491</v>
      </c>
      <c r="C67" s="680">
        <f t="shared" si="1"/>
        <v>0</v>
      </c>
      <c r="D67" s="680">
        <f t="shared" si="2"/>
        <v>0</v>
      </c>
      <c r="E67" s="571"/>
      <c r="F67" s="571"/>
      <c r="G67" s="571"/>
      <c r="H67" s="571"/>
      <c r="I67" s="571"/>
    </row>
    <row r="68" spans="1:9" ht="26.25" hidden="1" x14ac:dyDescent="0.25">
      <c r="A68" s="571"/>
      <c r="B68" s="572" t="s">
        <v>3870</v>
      </c>
      <c r="C68" s="680"/>
      <c r="D68" s="680"/>
      <c r="E68" s="571"/>
      <c r="F68" s="571"/>
      <c r="G68" s="571"/>
      <c r="H68" s="571"/>
      <c r="I68" s="571"/>
    </row>
    <row r="69" spans="1:9" ht="26.25" x14ac:dyDescent="0.25">
      <c r="A69" s="571"/>
      <c r="B69" s="572" t="s">
        <v>3492</v>
      </c>
      <c r="C69" s="680">
        <f>G111</f>
        <v>0</v>
      </c>
      <c r="D69" s="680">
        <f>H111</f>
        <v>0</v>
      </c>
      <c r="E69" s="571"/>
      <c r="F69" s="571"/>
      <c r="G69" s="571"/>
      <c r="H69" s="571"/>
      <c r="I69" s="571"/>
    </row>
    <row r="70" spans="1:9" x14ac:dyDescent="0.25">
      <c r="A70" s="571"/>
      <c r="B70" s="572" t="s">
        <v>3495</v>
      </c>
      <c r="C70" s="680">
        <f>G112</f>
        <v>0</v>
      </c>
      <c r="D70" s="680">
        <f>H112</f>
        <v>0</v>
      </c>
      <c r="E70" s="571"/>
      <c r="F70" s="571"/>
      <c r="G70" s="571"/>
      <c r="H70" s="571"/>
      <c r="I70" s="571"/>
    </row>
    <row r="71" spans="1:9" ht="26.25" x14ac:dyDescent="0.25">
      <c r="A71" s="571"/>
      <c r="B71" s="572" t="s">
        <v>3523</v>
      </c>
      <c r="C71" s="680">
        <f t="shared" ref="C71:C79" si="3">G114</f>
        <v>0</v>
      </c>
      <c r="D71" s="680">
        <f t="shared" ref="D71:D79" si="4">H114</f>
        <v>0</v>
      </c>
      <c r="E71" s="571"/>
      <c r="F71" s="571"/>
      <c r="G71" s="571"/>
      <c r="H71" s="571"/>
      <c r="I71" s="571"/>
    </row>
    <row r="72" spans="1:9" x14ac:dyDescent="0.25">
      <c r="A72" s="571"/>
      <c r="B72" s="571" t="s">
        <v>3913</v>
      </c>
      <c r="C72" s="680">
        <f t="shared" si="3"/>
        <v>0</v>
      </c>
      <c r="D72" s="680">
        <f t="shared" si="4"/>
        <v>0</v>
      </c>
      <c r="E72" s="571"/>
      <c r="F72" s="571"/>
      <c r="G72" s="571"/>
      <c r="H72" s="571"/>
      <c r="I72" s="571"/>
    </row>
    <row r="73" spans="1:9" x14ac:dyDescent="0.25">
      <c r="A73" s="571"/>
      <c r="B73" s="571" t="s">
        <v>3914</v>
      </c>
      <c r="C73" s="680">
        <f t="shared" si="3"/>
        <v>0</v>
      </c>
      <c r="D73" s="680">
        <f t="shared" si="4"/>
        <v>0</v>
      </c>
      <c r="E73" s="571"/>
      <c r="F73" s="571"/>
      <c r="G73" s="571"/>
      <c r="H73" s="571"/>
      <c r="I73" s="571"/>
    </row>
    <row r="74" spans="1:9" x14ac:dyDescent="0.25">
      <c r="A74" s="571"/>
      <c r="B74" s="571" t="s">
        <v>3915</v>
      </c>
      <c r="C74" s="680">
        <f t="shared" si="3"/>
        <v>0</v>
      </c>
      <c r="D74" s="680">
        <f t="shared" si="4"/>
        <v>0</v>
      </c>
      <c r="E74" s="571"/>
      <c r="F74" s="571"/>
      <c r="G74" s="571"/>
      <c r="H74" s="571"/>
      <c r="I74" s="571"/>
    </row>
    <row r="75" spans="1:9" x14ac:dyDescent="0.25">
      <c r="A75" s="571"/>
      <c r="B75" s="571" t="s">
        <v>3916</v>
      </c>
      <c r="C75" s="680">
        <f t="shared" si="3"/>
        <v>0</v>
      </c>
      <c r="D75" s="680">
        <f t="shared" si="4"/>
        <v>0</v>
      </c>
      <c r="E75" s="571"/>
      <c r="F75" s="571"/>
      <c r="G75" s="571"/>
      <c r="H75" s="571"/>
      <c r="I75" s="571"/>
    </row>
    <row r="76" spans="1:9" x14ac:dyDescent="0.25">
      <c r="A76" s="571"/>
      <c r="B76" s="571" t="s">
        <v>4933</v>
      </c>
      <c r="C76" s="680">
        <f t="shared" si="3"/>
        <v>0</v>
      </c>
      <c r="D76" s="680">
        <f t="shared" si="4"/>
        <v>0</v>
      </c>
      <c r="E76" s="571"/>
      <c r="F76" s="571"/>
      <c r="G76" s="571"/>
      <c r="H76" s="571"/>
      <c r="I76" s="571"/>
    </row>
    <row r="77" spans="1:9" x14ac:dyDescent="0.25">
      <c r="A77" s="571"/>
      <c r="B77" s="571" t="s">
        <v>3917</v>
      </c>
      <c r="C77" s="680">
        <f t="shared" si="3"/>
        <v>0</v>
      </c>
      <c r="D77" s="680">
        <f t="shared" si="4"/>
        <v>0</v>
      </c>
      <c r="E77" s="571"/>
      <c r="F77" s="571"/>
      <c r="G77" s="571"/>
      <c r="H77" s="571"/>
      <c r="I77" s="571"/>
    </row>
    <row r="78" spans="1:9" x14ac:dyDescent="0.25">
      <c r="A78" s="571"/>
      <c r="B78" s="571" t="s">
        <v>3918</v>
      </c>
      <c r="C78" s="680">
        <f t="shared" si="3"/>
        <v>0</v>
      </c>
      <c r="D78" s="680">
        <f t="shared" si="4"/>
        <v>0</v>
      </c>
      <c r="E78" s="571"/>
      <c r="F78" s="571"/>
      <c r="G78" s="571"/>
      <c r="H78" s="571"/>
      <c r="I78" s="571"/>
    </row>
    <row r="79" spans="1:9" x14ac:dyDescent="0.25">
      <c r="A79" s="571"/>
      <c r="B79" s="571" t="s">
        <v>3919</v>
      </c>
      <c r="C79" s="680">
        <f t="shared" si="3"/>
        <v>0</v>
      </c>
      <c r="D79" s="680">
        <f t="shared" si="4"/>
        <v>0</v>
      </c>
      <c r="E79" s="571"/>
      <c r="F79" s="571"/>
      <c r="G79" s="571"/>
      <c r="H79" s="571"/>
      <c r="I79" s="571"/>
    </row>
    <row r="80" spans="1:9" x14ac:dyDescent="0.25">
      <c r="A80" s="571"/>
      <c r="B80" s="571" t="s">
        <v>3906</v>
      </c>
      <c r="C80" s="680">
        <f>G123</f>
        <v>0</v>
      </c>
      <c r="D80" s="680">
        <f>H123</f>
        <v>1</v>
      </c>
      <c r="E80" s="571"/>
      <c r="F80" s="571"/>
      <c r="G80" s="571"/>
      <c r="H80" s="571"/>
      <c r="I80" s="571"/>
    </row>
    <row r="81" spans="1:9" x14ac:dyDescent="0.25">
      <c r="A81" s="571"/>
      <c r="B81" s="571" t="s">
        <v>3907</v>
      </c>
      <c r="C81" s="680">
        <f t="shared" ref="C81:D81" si="5">G124</f>
        <v>0</v>
      </c>
      <c r="D81" s="680">
        <f t="shared" si="5"/>
        <v>0</v>
      </c>
      <c r="E81" s="571"/>
      <c r="F81" s="571"/>
      <c r="G81" s="571"/>
      <c r="H81" s="571"/>
      <c r="I81" s="571"/>
    </row>
    <row r="82" spans="1:9" x14ac:dyDescent="0.25">
      <c r="A82" s="571"/>
      <c r="B82" s="571" t="s">
        <v>3908</v>
      </c>
      <c r="C82" s="680">
        <f t="shared" ref="C82:D82" si="6">G125</f>
        <v>0</v>
      </c>
      <c r="D82" s="680">
        <f t="shared" si="6"/>
        <v>0</v>
      </c>
      <c r="E82" s="571"/>
      <c r="F82" s="571"/>
      <c r="G82" s="571"/>
      <c r="H82" s="571"/>
      <c r="I82" s="571"/>
    </row>
    <row r="83" spans="1:9" x14ac:dyDescent="0.25">
      <c r="A83" s="571"/>
      <c r="B83" s="571" t="s">
        <v>3909</v>
      </c>
      <c r="C83" s="680">
        <f t="shared" ref="C83:D83" si="7">G126</f>
        <v>0</v>
      </c>
      <c r="D83" s="680">
        <f t="shared" si="7"/>
        <v>0</v>
      </c>
      <c r="E83" s="571"/>
      <c r="F83" s="571"/>
      <c r="G83" s="571"/>
      <c r="H83" s="571"/>
      <c r="I83" s="571"/>
    </row>
    <row r="84" spans="1:9" x14ac:dyDescent="0.25">
      <c r="A84" s="571"/>
      <c r="B84" s="571" t="s">
        <v>4934</v>
      </c>
      <c r="C84" s="680">
        <f t="shared" ref="C84:D84" si="8">G127</f>
        <v>0</v>
      </c>
      <c r="D84" s="680">
        <f t="shared" si="8"/>
        <v>0</v>
      </c>
      <c r="E84" s="571"/>
      <c r="F84" s="571"/>
      <c r="G84" s="571"/>
      <c r="H84" s="571"/>
      <c r="I84" s="571"/>
    </row>
    <row r="85" spans="1:9" x14ac:dyDescent="0.25">
      <c r="A85" s="571"/>
      <c r="B85" s="571" t="s">
        <v>3910</v>
      </c>
      <c r="C85" s="680">
        <f t="shared" ref="C85:D85" si="9">G128</f>
        <v>0</v>
      </c>
      <c r="D85" s="680">
        <f t="shared" si="9"/>
        <v>0</v>
      </c>
      <c r="E85" s="571"/>
      <c r="F85" s="571"/>
      <c r="G85" s="571"/>
      <c r="H85" s="571"/>
      <c r="I85" s="571"/>
    </row>
    <row r="86" spans="1:9" x14ac:dyDescent="0.25">
      <c r="A86" s="571"/>
      <c r="B86" s="571" t="s">
        <v>3911</v>
      </c>
      <c r="C86" s="680">
        <f t="shared" ref="C86:D86" si="10">G129</f>
        <v>0</v>
      </c>
      <c r="D86" s="680">
        <f t="shared" si="10"/>
        <v>0</v>
      </c>
      <c r="E86" s="571"/>
      <c r="F86" s="571"/>
      <c r="G86" s="571"/>
      <c r="H86" s="571"/>
      <c r="I86" s="571"/>
    </row>
    <row r="87" spans="1:9" x14ac:dyDescent="0.25">
      <c r="A87" s="571"/>
      <c r="B87" s="571" t="s">
        <v>3912</v>
      </c>
      <c r="C87" s="680">
        <f t="shared" ref="C87:D87" si="11">G130</f>
        <v>0</v>
      </c>
      <c r="D87" s="680">
        <f t="shared" si="11"/>
        <v>0</v>
      </c>
      <c r="E87" s="571"/>
      <c r="F87" s="571"/>
      <c r="G87" s="571"/>
      <c r="H87" s="571"/>
      <c r="I87" s="571"/>
    </row>
    <row r="88" spans="1:9" x14ac:dyDescent="0.25">
      <c r="A88" s="571"/>
      <c r="B88" s="572"/>
      <c r="C88" s="681"/>
      <c r="D88" s="681"/>
      <c r="E88" s="571"/>
      <c r="F88" s="571"/>
      <c r="G88" s="571"/>
      <c r="H88" s="571"/>
      <c r="I88" s="571"/>
    </row>
    <row r="89" spans="1:9" ht="15.75" thickBot="1" x14ac:dyDescent="0.3">
      <c r="A89" s="571"/>
      <c r="B89" s="572"/>
      <c r="C89" s="682">
        <f>SUM(C56:C88)</f>
        <v>0</v>
      </c>
      <c r="D89" s="682">
        <f>SUM(D56:D88)</f>
        <v>1</v>
      </c>
      <c r="E89" s="571"/>
      <c r="F89" s="571"/>
      <c r="G89" s="571"/>
      <c r="H89" s="571"/>
      <c r="I89" s="571"/>
    </row>
    <row r="90" spans="1:9" ht="15.75" thickTop="1" x14ac:dyDescent="0.25">
      <c r="A90" s="571"/>
      <c r="B90" s="571"/>
      <c r="C90" s="571"/>
      <c r="D90" s="571"/>
      <c r="E90" s="571"/>
      <c r="F90" s="571"/>
      <c r="G90" s="571"/>
      <c r="H90" s="571"/>
      <c r="I90" s="571"/>
    </row>
    <row r="92" spans="1:9" x14ac:dyDescent="0.25">
      <c r="A92" s="571"/>
      <c r="B92" s="571"/>
      <c r="C92" s="571"/>
      <c r="D92" s="571"/>
      <c r="E92" s="571"/>
      <c r="F92" s="571"/>
      <c r="G92" s="571"/>
      <c r="H92" s="571"/>
      <c r="I92" s="571"/>
    </row>
    <row r="93" spans="1:9" x14ac:dyDescent="0.25">
      <c r="A93" s="571"/>
      <c r="B93" s="1104" t="s">
        <v>3524</v>
      </c>
      <c r="C93" s="1104"/>
      <c r="D93" s="1104"/>
      <c r="E93" s="1104"/>
      <c r="F93" s="1104"/>
      <c r="G93" s="1104"/>
      <c r="H93" s="1104"/>
      <c r="I93" s="571"/>
    </row>
    <row r="94" spans="1:9" x14ac:dyDescent="0.25">
      <c r="A94" s="571"/>
      <c r="B94" s="1104"/>
      <c r="C94" s="1104"/>
      <c r="D94" s="1104"/>
      <c r="E94" s="1104"/>
      <c r="F94" s="1104"/>
      <c r="G94" s="1104"/>
      <c r="H94" s="1104"/>
      <c r="I94" s="571"/>
    </row>
    <row r="95" spans="1:9" ht="18" x14ac:dyDescent="0.25">
      <c r="A95" s="571"/>
      <c r="B95" s="591"/>
      <c r="C95" s="591"/>
      <c r="D95" s="591"/>
      <c r="E95" s="591"/>
      <c r="F95" s="591"/>
      <c r="G95" s="591"/>
      <c r="H95" s="592"/>
      <c r="I95" s="571"/>
    </row>
    <row r="96" spans="1:9" ht="18" x14ac:dyDescent="0.25">
      <c r="A96" s="571"/>
      <c r="B96" s="591"/>
      <c r="C96" s="593"/>
      <c r="D96" s="594"/>
      <c r="E96" s="683"/>
      <c r="F96" s="591"/>
      <c r="G96" s="1025" t="s">
        <v>102</v>
      </c>
      <c r="H96" s="1120"/>
      <c r="I96" s="571"/>
    </row>
    <row r="97" spans="1:9" x14ac:dyDescent="0.25">
      <c r="A97" s="571"/>
      <c r="B97" s="572"/>
      <c r="C97" s="596"/>
      <c r="D97" s="597"/>
      <c r="E97" s="684"/>
      <c r="F97" s="571"/>
      <c r="G97" s="685"/>
      <c r="H97" s="686"/>
      <c r="I97" s="571"/>
    </row>
    <row r="98" spans="1:9" x14ac:dyDescent="0.25">
      <c r="A98" s="571"/>
      <c r="B98" s="572"/>
      <c r="C98" s="599" t="s">
        <v>64</v>
      </c>
      <c r="D98" s="147" t="s">
        <v>65</v>
      </c>
      <c r="E98" s="687" t="s">
        <v>2074</v>
      </c>
      <c r="F98" s="571"/>
      <c r="G98" s="688" t="s">
        <v>64</v>
      </c>
      <c r="H98" s="689" t="s">
        <v>65</v>
      </c>
      <c r="I98" s="571"/>
    </row>
    <row r="99" spans="1:9" x14ac:dyDescent="0.25">
      <c r="A99" s="571"/>
      <c r="B99" s="572" t="s">
        <v>1106</v>
      </c>
      <c r="C99" s="600">
        <f>IF(C25-C27-C29&gt;0,(C25-C27-C29)*C40,0)</f>
        <v>0</v>
      </c>
      <c r="D99" s="601">
        <f>IF(C25-C27-C29&lt;0,-(C25-C27-C29)*C40,0)</f>
        <v>0</v>
      </c>
      <c r="E99" s="690">
        <f>C99-D99</f>
        <v>0</v>
      </c>
      <c r="F99" s="571"/>
      <c r="G99" s="691">
        <f>IF(E99&lt;0,0,E99)</f>
        <v>0</v>
      </c>
      <c r="H99" s="602">
        <f>IF(E99&gt;0,0,E99*-1)</f>
        <v>0</v>
      </c>
      <c r="I99" s="571"/>
    </row>
    <row r="100" spans="1:9" x14ac:dyDescent="0.25">
      <c r="A100" s="571"/>
      <c r="B100" s="572" t="s">
        <v>3891</v>
      </c>
      <c r="C100" s="639">
        <f>IF(C26&lt;0,-C26*C40,0)</f>
        <v>0</v>
      </c>
      <c r="D100" s="602">
        <f>IF(C26&gt;0,C26*C40,0)</f>
        <v>0</v>
      </c>
      <c r="E100" s="690">
        <f t="shared" ref="E100:E130" si="12">C100-D100</f>
        <v>0</v>
      </c>
      <c r="F100" s="571"/>
      <c r="G100" s="691">
        <f>IF(E100&lt;0,0,E100)</f>
        <v>0</v>
      </c>
      <c r="H100" s="602">
        <f>IF(E100&gt;0,0,E100*-1)</f>
        <v>0</v>
      </c>
      <c r="I100" s="571"/>
    </row>
    <row r="101" spans="1:9" x14ac:dyDescent="0.25">
      <c r="A101" s="571"/>
      <c r="B101" s="571" t="s">
        <v>3898</v>
      </c>
      <c r="C101" s="639">
        <f t="shared" ref="C101:C108" si="13">IF($C$28&gt;0,$C$28*C46,0)</f>
        <v>0</v>
      </c>
      <c r="D101" s="602">
        <f t="shared" ref="D101:D108" si="14">IF($C$28&lt;0,-$C$28*C46,0)</f>
        <v>0</v>
      </c>
      <c r="E101" s="690">
        <f t="shared" si="12"/>
        <v>0</v>
      </c>
      <c r="F101" s="571"/>
      <c r="G101" s="691">
        <f t="shared" ref="G101:G108" si="15">IF(E101&lt;0,0,E101)</f>
        <v>0</v>
      </c>
      <c r="H101" s="602">
        <f t="shared" ref="H101:H108" si="16">IF(E101&gt;0,0,E101*-1)</f>
        <v>0</v>
      </c>
      <c r="I101" s="571"/>
    </row>
    <row r="102" spans="1:9" x14ac:dyDescent="0.25">
      <c r="A102" s="571"/>
      <c r="B102" s="571" t="s">
        <v>3899</v>
      </c>
      <c r="C102" s="639">
        <f t="shared" si="13"/>
        <v>0</v>
      </c>
      <c r="D102" s="602">
        <f t="shared" si="14"/>
        <v>0</v>
      </c>
      <c r="E102" s="690">
        <f t="shared" si="12"/>
        <v>0</v>
      </c>
      <c r="F102" s="571"/>
      <c r="G102" s="691">
        <f t="shared" si="15"/>
        <v>0</v>
      </c>
      <c r="H102" s="602">
        <f t="shared" si="16"/>
        <v>0</v>
      </c>
      <c r="I102" s="571"/>
    </row>
    <row r="103" spans="1:9" x14ac:dyDescent="0.25">
      <c r="A103" s="571"/>
      <c r="B103" s="571" t="s">
        <v>3900</v>
      </c>
      <c r="C103" s="639">
        <f t="shared" si="13"/>
        <v>0</v>
      </c>
      <c r="D103" s="602">
        <f t="shared" si="14"/>
        <v>0</v>
      </c>
      <c r="E103" s="690">
        <f t="shared" si="12"/>
        <v>0</v>
      </c>
      <c r="F103" s="571"/>
      <c r="G103" s="691">
        <f t="shared" si="15"/>
        <v>0</v>
      </c>
      <c r="H103" s="602">
        <f t="shared" si="16"/>
        <v>0</v>
      </c>
      <c r="I103" s="571"/>
    </row>
    <row r="104" spans="1:9" x14ac:dyDescent="0.25">
      <c r="A104" s="571"/>
      <c r="B104" s="571" t="s">
        <v>3901</v>
      </c>
      <c r="C104" s="639">
        <f t="shared" si="13"/>
        <v>0</v>
      </c>
      <c r="D104" s="602">
        <f t="shared" si="14"/>
        <v>0</v>
      </c>
      <c r="E104" s="690">
        <f t="shared" si="12"/>
        <v>0</v>
      </c>
      <c r="F104" s="571"/>
      <c r="G104" s="691">
        <f t="shared" si="15"/>
        <v>0</v>
      </c>
      <c r="H104" s="602">
        <f t="shared" si="16"/>
        <v>0</v>
      </c>
      <c r="I104" s="571"/>
    </row>
    <row r="105" spans="1:9" x14ac:dyDescent="0.25">
      <c r="A105" s="571"/>
      <c r="B105" s="571" t="s">
        <v>4932</v>
      </c>
      <c r="C105" s="639">
        <f t="shared" si="13"/>
        <v>0</v>
      </c>
      <c r="D105" s="602">
        <f t="shared" si="14"/>
        <v>0</v>
      </c>
      <c r="E105" s="690">
        <f t="shared" si="12"/>
        <v>0</v>
      </c>
      <c r="F105" s="571"/>
      <c r="G105" s="691">
        <f t="shared" si="15"/>
        <v>0</v>
      </c>
      <c r="H105" s="602">
        <f t="shared" si="16"/>
        <v>0</v>
      </c>
      <c r="I105" s="571"/>
    </row>
    <row r="106" spans="1:9" x14ac:dyDescent="0.25">
      <c r="A106" s="571"/>
      <c r="B106" s="571" t="s">
        <v>3902</v>
      </c>
      <c r="C106" s="639">
        <f t="shared" si="13"/>
        <v>0</v>
      </c>
      <c r="D106" s="602">
        <f t="shared" si="14"/>
        <v>0</v>
      </c>
      <c r="E106" s="690">
        <f t="shared" si="12"/>
        <v>0</v>
      </c>
      <c r="F106" s="571"/>
      <c r="G106" s="691">
        <f t="shared" si="15"/>
        <v>0</v>
      </c>
      <c r="H106" s="602">
        <f t="shared" si="16"/>
        <v>0</v>
      </c>
      <c r="I106" s="571"/>
    </row>
    <row r="107" spans="1:9" x14ac:dyDescent="0.25">
      <c r="A107" s="571"/>
      <c r="B107" s="571" t="s">
        <v>3903</v>
      </c>
      <c r="C107" s="639">
        <f t="shared" si="13"/>
        <v>0</v>
      </c>
      <c r="D107" s="602">
        <f t="shared" si="14"/>
        <v>0</v>
      </c>
      <c r="E107" s="690">
        <f t="shared" si="12"/>
        <v>0</v>
      </c>
      <c r="F107" s="571"/>
      <c r="G107" s="691">
        <f t="shared" si="15"/>
        <v>0</v>
      </c>
      <c r="H107" s="602">
        <f t="shared" si="16"/>
        <v>0</v>
      </c>
      <c r="I107" s="571"/>
    </row>
    <row r="108" spans="1:9" x14ac:dyDescent="0.25">
      <c r="A108" s="571"/>
      <c r="B108" s="571" t="s">
        <v>3904</v>
      </c>
      <c r="C108" s="639">
        <f t="shared" si="13"/>
        <v>0</v>
      </c>
      <c r="D108" s="602">
        <f t="shared" si="14"/>
        <v>0</v>
      </c>
      <c r="E108" s="690">
        <f t="shared" si="12"/>
        <v>0</v>
      </c>
      <c r="F108" s="571"/>
      <c r="G108" s="691">
        <f t="shared" si="15"/>
        <v>0</v>
      </c>
      <c r="H108" s="602">
        <f t="shared" si="16"/>
        <v>0</v>
      </c>
      <c r="I108" s="571"/>
    </row>
    <row r="109" spans="1:9" ht="26.25" x14ac:dyDescent="0.25">
      <c r="A109" s="571"/>
      <c r="B109" s="572" t="s">
        <v>3490</v>
      </c>
      <c r="C109" s="639">
        <f>IF(C30&gt;0,C30*C40,0)</f>
        <v>0</v>
      </c>
      <c r="D109" s="602">
        <v>0</v>
      </c>
      <c r="E109" s="690">
        <f t="shared" si="12"/>
        <v>0</v>
      </c>
      <c r="F109" s="571"/>
      <c r="G109" s="691">
        <f t="shared" ref="G109:G115" si="17">IF(E109&lt;0,0,E109)</f>
        <v>0</v>
      </c>
      <c r="H109" s="602">
        <f t="shared" ref="H109:H115" si="18">IF(E109&gt;0,0,E109*-1)</f>
        <v>0</v>
      </c>
      <c r="I109" s="571"/>
    </row>
    <row r="110" spans="1:9" x14ac:dyDescent="0.25">
      <c r="A110" s="571"/>
      <c r="B110" s="572" t="s">
        <v>3491</v>
      </c>
      <c r="C110" s="639">
        <f>IF(C31&gt;0,C31*C40,0)</f>
        <v>0</v>
      </c>
      <c r="D110" s="602">
        <v>0</v>
      </c>
      <c r="E110" s="690">
        <f t="shared" si="12"/>
        <v>0</v>
      </c>
      <c r="F110" s="571"/>
      <c r="G110" s="691">
        <f t="shared" si="17"/>
        <v>0</v>
      </c>
      <c r="H110" s="602">
        <f t="shared" si="18"/>
        <v>0</v>
      </c>
      <c r="I110" s="571"/>
    </row>
    <row r="111" spans="1:9" ht="26.25" x14ac:dyDescent="0.25">
      <c r="A111" s="571"/>
      <c r="B111" s="572" t="s">
        <v>3492</v>
      </c>
      <c r="C111" s="639">
        <v>0</v>
      </c>
      <c r="D111" s="602">
        <f>IF(C30&lt;0,-C30*C40,0)</f>
        <v>0</v>
      </c>
      <c r="E111" s="690">
        <f t="shared" si="12"/>
        <v>0</v>
      </c>
      <c r="F111" s="571"/>
      <c r="G111" s="691">
        <f t="shared" si="17"/>
        <v>0</v>
      </c>
      <c r="H111" s="602">
        <f t="shared" si="18"/>
        <v>0</v>
      </c>
      <c r="I111" s="571"/>
    </row>
    <row r="112" spans="1:9" x14ac:dyDescent="0.25">
      <c r="A112" s="571"/>
      <c r="B112" s="572" t="s">
        <v>3495</v>
      </c>
      <c r="C112" s="639">
        <v>0</v>
      </c>
      <c r="D112" s="602">
        <f>IF(C31&lt;0,-C31*C40,0)</f>
        <v>0</v>
      </c>
      <c r="E112" s="690">
        <f t="shared" si="12"/>
        <v>0</v>
      </c>
      <c r="F112" s="571"/>
      <c r="G112" s="691">
        <f t="shared" si="17"/>
        <v>0</v>
      </c>
      <c r="H112" s="602">
        <f t="shared" si="18"/>
        <v>0</v>
      </c>
      <c r="I112" s="571"/>
    </row>
    <row r="113" spans="1:9" ht="26.25" hidden="1" x14ac:dyDescent="0.25">
      <c r="A113" s="571"/>
      <c r="B113" s="572" t="s">
        <v>3849</v>
      </c>
      <c r="C113" s="639"/>
      <c r="D113" s="602">
        <v>0</v>
      </c>
      <c r="E113" s="690">
        <f t="shared" si="12"/>
        <v>0</v>
      </c>
      <c r="F113" s="571"/>
      <c r="G113" s="691">
        <f t="shared" si="17"/>
        <v>0</v>
      </c>
      <c r="H113" s="602">
        <f t="shared" si="18"/>
        <v>0</v>
      </c>
      <c r="I113" s="571"/>
    </row>
    <row r="114" spans="1:9" ht="26.25" x14ac:dyDescent="0.25">
      <c r="A114" s="571"/>
      <c r="B114" s="572" t="s">
        <v>3892</v>
      </c>
      <c r="C114" s="639">
        <f>(C14+C20)*C40</f>
        <v>0</v>
      </c>
      <c r="D114" s="602">
        <v>0</v>
      </c>
      <c r="E114" s="690">
        <f t="shared" si="12"/>
        <v>0</v>
      </c>
      <c r="F114" s="571"/>
      <c r="G114" s="691">
        <f t="shared" si="17"/>
        <v>0</v>
      </c>
      <c r="H114" s="602">
        <f t="shared" si="18"/>
        <v>0</v>
      </c>
      <c r="I114" s="571"/>
    </row>
    <row r="115" spans="1:9" x14ac:dyDescent="0.25">
      <c r="A115" s="571"/>
      <c r="B115" s="571" t="s">
        <v>3913</v>
      </c>
      <c r="C115" s="639"/>
      <c r="D115" s="602">
        <f t="shared" ref="D115:D122" si="19">$C$14*C46</f>
        <v>0</v>
      </c>
      <c r="E115" s="690">
        <f t="shared" si="12"/>
        <v>0</v>
      </c>
      <c r="F115" s="571"/>
      <c r="G115" s="691">
        <f t="shared" si="17"/>
        <v>0</v>
      </c>
      <c r="H115" s="602">
        <f t="shared" si="18"/>
        <v>0</v>
      </c>
      <c r="I115" s="571"/>
    </row>
    <row r="116" spans="1:9" x14ac:dyDescent="0.25">
      <c r="A116" s="571"/>
      <c r="B116" s="571" t="s">
        <v>3914</v>
      </c>
      <c r="C116" s="639"/>
      <c r="D116" s="602">
        <f t="shared" si="19"/>
        <v>0</v>
      </c>
      <c r="E116" s="690">
        <f t="shared" si="12"/>
        <v>0</v>
      </c>
      <c r="F116" s="571"/>
      <c r="G116" s="691">
        <f t="shared" ref="G116:G122" si="20">IF(E116&lt;0,0,E116)</f>
        <v>0</v>
      </c>
      <c r="H116" s="602">
        <f t="shared" ref="H116:H122" si="21">IF(E116&gt;0,0,E116*-1)</f>
        <v>0</v>
      </c>
      <c r="I116" s="571"/>
    </row>
    <row r="117" spans="1:9" x14ac:dyDescent="0.25">
      <c r="A117" s="571"/>
      <c r="B117" s="571" t="s">
        <v>3915</v>
      </c>
      <c r="C117" s="639"/>
      <c r="D117" s="602">
        <f t="shared" si="19"/>
        <v>0</v>
      </c>
      <c r="E117" s="690">
        <f t="shared" si="12"/>
        <v>0</v>
      </c>
      <c r="F117" s="571"/>
      <c r="G117" s="691">
        <f t="shared" si="20"/>
        <v>0</v>
      </c>
      <c r="H117" s="602">
        <f t="shared" si="21"/>
        <v>0</v>
      </c>
      <c r="I117" s="571"/>
    </row>
    <row r="118" spans="1:9" x14ac:dyDescent="0.25">
      <c r="A118" s="571"/>
      <c r="B118" s="571" t="s">
        <v>3916</v>
      </c>
      <c r="C118" s="639"/>
      <c r="D118" s="602">
        <f t="shared" si="19"/>
        <v>0</v>
      </c>
      <c r="E118" s="690">
        <f t="shared" si="12"/>
        <v>0</v>
      </c>
      <c r="F118" s="571"/>
      <c r="G118" s="691">
        <f t="shared" si="20"/>
        <v>0</v>
      </c>
      <c r="H118" s="602">
        <f t="shared" si="21"/>
        <v>0</v>
      </c>
      <c r="I118" s="571"/>
    </row>
    <row r="119" spans="1:9" x14ac:dyDescent="0.25">
      <c r="A119" s="571"/>
      <c r="B119" s="571" t="s">
        <v>4933</v>
      </c>
      <c r="C119" s="639"/>
      <c r="D119" s="602">
        <f t="shared" si="19"/>
        <v>0</v>
      </c>
      <c r="E119" s="690">
        <f t="shared" si="12"/>
        <v>0</v>
      </c>
      <c r="F119" s="571"/>
      <c r="G119" s="691">
        <f t="shared" si="20"/>
        <v>0</v>
      </c>
      <c r="H119" s="602">
        <f t="shared" si="21"/>
        <v>0</v>
      </c>
      <c r="I119" s="571"/>
    </row>
    <row r="120" spans="1:9" x14ac:dyDescent="0.25">
      <c r="A120" s="571"/>
      <c r="B120" s="571" t="s">
        <v>3917</v>
      </c>
      <c r="C120" s="639"/>
      <c r="D120" s="602">
        <f t="shared" si="19"/>
        <v>0</v>
      </c>
      <c r="E120" s="690">
        <f t="shared" si="12"/>
        <v>0</v>
      </c>
      <c r="F120" s="571"/>
      <c r="G120" s="691">
        <f t="shared" si="20"/>
        <v>0</v>
      </c>
      <c r="H120" s="602">
        <f t="shared" si="21"/>
        <v>0</v>
      </c>
      <c r="I120" s="571"/>
    </row>
    <row r="121" spans="1:9" x14ac:dyDescent="0.25">
      <c r="A121" s="571"/>
      <c r="B121" s="571" t="s">
        <v>3918</v>
      </c>
      <c r="C121" s="639"/>
      <c r="D121" s="602">
        <f t="shared" si="19"/>
        <v>0</v>
      </c>
      <c r="E121" s="690">
        <f t="shared" si="12"/>
        <v>0</v>
      </c>
      <c r="F121" s="571"/>
      <c r="G121" s="691">
        <f t="shared" si="20"/>
        <v>0</v>
      </c>
      <c r="H121" s="602">
        <f t="shared" si="21"/>
        <v>0</v>
      </c>
      <c r="I121" s="571"/>
    </row>
    <row r="122" spans="1:9" x14ac:dyDescent="0.25">
      <c r="A122" s="571"/>
      <c r="B122" s="571" t="s">
        <v>3919</v>
      </c>
      <c r="C122" s="639"/>
      <c r="D122" s="602">
        <f t="shared" si="19"/>
        <v>0</v>
      </c>
      <c r="E122" s="690">
        <f t="shared" si="12"/>
        <v>0</v>
      </c>
      <c r="F122" s="571"/>
      <c r="G122" s="691">
        <f t="shared" si="20"/>
        <v>0</v>
      </c>
      <c r="H122" s="602">
        <f t="shared" si="21"/>
        <v>0</v>
      </c>
      <c r="I122" s="571"/>
    </row>
    <row r="123" spans="1:9" x14ac:dyDescent="0.25">
      <c r="A123" s="571"/>
      <c r="B123" s="571" t="s">
        <v>3906</v>
      </c>
      <c r="C123" s="639"/>
      <c r="D123" s="602">
        <f>$C$20*C46+1</f>
        <v>1</v>
      </c>
      <c r="E123" s="690">
        <f t="shared" si="12"/>
        <v>-1</v>
      </c>
      <c r="F123" s="571"/>
      <c r="G123" s="691">
        <f>IF(E123&lt;0,0,E123)</f>
        <v>0</v>
      </c>
      <c r="H123" s="602">
        <f>IF(E123&gt;0,0,E123*-1)</f>
        <v>1</v>
      </c>
      <c r="I123" s="571"/>
    </row>
    <row r="124" spans="1:9" x14ac:dyDescent="0.25">
      <c r="A124" s="571"/>
      <c r="B124" s="571" t="s">
        <v>3907</v>
      </c>
      <c r="C124" s="639"/>
      <c r="D124" s="602">
        <f t="shared" ref="D124:D130" si="22">$C$20*C47</f>
        <v>0</v>
      </c>
      <c r="E124" s="690">
        <f t="shared" si="12"/>
        <v>0</v>
      </c>
      <c r="F124" s="571"/>
      <c r="G124" s="691">
        <f t="shared" ref="G124:G130" si="23">IF(E124&lt;0,0,E124)</f>
        <v>0</v>
      </c>
      <c r="H124" s="602">
        <f t="shared" ref="H124:H130" si="24">IF(E124&gt;0,0,E124*-1)</f>
        <v>0</v>
      </c>
      <c r="I124" s="571"/>
    </row>
    <row r="125" spans="1:9" x14ac:dyDescent="0.25">
      <c r="A125" s="571"/>
      <c r="B125" s="571" t="s">
        <v>3908</v>
      </c>
      <c r="C125" s="639"/>
      <c r="D125" s="602">
        <f t="shared" si="22"/>
        <v>0</v>
      </c>
      <c r="E125" s="690">
        <f t="shared" si="12"/>
        <v>0</v>
      </c>
      <c r="F125" s="571"/>
      <c r="G125" s="691">
        <f t="shared" si="23"/>
        <v>0</v>
      </c>
      <c r="H125" s="602">
        <f t="shared" si="24"/>
        <v>0</v>
      </c>
      <c r="I125" s="571"/>
    </row>
    <row r="126" spans="1:9" x14ac:dyDescent="0.25">
      <c r="A126" s="571"/>
      <c r="B126" s="571" t="s">
        <v>3909</v>
      </c>
      <c r="C126" s="639"/>
      <c r="D126" s="602">
        <f t="shared" si="22"/>
        <v>0</v>
      </c>
      <c r="E126" s="690">
        <f t="shared" si="12"/>
        <v>0</v>
      </c>
      <c r="F126" s="571"/>
      <c r="G126" s="691">
        <f t="shared" si="23"/>
        <v>0</v>
      </c>
      <c r="H126" s="602">
        <f t="shared" si="24"/>
        <v>0</v>
      </c>
      <c r="I126" s="571"/>
    </row>
    <row r="127" spans="1:9" x14ac:dyDescent="0.25">
      <c r="A127" s="571"/>
      <c r="B127" s="571" t="s">
        <v>4934</v>
      </c>
      <c r="C127" s="639"/>
      <c r="D127" s="602">
        <f t="shared" si="22"/>
        <v>0</v>
      </c>
      <c r="E127" s="690">
        <f t="shared" si="12"/>
        <v>0</v>
      </c>
      <c r="F127" s="571"/>
      <c r="G127" s="691">
        <f t="shared" si="23"/>
        <v>0</v>
      </c>
      <c r="H127" s="602">
        <f t="shared" si="24"/>
        <v>0</v>
      </c>
      <c r="I127" s="571"/>
    </row>
    <row r="128" spans="1:9" x14ac:dyDescent="0.25">
      <c r="A128" s="571"/>
      <c r="B128" s="571" t="s">
        <v>3910</v>
      </c>
      <c r="C128" s="639"/>
      <c r="D128" s="602">
        <f t="shared" si="22"/>
        <v>0</v>
      </c>
      <c r="E128" s="690">
        <f t="shared" si="12"/>
        <v>0</v>
      </c>
      <c r="F128" s="571"/>
      <c r="G128" s="691">
        <f t="shared" si="23"/>
        <v>0</v>
      </c>
      <c r="H128" s="602">
        <f t="shared" si="24"/>
        <v>0</v>
      </c>
      <c r="I128" s="571"/>
    </row>
    <row r="129" spans="1:15" x14ac:dyDescent="0.25">
      <c r="A129" s="571"/>
      <c r="B129" s="571" t="s">
        <v>3911</v>
      </c>
      <c r="C129" s="639"/>
      <c r="D129" s="602">
        <f t="shared" si="22"/>
        <v>0</v>
      </c>
      <c r="E129" s="690">
        <f t="shared" si="12"/>
        <v>0</v>
      </c>
      <c r="F129" s="571"/>
      <c r="G129" s="691">
        <f t="shared" si="23"/>
        <v>0</v>
      </c>
      <c r="H129" s="602">
        <f t="shared" si="24"/>
        <v>0</v>
      </c>
      <c r="I129" s="571"/>
    </row>
    <row r="130" spans="1:15" x14ac:dyDescent="0.25">
      <c r="A130" s="571"/>
      <c r="B130" s="571" t="s">
        <v>3912</v>
      </c>
      <c r="C130" s="639"/>
      <c r="D130" s="602">
        <f t="shared" si="22"/>
        <v>0</v>
      </c>
      <c r="E130" s="690">
        <f t="shared" si="12"/>
        <v>0</v>
      </c>
      <c r="F130" s="571"/>
      <c r="G130" s="691">
        <f t="shared" si="23"/>
        <v>0</v>
      </c>
      <c r="H130" s="602">
        <f t="shared" si="24"/>
        <v>0</v>
      </c>
      <c r="I130" s="571"/>
    </row>
    <row r="131" spans="1:15" x14ac:dyDescent="0.25">
      <c r="A131" s="571"/>
      <c r="B131" s="571"/>
      <c r="C131" s="692">
        <f>SUM(C98:C123)</f>
        <v>0</v>
      </c>
      <c r="D131" s="693">
        <f>SUM(D98:D123)</f>
        <v>1</v>
      </c>
      <c r="E131" s="694">
        <f>SUM(E98:E123)</f>
        <v>-1</v>
      </c>
      <c r="F131" s="571"/>
      <c r="G131" s="692">
        <f>SUM(G98:G123)</f>
        <v>0</v>
      </c>
      <c r="H131" s="693">
        <f>SUM(H98:H123)</f>
        <v>1</v>
      </c>
      <c r="I131" s="571"/>
    </row>
    <row r="132" spans="1:15" x14ac:dyDescent="0.25">
      <c r="A132" s="571"/>
      <c r="B132" s="571"/>
      <c r="C132" s="571"/>
      <c r="D132" s="571"/>
      <c r="E132" s="571"/>
      <c r="F132" s="571"/>
      <c r="G132" s="571"/>
      <c r="H132" s="571"/>
      <c r="I132" s="571"/>
    </row>
    <row r="133" spans="1:15" x14ac:dyDescent="0.25">
      <c r="A133" s="571"/>
      <c r="B133" s="571"/>
      <c r="C133" s="571"/>
      <c r="D133" s="571"/>
      <c r="E133" s="571"/>
      <c r="F133" s="571"/>
      <c r="G133" s="571"/>
      <c r="H133" s="571"/>
      <c r="I133" s="571"/>
    </row>
    <row r="134" spans="1:15" x14ac:dyDescent="0.25">
      <c r="G134" s="777"/>
      <c r="O134" s="766"/>
    </row>
    <row r="239" spans="40:40" x14ac:dyDescent="0.25">
      <c r="AN239" s="777" t="e">
        <f>'P. GASB 75 OPEB 1 Entries'!D72+'P. GASB 75 OPEB 1 Entries'!B83</f>
        <v>#VALUE!</v>
      </c>
    </row>
  </sheetData>
  <sheetProtection algorithmName="SHA-512" hashValue="QgKInyggZw36Rw/r9zWDWhvf/0eSDh1QY3DvlAbInpL1Od9KK0vF3mPWdeRgBLJvOtK8qoUE8mxSXEzJPN4hgA==" saltValue="Bz3alveZ9RhumEbnmqMGkw==" spinCount="100000" sheet="1" objects="1" scenarios="1"/>
  <mergeCells count="25">
    <mergeCell ref="G96:H96"/>
    <mergeCell ref="E29:I29"/>
    <mergeCell ref="A6:C6"/>
    <mergeCell ref="B93:H94"/>
    <mergeCell ref="A34:B34"/>
    <mergeCell ref="E34:J34"/>
    <mergeCell ref="A18:B18"/>
    <mergeCell ref="A20:B20"/>
    <mergeCell ref="A30:B30"/>
    <mergeCell ref="A31:B31"/>
    <mergeCell ref="E31:J31"/>
    <mergeCell ref="B37:I37"/>
    <mergeCell ref="B39:E39"/>
    <mergeCell ref="A1:C1"/>
    <mergeCell ref="A32:B32"/>
    <mergeCell ref="E32:J32"/>
    <mergeCell ref="A33:B33"/>
    <mergeCell ref="E33:J33"/>
    <mergeCell ref="A8:B8"/>
    <mergeCell ref="A10:B10"/>
    <mergeCell ref="A12:B12"/>
    <mergeCell ref="D12:J12"/>
    <mergeCell ref="A14:B14"/>
    <mergeCell ref="A16:B16"/>
    <mergeCell ref="A3:C3"/>
  </mergeCells>
  <conditionalFormatting sqref="C34">
    <cfRule type="expression" priority="3">
      <formula>MOD(ROW(),2)+0</formula>
    </cfRule>
    <cfRule type="expression" dxfId="2" priority="8">
      <formula>MOD(ROW(),2)=0</formula>
    </cfRule>
  </conditionalFormatting>
  <pageMargins left="0.7" right="0.7" top="0.75" bottom="0.75" header="0.3" footer="0.3"/>
  <pageSetup scale="68" orientation="landscape" r:id="rId1"/>
  <rowBreaks count="1" manualBreakCount="1">
    <brk id="34"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O134"/>
  <sheetViews>
    <sheetView workbookViewId="0">
      <selection sqref="A1:C1"/>
    </sheetView>
  </sheetViews>
  <sheetFormatPr defaultColWidth="9.140625" defaultRowHeight="15" x14ac:dyDescent="0.25"/>
  <cols>
    <col min="1" max="1" width="11.85546875" style="765" customWidth="1"/>
    <col min="2" max="2" width="48.28515625" style="765" customWidth="1"/>
    <col min="3" max="3" width="17.140625" style="765" customWidth="1"/>
    <col min="4" max="4" width="14.140625" style="765" customWidth="1"/>
    <col min="5" max="5" width="17.7109375" style="765" customWidth="1"/>
    <col min="6" max="6" width="9.140625" style="765"/>
    <col min="7" max="8" width="13.7109375" style="765" customWidth="1"/>
    <col min="9" max="9" width="9.140625" style="765"/>
    <col min="10" max="10" width="18.42578125" style="767" customWidth="1"/>
    <col min="11" max="11" width="19.5703125" style="767" customWidth="1"/>
    <col min="12" max="12" width="15.28515625" style="765" bestFit="1" customWidth="1"/>
    <col min="13" max="13" width="13.42578125" style="765" bestFit="1" customWidth="1"/>
    <col min="14" max="14" width="9.140625" style="765"/>
    <col min="15" max="15" width="10.7109375" style="765" bestFit="1" customWidth="1"/>
    <col min="16" max="16384" width="9.140625" style="765"/>
  </cols>
  <sheetData>
    <row r="1" spans="1:11" ht="15.75" x14ac:dyDescent="0.25">
      <c r="A1" s="1095" t="s">
        <v>3888</v>
      </c>
      <c r="B1" s="1096"/>
      <c r="C1" s="1097"/>
    </row>
    <row r="3" spans="1:11" ht="49.5" customHeight="1" x14ac:dyDescent="0.25">
      <c r="A3" s="1105" t="s">
        <v>4844</v>
      </c>
      <c r="B3" s="1105"/>
      <c r="C3" s="1105"/>
    </row>
    <row r="6" spans="1:11" ht="15.75" customHeight="1" x14ac:dyDescent="0.25">
      <c r="A6" s="1112" t="s">
        <v>3890</v>
      </c>
      <c r="B6" s="1128"/>
      <c r="C6" s="1113"/>
    </row>
    <row r="7" spans="1:11" x14ac:dyDescent="0.25">
      <c r="J7" s="768"/>
    </row>
    <row r="8" spans="1:11" ht="30" hidden="1" customHeight="1" x14ac:dyDescent="0.25">
      <c r="A8" s="1123" t="s">
        <v>4931</v>
      </c>
      <c r="B8" s="1124"/>
      <c r="C8" s="769"/>
      <c r="J8" s="768"/>
    </row>
    <row r="9" spans="1:11" ht="6.75" hidden="1" customHeight="1" x14ac:dyDescent="0.25">
      <c r="A9" s="770"/>
      <c r="B9" s="770"/>
      <c r="C9" s="771"/>
      <c r="J9" s="768"/>
    </row>
    <row r="10" spans="1:11" ht="45" hidden="1" customHeight="1" x14ac:dyDescent="0.25">
      <c r="A10" s="1124" t="s">
        <v>3540</v>
      </c>
      <c r="B10" s="1124"/>
      <c r="C10" s="769"/>
      <c r="J10" s="768"/>
    </row>
    <row r="11" spans="1:11" ht="5.25" hidden="1" customHeight="1" x14ac:dyDescent="0.25">
      <c r="A11" s="770"/>
      <c r="B11" s="770"/>
      <c r="C11" s="772"/>
      <c r="J11" s="768"/>
    </row>
    <row r="12" spans="1:11" ht="5.25" hidden="1" customHeight="1" x14ac:dyDescent="0.25">
      <c r="A12" s="1124" t="s">
        <v>3541</v>
      </c>
      <c r="B12" s="1124"/>
      <c r="C12" s="769"/>
      <c r="D12" s="1125"/>
      <c r="E12" s="1126"/>
      <c r="F12" s="1126"/>
      <c r="G12" s="1126"/>
      <c r="H12" s="1126"/>
      <c r="I12" s="1126"/>
      <c r="J12" s="1126"/>
    </row>
    <row r="13" spans="1:11" ht="3.75" customHeight="1" x14ac:dyDescent="0.25">
      <c r="A13" s="772"/>
      <c r="B13" s="772"/>
      <c r="C13" s="772"/>
      <c r="J13" s="768"/>
    </row>
    <row r="14" spans="1:11" ht="30.75" customHeight="1" x14ac:dyDescent="0.25">
      <c r="A14" s="1127" t="s">
        <v>3873</v>
      </c>
      <c r="B14" s="1127"/>
      <c r="C14" s="785"/>
      <c r="D14" s="773"/>
      <c r="G14" s="772"/>
      <c r="J14" s="765"/>
      <c r="K14" s="765"/>
    </row>
    <row r="15" spans="1:11" ht="6" hidden="1" customHeight="1" x14ac:dyDescent="0.25">
      <c r="A15" s="786"/>
      <c r="B15" s="786"/>
      <c r="C15" s="787"/>
      <c r="D15" s="773"/>
      <c r="J15" s="765"/>
      <c r="K15" s="765"/>
    </row>
    <row r="16" spans="1:11" ht="45" hidden="1" customHeight="1" x14ac:dyDescent="0.25">
      <c r="A16" s="1127" t="s">
        <v>3874</v>
      </c>
      <c r="B16" s="1127"/>
      <c r="C16" s="788"/>
      <c r="D16" s="773"/>
      <c r="J16" s="765"/>
      <c r="K16" s="765"/>
    </row>
    <row r="17" spans="1:11" ht="6" hidden="1" customHeight="1" x14ac:dyDescent="0.25">
      <c r="A17" s="786"/>
      <c r="B17" s="786"/>
      <c r="C17" s="787"/>
      <c r="D17" s="773"/>
      <c r="J17" s="765"/>
      <c r="K17" s="765"/>
    </row>
    <row r="18" spans="1:11" ht="36.75" hidden="1" customHeight="1" x14ac:dyDescent="0.25">
      <c r="A18" s="1127" t="s">
        <v>3875</v>
      </c>
      <c r="B18" s="1127"/>
      <c r="C18" s="788"/>
      <c r="D18" s="773"/>
      <c r="J18" s="765"/>
      <c r="K18" s="765"/>
    </row>
    <row r="19" spans="1:11" ht="4.5" customHeight="1" x14ac:dyDescent="0.25">
      <c r="A19" s="789"/>
      <c r="B19" s="789"/>
      <c r="C19" s="787"/>
      <c r="D19" s="773"/>
      <c r="J19" s="768"/>
    </row>
    <row r="20" spans="1:11" ht="45" customHeight="1" x14ac:dyDescent="0.25">
      <c r="A20" s="1127" t="s">
        <v>3932</v>
      </c>
      <c r="B20" s="1127"/>
      <c r="C20" s="785"/>
      <c r="D20" s="773"/>
      <c r="J20" s="768"/>
    </row>
    <row r="21" spans="1:11" ht="6" customHeight="1" x14ac:dyDescent="0.25">
      <c r="A21" s="770"/>
      <c r="B21" s="770"/>
      <c r="C21" s="771"/>
    </row>
    <row r="23" spans="1:11" ht="16.5" customHeight="1" x14ac:dyDescent="0.25">
      <c r="A23" s="781" t="s">
        <v>3889</v>
      </c>
      <c r="B23" s="778"/>
      <c r="C23" s="779"/>
      <c r="G23" s="774"/>
      <c r="H23" s="774"/>
      <c r="I23" s="774"/>
      <c r="J23" s="775"/>
    </row>
    <row r="25" spans="1:11" x14ac:dyDescent="0.25">
      <c r="A25" s="804" t="s">
        <v>3876</v>
      </c>
      <c r="B25" s="804"/>
      <c r="C25" s="782"/>
    </row>
    <row r="26" spans="1:11" x14ac:dyDescent="0.25">
      <c r="A26" s="804" t="s">
        <v>3877</v>
      </c>
      <c r="B26" s="804"/>
      <c r="C26" s="783"/>
    </row>
    <row r="27" spans="1:11" x14ac:dyDescent="0.25">
      <c r="A27" s="804" t="s">
        <v>3878</v>
      </c>
      <c r="B27" s="804"/>
      <c r="C27" s="783"/>
    </row>
    <row r="28" spans="1:11" x14ac:dyDescent="0.25">
      <c r="A28" s="804" t="s">
        <v>3879</v>
      </c>
      <c r="B28" s="804"/>
      <c r="C28" s="783"/>
    </row>
    <row r="29" spans="1:11" ht="14.25" customHeight="1" x14ac:dyDescent="0.25">
      <c r="A29" s="804" t="s">
        <v>3880</v>
      </c>
      <c r="B29" s="804"/>
      <c r="C29" s="783"/>
      <c r="E29" s="1121" t="s">
        <v>3882</v>
      </c>
      <c r="F29" s="1121"/>
      <c r="G29" s="1121"/>
      <c r="H29" s="1121"/>
      <c r="I29" s="1121"/>
    </row>
    <row r="30" spans="1:11" ht="35.25" customHeight="1" x14ac:dyDescent="0.25">
      <c r="A30" s="1132" t="s">
        <v>3881</v>
      </c>
      <c r="B30" s="1132"/>
      <c r="C30" s="784"/>
      <c r="F30" s="770"/>
      <c r="G30" s="770"/>
      <c r="H30" s="770"/>
      <c r="I30" s="770"/>
      <c r="J30" s="770"/>
    </row>
    <row r="31" spans="1:11" ht="33.75" customHeight="1" x14ac:dyDescent="0.25">
      <c r="A31" s="1132" t="s">
        <v>3883</v>
      </c>
      <c r="B31" s="1132"/>
      <c r="C31" s="784"/>
      <c r="E31" s="1122"/>
      <c r="F31" s="1122"/>
      <c r="G31" s="1122"/>
      <c r="H31" s="1122"/>
      <c r="I31" s="1122"/>
      <c r="J31" s="1122"/>
    </row>
    <row r="32" spans="1:11" ht="33.75" customHeight="1" x14ac:dyDescent="0.25">
      <c r="A32" s="1132" t="s">
        <v>3884</v>
      </c>
      <c r="B32" s="1132"/>
      <c r="C32" s="784"/>
      <c r="E32" s="1122" t="s">
        <v>3885</v>
      </c>
      <c r="F32" s="1122"/>
      <c r="G32" s="1122"/>
      <c r="H32" s="1122"/>
      <c r="I32" s="1122"/>
      <c r="J32" s="1122"/>
    </row>
    <row r="33" spans="1:10" ht="33.75" customHeight="1" x14ac:dyDescent="0.25">
      <c r="A33" s="1132" t="s">
        <v>3886</v>
      </c>
      <c r="B33" s="1132"/>
      <c r="C33" s="784"/>
      <c r="E33" s="1122" t="s">
        <v>3885</v>
      </c>
      <c r="F33" s="1122"/>
      <c r="G33" s="1122"/>
      <c r="H33" s="1122"/>
      <c r="I33" s="1122"/>
      <c r="J33" s="1122"/>
    </row>
    <row r="34" spans="1:10" ht="33.75" hidden="1" customHeight="1" x14ac:dyDescent="0.25">
      <c r="A34" s="1121" t="s">
        <v>3887</v>
      </c>
      <c r="B34" s="1121"/>
      <c r="C34" s="776">
        <v>0</v>
      </c>
      <c r="E34" s="1122" t="s">
        <v>3885</v>
      </c>
      <c r="F34" s="1122"/>
      <c r="G34" s="1122"/>
      <c r="H34" s="1122"/>
      <c r="I34" s="1122"/>
      <c r="J34" s="1122"/>
    </row>
    <row r="36" spans="1:10" x14ac:dyDescent="0.25">
      <c r="A36" s="531"/>
      <c r="B36" s="46"/>
      <c r="C36" s="557"/>
      <c r="D36" s="557"/>
      <c r="E36"/>
      <c r="F36"/>
      <c r="G36"/>
      <c r="H36"/>
      <c r="I36"/>
    </row>
    <row r="37" spans="1:10" ht="30" customHeight="1" x14ac:dyDescent="0.25">
      <c r="A37" s="567"/>
      <c r="B37" s="1129" t="s">
        <v>3897</v>
      </c>
      <c r="C37" s="1130"/>
      <c r="D37" s="1130"/>
      <c r="E37" s="1130"/>
      <c r="F37" s="1130"/>
      <c r="G37" s="1130"/>
      <c r="H37" s="1130"/>
      <c r="I37" s="1131"/>
    </row>
    <row r="38" spans="1:10" x14ac:dyDescent="0.25">
      <c r="A38" s="567"/>
      <c r="B38" s="157"/>
      <c r="C38" s="157"/>
      <c r="D38" s="157"/>
      <c r="E38" s="157"/>
      <c r="F38" s="157"/>
      <c r="G38" s="157"/>
      <c r="H38" s="157"/>
      <c r="I38" s="157"/>
    </row>
    <row r="39" spans="1:10" x14ac:dyDescent="0.25">
      <c r="A39" s="567"/>
      <c r="B39" s="1109" t="s">
        <v>2065</v>
      </c>
      <c r="C39" s="1110"/>
      <c r="D39" s="1110"/>
      <c r="E39" s="1110"/>
      <c r="F39" s="792"/>
      <c r="G39" s="792"/>
      <c r="H39" s="792"/>
      <c r="I39" s="793"/>
    </row>
    <row r="40" spans="1:10" x14ac:dyDescent="0.25">
      <c r="A40" s="531"/>
      <c r="B40" s="582" t="s">
        <v>2042</v>
      </c>
      <c r="C40" s="579">
        <f>'J. Other Liability &amp; Expenses'!L151</f>
        <v>0</v>
      </c>
      <c r="D40" s="157"/>
      <c r="E40" s="157"/>
      <c r="F40"/>
      <c r="G40"/>
      <c r="H40"/>
      <c r="I40" s="561"/>
    </row>
    <row r="41" spans="1:10" x14ac:dyDescent="0.25">
      <c r="A41" s="531"/>
      <c r="B41" s="582" t="s">
        <v>2080</v>
      </c>
      <c r="C41" s="579">
        <f>'J. Other Liability &amp; Expenses'!L152</f>
        <v>0</v>
      </c>
      <c r="D41" s="759"/>
      <c r="E41" s="157"/>
      <c r="F41"/>
      <c r="G41"/>
      <c r="H41"/>
      <c r="I41" s="561"/>
    </row>
    <row r="42" spans="1:10" x14ac:dyDescent="0.25">
      <c r="A42" s="531"/>
      <c r="B42" s="582" t="s">
        <v>2052</v>
      </c>
      <c r="C42" s="579">
        <f>'J. Other Liability &amp; Expenses'!L153</f>
        <v>0</v>
      </c>
      <c r="D42" s="157"/>
      <c r="E42" s="157"/>
      <c r="F42"/>
      <c r="G42"/>
      <c r="H42"/>
      <c r="I42" s="561"/>
    </row>
    <row r="43" spans="1:10" x14ac:dyDescent="0.25">
      <c r="A43" s="531"/>
      <c r="B43" s="584" t="s">
        <v>2053</v>
      </c>
      <c r="C43" s="579">
        <f>SUM(C40:C42)</f>
        <v>0</v>
      </c>
      <c r="D43" s="157" t="str">
        <f>IF(C43=1,"","DOES NOT EQUAL 100%!!!")</f>
        <v>DOES NOT EQUAL 100%!!!</v>
      </c>
      <c r="E43"/>
      <c r="F43"/>
      <c r="G43"/>
      <c r="H43"/>
      <c r="I43" s="561"/>
    </row>
    <row r="44" spans="1:10" x14ac:dyDescent="0.25">
      <c r="A44" s="531"/>
      <c r="B44" s="585"/>
      <c r="C44"/>
      <c r="D44"/>
      <c r="E44"/>
      <c r="F44"/>
      <c r="G44"/>
      <c r="H44"/>
      <c r="I44" s="561"/>
    </row>
    <row r="45" spans="1:10" x14ac:dyDescent="0.25">
      <c r="A45" s="531"/>
      <c r="B45" s="586" t="s">
        <v>2054</v>
      </c>
      <c r="C45"/>
      <c r="D45"/>
      <c r="E45"/>
      <c r="F45"/>
      <c r="G45"/>
      <c r="H45"/>
      <c r="I45" s="561"/>
    </row>
    <row r="46" spans="1:10" x14ac:dyDescent="0.25">
      <c r="A46" s="531"/>
      <c r="B46" s="585" t="s">
        <v>2055</v>
      </c>
      <c r="C46" s="579">
        <f>'J. Other Liability &amp; Expenses'!L157</f>
        <v>0</v>
      </c>
      <c r="D46"/>
      <c r="E46"/>
      <c r="F46"/>
      <c r="G46"/>
      <c r="H46"/>
      <c r="I46" s="561"/>
    </row>
    <row r="47" spans="1:10" x14ac:dyDescent="0.25">
      <c r="A47" s="531"/>
      <c r="B47" s="585" t="s">
        <v>2056</v>
      </c>
      <c r="C47" s="579">
        <f>'J. Other Liability &amp; Expenses'!L158</f>
        <v>0</v>
      </c>
      <c r="D47"/>
      <c r="E47"/>
      <c r="F47"/>
      <c r="G47"/>
      <c r="H47"/>
      <c r="I47" s="561"/>
    </row>
    <row r="48" spans="1:10" x14ac:dyDescent="0.25">
      <c r="A48" s="531"/>
      <c r="B48" s="585" t="s">
        <v>2057</v>
      </c>
      <c r="C48" s="579">
        <f>'J. Other Liability &amp; Expenses'!L159</f>
        <v>0</v>
      </c>
      <c r="D48"/>
      <c r="E48"/>
      <c r="F48"/>
      <c r="G48"/>
      <c r="H48"/>
      <c r="I48" s="561"/>
    </row>
    <row r="49" spans="1:9" x14ac:dyDescent="0.25">
      <c r="A49" s="531"/>
      <c r="B49" s="585" t="s">
        <v>2058</v>
      </c>
      <c r="C49" s="579">
        <f>'J. Other Liability &amp; Expenses'!L160</f>
        <v>0</v>
      </c>
      <c r="D49"/>
      <c r="E49"/>
      <c r="F49"/>
      <c r="G49"/>
      <c r="H49"/>
      <c r="I49" s="561"/>
    </row>
    <row r="50" spans="1:9" x14ac:dyDescent="0.25">
      <c r="A50" s="531"/>
      <c r="B50" s="585" t="s">
        <v>4928</v>
      </c>
      <c r="C50" s="579">
        <f>'J. Other Liability &amp; Expenses'!L161</f>
        <v>0</v>
      </c>
      <c r="D50"/>
      <c r="E50"/>
      <c r="F50"/>
      <c r="G50"/>
      <c r="H50"/>
      <c r="I50" s="561"/>
    </row>
    <row r="51" spans="1:9" x14ac:dyDescent="0.25">
      <c r="A51" s="531"/>
      <c r="B51" s="585" t="s">
        <v>2059</v>
      </c>
      <c r="C51" s="579">
        <f>'J. Other Liability &amp; Expenses'!L162</f>
        <v>0</v>
      </c>
      <c r="D51"/>
      <c r="E51"/>
      <c r="F51"/>
      <c r="G51"/>
      <c r="H51"/>
      <c r="I51" s="561"/>
    </row>
    <row r="52" spans="1:9" x14ac:dyDescent="0.25">
      <c r="A52" s="531"/>
      <c r="B52" s="585" t="s">
        <v>2060</v>
      </c>
      <c r="C52" s="579">
        <f>'J. Other Liability &amp; Expenses'!L163</f>
        <v>0</v>
      </c>
      <c r="D52"/>
      <c r="E52"/>
      <c r="F52"/>
      <c r="G52"/>
      <c r="H52"/>
      <c r="I52" s="561"/>
    </row>
    <row r="53" spans="1:9" x14ac:dyDescent="0.25">
      <c r="A53" s="531"/>
      <c r="B53" s="585" t="s">
        <v>2062</v>
      </c>
      <c r="C53" s="579">
        <f>'J. Other Liability &amp; Expenses'!L164</f>
        <v>0</v>
      </c>
      <c r="D53"/>
      <c r="E53"/>
      <c r="F53"/>
      <c r="G53"/>
      <c r="H53"/>
      <c r="I53" s="561"/>
    </row>
    <row r="54" spans="1:9" x14ac:dyDescent="0.25">
      <c r="A54" s="531"/>
      <c r="B54" s="587" t="s">
        <v>2061</v>
      </c>
      <c r="C54" s="588">
        <f>SUM(C46:C53)</f>
        <v>0</v>
      </c>
      <c r="D54" s="589" t="str">
        <f>IF(C54=C40,"Equals Governmental Activities","DOES NOT EQUAL Governmental Activities!!!")</f>
        <v>Equals Governmental Activities</v>
      </c>
      <c r="E54" s="8"/>
      <c r="F54" s="8"/>
      <c r="G54" s="8"/>
      <c r="H54" s="8"/>
      <c r="I54" s="126"/>
    </row>
    <row r="55" spans="1:9" x14ac:dyDescent="0.25">
      <c r="A55" s="531"/>
      <c r="B55" s="4"/>
      <c r="C55"/>
      <c r="D55"/>
      <c r="E55"/>
      <c r="F55"/>
      <c r="G55"/>
      <c r="H55"/>
      <c r="I55"/>
    </row>
    <row r="56" spans="1:9" x14ac:dyDescent="0.25">
      <c r="A56" s="571"/>
      <c r="B56" s="572" t="s">
        <v>1106</v>
      </c>
      <c r="C56" s="680">
        <f t="shared" ref="C56:D67" si="0">G99</f>
        <v>0</v>
      </c>
      <c r="D56" s="680">
        <f t="shared" si="0"/>
        <v>0</v>
      </c>
      <c r="E56" s="571"/>
      <c r="F56" s="571"/>
      <c r="G56" s="571"/>
      <c r="H56" s="571"/>
      <c r="I56" s="571"/>
    </row>
    <row r="57" spans="1:9" x14ac:dyDescent="0.25">
      <c r="A57" s="571"/>
      <c r="B57" s="572" t="s">
        <v>3891</v>
      </c>
      <c r="C57" s="680">
        <f t="shared" si="0"/>
        <v>0</v>
      </c>
      <c r="D57" s="680">
        <f t="shared" si="0"/>
        <v>0</v>
      </c>
      <c r="E57" s="571"/>
      <c r="F57" s="571"/>
      <c r="G57" s="571"/>
      <c r="H57" s="571"/>
      <c r="I57" s="571"/>
    </row>
    <row r="58" spans="1:9" x14ac:dyDescent="0.25">
      <c r="A58" s="571"/>
      <c r="B58" s="571" t="s">
        <v>3898</v>
      </c>
      <c r="C58" s="680">
        <f t="shared" si="0"/>
        <v>0</v>
      </c>
      <c r="D58" s="680">
        <f t="shared" si="0"/>
        <v>0</v>
      </c>
      <c r="E58" s="571"/>
      <c r="F58" s="571"/>
      <c r="G58" s="571"/>
      <c r="H58" s="571"/>
      <c r="I58" s="571"/>
    </row>
    <row r="59" spans="1:9" x14ac:dyDescent="0.25">
      <c r="A59" s="571"/>
      <c r="B59" s="571" t="s">
        <v>3899</v>
      </c>
      <c r="C59" s="680">
        <f t="shared" si="0"/>
        <v>0</v>
      </c>
      <c r="D59" s="680">
        <f t="shared" si="0"/>
        <v>0</v>
      </c>
      <c r="E59" s="571"/>
      <c r="F59" s="571"/>
      <c r="G59" s="571"/>
      <c r="H59" s="571"/>
      <c r="I59" s="571"/>
    </row>
    <row r="60" spans="1:9" x14ac:dyDescent="0.25">
      <c r="A60" s="571"/>
      <c r="B60" s="571" t="s">
        <v>3900</v>
      </c>
      <c r="C60" s="680">
        <f t="shared" si="0"/>
        <v>0</v>
      </c>
      <c r="D60" s="680">
        <f t="shared" si="0"/>
        <v>0</v>
      </c>
      <c r="E60" s="571"/>
      <c r="F60" s="571"/>
      <c r="G60" s="571"/>
      <c r="H60" s="571"/>
      <c r="I60" s="571"/>
    </row>
    <row r="61" spans="1:9" x14ac:dyDescent="0.25">
      <c r="A61" s="571"/>
      <c r="B61" s="571" t="s">
        <v>3901</v>
      </c>
      <c r="C61" s="680">
        <f t="shared" si="0"/>
        <v>0</v>
      </c>
      <c r="D61" s="680">
        <f t="shared" si="0"/>
        <v>0</v>
      </c>
      <c r="E61" s="571"/>
      <c r="F61" s="571"/>
      <c r="G61" s="571"/>
      <c r="H61" s="571"/>
      <c r="I61" s="571"/>
    </row>
    <row r="62" spans="1:9" x14ac:dyDescent="0.25">
      <c r="A62" s="571"/>
      <c r="B62" s="571" t="s">
        <v>4932</v>
      </c>
      <c r="C62" s="680">
        <f t="shared" si="0"/>
        <v>0</v>
      </c>
      <c r="D62" s="680">
        <f t="shared" si="0"/>
        <v>0</v>
      </c>
      <c r="E62" s="571"/>
      <c r="F62" s="571"/>
      <c r="G62" s="571"/>
      <c r="H62" s="571"/>
      <c r="I62" s="571"/>
    </row>
    <row r="63" spans="1:9" x14ac:dyDescent="0.25">
      <c r="A63" s="571"/>
      <c r="B63" s="571" t="s">
        <v>3902</v>
      </c>
      <c r="C63" s="680">
        <f t="shared" si="0"/>
        <v>0</v>
      </c>
      <c r="D63" s="680">
        <f t="shared" si="0"/>
        <v>0</v>
      </c>
      <c r="E63" s="571"/>
      <c r="F63" s="571"/>
      <c r="G63" s="571"/>
      <c r="H63" s="571"/>
      <c r="I63" s="571"/>
    </row>
    <row r="64" spans="1:9" x14ac:dyDescent="0.25">
      <c r="A64" s="571"/>
      <c r="B64" s="571" t="s">
        <v>3903</v>
      </c>
      <c r="C64" s="680">
        <f t="shared" si="0"/>
        <v>0</v>
      </c>
      <c r="D64" s="680">
        <f t="shared" si="0"/>
        <v>0</v>
      </c>
      <c r="E64" s="571"/>
      <c r="F64" s="571"/>
      <c r="G64" s="571"/>
      <c r="H64" s="571"/>
      <c r="I64" s="571"/>
    </row>
    <row r="65" spans="1:9" x14ac:dyDescent="0.25">
      <c r="A65" s="571"/>
      <c r="B65" s="571" t="s">
        <v>3904</v>
      </c>
      <c r="C65" s="680">
        <f t="shared" si="0"/>
        <v>0</v>
      </c>
      <c r="D65" s="680">
        <f t="shared" si="0"/>
        <v>0</v>
      </c>
      <c r="E65" s="571"/>
      <c r="F65" s="571"/>
      <c r="G65" s="571"/>
      <c r="H65" s="571"/>
      <c r="I65" s="571"/>
    </row>
    <row r="66" spans="1:9" ht="26.25" x14ac:dyDescent="0.25">
      <c r="A66" s="571"/>
      <c r="B66" s="572" t="s">
        <v>3490</v>
      </c>
      <c r="C66" s="680">
        <f t="shared" si="0"/>
        <v>0</v>
      </c>
      <c r="D66" s="680">
        <f t="shared" si="0"/>
        <v>0</v>
      </c>
      <c r="E66" s="571"/>
      <c r="F66" s="571"/>
      <c r="G66" s="571"/>
      <c r="H66" s="571"/>
      <c r="I66" s="571"/>
    </row>
    <row r="67" spans="1:9" x14ac:dyDescent="0.25">
      <c r="A67" s="571"/>
      <c r="B67" s="572" t="s">
        <v>3491</v>
      </c>
      <c r="C67" s="680">
        <f t="shared" si="0"/>
        <v>0</v>
      </c>
      <c r="D67" s="680">
        <f t="shared" si="0"/>
        <v>0</v>
      </c>
      <c r="E67" s="571"/>
      <c r="F67" s="571"/>
      <c r="G67" s="571"/>
      <c r="H67" s="571"/>
      <c r="I67" s="571"/>
    </row>
    <row r="68" spans="1:9" ht="26.25" hidden="1" x14ac:dyDescent="0.25">
      <c r="A68" s="571"/>
      <c r="B68" s="572" t="s">
        <v>3870</v>
      </c>
      <c r="C68" s="680"/>
      <c r="D68" s="680"/>
      <c r="E68" s="571"/>
      <c r="F68" s="571"/>
      <c r="G68" s="571"/>
      <c r="H68" s="571"/>
      <c r="I68" s="571"/>
    </row>
    <row r="69" spans="1:9" ht="26.25" x14ac:dyDescent="0.25">
      <c r="A69" s="571"/>
      <c r="B69" s="572" t="s">
        <v>3492</v>
      </c>
      <c r="C69" s="680">
        <f>G111</f>
        <v>0</v>
      </c>
      <c r="D69" s="680">
        <f>H111</f>
        <v>0</v>
      </c>
      <c r="E69" s="571"/>
      <c r="F69" s="571"/>
      <c r="G69" s="571"/>
      <c r="H69" s="571"/>
      <c r="I69" s="571"/>
    </row>
    <row r="70" spans="1:9" x14ac:dyDescent="0.25">
      <c r="A70" s="571"/>
      <c r="B70" s="572" t="s">
        <v>3495</v>
      </c>
      <c r="C70" s="680">
        <f>G112</f>
        <v>0</v>
      </c>
      <c r="D70" s="680">
        <f>H112</f>
        <v>0</v>
      </c>
      <c r="E70" s="571"/>
      <c r="F70" s="571"/>
      <c r="G70" s="571"/>
      <c r="H70" s="571"/>
      <c r="I70" s="571"/>
    </row>
    <row r="71" spans="1:9" ht="26.25" x14ac:dyDescent="0.25">
      <c r="A71" s="571"/>
      <c r="B71" s="572" t="s">
        <v>3523</v>
      </c>
      <c r="C71" s="680">
        <f t="shared" ref="C71:D79" si="1">G114</f>
        <v>0</v>
      </c>
      <c r="D71" s="680">
        <f t="shared" si="1"/>
        <v>0</v>
      </c>
      <c r="E71" s="571"/>
      <c r="F71" s="571"/>
      <c r="G71" s="571"/>
      <c r="H71" s="571"/>
      <c r="I71" s="571"/>
    </row>
    <row r="72" spans="1:9" x14ac:dyDescent="0.25">
      <c r="A72" s="571"/>
      <c r="B72" s="571" t="s">
        <v>3913</v>
      </c>
      <c r="C72" s="680">
        <f t="shared" si="1"/>
        <v>0</v>
      </c>
      <c r="D72" s="680">
        <f t="shared" si="1"/>
        <v>0</v>
      </c>
      <c r="E72" s="571"/>
      <c r="F72" s="571"/>
      <c r="G72" s="571"/>
      <c r="H72" s="571"/>
      <c r="I72" s="571"/>
    </row>
    <row r="73" spans="1:9" x14ac:dyDescent="0.25">
      <c r="A73" s="571"/>
      <c r="B73" s="571" t="s">
        <v>3914</v>
      </c>
      <c r="C73" s="680">
        <f t="shared" si="1"/>
        <v>0</v>
      </c>
      <c r="D73" s="680">
        <f t="shared" si="1"/>
        <v>0</v>
      </c>
      <c r="E73" s="571"/>
      <c r="F73" s="571"/>
      <c r="G73" s="571"/>
      <c r="H73" s="571"/>
      <c r="I73" s="571"/>
    </row>
    <row r="74" spans="1:9" x14ac:dyDescent="0.25">
      <c r="A74" s="571"/>
      <c r="B74" s="571" t="s">
        <v>3915</v>
      </c>
      <c r="C74" s="680">
        <f t="shared" si="1"/>
        <v>0</v>
      </c>
      <c r="D74" s="680">
        <f t="shared" si="1"/>
        <v>0</v>
      </c>
      <c r="E74" s="571"/>
      <c r="F74" s="571"/>
      <c r="G74" s="571"/>
      <c r="H74" s="571"/>
      <c r="I74" s="571"/>
    </row>
    <row r="75" spans="1:9" x14ac:dyDescent="0.25">
      <c r="A75" s="571"/>
      <c r="B75" s="571" t="s">
        <v>3916</v>
      </c>
      <c r="C75" s="680">
        <f t="shared" si="1"/>
        <v>0</v>
      </c>
      <c r="D75" s="680">
        <f t="shared" si="1"/>
        <v>0</v>
      </c>
      <c r="E75" s="571"/>
      <c r="F75" s="571"/>
      <c r="G75" s="571"/>
      <c r="H75" s="571"/>
      <c r="I75" s="571"/>
    </row>
    <row r="76" spans="1:9" x14ac:dyDescent="0.25">
      <c r="A76" s="571"/>
      <c r="B76" s="571" t="s">
        <v>4933</v>
      </c>
      <c r="C76" s="680">
        <f t="shared" si="1"/>
        <v>0</v>
      </c>
      <c r="D76" s="680">
        <f t="shared" si="1"/>
        <v>0</v>
      </c>
      <c r="E76" s="571"/>
      <c r="F76" s="571"/>
      <c r="G76" s="571"/>
      <c r="H76" s="571"/>
      <c r="I76" s="571"/>
    </row>
    <row r="77" spans="1:9" x14ac:dyDescent="0.25">
      <c r="A77" s="571"/>
      <c r="B77" s="571" t="s">
        <v>3917</v>
      </c>
      <c r="C77" s="680">
        <f t="shared" si="1"/>
        <v>0</v>
      </c>
      <c r="D77" s="680">
        <f t="shared" si="1"/>
        <v>0</v>
      </c>
      <c r="E77" s="571"/>
      <c r="F77" s="571"/>
      <c r="G77" s="571"/>
      <c r="H77" s="571"/>
      <c r="I77" s="571"/>
    </row>
    <row r="78" spans="1:9" x14ac:dyDescent="0.25">
      <c r="A78" s="571"/>
      <c r="B78" s="571" t="s">
        <v>3918</v>
      </c>
      <c r="C78" s="680">
        <f t="shared" si="1"/>
        <v>0</v>
      </c>
      <c r="D78" s="680">
        <f t="shared" si="1"/>
        <v>0</v>
      </c>
      <c r="E78" s="571"/>
      <c r="F78" s="571"/>
      <c r="G78" s="571"/>
      <c r="H78" s="571"/>
      <c r="I78" s="571"/>
    </row>
    <row r="79" spans="1:9" x14ac:dyDescent="0.25">
      <c r="A79" s="571"/>
      <c r="B79" s="571" t="s">
        <v>3919</v>
      </c>
      <c r="C79" s="680">
        <f t="shared" si="1"/>
        <v>0</v>
      </c>
      <c r="D79" s="680">
        <f t="shared" si="1"/>
        <v>0</v>
      </c>
      <c r="E79" s="571"/>
      <c r="F79" s="571"/>
      <c r="G79" s="571"/>
      <c r="H79" s="571"/>
      <c r="I79" s="571"/>
    </row>
    <row r="80" spans="1:9" x14ac:dyDescent="0.25">
      <c r="A80" s="571"/>
      <c r="B80" s="571" t="s">
        <v>3906</v>
      </c>
      <c r="C80" s="680">
        <f>G123</f>
        <v>0</v>
      </c>
      <c r="D80" s="680">
        <f>H123</f>
        <v>0</v>
      </c>
      <c r="E80" s="571"/>
      <c r="F80" s="571"/>
      <c r="G80" s="571"/>
      <c r="H80" s="571"/>
      <c r="I80" s="571"/>
    </row>
    <row r="81" spans="1:9" x14ac:dyDescent="0.25">
      <c r="A81" s="571"/>
      <c r="B81" s="571" t="s">
        <v>3907</v>
      </c>
      <c r="C81" s="680">
        <f t="shared" ref="C81:D81" si="2">G124</f>
        <v>0</v>
      </c>
      <c r="D81" s="680">
        <f t="shared" si="2"/>
        <v>0</v>
      </c>
      <c r="E81" s="571"/>
      <c r="F81" s="571"/>
      <c r="G81" s="571"/>
      <c r="H81" s="571"/>
      <c r="I81" s="571"/>
    </row>
    <row r="82" spans="1:9" x14ac:dyDescent="0.25">
      <c r="A82" s="571"/>
      <c r="B82" s="571" t="s">
        <v>3908</v>
      </c>
      <c r="C82" s="680">
        <f t="shared" ref="C82:D82" si="3">G125</f>
        <v>0</v>
      </c>
      <c r="D82" s="680">
        <f t="shared" si="3"/>
        <v>0</v>
      </c>
      <c r="E82" s="571"/>
      <c r="F82" s="571"/>
      <c r="G82" s="571"/>
      <c r="H82" s="571"/>
      <c r="I82" s="571"/>
    </row>
    <row r="83" spans="1:9" x14ac:dyDescent="0.25">
      <c r="A83" s="571"/>
      <c r="B83" s="571" t="s">
        <v>3909</v>
      </c>
      <c r="C83" s="680">
        <f t="shared" ref="C83:D83" si="4">G126</f>
        <v>0</v>
      </c>
      <c r="D83" s="680">
        <f t="shared" si="4"/>
        <v>0</v>
      </c>
      <c r="E83" s="571"/>
      <c r="F83" s="571"/>
      <c r="G83" s="571"/>
      <c r="H83" s="571"/>
      <c r="I83" s="571"/>
    </row>
    <row r="84" spans="1:9" x14ac:dyDescent="0.25">
      <c r="A84" s="571"/>
      <c r="B84" s="571" t="s">
        <v>4934</v>
      </c>
      <c r="C84" s="680">
        <f t="shared" ref="C84:D84" si="5">G127</f>
        <v>0</v>
      </c>
      <c r="D84" s="680">
        <f t="shared" si="5"/>
        <v>0</v>
      </c>
      <c r="E84" s="571"/>
      <c r="F84" s="571"/>
      <c r="G84" s="571"/>
      <c r="H84" s="571"/>
      <c r="I84" s="571"/>
    </row>
    <row r="85" spans="1:9" x14ac:dyDescent="0.25">
      <c r="A85" s="571"/>
      <c r="B85" s="571" t="s">
        <v>3910</v>
      </c>
      <c r="C85" s="680">
        <f t="shared" ref="C85:D85" si="6">G128</f>
        <v>0</v>
      </c>
      <c r="D85" s="680">
        <f t="shared" si="6"/>
        <v>0</v>
      </c>
      <c r="E85" s="571"/>
      <c r="F85" s="571"/>
      <c r="G85" s="571"/>
      <c r="H85" s="571"/>
      <c r="I85" s="571"/>
    </row>
    <row r="86" spans="1:9" x14ac:dyDescent="0.25">
      <c r="A86" s="571"/>
      <c r="B86" s="571" t="s">
        <v>3911</v>
      </c>
      <c r="C86" s="680">
        <f t="shared" ref="C86:D86" si="7">G129</f>
        <v>0</v>
      </c>
      <c r="D86" s="680">
        <f t="shared" si="7"/>
        <v>0</v>
      </c>
      <c r="E86" s="571"/>
      <c r="F86" s="571"/>
      <c r="G86" s="571"/>
      <c r="H86" s="571"/>
      <c r="I86" s="571"/>
    </row>
    <row r="87" spans="1:9" x14ac:dyDescent="0.25">
      <c r="A87" s="571"/>
      <c r="B87" s="571" t="s">
        <v>3912</v>
      </c>
      <c r="C87" s="680">
        <f t="shared" ref="C87:D87" si="8">G130</f>
        <v>0</v>
      </c>
      <c r="D87" s="680">
        <f t="shared" si="8"/>
        <v>0</v>
      </c>
      <c r="E87" s="571"/>
      <c r="F87" s="571"/>
      <c r="G87" s="571"/>
      <c r="H87" s="571"/>
      <c r="I87" s="571"/>
    </row>
    <row r="88" spans="1:9" x14ac:dyDescent="0.25">
      <c r="A88" s="571"/>
      <c r="B88" s="572"/>
      <c r="C88" s="681"/>
      <c r="D88" s="681"/>
      <c r="E88" s="571"/>
      <c r="F88" s="571"/>
      <c r="G88" s="571"/>
      <c r="H88" s="571"/>
      <c r="I88" s="571"/>
    </row>
    <row r="89" spans="1:9" ht="15.75" thickBot="1" x14ac:dyDescent="0.3">
      <c r="A89" s="571"/>
      <c r="B89" s="572"/>
      <c r="C89" s="682">
        <f>SUM(C56:C88)</f>
        <v>0</v>
      </c>
      <c r="D89" s="682">
        <f>SUM(D56:D88)</f>
        <v>0</v>
      </c>
      <c r="E89" s="571"/>
      <c r="F89" s="571"/>
      <c r="G89" s="571"/>
      <c r="H89" s="571"/>
      <c r="I89" s="571"/>
    </row>
    <row r="90" spans="1:9" ht="15.75" thickTop="1" x14ac:dyDescent="0.25">
      <c r="A90" s="571"/>
      <c r="B90" s="571"/>
      <c r="C90" s="571"/>
      <c r="D90" s="571"/>
      <c r="E90" s="571"/>
      <c r="F90" s="571"/>
      <c r="G90" s="571"/>
      <c r="H90" s="571"/>
      <c r="I90" s="571"/>
    </row>
    <row r="92" spans="1:9" x14ac:dyDescent="0.25">
      <c r="A92" s="571"/>
      <c r="B92" s="571"/>
      <c r="C92" s="571"/>
      <c r="D92" s="571"/>
      <c r="E92" s="571"/>
      <c r="F92" s="571"/>
      <c r="G92" s="571"/>
      <c r="H92" s="571"/>
      <c r="I92" s="571"/>
    </row>
    <row r="93" spans="1:9" x14ac:dyDescent="0.25">
      <c r="A93" s="571"/>
      <c r="B93" s="1104" t="s">
        <v>3524</v>
      </c>
      <c r="C93" s="1104"/>
      <c r="D93" s="1104"/>
      <c r="E93" s="1104"/>
      <c r="F93" s="1104"/>
      <c r="G93" s="1104"/>
      <c r="H93" s="1104"/>
      <c r="I93" s="571"/>
    </row>
    <row r="94" spans="1:9" x14ac:dyDescent="0.25">
      <c r="A94" s="571"/>
      <c r="B94" s="1104"/>
      <c r="C94" s="1104"/>
      <c r="D94" s="1104"/>
      <c r="E94" s="1104"/>
      <c r="F94" s="1104"/>
      <c r="G94" s="1104"/>
      <c r="H94" s="1104"/>
      <c r="I94" s="571"/>
    </row>
    <row r="95" spans="1:9" ht="18" x14ac:dyDescent="0.25">
      <c r="A95" s="571"/>
      <c r="B95" s="591"/>
      <c r="C95" s="591"/>
      <c r="D95" s="591"/>
      <c r="E95" s="591"/>
      <c r="F95" s="591"/>
      <c r="G95" s="591"/>
      <c r="H95" s="592"/>
      <c r="I95" s="571"/>
    </row>
    <row r="96" spans="1:9" ht="18" x14ac:dyDescent="0.25">
      <c r="A96" s="571"/>
      <c r="B96" s="591"/>
      <c r="C96" s="593"/>
      <c r="D96" s="594"/>
      <c r="E96" s="683"/>
      <c r="F96" s="591"/>
      <c r="G96" s="1025" t="s">
        <v>102</v>
      </c>
      <c r="H96" s="1120"/>
      <c r="I96" s="571"/>
    </row>
    <row r="97" spans="1:9" x14ac:dyDescent="0.25">
      <c r="A97" s="571"/>
      <c r="B97" s="572"/>
      <c r="C97" s="596"/>
      <c r="D97" s="597"/>
      <c r="E97" s="684"/>
      <c r="F97" s="571"/>
      <c r="G97" s="685"/>
      <c r="H97" s="686"/>
      <c r="I97" s="571"/>
    </row>
    <row r="98" spans="1:9" x14ac:dyDescent="0.25">
      <c r="A98" s="571"/>
      <c r="B98" s="572"/>
      <c r="C98" s="599" t="s">
        <v>64</v>
      </c>
      <c r="D98" s="147" t="s">
        <v>65</v>
      </c>
      <c r="E98" s="687" t="s">
        <v>2074</v>
      </c>
      <c r="F98" s="571"/>
      <c r="G98" s="688" t="s">
        <v>64</v>
      </c>
      <c r="H98" s="689" t="s">
        <v>65</v>
      </c>
      <c r="I98" s="571"/>
    </row>
    <row r="99" spans="1:9" x14ac:dyDescent="0.25">
      <c r="A99" s="571"/>
      <c r="B99" s="572" t="s">
        <v>1106</v>
      </c>
      <c r="C99" s="600">
        <f>IF(C25-C27-C29&gt;0,(C25-C27-C29)*C40,0)</f>
        <v>0</v>
      </c>
      <c r="D99" s="601">
        <f>IF(C25-C27-C29&lt;0,-(C25-C27-C29)*C40,0)</f>
        <v>0</v>
      </c>
      <c r="E99" s="690">
        <f>C99-D99</f>
        <v>0</v>
      </c>
      <c r="F99" s="571"/>
      <c r="G99" s="691">
        <f>IF(E99&lt;0,0,E99)</f>
        <v>0</v>
      </c>
      <c r="H99" s="602">
        <f>IF(E99&gt;0,0,E99*-1)</f>
        <v>0</v>
      </c>
      <c r="I99" s="571"/>
    </row>
    <row r="100" spans="1:9" x14ac:dyDescent="0.25">
      <c r="A100" s="571"/>
      <c r="B100" s="572" t="s">
        <v>3891</v>
      </c>
      <c r="C100" s="639">
        <f>IF(C26&lt;0,-C26*C40,0)</f>
        <v>0</v>
      </c>
      <c r="D100" s="602">
        <f>IF(C26&gt;0,C26*C40,0)</f>
        <v>0</v>
      </c>
      <c r="E100" s="690">
        <f t="shared" ref="E100:E130" si="9">C100-D100</f>
        <v>0</v>
      </c>
      <c r="F100" s="571"/>
      <c r="G100" s="691">
        <f>IF(E100&lt;0,0,E100)</f>
        <v>0</v>
      </c>
      <c r="H100" s="602">
        <f>IF(E100&gt;0,0,E100*-1)</f>
        <v>0</v>
      </c>
      <c r="I100" s="571"/>
    </row>
    <row r="101" spans="1:9" x14ac:dyDescent="0.25">
      <c r="A101" s="571"/>
      <c r="B101" s="571" t="s">
        <v>3898</v>
      </c>
      <c r="C101" s="639">
        <f t="shared" ref="C101:C108" si="10">IF($C$28&gt;0,$C$28*C46,0)</f>
        <v>0</v>
      </c>
      <c r="D101" s="602">
        <f t="shared" ref="D101:D108" si="11">IF($C$28&lt;0,-$C$28*C46,0)</f>
        <v>0</v>
      </c>
      <c r="E101" s="690">
        <f t="shared" si="9"/>
        <v>0</v>
      </c>
      <c r="F101" s="571"/>
      <c r="G101" s="691">
        <f t="shared" ref="G101:G122" si="12">IF(E101&lt;0,0,E101)</f>
        <v>0</v>
      </c>
      <c r="H101" s="602">
        <f t="shared" ref="H101:H122" si="13">IF(E101&gt;0,0,E101*-1)</f>
        <v>0</v>
      </c>
      <c r="I101" s="571"/>
    </row>
    <row r="102" spans="1:9" x14ac:dyDescent="0.25">
      <c r="A102" s="571"/>
      <c r="B102" s="571" t="s">
        <v>3899</v>
      </c>
      <c r="C102" s="639">
        <f t="shared" si="10"/>
        <v>0</v>
      </c>
      <c r="D102" s="602">
        <f t="shared" si="11"/>
        <v>0</v>
      </c>
      <c r="E102" s="690">
        <f t="shared" si="9"/>
        <v>0</v>
      </c>
      <c r="F102" s="571"/>
      <c r="G102" s="691">
        <f t="shared" si="12"/>
        <v>0</v>
      </c>
      <c r="H102" s="602">
        <f t="shared" si="13"/>
        <v>0</v>
      </c>
      <c r="I102" s="571"/>
    </row>
    <row r="103" spans="1:9" x14ac:dyDescent="0.25">
      <c r="A103" s="571"/>
      <c r="B103" s="571" t="s">
        <v>3900</v>
      </c>
      <c r="C103" s="639">
        <f t="shared" si="10"/>
        <v>0</v>
      </c>
      <c r="D103" s="602">
        <f t="shared" si="11"/>
        <v>0</v>
      </c>
      <c r="E103" s="690">
        <f t="shared" si="9"/>
        <v>0</v>
      </c>
      <c r="F103" s="571"/>
      <c r="G103" s="691">
        <f t="shared" si="12"/>
        <v>0</v>
      </c>
      <c r="H103" s="602">
        <f t="shared" si="13"/>
        <v>0</v>
      </c>
      <c r="I103" s="571"/>
    </row>
    <row r="104" spans="1:9" x14ac:dyDescent="0.25">
      <c r="A104" s="571"/>
      <c r="B104" s="571" t="s">
        <v>3901</v>
      </c>
      <c r="C104" s="639">
        <f t="shared" si="10"/>
        <v>0</v>
      </c>
      <c r="D104" s="602">
        <f t="shared" si="11"/>
        <v>0</v>
      </c>
      <c r="E104" s="690">
        <f t="shared" si="9"/>
        <v>0</v>
      </c>
      <c r="F104" s="571"/>
      <c r="G104" s="691">
        <f t="shared" si="12"/>
        <v>0</v>
      </c>
      <c r="H104" s="602">
        <f t="shared" si="13"/>
        <v>0</v>
      </c>
      <c r="I104" s="571"/>
    </row>
    <row r="105" spans="1:9" x14ac:dyDescent="0.25">
      <c r="A105" s="571"/>
      <c r="B105" s="571" t="s">
        <v>4932</v>
      </c>
      <c r="C105" s="639">
        <f t="shared" si="10"/>
        <v>0</v>
      </c>
      <c r="D105" s="602">
        <f t="shared" si="11"/>
        <v>0</v>
      </c>
      <c r="E105" s="690">
        <f t="shared" si="9"/>
        <v>0</v>
      </c>
      <c r="F105" s="571"/>
      <c r="G105" s="691">
        <f t="shared" si="12"/>
        <v>0</v>
      </c>
      <c r="H105" s="602">
        <f t="shared" si="13"/>
        <v>0</v>
      </c>
      <c r="I105" s="571"/>
    </row>
    <row r="106" spans="1:9" x14ac:dyDescent="0.25">
      <c r="A106" s="571"/>
      <c r="B106" s="571" t="s">
        <v>3902</v>
      </c>
      <c r="C106" s="639">
        <f t="shared" si="10"/>
        <v>0</v>
      </c>
      <c r="D106" s="602">
        <f t="shared" si="11"/>
        <v>0</v>
      </c>
      <c r="E106" s="690">
        <f t="shared" si="9"/>
        <v>0</v>
      </c>
      <c r="F106" s="571"/>
      <c r="G106" s="691">
        <f t="shared" si="12"/>
        <v>0</v>
      </c>
      <c r="H106" s="602">
        <f t="shared" si="13"/>
        <v>0</v>
      </c>
      <c r="I106" s="571"/>
    </row>
    <row r="107" spans="1:9" x14ac:dyDescent="0.25">
      <c r="A107" s="571"/>
      <c r="B107" s="571" t="s">
        <v>3903</v>
      </c>
      <c r="C107" s="639">
        <f t="shared" si="10"/>
        <v>0</v>
      </c>
      <c r="D107" s="602">
        <f t="shared" si="11"/>
        <v>0</v>
      </c>
      <c r="E107" s="690">
        <f t="shared" si="9"/>
        <v>0</v>
      </c>
      <c r="F107" s="571"/>
      <c r="G107" s="691">
        <f t="shared" si="12"/>
        <v>0</v>
      </c>
      <c r="H107" s="602">
        <f t="shared" si="13"/>
        <v>0</v>
      </c>
      <c r="I107" s="571"/>
    </row>
    <row r="108" spans="1:9" x14ac:dyDescent="0.25">
      <c r="A108" s="571"/>
      <c r="B108" s="571" t="s">
        <v>3904</v>
      </c>
      <c r="C108" s="639">
        <f t="shared" si="10"/>
        <v>0</v>
      </c>
      <c r="D108" s="602">
        <f t="shared" si="11"/>
        <v>0</v>
      </c>
      <c r="E108" s="690">
        <f t="shared" si="9"/>
        <v>0</v>
      </c>
      <c r="F108" s="571"/>
      <c r="G108" s="691">
        <f t="shared" si="12"/>
        <v>0</v>
      </c>
      <c r="H108" s="602">
        <f t="shared" si="13"/>
        <v>0</v>
      </c>
      <c r="I108" s="571"/>
    </row>
    <row r="109" spans="1:9" ht="26.25" x14ac:dyDescent="0.25">
      <c r="A109" s="571"/>
      <c r="B109" s="572" t="s">
        <v>3490</v>
      </c>
      <c r="C109" s="639">
        <f>IF(C30&gt;0,C30*C40,0)</f>
        <v>0</v>
      </c>
      <c r="D109" s="602">
        <v>0</v>
      </c>
      <c r="E109" s="690">
        <f t="shared" si="9"/>
        <v>0</v>
      </c>
      <c r="F109" s="571"/>
      <c r="G109" s="691">
        <f t="shared" si="12"/>
        <v>0</v>
      </c>
      <c r="H109" s="602">
        <f t="shared" si="13"/>
        <v>0</v>
      </c>
      <c r="I109" s="571"/>
    </row>
    <row r="110" spans="1:9" x14ac:dyDescent="0.25">
      <c r="A110" s="571"/>
      <c r="B110" s="572" t="s">
        <v>3491</v>
      </c>
      <c r="C110" s="639">
        <f>IF(C31&gt;0,C31*C40,0)</f>
        <v>0</v>
      </c>
      <c r="D110" s="602">
        <v>0</v>
      </c>
      <c r="E110" s="690">
        <f t="shared" si="9"/>
        <v>0</v>
      </c>
      <c r="F110" s="571"/>
      <c r="G110" s="691">
        <f t="shared" si="12"/>
        <v>0</v>
      </c>
      <c r="H110" s="602">
        <f t="shared" si="13"/>
        <v>0</v>
      </c>
      <c r="I110" s="571"/>
    </row>
    <row r="111" spans="1:9" ht="26.25" x14ac:dyDescent="0.25">
      <c r="A111" s="571"/>
      <c r="B111" s="572" t="s">
        <v>3492</v>
      </c>
      <c r="C111" s="639">
        <v>0</v>
      </c>
      <c r="D111" s="602">
        <f>IF(C30&lt;0,-C30*C40,0)</f>
        <v>0</v>
      </c>
      <c r="E111" s="690">
        <f t="shared" si="9"/>
        <v>0</v>
      </c>
      <c r="F111" s="571"/>
      <c r="G111" s="691">
        <f t="shared" si="12"/>
        <v>0</v>
      </c>
      <c r="H111" s="602">
        <f t="shared" si="13"/>
        <v>0</v>
      </c>
      <c r="I111" s="571"/>
    </row>
    <row r="112" spans="1:9" x14ac:dyDescent="0.25">
      <c r="A112" s="571"/>
      <c r="B112" s="572" t="s">
        <v>3495</v>
      </c>
      <c r="C112" s="639">
        <v>0</v>
      </c>
      <c r="D112" s="602">
        <f>IF(C31&lt;0,-C31*C40,0)</f>
        <v>0</v>
      </c>
      <c r="E112" s="690">
        <f t="shared" si="9"/>
        <v>0</v>
      </c>
      <c r="F112" s="571"/>
      <c r="G112" s="691">
        <f t="shared" si="12"/>
        <v>0</v>
      </c>
      <c r="H112" s="602">
        <f t="shared" si="13"/>
        <v>0</v>
      </c>
      <c r="I112" s="571"/>
    </row>
    <row r="113" spans="1:9" ht="26.25" hidden="1" x14ac:dyDescent="0.25">
      <c r="A113" s="571"/>
      <c r="B113" s="572" t="s">
        <v>3849</v>
      </c>
      <c r="C113" s="639"/>
      <c r="D113" s="602">
        <v>0</v>
      </c>
      <c r="E113" s="690">
        <f t="shared" si="9"/>
        <v>0</v>
      </c>
      <c r="F113" s="571"/>
      <c r="G113" s="691">
        <f t="shared" si="12"/>
        <v>0</v>
      </c>
      <c r="H113" s="602">
        <f t="shared" si="13"/>
        <v>0</v>
      </c>
      <c r="I113" s="571"/>
    </row>
    <row r="114" spans="1:9" ht="26.25" x14ac:dyDescent="0.25">
      <c r="A114" s="571"/>
      <c r="B114" s="572" t="s">
        <v>3892</v>
      </c>
      <c r="C114" s="639">
        <f>(C14+C20)*C40</f>
        <v>0</v>
      </c>
      <c r="D114" s="602">
        <v>0</v>
      </c>
      <c r="E114" s="690">
        <f t="shared" si="9"/>
        <v>0</v>
      </c>
      <c r="F114" s="571"/>
      <c r="G114" s="691">
        <f t="shared" si="12"/>
        <v>0</v>
      </c>
      <c r="H114" s="602">
        <f t="shared" si="13"/>
        <v>0</v>
      </c>
      <c r="I114" s="571"/>
    </row>
    <row r="115" spans="1:9" x14ac:dyDescent="0.25">
      <c r="A115" s="571"/>
      <c r="B115" s="571" t="s">
        <v>3913</v>
      </c>
      <c r="C115" s="639"/>
      <c r="D115" s="602">
        <f t="shared" ref="D115:D122" si="14">$C$14*C46</f>
        <v>0</v>
      </c>
      <c r="E115" s="690">
        <f t="shared" si="9"/>
        <v>0</v>
      </c>
      <c r="F115" s="571"/>
      <c r="G115" s="691">
        <f t="shared" si="12"/>
        <v>0</v>
      </c>
      <c r="H115" s="602">
        <f t="shared" si="13"/>
        <v>0</v>
      </c>
      <c r="I115" s="571"/>
    </row>
    <row r="116" spans="1:9" x14ac:dyDescent="0.25">
      <c r="A116" s="571"/>
      <c r="B116" s="571" t="s">
        <v>3914</v>
      </c>
      <c r="C116" s="639"/>
      <c r="D116" s="602">
        <f t="shared" si="14"/>
        <v>0</v>
      </c>
      <c r="E116" s="690">
        <f t="shared" si="9"/>
        <v>0</v>
      </c>
      <c r="F116" s="571"/>
      <c r="G116" s="691">
        <f t="shared" si="12"/>
        <v>0</v>
      </c>
      <c r="H116" s="602">
        <f t="shared" si="13"/>
        <v>0</v>
      </c>
      <c r="I116" s="571"/>
    </row>
    <row r="117" spans="1:9" x14ac:dyDescent="0.25">
      <c r="A117" s="571"/>
      <c r="B117" s="571" t="s">
        <v>3915</v>
      </c>
      <c r="C117" s="639"/>
      <c r="D117" s="602">
        <f t="shared" si="14"/>
        <v>0</v>
      </c>
      <c r="E117" s="690">
        <f t="shared" si="9"/>
        <v>0</v>
      </c>
      <c r="F117" s="571"/>
      <c r="G117" s="691">
        <f t="shared" si="12"/>
        <v>0</v>
      </c>
      <c r="H117" s="602">
        <f t="shared" si="13"/>
        <v>0</v>
      </c>
      <c r="I117" s="571"/>
    </row>
    <row r="118" spans="1:9" x14ac:dyDescent="0.25">
      <c r="A118" s="571"/>
      <c r="B118" s="571" t="s">
        <v>3916</v>
      </c>
      <c r="C118" s="639"/>
      <c r="D118" s="602">
        <f t="shared" si="14"/>
        <v>0</v>
      </c>
      <c r="E118" s="690">
        <f t="shared" si="9"/>
        <v>0</v>
      </c>
      <c r="F118" s="571"/>
      <c r="G118" s="691">
        <f t="shared" si="12"/>
        <v>0</v>
      </c>
      <c r="H118" s="602">
        <f t="shared" si="13"/>
        <v>0</v>
      </c>
      <c r="I118" s="571"/>
    </row>
    <row r="119" spans="1:9" x14ac:dyDescent="0.25">
      <c r="A119" s="571"/>
      <c r="B119" s="571" t="s">
        <v>4933</v>
      </c>
      <c r="C119" s="639"/>
      <c r="D119" s="602">
        <f t="shared" si="14"/>
        <v>0</v>
      </c>
      <c r="E119" s="690">
        <f t="shared" si="9"/>
        <v>0</v>
      </c>
      <c r="F119" s="571"/>
      <c r="G119" s="691">
        <f t="shared" si="12"/>
        <v>0</v>
      </c>
      <c r="H119" s="602">
        <f t="shared" si="13"/>
        <v>0</v>
      </c>
      <c r="I119" s="571"/>
    </row>
    <row r="120" spans="1:9" x14ac:dyDescent="0.25">
      <c r="A120" s="571"/>
      <c r="B120" s="571" t="s">
        <v>3917</v>
      </c>
      <c r="C120" s="639"/>
      <c r="D120" s="602">
        <f t="shared" si="14"/>
        <v>0</v>
      </c>
      <c r="E120" s="690">
        <f t="shared" si="9"/>
        <v>0</v>
      </c>
      <c r="F120" s="571"/>
      <c r="G120" s="691">
        <f t="shared" si="12"/>
        <v>0</v>
      </c>
      <c r="H120" s="602">
        <f t="shared" si="13"/>
        <v>0</v>
      </c>
      <c r="I120" s="571"/>
    </row>
    <row r="121" spans="1:9" x14ac:dyDescent="0.25">
      <c r="A121" s="571"/>
      <c r="B121" s="571" t="s">
        <v>3918</v>
      </c>
      <c r="C121" s="639"/>
      <c r="D121" s="602">
        <f t="shared" si="14"/>
        <v>0</v>
      </c>
      <c r="E121" s="690">
        <f t="shared" si="9"/>
        <v>0</v>
      </c>
      <c r="F121" s="571"/>
      <c r="G121" s="691">
        <f t="shared" si="12"/>
        <v>0</v>
      </c>
      <c r="H121" s="602">
        <f t="shared" si="13"/>
        <v>0</v>
      </c>
      <c r="I121" s="571"/>
    </row>
    <row r="122" spans="1:9" x14ac:dyDescent="0.25">
      <c r="A122" s="571"/>
      <c r="B122" s="571" t="s">
        <v>3919</v>
      </c>
      <c r="C122" s="639"/>
      <c r="D122" s="602">
        <f t="shared" si="14"/>
        <v>0</v>
      </c>
      <c r="E122" s="690">
        <f t="shared" si="9"/>
        <v>0</v>
      </c>
      <c r="F122" s="571"/>
      <c r="G122" s="691">
        <f t="shared" si="12"/>
        <v>0</v>
      </c>
      <c r="H122" s="602">
        <f t="shared" si="13"/>
        <v>0</v>
      </c>
      <c r="I122" s="571"/>
    </row>
    <row r="123" spans="1:9" x14ac:dyDescent="0.25">
      <c r="A123" s="571"/>
      <c r="B123" s="571" t="s">
        <v>3906</v>
      </c>
      <c r="C123" s="639"/>
      <c r="D123" s="602">
        <f>$C$20*C46</f>
        <v>0</v>
      </c>
      <c r="E123" s="690">
        <f t="shared" si="9"/>
        <v>0</v>
      </c>
      <c r="F123" s="571"/>
      <c r="G123" s="691">
        <f>IF(E123&lt;0,0,E123)</f>
        <v>0</v>
      </c>
      <c r="H123" s="602">
        <f>IF(E123&gt;0,0,E123*-1)</f>
        <v>0</v>
      </c>
      <c r="I123" s="571"/>
    </row>
    <row r="124" spans="1:9" x14ac:dyDescent="0.25">
      <c r="A124" s="571"/>
      <c r="B124" s="571" t="s">
        <v>3907</v>
      </c>
      <c r="C124" s="639"/>
      <c r="D124" s="602">
        <f t="shared" ref="D124:D130" si="15">$C$20*C47</f>
        <v>0</v>
      </c>
      <c r="E124" s="690">
        <f t="shared" si="9"/>
        <v>0</v>
      </c>
      <c r="F124" s="571"/>
      <c r="G124" s="691">
        <f t="shared" ref="G124:G130" si="16">IF(E124&lt;0,0,E124)</f>
        <v>0</v>
      </c>
      <c r="H124" s="602">
        <f t="shared" ref="H124:H130" si="17">IF(E124&gt;0,0,E124*-1)</f>
        <v>0</v>
      </c>
      <c r="I124" s="571"/>
    </row>
    <row r="125" spans="1:9" x14ac:dyDescent="0.25">
      <c r="A125" s="571"/>
      <c r="B125" s="571" t="s">
        <v>3908</v>
      </c>
      <c r="C125" s="639"/>
      <c r="D125" s="602">
        <f t="shared" si="15"/>
        <v>0</v>
      </c>
      <c r="E125" s="690">
        <f t="shared" si="9"/>
        <v>0</v>
      </c>
      <c r="F125" s="571"/>
      <c r="G125" s="691">
        <f t="shared" si="16"/>
        <v>0</v>
      </c>
      <c r="H125" s="602">
        <f t="shared" si="17"/>
        <v>0</v>
      </c>
      <c r="I125" s="571"/>
    </row>
    <row r="126" spans="1:9" x14ac:dyDescent="0.25">
      <c r="A126" s="571"/>
      <c r="B126" s="571" t="s">
        <v>3909</v>
      </c>
      <c r="C126" s="639"/>
      <c r="D126" s="602">
        <f t="shared" si="15"/>
        <v>0</v>
      </c>
      <c r="E126" s="690">
        <f t="shared" si="9"/>
        <v>0</v>
      </c>
      <c r="F126" s="571"/>
      <c r="G126" s="691">
        <f t="shared" si="16"/>
        <v>0</v>
      </c>
      <c r="H126" s="602">
        <f t="shared" si="17"/>
        <v>0</v>
      </c>
      <c r="I126" s="571"/>
    </row>
    <row r="127" spans="1:9" x14ac:dyDescent="0.25">
      <c r="A127" s="571"/>
      <c r="B127" s="571" t="s">
        <v>4934</v>
      </c>
      <c r="C127" s="639"/>
      <c r="D127" s="602">
        <f t="shared" si="15"/>
        <v>0</v>
      </c>
      <c r="E127" s="690">
        <f t="shared" si="9"/>
        <v>0</v>
      </c>
      <c r="F127" s="571"/>
      <c r="G127" s="691">
        <f t="shared" si="16"/>
        <v>0</v>
      </c>
      <c r="H127" s="602">
        <f t="shared" si="17"/>
        <v>0</v>
      </c>
      <c r="I127" s="571"/>
    </row>
    <row r="128" spans="1:9" x14ac:dyDescent="0.25">
      <c r="A128" s="571"/>
      <c r="B128" s="571" t="s">
        <v>3910</v>
      </c>
      <c r="C128" s="639"/>
      <c r="D128" s="602">
        <f t="shared" si="15"/>
        <v>0</v>
      </c>
      <c r="E128" s="690">
        <f t="shared" si="9"/>
        <v>0</v>
      </c>
      <c r="F128" s="571"/>
      <c r="G128" s="691">
        <f t="shared" si="16"/>
        <v>0</v>
      </c>
      <c r="H128" s="602">
        <f t="shared" si="17"/>
        <v>0</v>
      </c>
      <c r="I128" s="571"/>
    </row>
    <row r="129" spans="1:15" x14ac:dyDescent="0.25">
      <c r="A129" s="571"/>
      <c r="B129" s="571" t="s">
        <v>3911</v>
      </c>
      <c r="C129" s="639"/>
      <c r="D129" s="602">
        <f t="shared" si="15"/>
        <v>0</v>
      </c>
      <c r="E129" s="690">
        <f t="shared" si="9"/>
        <v>0</v>
      </c>
      <c r="F129" s="571"/>
      <c r="G129" s="691">
        <f t="shared" si="16"/>
        <v>0</v>
      </c>
      <c r="H129" s="602">
        <f t="shared" si="17"/>
        <v>0</v>
      </c>
      <c r="I129" s="571"/>
    </row>
    <row r="130" spans="1:15" x14ac:dyDescent="0.25">
      <c r="A130" s="571"/>
      <c r="B130" s="571" t="s">
        <v>3912</v>
      </c>
      <c r="C130" s="639"/>
      <c r="D130" s="602">
        <f t="shared" si="15"/>
        <v>0</v>
      </c>
      <c r="E130" s="690">
        <f t="shared" si="9"/>
        <v>0</v>
      </c>
      <c r="F130" s="571"/>
      <c r="G130" s="691">
        <f t="shared" si="16"/>
        <v>0</v>
      </c>
      <c r="H130" s="602">
        <f t="shared" si="17"/>
        <v>0</v>
      </c>
      <c r="I130" s="571"/>
    </row>
    <row r="131" spans="1:15" x14ac:dyDescent="0.25">
      <c r="A131" s="571"/>
      <c r="B131" s="571"/>
      <c r="C131" s="692">
        <f>SUM(C98:C123)</f>
        <v>0</v>
      </c>
      <c r="D131" s="693">
        <f>SUM(D98:D123)</f>
        <v>0</v>
      </c>
      <c r="E131" s="694">
        <f>SUM(E98:E123)</f>
        <v>0</v>
      </c>
      <c r="F131" s="571"/>
      <c r="G131" s="692">
        <f>SUM(G98:G123)</f>
        <v>0</v>
      </c>
      <c r="H131" s="693">
        <f>SUM(H98:H123)</f>
        <v>0</v>
      </c>
      <c r="I131" s="571"/>
    </row>
    <row r="132" spans="1:15" x14ac:dyDescent="0.25">
      <c r="A132" s="571"/>
      <c r="B132" s="571"/>
      <c r="C132" s="571"/>
      <c r="D132" s="571"/>
      <c r="E132" s="571"/>
      <c r="F132" s="571"/>
      <c r="G132" s="571"/>
      <c r="H132" s="571"/>
      <c r="I132" s="571"/>
    </row>
    <row r="133" spans="1:15" x14ac:dyDescent="0.25">
      <c r="A133" s="571"/>
      <c r="B133" s="571"/>
      <c r="C133" s="571"/>
      <c r="D133" s="571"/>
      <c r="E133" s="571"/>
      <c r="F133" s="571"/>
      <c r="G133" s="571"/>
      <c r="H133" s="571"/>
      <c r="I133" s="571"/>
    </row>
    <row r="134" spans="1:15" x14ac:dyDescent="0.25">
      <c r="G134" s="777"/>
      <c r="O134" s="766"/>
    </row>
  </sheetData>
  <mergeCells count="25">
    <mergeCell ref="E29:I29"/>
    <mergeCell ref="A1:C1"/>
    <mergeCell ref="A3:C3"/>
    <mergeCell ref="A6:C6"/>
    <mergeCell ref="A8:B8"/>
    <mergeCell ref="A10:B10"/>
    <mergeCell ref="A12:B12"/>
    <mergeCell ref="D12:J12"/>
    <mergeCell ref="A14:B14"/>
    <mergeCell ref="A16:B16"/>
    <mergeCell ref="A18:B18"/>
    <mergeCell ref="A20:B20"/>
    <mergeCell ref="G96:H96"/>
    <mergeCell ref="A30:B30"/>
    <mergeCell ref="A31:B31"/>
    <mergeCell ref="E31:J31"/>
    <mergeCell ref="A32:B32"/>
    <mergeCell ref="E32:J32"/>
    <mergeCell ref="A33:B33"/>
    <mergeCell ref="E33:J33"/>
    <mergeCell ref="A34:B34"/>
    <mergeCell ref="E34:J34"/>
    <mergeCell ref="B37:I37"/>
    <mergeCell ref="B39:E39"/>
    <mergeCell ref="B93:H94"/>
  </mergeCells>
  <conditionalFormatting sqref="C34">
    <cfRule type="expression" priority="1">
      <formula>MOD(ROW(),2)+0</formula>
    </cfRule>
    <cfRule type="expression" dxfId="1" priority="2">
      <formula>MOD(ROW(),2)=0</formula>
    </cfRule>
  </conditionalFormatting>
  <pageMargins left="0.7" right="0.7" top="0.75" bottom="0.75" header="0.3" footer="0.3"/>
  <pageSetup scale="68" orientation="landscape"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41"/>
  <sheetViews>
    <sheetView tabSelected="1" workbookViewId="0">
      <selection activeCell="A3" sqref="A3"/>
    </sheetView>
  </sheetViews>
  <sheetFormatPr defaultRowHeight="12.75" x14ac:dyDescent="0.2"/>
  <cols>
    <col min="1" max="1" width="4.42578125" customWidth="1"/>
    <col min="2" max="2" width="3.42578125" customWidth="1"/>
    <col min="3" max="3" width="3.7109375" customWidth="1"/>
    <col min="6" max="6" width="11.28515625" customWidth="1"/>
    <col min="7" max="7" width="2.85546875" customWidth="1"/>
    <col min="8" max="8" width="12.28515625" bestFit="1" customWidth="1"/>
    <col min="9" max="9" width="1.5703125" customWidth="1"/>
    <col min="10" max="10" width="15.28515625" customWidth="1"/>
    <col min="11" max="11" width="1.140625" customWidth="1"/>
    <col min="12" max="12" width="15.28515625" customWidth="1"/>
    <col min="13" max="13" width="1.28515625" customWidth="1"/>
    <col min="14" max="14" width="15.28515625" customWidth="1"/>
    <col min="15" max="15" width="13.42578125" customWidth="1"/>
    <col min="16" max="16" width="1.140625" customWidth="1"/>
  </cols>
  <sheetData>
    <row r="1" spans="1:16" x14ac:dyDescent="0.2">
      <c r="A1" s="2"/>
    </row>
    <row r="2" spans="1:16" ht="33.75" customHeight="1" x14ac:dyDescent="0.25">
      <c r="A2" s="956" t="s">
        <v>458</v>
      </c>
      <c r="B2" s="957"/>
      <c r="C2" s="957"/>
      <c r="D2" s="957"/>
      <c r="E2" s="957"/>
      <c r="F2" s="957"/>
      <c r="G2" s="957"/>
      <c r="H2" s="957"/>
      <c r="I2" s="957"/>
      <c r="J2" s="957"/>
      <c r="K2" s="957"/>
      <c r="L2" s="957"/>
      <c r="M2" s="957"/>
      <c r="N2" s="957"/>
      <c r="O2" s="958"/>
    </row>
    <row r="4" spans="1:16" ht="65.25" customHeight="1" x14ac:dyDescent="0.2">
      <c r="B4" s="892" t="s">
        <v>1042</v>
      </c>
      <c r="C4" s="881"/>
      <c r="D4" s="881"/>
      <c r="E4" s="881"/>
      <c r="F4" s="881"/>
      <c r="G4" s="881"/>
      <c r="H4" s="881"/>
      <c r="I4" s="881"/>
      <c r="J4" s="881"/>
      <c r="K4" s="881"/>
      <c r="L4" s="881"/>
      <c r="M4" s="881"/>
      <c r="N4" s="881"/>
      <c r="O4" s="881"/>
      <c r="P4" s="881"/>
    </row>
    <row r="5" spans="1:16" ht="7.5" customHeight="1" x14ac:dyDescent="0.2">
      <c r="B5" s="46"/>
    </row>
    <row r="6" spans="1:16" ht="12" customHeight="1" x14ac:dyDescent="0.2">
      <c r="B6" s="52" t="s">
        <v>930</v>
      </c>
      <c r="C6" s="1136" t="s">
        <v>4944</v>
      </c>
      <c r="D6" s="881"/>
      <c r="E6" s="881"/>
      <c r="F6" s="881"/>
      <c r="G6" s="881"/>
      <c r="H6" s="881"/>
      <c r="I6" s="881"/>
      <c r="J6" s="881"/>
      <c r="K6" s="881"/>
      <c r="L6" s="881"/>
      <c r="M6" s="881"/>
      <c r="N6" s="881"/>
      <c r="O6" s="881"/>
    </row>
    <row r="7" spans="1:16" ht="4.5" customHeight="1" x14ac:dyDescent="0.2">
      <c r="B7" s="52"/>
      <c r="C7" s="46"/>
      <c r="D7" s="46"/>
      <c r="E7" s="46"/>
      <c r="F7" s="46"/>
      <c r="G7" s="46"/>
      <c r="H7" s="46"/>
      <c r="I7" s="46"/>
      <c r="J7" s="46"/>
      <c r="K7" s="46"/>
      <c r="L7" s="46"/>
      <c r="M7" s="46"/>
      <c r="N7" s="46"/>
      <c r="O7" s="46"/>
    </row>
    <row r="8" spans="1:16" ht="12.75" customHeight="1" x14ac:dyDescent="0.2">
      <c r="B8" s="52" t="s">
        <v>931</v>
      </c>
      <c r="C8" s="883" t="s">
        <v>518</v>
      </c>
      <c r="D8" s="883"/>
      <c r="E8" s="883"/>
      <c r="F8" s="883"/>
      <c r="G8" s="883"/>
      <c r="H8" s="883"/>
      <c r="I8" s="883"/>
      <c r="J8" s="883"/>
      <c r="K8" s="883"/>
      <c r="L8" s="883"/>
      <c r="M8" s="883"/>
      <c r="N8" s="883"/>
      <c r="O8" s="883"/>
    </row>
    <row r="9" spans="1:16" ht="25.5" customHeight="1" x14ac:dyDescent="0.2">
      <c r="B9" s="52"/>
      <c r="C9" s="883"/>
      <c r="D9" s="883"/>
      <c r="E9" s="883"/>
      <c r="F9" s="883"/>
      <c r="G9" s="883"/>
      <c r="H9" s="883"/>
      <c r="I9" s="883"/>
      <c r="J9" s="883"/>
      <c r="K9" s="883"/>
      <c r="L9" s="883"/>
      <c r="M9" s="883"/>
      <c r="N9" s="883"/>
      <c r="O9" s="883"/>
    </row>
    <row r="10" spans="1:16" ht="4.5" customHeight="1" x14ac:dyDescent="0.2">
      <c r="B10" s="52"/>
    </row>
    <row r="11" spans="1:16" ht="12.75" customHeight="1" x14ac:dyDescent="0.2">
      <c r="B11" s="52" t="s">
        <v>932</v>
      </c>
      <c r="C11" s="883" t="s">
        <v>10</v>
      </c>
      <c r="D11" s="883"/>
      <c r="E11" s="883"/>
      <c r="F11" s="883"/>
      <c r="G11" s="883"/>
      <c r="H11" s="883"/>
      <c r="I11" s="883"/>
      <c r="J11" s="883"/>
      <c r="K11" s="883"/>
      <c r="L11" s="883"/>
      <c r="M11" s="883"/>
      <c r="N11" s="883"/>
      <c r="O11" s="883"/>
    </row>
    <row r="12" spans="1:16" ht="38.25" customHeight="1" x14ac:dyDescent="0.2">
      <c r="B12" s="52"/>
      <c r="C12" s="883"/>
      <c r="D12" s="883"/>
      <c r="E12" s="883"/>
      <c r="F12" s="883"/>
      <c r="G12" s="883"/>
      <c r="H12" s="883"/>
      <c r="I12" s="883"/>
      <c r="J12" s="883"/>
      <c r="K12" s="883"/>
      <c r="L12" s="883"/>
      <c r="M12" s="883"/>
      <c r="N12" s="883"/>
      <c r="O12" s="883"/>
    </row>
    <row r="13" spans="1:16" ht="4.5" customHeight="1" x14ac:dyDescent="0.2">
      <c r="B13" s="52"/>
      <c r="C13" s="46"/>
    </row>
    <row r="14" spans="1:16" ht="12.75" customHeight="1" x14ac:dyDescent="0.2">
      <c r="B14" s="52" t="s">
        <v>862</v>
      </c>
      <c r="C14" s="883" t="s">
        <v>834</v>
      </c>
      <c r="D14" s="883"/>
      <c r="E14" s="883"/>
      <c r="F14" s="883"/>
      <c r="G14" s="883"/>
      <c r="H14" s="883"/>
      <c r="I14" s="883"/>
      <c r="J14" s="883"/>
      <c r="K14" s="883"/>
      <c r="L14" s="883"/>
      <c r="M14" s="883"/>
      <c r="N14" s="883"/>
      <c r="O14" s="883"/>
    </row>
    <row r="15" spans="1:16" ht="37.5" customHeight="1" x14ac:dyDescent="0.2">
      <c r="B15" s="52"/>
      <c r="C15" s="883"/>
      <c r="D15" s="883"/>
      <c r="E15" s="883"/>
      <c r="F15" s="883"/>
      <c r="G15" s="883"/>
      <c r="H15" s="883"/>
      <c r="I15" s="883"/>
      <c r="J15" s="883"/>
      <c r="K15" s="883"/>
      <c r="L15" s="883"/>
      <c r="M15" s="883"/>
      <c r="N15" s="883"/>
      <c r="O15" s="883"/>
    </row>
    <row r="16" spans="1:16" ht="5.25" customHeight="1" x14ac:dyDescent="0.2">
      <c r="B16" s="52"/>
      <c r="C16" s="46"/>
    </row>
    <row r="17" spans="1:15" ht="12.75" customHeight="1" x14ac:dyDescent="0.2">
      <c r="B17" s="52" t="s">
        <v>863</v>
      </c>
      <c r="C17" s="883" t="s">
        <v>371</v>
      </c>
      <c r="D17" s="883"/>
      <c r="E17" s="883"/>
      <c r="F17" s="883"/>
      <c r="G17" s="883"/>
      <c r="H17" s="883"/>
      <c r="I17" s="883"/>
      <c r="J17" s="883"/>
      <c r="K17" s="883"/>
      <c r="L17" s="883"/>
      <c r="M17" s="883"/>
      <c r="N17" s="883"/>
      <c r="O17" s="883"/>
    </row>
    <row r="18" spans="1:15" ht="12.75" customHeight="1" x14ac:dyDescent="0.2">
      <c r="B18" s="52"/>
      <c r="C18" s="883"/>
      <c r="D18" s="883"/>
      <c r="E18" s="883"/>
      <c r="F18" s="883"/>
      <c r="G18" s="883"/>
      <c r="H18" s="883"/>
      <c r="I18" s="883"/>
      <c r="J18" s="883"/>
      <c r="K18" s="883"/>
      <c r="L18" s="883"/>
      <c r="M18" s="883"/>
      <c r="N18" s="883"/>
      <c r="O18" s="883"/>
    </row>
    <row r="19" spans="1:15" ht="4.5" customHeight="1" x14ac:dyDescent="0.2">
      <c r="B19" s="51"/>
    </row>
    <row r="20" spans="1:15" ht="12.75" customHeight="1" x14ac:dyDescent="0.2">
      <c r="B20" s="52" t="s">
        <v>323</v>
      </c>
      <c r="C20" s="883" t="s">
        <v>1024</v>
      </c>
      <c r="D20" s="883"/>
      <c r="E20" s="883"/>
      <c r="F20" s="883"/>
      <c r="G20" s="883"/>
      <c r="H20" s="883"/>
      <c r="I20" s="883"/>
      <c r="J20" s="883"/>
      <c r="K20" s="883"/>
      <c r="L20" s="883"/>
      <c r="M20" s="883"/>
      <c r="N20" s="883"/>
      <c r="O20" s="883"/>
    </row>
    <row r="21" spans="1:15" ht="12.75" customHeight="1" x14ac:dyDescent="0.2">
      <c r="B21" s="52"/>
      <c r="C21" s="883"/>
      <c r="D21" s="883"/>
      <c r="E21" s="883"/>
      <c r="F21" s="883"/>
      <c r="G21" s="883"/>
      <c r="H21" s="883"/>
      <c r="I21" s="883"/>
      <c r="J21" s="883"/>
      <c r="K21" s="883"/>
      <c r="L21" s="883"/>
      <c r="M21" s="883"/>
      <c r="N21" s="883"/>
      <c r="O21" s="883"/>
    </row>
    <row r="22" spans="1:15" ht="12" customHeight="1" x14ac:dyDescent="0.2">
      <c r="B22" s="46"/>
    </row>
    <row r="23" spans="1:15" ht="45.75" customHeight="1" x14ac:dyDescent="0.2">
      <c r="A23" s="4" t="s">
        <v>860</v>
      </c>
      <c r="B23" s="959" t="s">
        <v>869</v>
      </c>
      <c r="C23" s="960"/>
      <c r="D23" s="960"/>
      <c r="E23" s="960"/>
      <c r="F23" s="960"/>
      <c r="G23" s="960"/>
      <c r="H23" s="960"/>
      <c r="I23" s="960"/>
      <c r="J23" s="960"/>
      <c r="K23" s="960"/>
      <c r="L23" s="960"/>
      <c r="M23" s="960"/>
      <c r="N23" s="960"/>
      <c r="O23" s="961"/>
    </row>
    <row r="25" spans="1:15" x14ac:dyDescent="0.2">
      <c r="C25" s="955" t="s">
        <v>381</v>
      </c>
      <c r="D25" s="955"/>
      <c r="E25" s="955"/>
      <c r="F25" s="955"/>
      <c r="H25" s="3" t="s">
        <v>61</v>
      </c>
    </row>
    <row r="26" spans="1:15" ht="4.5" customHeight="1" x14ac:dyDescent="0.2"/>
    <row r="27" spans="1:15" ht="12.75" customHeight="1" x14ac:dyDescent="0.2">
      <c r="C27" t="s">
        <v>815</v>
      </c>
      <c r="H27" s="437"/>
    </row>
    <row r="28" spans="1:15" ht="12.75" customHeight="1" x14ac:dyDescent="0.2">
      <c r="C28" t="s">
        <v>453</v>
      </c>
      <c r="H28" s="437"/>
    </row>
    <row r="29" spans="1:15" x14ac:dyDescent="0.2">
      <c r="C29" t="s">
        <v>62</v>
      </c>
      <c r="H29" s="437"/>
    </row>
    <row r="30" spans="1:15" x14ac:dyDescent="0.2">
      <c r="C30" t="s">
        <v>105</v>
      </c>
      <c r="H30" s="437"/>
    </row>
    <row r="31" spans="1:15" x14ac:dyDescent="0.2">
      <c r="C31" t="s">
        <v>772</v>
      </c>
      <c r="H31" s="437"/>
    </row>
    <row r="32" spans="1:15" x14ac:dyDescent="0.2">
      <c r="C32" t="s">
        <v>106</v>
      </c>
      <c r="H32" s="437"/>
    </row>
    <row r="33" spans="1:15" ht="12.75" customHeight="1" x14ac:dyDescent="0.2">
      <c r="C33" t="s">
        <v>107</v>
      </c>
      <c r="H33" s="437"/>
      <c r="J33" s="884"/>
      <c r="K33" s="884"/>
      <c r="L33" s="884"/>
      <c r="M33" s="884"/>
      <c r="N33" s="884"/>
      <c r="O33" s="884"/>
    </row>
    <row r="34" spans="1:15" x14ac:dyDescent="0.2">
      <c r="C34" s="415" t="s">
        <v>818</v>
      </c>
      <c r="H34" s="437"/>
    </row>
    <row r="35" spans="1:15" x14ac:dyDescent="0.2">
      <c r="C35" s="415" t="s">
        <v>905</v>
      </c>
      <c r="H35" s="437"/>
    </row>
    <row r="36" spans="1:15" x14ac:dyDescent="0.2">
      <c r="C36" s="881" t="s">
        <v>511</v>
      </c>
      <c r="D36" s="881"/>
      <c r="E36" s="881"/>
      <c r="F36" s="881"/>
      <c r="H36" s="437"/>
    </row>
    <row r="37" spans="1:15" x14ac:dyDescent="0.2">
      <c r="C37" s="881" t="s">
        <v>512</v>
      </c>
      <c r="D37" s="881"/>
      <c r="E37" s="881"/>
      <c r="F37" s="881"/>
      <c r="H37" s="437"/>
    </row>
    <row r="38" spans="1:15" ht="12.75" customHeight="1" x14ac:dyDescent="0.2">
      <c r="H38" s="47"/>
    </row>
    <row r="39" spans="1:15" ht="13.5" thickBot="1" x14ac:dyDescent="0.25">
      <c r="D39" t="s">
        <v>928</v>
      </c>
      <c r="H39" s="81">
        <f>SUM(H27:H38)</f>
        <v>0</v>
      </c>
    </row>
    <row r="40" spans="1:15" ht="13.5" thickTop="1" x14ac:dyDescent="0.2">
      <c r="H40" s="62"/>
    </row>
    <row r="41" spans="1:15" ht="36.75" customHeight="1" x14ac:dyDescent="0.2">
      <c r="A41" s="4" t="s">
        <v>861</v>
      </c>
      <c r="B41" s="965" t="s">
        <v>679</v>
      </c>
      <c r="C41" s="963"/>
      <c r="D41" s="963"/>
      <c r="E41" s="963"/>
      <c r="F41" s="963"/>
      <c r="G41" s="963"/>
      <c r="H41" s="963"/>
      <c r="I41" s="963"/>
      <c r="J41" s="963"/>
      <c r="K41" s="963"/>
      <c r="L41" s="963"/>
      <c r="M41" s="963"/>
      <c r="N41" s="963"/>
      <c r="O41" s="964"/>
    </row>
    <row r="42" spans="1:15" x14ac:dyDescent="0.2">
      <c r="H42" s="62"/>
    </row>
    <row r="43" spans="1:15" x14ac:dyDescent="0.2">
      <c r="H43" s="64" t="s">
        <v>61</v>
      </c>
    </row>
    <row r="44" spans="1:15" ht="4.5" customHeight="1" x14ac:dyDescent="0.2">
      <c r="H44" s="62"/>
    </row>
    <row r="45" spans="1:15" x14ac:dyDescent="0.2">
      <c r="C45" t="s">
        <v>704</v>
      </c>
      <c r="H45" s="82"/>
    </row>
    <row r="46" spans="1:15" x14ac:dyDescent="0.2">
      <c r="D46" t="s">
        <v>60</v>
      </c>
      <c r="H46" s="437"/>
    </row>
    <row r="47" spans="1:15" x14ac:dyDescent="0.2">
      <c r="D47" t="s">
        <v>419</v>
      </c>
      <c r="H47" s="434"/>
    </row>
    <row r="48" spans="1:15" x14ac:dyDescent="0.2">
      <c r="D48" t="s">
        <v>420</v>
      </c>
      <c r="H48" s="434"/>
    </row>
    <row r="49" spans="3:8" ht="4.5" customHeight="1" x14ac:dyDescent="0.2">
      <c r="H49" s="417"/>
    </row>
    <row r="50" spans="3:8" x14ac:dyDescent="0.2">
      <c r="C50" t="s">
        <v>703</v>
      </c>
      <c r="H50" s="438"/>
    </row>
    <row r="51" spans="3:8" x14ac:dyDescent="0.2">
      <c r="D51" t="s">
        <v>60</v>
      </c>
      <c r="H51" s="434"/>
    </row>
    <row r="52" spans="3:8" x14ac:dyDescent="0.2">
      <c r="D52" t="s">
        <v>419</v>
      </c>
      <c r="H52" s="437"/>
    </row>
    <row r="53" spans="3:8" x14ac:dyDescent="0.2">
      <c r="D53" t="s">
        <v>420</v>
      </c>
      <c r="H53" s="434"/>
    </row>
    <row r="54" spans="3:8" ht="4.5" customHeight="1" x14ac:dyDescent="0.2">
      <c r="H54" s="417"/>
    </row>
    <row r="55" spans="3:8" x14ac:dyDescent="0.2">
      <c r="C55" t="s">
        <v>880</v>
      </c>
      <c r="H55" s="438"/>
    </row>
    <row r="56" spans="3:8" x14ac:dyDescent="0.2">
      <c r="D56" t="s">
        <v>60</v>
      </c>
      <c r="H56" s="434"/>
    </row>
    <row r="57" spans="3:8" x14ac:dyDescent="0.2">
      <c r="D57" t="s">
        <v>419</v>
      </c>
      <c r="H57" s="434"/>
    </row>
    <row r="58" spans="3:8" x14ac:dyDescent="0.2">
      <c r="D58" t="s">
        <v>420</v>
      </c>
      <c r="H58" s="434"/>
    </row>
    <row r="59" spans="3:8" ht="4.5" customHeight="1" x14ac:dyDescent="0.2">
      <c r="H59" s="417"/>
    </row>
    <row r="60" spans="3:8" x14ac:dyDescent="0.2">
      <c r="C60" t="s">
        <v>473</v>
      </c>
      <c r="H60" s="438"/>
    </row>
    <row r="61" spans="3:8" x14ac:dyDescent="0.2">
      <c r="D61" t="s">
        <v>60</v>
      </c>
      <c r="H61" s="434"/>
    </row>
    <row r="62" spans="3:8" x14ac:dyDescent="0.2">
      <c r="D62" t="s">
        <v>419</v>
      </c>
      <c r="H62" s="434"/>
    </row>
    <row r="63" spans="3:8" x14ac:dyDescent="0.2">
      <c r="D63" t="s">
        <v>420</v>
      </c>
      <c r="H63" s="434"/>
    </row>
    <row r="64" spans="3:8" ht="5.25" customHeight="1" x14ac:dyDescent="0.2">
      <c r="H64" s="417"/>
    </row>
    <row r="65" spans="3:8" x14ac:dyDescent="0.2">
      <c r="C65" t="s">
        <v>881</v>
      </c>
      <c r="H65" s="438"/>
    </row>
    <row r="66" spans="3:8" x14ac:dyDescent="0.2">
      <c r="D66" t="s">
        <v>60</v>
      </c>
      <c r="H66" s="434"/>
    </row>
    <row r="67" spans="3:8" x14ac:dyDescent="0.2">
      <c r="D67" t="s">
        <v>419</v>
      </c>
      <c r="H67" s="434"/>
    </row>
    <row r="68" spans="3:8" x14ac:dyDescent="0.2">
      <c r="D68" t="s">
        <v>420</v>
      </c>
      <c r="H68" s="434"/>
    </row>
    <row r="69" spans="3:8" ht="3" customHeight="1" x14ac:dyDescent="0.2">
      <c r="H69" s="417"/>
    </row>
    <row r="70" spans="3:8" ht="4.5" customHeight="1" x14ac:dyDescent="0.2">
      <c r="H70" s="417"/>
    </row>
    <row r="71" spans="3:8" x14ac:dyDescent="0.2">
      <c r="C71" t="s">
        <v>421</v>
      </c>
      <c r="H71" s="438"/>
    </row>
    <row r="72" spans="3:8" x14ac:dyDescent="0.2">
      <c r="D72" t="s">
        <v>60</v>
      </c>
      <c r="H72" s="434"/>
    </row>
    <row r="73" spans="3:8" x14ac:dyDescent="0.2">
      <c r="D73" t="s">
        <v>419</v>
      </c>
      <c r="H73" s="434"/>
    </row>
    <row r="74" spans="3:8" x14ac:dyDescent="0.2">
      <c r="D74" t="s">
        <v>420</v>
      </c>
      <c r="H74" s="434"/>
    </row>
    <row r="75" spans="3:8" ht="4.5" customHeight="1" x14ac:dyDescent="0.2">
      <c r="H75" s="417"/>
    </row>
    <row r="76" spans="3:8" ht="12.75" customHeight="1" x14ac:dyDescent="0.2">
      <c r="C76" t="s">
        <v>910</v>
      </c>
      <c r="H76" s="417"/>
    </row>
    <row r="77" spans="3:8" ht="12.75" customHeight="1" x14ac:dyDescent="0.2">
      <c r="D77" t="s">
        <v>60</v>
      </c>
      <c r="H77" s="434">
        <v>0</v>
      </c>
    </row>
    <row r="78" spans="3:8" ht="12.75" customHeight="1" x14ac:dyDescent="0.2">
      <c r="D78" t="s">
        <v>419</v>
      </c>
      <c r="H78" s="434">
        <v>0</v>
      </c>
    </row>
    <row r="79" spans="3:8" ht="12.75" customHeight="1" x14ac:dyDescent="0.2">
      <c r="D79" t="s">
        <v>420</v>
      </c>
      <c r="H79" s="434">
        <v>0</v>
      </c>
    </row>
    <row r="80" spans="3:8" ht="4.5" customHeight="1" x14ac:dyDescent="0.2">
      <c r="H80" s="417"/>
    </row>
    <row r="81" spans="1:15" ht="12.75" customHeight="1" x14ac:dyDescent="0.2">
      <c r="C81" s="415" t="s">
        <v>201</v>
      </c>
      <c r="H81" s="417"/>
    </row>
    <row r="82" spans="1:15" ht="12.75" customHeight="1" x14ac:dyDescent="0.2">
      <c r="D82" t="s">
        <v>60</v>
      </c>
      <c r="H82" s="434">
        <v>0</v>
      </c>
    </row>
    <row r="83" spans="1:15" ht="12.75" customHeight="1" x14ac:dyDescent="0.2">
      <c r="D83" t="s">
        <v>419</v>
      </c>
      <c r="H83" s="434">
        <v>0</v>
      </c>
    </row>
    <row r="84" spans="1:15" ht="12.75" customHeight="1" x14ac:dyDescent="0.2">
      <c r="D84" t="s">
        <v>420</v>
      </c>
      <c r="H84" s="434">
        <v>0</v>
      </c>
    </row>
    <row r="85" spans="1:15" ht="4.5" customHeight="1" x14ac:dyDescent="0.2">
      <c r="H85" s="417"/>
    </row>
    <row r="86" spans="1:15" ht="12.75" customHeight="1" x14ac:dyDescent="0.2">
      <c r="B86" s="2"/>
      <c r="C86" s="881" t="s">
        <v>509</v>
      </c>
      <c r="D86" s="881"/>
      <c r="E86" s="881"/>
      <c r="F86" s="881"/>
      <c r="H86" s="434">
        <v>0</v>
      </c>
    </row>
    <row r="87" spans="1:15" ht="12.75" customHeight="1" x14ac:dyDescent="0.2">
      <c r="B87" s="2"/>
      <c r="C87" s="881" t="s">
        <v>510</v>
      </c>
      <c r="D87" s="881"/>
      <c r="E87" s="881"/>
      <c r="F87" s="881"/>
      <c r="H87" s="434">
        <v>0</v>
      </c>
      <c r="J87" s="966" t="str">
        <f>IF(H39=H89," ","Recheck numbers in Sections A or B. Entry out of balance.")</f>
        <v xml:space="preserve"> </v>
      </c>
    </row>
    <row r="88" spans="1:15" ht="12.75" customHeight="1" x14ac:dyDescent="0.2">
      <c r="H88" s="56"/>
      <c r="J88" s="966"/>
    </row>
    <row r="89" spans="1:15" ht="22.5" customHeight="1" thickBot="1" x14ac:dyDescent="0.25">
      <c r="D89" t="s">
        <v>422</v>
      </c>
      <c r="H89" s="81">
        <f>SUM(H45:H88)</f>
        <v>0</v>
      </c>
      <c r="J89" s="966"/>
    </row>
    <row r="90" spans="1:15" ht="12.75" customHeight="1" thickTop="1" x14ac:dyDescent="0.2"/>
    <row r="92" spans="1:15" ht="26.25" customHeight="1" x14ac:dyDescent="0.2">
      <c r="A92" s="4" t="s">
        <v>459</v>
      </c>
      <c r="B92" s="962" t="s">
        <v>454</v>
      </c>
      <c r="C92" s="963"/>
      <c r="D92" s="963"/>
      <c r="E92" s="963"/>
      <c r="F92" s="963"/>
      <c r="G92" s="963"/>
      <c r="H92" s="963"/>
      <c r="I92" s="963"/>
      <c r="J92" s="963"/>
      <c r="K92" s="963"/>
      <c r="L92" s="963"/>
      <c r="M92" s="963"/>
      <c r="N92" s="963"/>
      <c r="O92" s="964"/>
    </row>
    <row r="93" spans="1:15" ht="12.75" customHeight="1" x14ac:dyDescent="0.2">
      <c r="A93" s="4"/>
      <c r="B93" s="4"/>
      <c r="C93" s="4"/>
      <c r="D93" s="4"/>
      <c r="E93" s="4"/>
      <c r="F93" s="4"/>
      <c r="G93" s="4"/>
      <c r="H93" s="4"/>
      <c r="I93" s="4"/>
      <c r="J93" s="4"/>
      <c r="K93" s="4"/>
      <c r="L93" s="4"/>
      <c r="M93" s="4"/>
      <c r="N93" s="4"/>
      <c r="O93" s="4"/>
    </row>
    <row r="94" spans="1:15" x14ac:dyDescent="0.2">
      <c r="K94" s="49"/>
      <c r="L94" s="58" t="s">
        <v>64</v>
      </c>
      <c r="N94" s="58" t="s">
        <v>65</v>
      </c>
    </row>
    <row r="95" spans="1:15" ht="6" customHeight="1" x14ac:dyDescent="0.2">
      <c r="K95" s="49"/>
      <c r="L95" s="49"/>
      <c r="N95" s="49"/>
    </row>
    <row r="96" spans="1:15" ht="12.75" customHeight="1" x14ac:dyDescent="0.2">
      <c r="B96" t="s">
        <v>815</v>
      </c>
      <c r="K96" s="49"/>
      <c r="L96" s="233">
        <f>H27</f>
        <v>0</v>
      </c>
      <c r="N96" s="115"/>
    </row>
    <row r="97" spans="2:14" ht="12.75" customHeight="1" x14ac:dyDescent="0.2">
      <c r="B97" t="s">
        <v>453</v>
      </c>
      <c r="K97" s="49"/>
      <c r="L97" s="116">
        <f>H28</f>
        <v>0</v>
      </c>
      <c r="N97" s="115"/>
    </row>
    <row r="98" spans="2:14" x14ac:dyDescent="0.2">
      <c r="B98" t="s">
        <v>62</v>
      </c>
      <c r="K98" s="96"/>
      <c r="L98" s="83">
        <f t="shared" ref="L98:L106" si="0">H29</f>
        <v>0</v>
      </c>
      <c r="N98" s="83"/>
    </row>
    <row r="99" spans="2:14" x14ac:dyDescent="0.2">
      <c r="B99" t="s">
        <v>105</v>
      </c>
      <c r="K99" s="96"/>
      <c r="L99" s="83">
        <f t="shared" si="0"/>
        <v>0</v>
      </c>
      <c r="N99" s="83"/>
    </row>
    <row r="100" spans="2:14" x14ac:dyDescent="0.2">
      <c r="B100" t="s">
        <v>63</v>
      </c>
      <c r="K100" s="96"/>
      <c r="L100" s="83">
        <f t="shared" si="0"/>
        <v>0</v>
      </c>
      <c r="N100" s="83"/>
    </row>
    <row r="101" spans="2:14" x14ac:dyDescent="0.2">
      <c r="B101" t="s">
        <v>644</v>
      </c>
      <c r="K101" s="96"/>
      <c r="L101" s="83">
        <f t="shared" si="0"/>
        <v>0</v>
      </c>
      <c r="N101" s="83"/>
    </row>
    <row r="102" spans="2:14" x14ac:dyDescent="0.2">
      <c r="B102" t="s">
        <v>107</v>
      </c>
      <c r="K102" s="96"/>
      <c r="L102" s="83">
        <f t="shared" si="0"/>
        <v>0</v>
      </c>
      <c r="N102" s="83"/>
    </row>
    <row r="103" spans="2:14" x14ac:dyDescent="0.2">
      <c r="B103" s="415" t="s">
        <v>818</v>
      </c>
      <c r="K103" s="96"/>
      <c r="L103" s="83">
        <f t="shared" si="0"/>
        <v>0</v>
      </c>
      <c r="N103" s="83"/>
    </row>
    <row r="104" spans="2:14" x14ac:dyDescent="0.2">
      <c r="B104" s="415" t="s">
        <v>905</v>
      </c>
      <c r="K104" s="96"/>
      <c r="L104" s="83">
        <f t="shared" si="0"/>
        <v>0</v>
      </c>
      <c r="N104" s="83"/>
    </row>
    <row r="105" spans="2:14" x14ac:dyDescent="0.2">
      <c r="B105" t="s">
        <v>908</v>
      </c>
      <c r="K105" s="96"/>
      <c r="L105" s="83">
        <f t="shared" si="0"/>
        <v>0</v>
      </c>
      <c r="N105" s="83"/>
    </row>
    <row r="106" spans="2:14" x14ac:dyDescent="0.2">
      <c r="B106" t="s">
        <v>909</v>
      </c>
      <c r="K106" s="96"/>
      <c r="L106" s="83">
        <f t="shared" si="0"/>
        <v>0</v>
      </c>
      <c r="N106" s="83"/>
    </row>
    <row r="107" spans="2:14" x14ac:dyDescent="0.2">
      <c r="C107" t="s">
        <v>423</v>
      </c>
      <c r="L107" s="83"/>
      <c r="N107" s="83">
        <f>H46</f>
        <v>0</v>
      </c>
    </row>
    <row r="108" spans="2:14" x14ac:dyDescent="0.2">
      <c r="C108" t="s">
        <v>424</v>
      </c>
      <c r="L108" s="83"/>
      <c r="N108" s="83">
        <f>H47</f>
        <v>0</v>
      </c>
    </row>
    <row r="109" spans="2:14" ht="12.75" customHeight="1" x14ac:dyDescent="0.2">
      <c r="C109" t="s">
        <v>425</v>
      </c>
      <c r="L109" s="83"/>
      <c r="N109" s="83">
        <f>H48</f>
        <v>0</v>
      </c>
    </row>
    <row r="110" spans="2:14" x14ac:dyDescent="0.2">
      <c r="C110" t="s">
        <v>426</v>
      </c>
      <c r="L110" s="83"/>
      <c r="N110" s="83">
        <f>H51</f>
        <v>0</v>
      </c>
    </row>
    <row r="111" spans="2:14" ht="14.25" x14ac:dyDescent="0.2">
      <c r="C111" t="s">
        <v>41</v>
      </c>
      <c r="L111" s="83"/>
      <c r="M111" s="61"/>
      <c r="N111" s="83">
        <f>H52</f>
        <v>0</v>
      </c>
    </row>
    <row r="112" spans="2:14" ht="12.75" customHeight="1" x14ac:dyDescent="0.2">
      <c r="C112" t="s">
        <v>42</v>
      </c>
      <c r="L112" s="83"/>
      <c r="N112" s="83">
        <f>H53</f>
        <v>0</v>
      </c>
    </row>
    <row r="113" spans="3:14" x14ac:dyDescent="0.2">
      <c r="C113" t="s">
        <v>43</v>
      </c>
      <c r="L113" s="83"/>
      <c r="N113" s="83">
        <f>H56</f>
        <v>0</v>
      </c>
    </row>
    <row r="114" spans="3:14" x14ac:dyDescent="0.2">
      <c r="C114" t="s">
        <v>44</v>
      </c>
      <c r="L114" s="83"/>
      <c r="N114" s="83">
        <f>H57</f>
        <v>0</v>
      </c>
    </row>
    <row r="115" spans="3:14" x14ac:dyDescent="0.2">
      <c r="C115" t="s">
        <v>865</v>
      </c>
      <c r="L115" s="83"/>
      <c r="N115" s="83">
        <f>H58</f>
        <v>0</v>
      </c>
    </row>
    <row r="116" spans="3:14" x14ac:dyDescent="0.2">
      <c r="C116" t="s">
        <v>168</v>
      </c>
      <c r="L116" s="83"/>
      <c r="N116" s="83">
        <f>H61</f>
        <v>0</v>
      </c>
    </row>
    <row r="117" spans="3:14" x14ac:dyDescent="0.2">
      <c r="C117" t="s">
        <v>170</v>
      </c>
      <c r="L117" s="83"/>
      <c r="N117" s="83">
        <f>H62</f>
        <v>0</v>
      </c>
    </row>
    <row r="118" spans="3:14" x14ac:dyDescent="0.2">
      <c r="C118" t="s">
        <v>171</v>
      </c>
      <c r="L118" s="83"/>
      <c r="N118" s="83">
        <f>H63</f>
        <v>0</v>
      </c>
    </row>
    <row r="119" spans="3:14" x14ac:dyDescent="0.2">
      <c r="C119" t="s">
        <v>866</v>
      </c>
      <c r="L119" s="83"/>
      <c r="N119" s="83">
        <f>H66</f>
        <v>0</v>
      </c>
    </row>
    <row r="120" spans="3:14" x14ac:dyDescent="0.2">
      <c r="C120" t="s">
        <v>867</v>
      </c>
      <c r="L120" s="83"/>
      <c r="N120" s="83">
        <f>H67</f>
        <v>0</v>
      </c>
    </row>
    <row r="121" spans="3:14" x14ac:dyDescent="0.2">
      <c r="C121" t="s">
        <v>167</v>
      </c>
      <c r="L121" s="83"/>
      <c r="N121" s="83">
        <f>H68</f>
        <v>0</v>
      </c>
    </row>
    <row r="122" spans="3:14" x14ac:dyDescent="0.2">
      <c r="C122" t="s">
        <v>172</v>
      </c>
      <c r="L122" s="83"/>
      <c r="N122" s="83">
        <f>H72</f>
        <v>0</v>
      </c>
    </row>
    <row r="123" spans="3:14" x14ac:dyDescent="0.2">
      <c r="C123" t="s">
        <v>173</v>
      </c>
      <c r="L123" s="83"/>
      <c r="N123" s="83">
        <f>H73</f>
        <v>0</v>
      </c>
    </row>
    <row r="124" spans="3:14" x14ac:dyDescent="0.2">
      <c r="C124" t="s">
        <v>174</v>
      </c>
      <c r="L124" s="83"/>
      <c r="N124" s="83">
        <f>H74</f>
        <v>0</v>
      </c>
    </row>
    <row r="125" spans="3:14" x14ac:dyDescent="0.2">
      <c r="C125" t="s">
        <v>99</v>
      </c>
      <c r="L125" s="83"/>
      <c r="N125" s="83">
        <f>H77</f>
        <v>0</v>
      </c>
    </row>
    <row r="126" spans="3:14" x14ac:dyDescent="0.2">
      <c r="C126" t="s">
        <v>805</v>
      </c>
      <c r="L126" s="83"/>
      <c r="N126" s="83">
        <f>H78</f>
        <v>0</v>
      </c>
    </row>
    <row r="127" spans="3:14" x14ac:dyDescent="0.2">
      <c r="C127" t="s">
        <v>806</v>
      </c>
      <c r="L127" s="83"/>
      <c r="N127" s="83">
        <f>H79</f>
        <v>0</v>
      </c>
    </row>
    <row r="128" spans="3:14" x14ac:dyDescent="0.2">
      <c r="C128" s="415" t="s">
        <v>202</v>
      </c>
      <c r="L128" s="83"/>
      <c r="N128" s="83">
        <f>H82</f>
        <v>0</v>
      </c>
    </row>
    <row r="129" spans="2:15" x14ac:dyDescent="0.2">
      <c r="C129" s="415" t="s">
        <v>203</v>
      </c>
      <c r="L129" s="83"/>
      <c r="N129" s="83">
        <f>H83</f>
        <v>0</v>
      </c>
    </row>
    <row r="130" spans="2:15" x14ac:dyDescent="0.2">
      <c r="C130" s="415" t="s">
        <v>204</v>
      </c>
      <c r="L130" s="83"/>
      <c r="N130" s="83">
        <f>H84</f>
        <v>0</v>
      </c>
    </row>
    <row r="131" spans="2:15" x14ac:dyDescent="0.2">
      <c r="C131" t="s">
        <v>1006</v>
      </c>
      <c r="L131" s="83"/>
      <c r="N131" s="83">
        <f>H86</f>
        <v>0</v>
      </c>
    </row>
    <row r="132" spans="2:15" x14ac:dyDescent="0.2">
      <c r="C132" t="s">
        <v>188</v>
      </c>
      <c r="L132" s="83"/>
      <c r="N132" s="83">
        <f>H87</f>
        <v>0</v>
      </c>
    </row>
    <row r="133" spans="2:15" x14ac:dyDescent="0.2">
      <c r="L133" s="79"/>
      <c r="N133" s="79"/>
    </row>
    <row r="134" spans="2:15" ht="13.5" thickBot="1" x14ac:dyDescent="0.25">
      <c r="K134" s="5">
        <f>SUM(K98:K133)</f>
        <v>0</v>
      </c>
      <c r="L134" s="80">
        <f>SUM(L96:L133)</f>
        <v>0</v>
      </c>
      <c r="N134" s="80">
        <f>SUM(N96:N133)</f>
        <v>0</v>
      </c>
    </row>
    <row r="135" spans="2:15" ht="13.5" thickTop="1" x14ac:dyDescent="0.2"/>
    <row r="138" spans="2:15" ht="24" customHeight="1" x14ac:dyDescent="0.2">
      <c r="B138" s="31"/>
      <c r="C138" s="883" t="s">
        <v>807</v>
      </c>
      <c r="D138" s="883"/>
      <c r="E138" s="883"/>
      <c r="F138" s="883"/>
      <c r="G138" s="883"/>
      <c r="H138" s="883"/>
      <c r="I138" s="883"/>
      <c r="J138" s="883"/>
      <c r="K138" s="883"/>
      <c r="L138" s="883"/>
      <c r="M138" s="883"/>
      <c r="N138" s="883"/>
      <c r="O138" s="883"/>
    </row>
    <row r="140" spans="2:15" x14ac:dyDescent="0.2">
      <c r="C140" t="s">
        <v>1005</v>
      </c>
    </row>
    <row r="141" spans="2:15" x14ac:dyDescent="0.2">
      <c r="C141" t="s">
        <v>457</v>
      </c>
    </row>
  </sheetData>
  <mergeCells count="19">
    <mergeCell ref="C138:O138"/>
    <mergeCell ref="B92:O92"/>
    <mergeCell ref="B41:O41"/>
    <mergeCell ref="J87:J89"/>
    <mergeCell ref="J33:O33"/>
    <mergeCell ref="C36:F36"/>
    <mergeCell ref="C37:F37"/>
    <mergeCell ref="C86:F86"/>
    <mergeCell ref="C87:F87"/>
    <mergeCell ref="C25:F25"/>
    <mergeCell ref="A2:O2"/>
    <mergeCell ref="B4:P4"/>
    <mergeCell ref="C6:O6"/>
    <mergeCell ref="C8:O9"/>
    <mergeCell ref="C11:O12"/>
    <mergeCell ref="C14:O15"/>
    <mergeCell ref="C17:O18"/>
    <mergeCell ref="B23:O23"/>
    <mergeCell ref="C20:O21"/>
  </mergeCells>
  <phoneticPr fontId="15" type="noConversion"/>
  <printOptions horizontalCentered="1"/>
  <pageMargins left="0.5" right="0.45" top="0.66" bottom="0.76" header="0.5" footer="0.5"/>
  <pageSetup scale="66" orientation="portrait" r:id="rId1"/>
  <headerFooter alignWithMargins="0">
    <oddHeader>&amp;R&amp;"Arial,Bold"&amp;12Entry A</oddHeader>
    <oddFooter>&amp;L&amp;8&amp;D - City model&amp;R&amp;P</oddFooter>
  </headerFooter>
  <rowBreaks count="1" manualBreakCount="1">
    <brk id="70" max="15" man="1"/>
  </rowBreaks>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O134"/>
  <sheetViews>
    <sheetView workbookViewId="0">
      <selection sqref="A1:C1"/>
    </sheetView>
  </sheetViews>
  <sheetFormatPr defaultColWidth="9.140625" defaultRowHeight="15" x14ac:dyDescent="0.25"/>
  <cols>
    <col min="1" max="1" width="11.85546875" style="765" customWidth="1"/>
    <col min="2" max="2" width="48.28515625" style="765" customWidth="1"/>
    <col min="3" max="3" width="17.140625" style="765" customWidth="1"/>
    <col min="4" max="4" width="14.140625" style="765" customWidth="1"/>
    <col min="5" max="5" width="17.7109375" style="765" customWidth="1"/>
    <col min="6" max="6" width="9.140625" style="765"/>
    <col min="7" max="8" width="13.7109375" style="765" customWidth="1"/>
    <col min="9" max="9" width="9.140625" style="765"/>
    <col min="10" max="10" width="18.42578125" style="767" customWidth="1"/>
    <col min="11" max="11" width="19.5703125" style="767" customWidth="1"/>
    <col min="12" max="12" width="15.28515625" style="765" bestFit="1" customWidth="1"/>
    <col min="13" max="13" width="13.42578125" style="765" bestFit="1" customWidth="1"/>
    <col min="14" max="14" width="9.140625" style="765"/>
    <col min="15" max="15" width="10.7109375" style="765" bestFit="1" customWidth="1"/>
    <col min="16" max="16384" width="9.140625" style="765"/>
  </cols>
  <sheetData>
    <row r="1" spans="1:11" ht="15.75" x14ac:dyDescent="0.25">
      <c r="A1" s="1095" t="s">
        <v>3888</v>
      </c>
      <c r="B1" s="1096"/>
      <c r="C1" s="1097"/>
    </row>
    <row r="3" spans="1:11" ht="49.5" customHeight="1" x14ac:dyDescent="0.25">
      <c r="A3" s="1105" t="s">
        <v>4845</v>
      </c>
      <c r="B3" s="1105"/>
      <c r="C3" s="1105"/>
    </row>
    <row r="6" spans="1:11" ht="15.75" customHeight="1" x14ac:dyDescent="0.25">
      <c r="A6" s="1112" t="s">
        <v>3890</v>
      </c>
      <c r="B6" s="1128"/>
      <c r="C6" s="1113"/>
    </row>
    <row r="7" spans="1:11" x14ac:dyDescent="0.25">
      <c r="J7" s="768"/>
    </row>
    <row r="8" spans="1:11" ht="30" hidden="1" customHeight="1" x14ac:dyDescent="0.25">
      <c r="A8" s="1123" t="s">
        <v>4931</v>
      </c>
      <c r="B8" s="1124"/>
      <c r="C8" s="769">
        <v>0</v>
      </c>
      <c r="J8" s="768"/>
    </row>
    <row r="9" spans="1:11" ht="6.75" hidden="1" customHeight="1" x14ac:dyDescent="0.25">
      <c r="A9" s="770"/>
      <c r="B9" s="770"/>
      <c r="C9" s="771"/>
      <c r="J9" s="768"/>
    </row>
    <row r="10" spans="1:11" ht="45" hidden="1" customHeight="1" x14ac:dyDescent="0.25">
      <c r="A10" s="1124" t="s">
        <v>3540</v>
      </c>
      <c r="B10" s="1124"/>
      <c r="C10" s="769">
        <v>0</v>
      </c>
      <c r="J10" s="768"/>
    </row>
    <row r="11" spans="1:11" ht="5.25" hidden="1" customHeight="1" x14ac:dyDescent="0.25">
      <c r="A11" s="770"/>
      <c r="B11" s="770"/>
      <c r="C11" s="772"/>
      <c r="J11" s="768"/>
    </row>
    <row r="12" spans="1:11" ht="5.25" hidden="1" customHeight="1" x14ac:dyDescent="0.25">
      <c r="A12" s="1124" t="s">
        <v>3541</v>
      </c>
      <c r="B12" s="1124"/>
      <c r="C12" s="769">
        <v>0</v>
      </c>
      <c r="D12" s="1125"/>
      <c r="E12" s="1126"/>
      <c r="F12" s="1126"/>
      <c r="G12" s="1126"/>
      <c r="H12" s="1126"/>
      <c r="I12" s="1126"/>
      <c r="J12" s="1126"/>
    </row>
    <row r="13" spans="1:11" ht="3.75" customHeight="1" x14ac:dyDescent="0.25">
      <c r="A13" s="772"/>
      <c r="B13" s="772"/>
      <c r="C13" s="772"/>
      <c r="J13" s="768"/>
    </row>
    <row r="14" spans="1:11" ht="30.75" customHeight="1" x14ac:dyDescent="0.25">
      <c r="A14" s="1127" t="s">
        <v>3873</v>
      </c>
      <c r="B14" s="1127"/>
      <c r="C14" s="785"/>
      <c r="D14" s="773"/>
      <c r="G14" s="772"/>
      <c r="J14" s="765"/>
      <c r="K14" s="765"/>
    </row>
    <row r="15" spans="1:11" ht="6" hidden="1" customHeight="1" x14ac:dyDescent="0.25">
      <c r="A15" s="786"/>
      <c r="B15" s="786"/>
      <c r="C15" s="787"/>
      <c r="D15" s="773"/>
      <c r="J15" s="765"/>
      <c r="K15" s="765"/>
    </row>
    <row r="16" spans="1:11" ht="45" hidden="1" customHeight="1" x14ac:dyDescent="0.25">
      <c r="A16" s="1127" t="s">
        <v>3874</v>
      </c>
      <c r="B16" s="1127"/>
      <c r="C16" s="788"/>
      <c r="D16" s="773"/>
      <c r="J16" s="765"/>
      <c r="K16" s="765"/>
    </row>
    <row r="17" spans="1:11" ht="6" hidden="1" customHeight="1" x14ac:dyDescent="0.25">
      <c r="A17" s="786"/>
      <c r="B17" s="786"/>
      <c r="C17" s="787"/>
      <c r="D17" s="773"/>
      <c r="J17" s="765"/>
      <c r="K17" s="765"/>
    </row>
    <row r="18" spans="1:11" ht="36.75" hidden="1" customHeight="1" x14ac:dyDescent="0.25">
      <c r="A18" s="1127" t="s">
        <v>3875</v>
      </c>
      <c r="B18" s="1127"/>
      <c r="C18" s="788"/>
      <c r="D18" s="773"/>
      <c r="J18" s="765"/>
      <c r="K18" s="765"/>
    </row>
    <row r="19" spans="1:11" ht="4.5" customHeight="1" x14ac:dyDescent="0.25">
      <c r="A19" s="789"/>
      <c r="B19" s="789"/>
      <c r="C19" s="787"/>
      <c r="D19" s="773"/>
      <c r="J19" s="768"/>
    </row>
    <row r="20" spans="1:11" ht="45" customHeight="1" x14ac:dyDescent="0.25">
      <c r="A20" s="1127" t="s">
        <v>3932</v>
      </c>
      <c r="B20" s="1127"/>
      <c r="C20" s="785"/>
      <c r="D20" s="773"/>
      <c r="J20" s="768"/>
    </row>
    <row r="21" spans="1:11" ht="6" customHeight="1" x14ac:dyDescent="0.25">
      <c r="A21" s="770"/>
      <c r="B21" s="770"/>
      <c r="C21" s="771"/>
    </row>
    <row r="23" spans="1:11" ht="16.5" customHeight="1" x14ac:dyDescent="0.25">
      <c r="A23" s="781" t="s">
        <v>3889</v>
      </c>
      <c r="B23" s="778"/>
      <c r="C23" s="779"/>
      <c r="G23" s="774"/>
      <c r="H23" s="774"/>
      <c r="I23" s="774"/>
      <c r="J23" s="775"/>
    </row>
    <row r="25" spans="1:11" x14ac:dyDescent="0.25">
      <c r="A25" s="804" t="s">
        <v>3876</v>
      </c>
      <c r="B25" s="804"/>
      <c r="C25" s="782"/>
    </row>
    <row r="26" spans="1:11" x14ac:dyDescent="0.25">
      <c r="A26" s="804" t="s">
        <v>3877</v>
      </c>
      <c r="B26" s="804"/>
      <c r="C26" s="783"/>
    </row>
    <row r="27" spans="1:11" x14ac:dyDescent="0.25">
      <c r="A27" s="804" t="s">
        <v>3878</v>
      </c>
      <c r="B27" s="804"/>
      <c r="C27" s="783"/>
    </row>
    <row r="28" spans="1:11" x14ac:dyDescent="0.25">
      <c r="A28" s="804" t="s">
        <v>3879</v>
      </c>
      <c r="B28" s="804"/>
      <c r="C28" s="783"/>
    </row>
    <row r="29" spans="1:11" ht="14.25" customHeight="1" x14ac:dyDescent="0.25">
      <c r="A29" s="804" t="s">
        <v>3880</v>
      </c>
      <c r="B29" s="804"/>
      <c r="C29" s="783"/>
      <c r="E29" s="1121" t="s">
        <v>3882</v>
      </c>
      <c r="F29" s="1121"/>
      <c r="G29" s="1121"/>
      <c r="H29" s="1121"/>
      <c r="I29" s="1121"/>
    </row>
    <row r="30" spans="1:11" ht="35.25" customHeight="1" x14ac:dyDescent="0.25">
      <c r="A30" s="1132" t="s">
        <v>3881</v>
      </c>
      <c r="B30" s="1132"/>
      <c r="C30" s="784"/>
      <c r="F30" s="770"/>
      <c r="G30" s="770"/>
      <c r="H30" s="770"/>
      <c r="I30" s="770"/>
      <c r="J30" s="770"/>
    </row>
    <row r="31" spans="1:11" ht="33.75" customHeight="1" x14ac:dyDescent="0.25">
      <c r="A31" s="1132" t="s">
        <v>3883</v>
      </c>
      <c r="B31" s="1132"/>
      <c r="C31" s="784"/>
      <c r="E31" s="1122"/>
      <c r="F31" s="1122"/>
      <c r="G31" s="1122"/>
      <c r="H31" s="1122"/>
      <c r="I31" s="1122"/>
      <c r="J31" s="1122"/>
    </row>
    <row r="32" spans="1:11" ht="33.75" customHeight="1" x14ac:dyDescent="0.25">
      <c r="A32" s="1132" t="s">
        <v>3884</v>
      </c>
      <c r="B32" s="1132"/>
      <c r="C32" s="784"/>
      <c r="E32" s="1122" t="s">
        <v>3885</v>
      </c>
      <c r="F32" s="1122"/>
      <c r="G32" s="1122"/>
      <c r="H32" s="1122"/>
      <c r="I32" s="1122"/>
      <c r="J32" s="1122"/>
    </row>
    <row r="33" spans="1:10" ht="33.75" customHeight="1" x14ac:dyDescent="0.25">
      <c r="A33" s="1132" t="s">
        <v>3886</v>
      </c>
      <c r="B33" s="1132"/>
      <c r="C33" s="784"/>
      <c r="E33" s="1122" t="s">
        <v>3885</v>
      </c>
      <c r="F33" s="1122"/>
      <c r="G33" s="1122"/>
      <c r="H33" s="1122"/>
      <c r="I33" s="1122"/>
      <c r="J33" s="1122"/>
    </row>
    <row r="34" spans="1:10" ht="33.75" hidden="1" customHeight="1" x14ac:dyDescent="0.25">
      <c r="A34" s="1121" t="s">
        <v>3887</v>
      </c>
      <c r="B34" s="1121"/>
      <c r="C34" s="776"/>
      <c r="E34" s="1122" t="s">
        <v>3885</v>
      </c>
      <c r="F34" s="1122"/>
      <c r="G34" s="1122"/>
      <c r="H34" s="1122"/>
      <c r="I34" s="1122"/>
      <c r="J34" s="1122"/>
    </row>
    <row r="36" spans="1:10" x14ac:dyDescent="0.25">
      <c r="A36" s="531"/>
      <c r="B36" s="46"/>
      <c r="C36" s="557"/>
      <c r="D36" s="557"/>
      <c r="E36"/>
      <c r="F36"/>
      <c r="G36"/>
      <c r="H36"/>
      <c r="I36"/>
    </row>
    <row r="37" spans="1:10" ht="30" customHeight="1" x14ac:dyDescent="0.25">
      <c r="A37" s="567"/>
      <c r="B37" s="1129" t="s">
        <v>3897</v>
      </c>
      <c r="C37" s="1130"/>
      <c r="D37" s="1130"/>
      <c r="E37" s="1130"/>
      <c r="F37" s="1130"/>
      <c r="G37" s="1130"/>
      <c r="H37" s="1130"/>
      <c r="I37" s="1131"/>
    </row>
    <row r="38" spans="1:10" x14ac:dyDescent="0.25">
      <c r="A38" s="567"/>
      <c r="B38" s="157"/>
      <c r="C38" s="157"/>
      <c r="D38" s="157"/>
      <c r="E38" s="157"/>
      <c r="F38" s="157"/>
      <c r="G38" s="157"/>
      <c r="H38" s="157"/>
      <c r="I38" s="157"/>
    </row>
    <row r="39" spans="1:10" x14ac:dyDescent="0.25">
      <c r="A39" s="567"/>
      <c r="B39" s="1109" t="s">
        <v>2065</v>
      </c>
      <c r="C39" s="1110"/>
      <c r="D39" s="1110"/>
      <c r="E39" s="1110"/>
      <c r="F39" s="792"/>
      <c r="G39" s="792"/>
      <c r="H39" s="792"/>
      <c r="I39" s="793"/>
    </row>
    <row r="40" spans="1:10" x14ac:dyDescent="0.25">
      <c r="A40" s="531"/>
      <c r="B40" s="582" t="s">
        <v>2042</v>
      </c>
      <c r="C40" s="579">
        <f>'J. Other Liability &amp; Expenses'!L151</f>
        <v>0</v>
      </c>
      <c r="D40" s="157"/>
      <c r="E40" s="157"/>
      <c r="F40"/>
      <c r="G40"/>
      <c r="H40"/>
      <c r="I40" s="561"/>
    </row>
    <row r="41" spans="1:10" x14ac:dyDescent="0.25">
      <c r="A41" s="531"/>
      <c r="B41" s="582" t="s">
        <v>2080</v>
      </c>
      <c r="C41" s="579">
        <f>'J. Other Liability &amp; Expenses'!L152</f>
        <v>0</v>
      </c>
      <c r="D41" s="759"/>
      <c r="E41" s="157"/>
      <c r="F41"/>
      <c r="G41"/>
      <c r="H41"/>
      <c r="I41" s="561"/>
    </row>
    <row r="42" spans="1:10" x14ac:dyDescent="0.25">
      <c r="A42" s="531"/>
      <c r="B42" s="582" t="s">
        <v>2052</v>
      </c>
      <c r="C42" s="579">
        <f>'J. Other Liability &amp; Expenses'!L153</f>
        <v>0</v>
      </c>
      <c r="D42" s="157"/>
      <c r="E42" s="157"/>
      <c r="F42"/>
      <c r="G42"/>
      <c r="H42"/>
      <c r="I42" s="561"/>
    </row>
    <row r="43" spans="1:10" x14ac:dyDescent="0.25">
      <c r="A43" s="531"/>
      <c r="B43" s="584" t="s">
        <v>2053</v>
      </c>
      <c r="C43" s="579">
        <f>SUM(C40:C42)</f>
        <v>0</v>
      </c>
      <c r="D43" s="157" t="str">
        <f>IF(C43=1,"","DOES NOT EQUAL 100%!!!")</f>
        <v>DOES NOT EQUAL 100%!!!</v>
      </c>
      <c r="E43"/>
      <c r="F43"/>
      <c r="G43"/>
      <c r="H43"/>
      <c r="I43" s="561"/>
    </row>
    <row r="44" spans="1:10" x14ac:dyDescent="0.25">
      <c r="A44" s="531"/>
      <c r="B44" s="585"/>
      <c r="C44"/>
      <c r="D44"/>
      <c r="E44"/>
      <c r="F44"/>
      <c r="G44"/>
      <c r="H44"/>
      <c r="I44" s="561"/>
    </row>
    <row r="45" spans="1:10" x14ac:dyDescent="0.25">
      <c r="A45" s="531"/>
      <c r="B45" s="586" t="s">
        <v>2054</v>
      </c>
      <c r="C45"/>
      <c r="D45"/>
      <c r="E45"/>
      <c r="F45"/>
      <c r="G45"/>
      <c r="H45"/>
      <c r="I45" s="561"/>
    </row>
    <row r="46" spans="1:10" x14ac:dyDescent="0.25">
      <c r="A46" s="531"/>
      <c r="B46" s="585" t="s">
        <v>2055</v>
      </c>
      <c r="C46" s="579">
        <f>'J. Other Liability &amp; Expenses'!L157</f>
        <v>0</v>
      </c>
      <c r="D46"/>
      <c r="E46"/>
      <c r="F46"/>
      <c r="G46"/>
      <c r="H46"/>
      <c r="I46" s="561"/>
    </row>
    <row r="47" spans="1:10" x14ac:dyDescent="0.25">
      <c r="A47" s="531"/>
      <c r="B47" s="585" t="s">
        <v>2056</v>
      </c>
      <c r="C47" s="579">
        <f>'J. Other Liability &amp; Expenses'!L158</f>
        <v>0</v>
      </c>
      <c r="D47"/>
      <c r="E47"/>
      <c r="F47"/>
      <c r="G47"/>
      <c r="H47"/>
      <c r="I47" s="561"/>
    </row>
    <row r="48" spans="1:10" x14ac:dyDescent="0.25">
      <c r="A48" s="531"/>
      <c r="B48" s="585" t="s">
        <v>2057</v>
      </c>
      <c r="C48" s="579">
        <f>'J. Other Liability &amp; Expenses'!L159</f>
        <v>0</v>
      </c>
      <c r="D48"/>
      <c r="E48"/>
      <c r="F48"/>
      <c r="G48"/>
      <c r="H48"/>
      <c r="I48" s="561"/>
    </row>
    <row r="49" spans="1:9" x14ac:dyDescent="0.25">
      <c r="A49" s="531"/>
      <c r="B49" s="585" t="s">
        <v>2058</v>
      </c>
      <c r="C49" s="579">
        <f>'J. Other Liability &amp; Expenses'!L160</f>
        <v>0</v>
      </c>
      <c r="D49"/>
      <c r="E49"/>
      <c r="F49"/>
      <c r="G49"/>
      <c r="H49"/>
      <c r="I49" s="561"/>
    </row>
    <row r="50" spans="1:9" x14ac:dyDescent="0.25">
      <c r="A50" s="531"/>
      <c r="B50" s="585" t="s">
        <v>4928</v>
      </c>
      <c r="C50" s="579">
        <f>'J. Other Liability &amp; Expenses'!L161</f>
        <v>0</v>
      </c>
      <c r="D50"/>
      <c r="E50"/>
      <c r="F50"/>
      <c r="G50"/>
      <c r="H50"/>
      <c r="I50" s="561"/>
    </row>
    <row r="51" spans="1:9" x14ac:dyDescent="0.25">
      <c r="A51" s="531"/>
      <c r="B51" s="585" t="s">
        <v>2059</v>
      </c>
      <c r="C51" s="579">
        <f>'J. Other Liability &amp; Expenses'!L162</f>
        <v>0</v>
      </c>
      <c r="D51"/>
      <c r="E51"/>
      <c r="F51"/>
      <c r="G51"/>
      <c r="H51"/>
      <c r="I51" s="561"/>
    </row>
    <row r="52" spans="1:9" x14ac:dyDescent="0.25">
      <c r="A52" s="531"/>
      <c r="B52" s="585" t="s">
        <v>2060</v>
      </c>
      <c r="C52" s="579">
        <f>'J. Other Liability &amp; Expenses'!L163</f>
        <v>0</v>
      </c>
      <c r="D52"/>
      <c r="E52"/>
      <c r="F52"/>
      <c r="G52"/>
      <c r="H52"/>
      <c r="I52" s="561"/>
    </row>
    <row r="53" spans="1:9" x14ac:dyDescent="0.25">
      <c r="A53" s="531"/>
      <c r="B53" s="585" t="s">
        <v>2062</v>
      </c>
      <c r="C53" s="579">
        <f>'J. Other Liability &amp; Expenses'!L164</f>
        <v>0</v>
      </c>
      <c r="D53"/>
      <c r="E53"/>
      <c r="F53"/>
      <c r="G53"/>
      <c r="H53"/>
      <c r="I53" s="561"/>
    </row>
    <row r="54" spans="1:9" x14ac:dyDescent="0.25">
      <c r="A54" s="531"/>
      <c r="B54" s="587" t="s">
        <v>2061</v>
      </c>
      <c r="C54" s="588">
        <f>SUM(C46:C53)</f>
        <v>0</v>
      </c>
      <c r="D54" s="589" t="str">
        <f>IF(C54=C40,"Equals Governmental Activities","DOES NOT EQUAL Governmental Activities!!!")</f>
        <v>Equals Governmental Activities</v>
      </c>
      <c r="E54" s="8"/>
      <c r="F54" s="8"/>
      <c r="G54" s="8"/>
      <c r="H54" s="8"/>
      <c r="I54" s="126"/>
    </row>
    <row r="55" spans="1:9" x14ac:dyDescent="0.25">
      <c r="A55" s="531"/>
      <c r="B55" s="4"/>
      <c r="C55"/>
      <c r="D55"/>
      <c r="E55"/>
      <c r="F55"/>
      <c r="G55"/>
      <c r="H55"/>
      <c r="I55"/>
    </row>
    <row r="56" spans="1:9" x14ac:dyDescent="0.25">
      <c r="A56" s="571"/>
      <c r="B56" s="572" t="s">
        <v>1106</v>
      </c>
      <c r="C56" s="680">
        <f t="shared" ref="C56:D67" si="0">G99</f>
        <v>0</v>
      </c>
      <c r="D56" s="680">
        <f t="shared" si="0"/>
        <v>0</v>
      </c>
      <c r="E56" s="571"/>
      <c r="F56" s="571"/>
      <c r="G56" s="571"/>
      <c r="H56" s="571"/>
      <c r="I56" s="571"/>
    </row>
    <row r="57" spans="1:9" x14ac:dyDescent="0.25">
      <c r="A57" s="571"/>
      <c r="B57" s="572" t="s">
        <v>3891</v>
      </c>
      <c r="C57" s="680">
        <f t="shared" si="0"/>
        <v>0</v>
      </c>
      <c r="D57" s="680">
        <f t="shared" si="0"/>
        <v>0</v>
      </c>
      <c r="E57" s="571"/>
      <c r="F57" s="571"/>
      <c r="G57" s="571"/>
      <c r="H57" s="571"/>
      <c r="I57" s="571"/>
    </row>
    <row r="58" spans="1:9" x14ac:dyDescent="0.25">
      <c r="A58" s="571"/>
      <c r="B58" s="571" t="s">
        <v>3898</v>
      </c>
      <c r="C58" s="680">
        <f t="shared" si="0"/>
        <v>0</v>
      </c>
      <c r="D58" s="680">
        <f t="shared" si="0"/>
        <v>0</v>
      </c>
      <c r="E58" s="571"/>
      <c r="F58" s="571"/>
      <c r="G58" s="571"/>
      <c r="H58" s="571"/>
      <c r="I58" s="571"/>
    </row>
    <row r="59" spans="1:9" x14ac:dyDescent="0.25">
      <c r="A59" s="571"/>
      <c r="B59" s="571" t="s">
        <v>3899</v>
      </c>
      <c r="C59" s="680">
        <f t="shared" si="0"/>
        <v>0</v>
      </c>
      <c r="D59" s="680">
        <f t="shared" si="0"/>
        <v>0</v>
      </c>
      <c r="E59" s="571"/>
      <c r="F59" s="571"/>
      <c r="G59" s="571"/>
      <c r="H59" s="571"/>
      <c r="I59" s="571"/>
    </row>
    <row r="60" spans="1:9" x14ac:dyDescent="0.25">
      <c r="A60" s="571"/>
      <c r="B60" s="571" t="s">
        <v>3900</v>
      </c>
      <c r="C60" s="680">
        <f t="shared" si="0"/>
        <v>0</v>
      </c>
      <c r="D60" s="680">
        <f t="shared" si="0"/>
        <v>0</v>
      </c>
      <c r="E60" s="571"/>
      <c r="F60" s="571"/>
      <c r="G60" s="571"/>
      <c r="H60" s="571"/>
      <c r="I60" s="571"/>
    </row>
    <row r="61" spans="1:9" x14ac:dyDescent="0.25">
      <c r="A61" s="571"/>
      <c r="B61" s="571" t="s">
        <v>3901</v>
      </c>
      <c r="C61" s="680">
        <f t="shared" si="0"/>
        <v>0</v>
      </c>
      <c r="D61" s="680">
        <f t="shared" si="0"/>
        <v>0</v>
      </c>
      <c r="E61" s="571"/>
      <c r="F61" s="571"/>
      <c r="G61" s="571"/>
      <c r="H61" s="571"/>
      <c r="I61" s="571"/>
    </row>
    <row r="62" spans="1:9" x14ac:dyDescent="0.25">
      <c r="A62" s="571"/>
      <c r="B62" s="571" t="s">
        <v>4932</v>
      </c>
      <c r="C62" s="680">
        <f t="shared" si="0"/>
        <v>0</v>
      </c>
      <c r="D62" s="680">
        <f t="shared" si="0"/>
        <v>0</v>
      </c>
      <c r="E62" s="571"/>
      <c r="F62" s="571"/>
      <c r="G62" s="571"/>
      <c r="H62" s="571"/>
      <c r="I62" s="571"/>
    </row>
    <row r="63" spans="1:9" x14ac:dyDescent="0.25">
      <c r="A63" s="571"/>
      <c r="B63" s="571" t="s">
        <v>3902</v>
      </c>
      <c r="C63" s="680">
        <f t="shared" si="0"/>
        <v>0</v>
      </c>
      <c r="D63" s="680">
        <f t="shared" si="0"/>
        <v>0</v>
      </c>
      <c r="E63" s="571"/>
      <c r="F63" s="571"/>
      <c r="G63" s="571"/>
      <c r="H63" s="571"/>
      <c r="I63" s="571"/>
    </row>
    <row r="64" spans="1:9" x14ac:dyDescent="0.25">
      <c r="A64" s="571"/>
      <c r="B64" s="571" t="s">
        <v>3903</v>
      </c>
      <c r="C64" s="680">
        <f t="shared" si="0"/>
        <v>0</v>
      </c>
      <c r="D64" s="680">
        <f t="shared" si="0"/>
        <v>0</v>
      </c>
      <c r="E64" s="571"/>
      <c r="F64" s="571"/>
      <c r="G64" s="571"/>
      <c r="H64" s="571"/>
      <c r="I64" s="571"/>
    </row>
    <row r="65" spans="1:9" x14ac:dyDescent="0.25">
      <c r="A65" s="571"/>
      <c r="B65" s="571" t="s">
        <v>3904</v>
      </c>
      <c r="C65" s="680">
        <f t="shared" si="0"/>
        <v>0</v>
      </c>
      <c r="D65" s="680">
        <f t="shared" si="0"/>
        <v>0</v>
      </c>
      <c r="E65" s="571"/>
      <c r="F65" s="571"/>
      <c r="G65" s="571"/>
      <c r="H65" s="571"/>
      <c r="I65" s="571"/>
    </row>
    <row r="66" spans="1:9" ht="26.25" x14ac:dyDescent="0.25">
      <c r="A66" s="571"/>
      <c r="B66" s="572" t="s">
        <v>3490</v>
      </c>
      <c r="C66" s="680">
        <f t="shared" si="0"/>
        <v>0</v>
      </c>
      <c r="D66" s="680">
        <f t="shared" si="0"/>
        <v>0</v>
      </c>
      <c r="E66" s="571"/>
      <c r="F66" s="571"/>
      <c r="G66" s="571"/>
      <c r="H66" s="571"/>
      <c r="I66" s="571"/>
    </row>
    <row r="67" spans="1:9" x14ac:dyDescent="0.25">
      <c r="A67" s="571"/>
      <c r="B67" s="572" t="s">
        <v>3491</v>
      </c>
      <c r="C67" s="680">
        <f t="shared" si="0"/>
        <v>0</v>
      </c>
      <c r="D67" s="680">
        <f t="shared" si="0"/>
        <v>0</v>
      </c>
      <c r="E67" s="571"/>
      <c r="F67" s="571"/>
      <c r="G67" s="571"/>
      <c r="H67" s="571"/>
      <c r="I67" s="571"/>
    </row>
    <row r="68" spans="1:9" ht="26.25" hidden="1" x14ac:dyDescent="0.25">
      <c r="A68" s="571"/>
      <c r="B68" s="572" t="s">
        <v>3870</v>
      </c>
      <c r="C68" s="680"/>
      <c r="D68" s="680"/>
      <c r="E68" s="571"/>
      <c r="F68" s="571"/>
      <c r="G68" s="571"/>
      <c r="H68" s="571"/>
      <c r="I68" s="571"/>
    </row>
    <row r="69" spans="1:9" ht="26.25" x14ac:dyDescent="0.25">
      <c r="A69" s="571"/>
      <c r="B69" s="572" t="s">
        <v>3492</v>
      </c>
      <c r="C69" s="680">
        <f>G111</f>
        <v>0</v>
      </c>
      <c r="D69" s="680">
        <f>H111</f>
        <v>0</v>
      </c>
      <c r="E69" s="571"/>
      <c r="F69" s="571"/>
      <c r="G69" s="571"/>
      <c r="H69" s="571"/>
      <c r="I69" s="571"/>
    </row>
    <row r="70" spans="1:9" x14ac:dyDescent="0.25">
      <c r="A70" s="571"/>
      <c r="B70" s="572" t="s">
        <v>3495</v>
      </c>
      <c r="C70" s="680">
        <f>G112</f>
        <v>0</v>
      </c>
      <c r="D70" s="680">
        <f>H112</f>
        <v>0</v>
      </c>
      <c r="E70" s="571"/>
      <c r="F70" s="571"/>
      <c r="G70" s="571"/>
      <c r="H70" s="571"/>
      <c r="I70" s="571"/>
    </row>
    <row r="71" spans="1:9" ht="26.25" x14ac:dyDescent="0.25">
      <c r="A71" s="571"/>
      <c r="B71" s="572" t="s">
        <v>3523</v>
      </c>
      <c r="C71" s="680">
        <f t="shared" ref="C71:D79" si="1">G114</f>
        <v>0</v>
      </c>
      <c r="D71" s="680">
        <f t="shared" si="1"/>
        <v>0</v>
      </c>
      <c r="E71" s="571"/>
      <c r="F71" s="571"/>
      <c r="G71" s="571"/>
      <c r="H71" s="571"/>
      <c r="I71" s="571"/>
    </row>
    <row r="72" spans="1:9" x14ac:dyDescent="0.25">
      <c r="A72" s="571"/>
      <c r="B72" s="571" t="s">
        <v>3913</v>
      </c>
      <c r="C72" s="680">
        <f t="shared" si="1"/>
        <v>0</v>
      </c>
      <c r="D72" s="680">
        <f t="shared" si="1"/>
        <v>0</v>
      </c>
      <c r="E72" s="571"/>
      <c r="F72" s="571"/>
      <c r="G72" s="571"/>
      <c r="H72" s="571"/>
      <c r="I72" s="571"/>
    </row>
    <row r="73" spans="1:9" x14ac:dyDescent="0.25">
      <c r="A73" s="571"/>
      <c r="B73" s="571" t="s">
        <v>3914</v>
      </c>
      <c r="C73" s="680">
        <f t="shared" si="1"/>
        <v>0</v>
      </c>
      <c r="D73" s="680">
        <f t="shared" si="1"/>
        <v>0</v>
      </c>
      <c r="E73" s="571"/>
      <c r="F73" s="571"/>
      <c r="G73" s="571"/>
      <c r="H73" s="571"/>
      <c r="I73" s="571"/>
    </row>
    <row r="74" spans="1:9" x14ac:dyDescent="0.25">
      <c r="A74" s="571"/>
      <c r="B74" s="571" t="s">
        <v>3915</v>
      </c>
      <c r="C74" s="680">
        <f t="shared" si="1"/>
        <v>0</v>
      </c>
      <c r="D74" s="680">
        <f t="shared" si="1"/>
        <v>0</v>
      </c>
      <c r="E74" s="571"/>
      <c r="F74" s="571"/>
      <c r="G74" s="571"/>
      <c r="H74" s="571"/>
      <c r="I74" s="571"/>
    </row>
    <row r="75" spans="1:9" x14ac:dyDescent="0.25">
      <c r="A75" s="571"/>
      <c r="B75" s="571" t="s">
        <v>3916</v>
      </c>
      <c r="C75" s="680">
        <f t="shared" si="1"/>
        <v>0</v>
      </c>
      <c r="D75" s="680">
        <f t="shared" si="1"/>
        <v>0</v>
      </c>
      <c r="E75" s="571"/>
      <c r="F75" s="571"/>
      <c r="G75" s="571"/>
      <c r="H75" s="571"/>
      <c r="I75" s="571"/>
    </row>
    <row r="76" spans="1:9" x14ac:dyDescent="0.25">
      <c r="A76" s="571"/>
      <c r="B76" s="571" t="s">
        <v>4933</v>
      </c>
      <c r="C76" s="680">
        <f t="shared" si="1"/>
        <v>0</v>
      </c>
      <c r="D76" s="680">
        <f t="shared" si="1"/>
        <v>0</v>
      </c>
      <c r="E76" s="571"/>
      <c r="F76" s="571"/>
      <c r="G76" s="571"/>
      <c r="H76" s="571"/>
      <c r="I76" s="571"/>
    </row>
    <row r="77" spans="1:9" x14ac:dyDescent="0.25">
      <c r="A77" s="571"/>
      <c r="B77" s="571" t="s">
        <v>3917</v>
      </c>
      <c r="C77" s="680">
        <f t="shared" si="1"/>
        <v>0</v>
      </c>
      <c r="D77" s="680">
        <f t="shared" si="1"/>
        <v>0</v>
      </c>
      <c r="E77" s="571"/>
      <c r="F77" s="571"/>
      <c r="G77" s="571"/>
      <c r="H77" s="571"/>
      <c r="I77" s="571"/>
    </row>
    <row r="78" spans="1:9" x14ac:dyDescent="0.25">
      <c r="A78" s="571"/>
      <c r="B78" s="571" t="s">
        <v>3918</v>
      </c>
      <c r="C78" s="680">
        <f t="shared" si="1"/>
        <v>0</v>
      </c>
      <c r="D78" s="680">
        <f t="shared" si="1"/>
        <v>0</v>
      </c>
      <c r="E78" s="571"/>
      <c r="F78" s="571"/>
      <c r="G78" s="571"/>
      <c r="H78" s="571"/>
      <c r="I78" s="571"/>
    </row>
    <row r="79" spans="1:9" x14ac:dyDescent="0.25">
      <c r="A79" s="571"/>
      <c r="B79" s="571" t="s">
        <v>3919</v>
      </c>
      <c r="C79" s="680">
        <f t="shared" si="1"/>
        <v>0</v>
      </c>
      <c r="D79" s="680">
        <f t="shared" si="1"/>
        <v>0</v>
      </c>
      <c r="E79" s="571"/>
      <c r="F79" s="571"/>
      <c r="G79" s="571"/>
      <c r="H79" s="571"/>
      <c r="I79" s="571"/>
    </row>
    <row r="80" spans="1:9" x14ac:dyDescent="0.25">
      <c r="A80" s="571"/>
      <c r="B80" s="571" t="s">
        <v>3906</v>
      </c>
      <c r="C80" s="680">
        <f>G123</f>
        <v>0</v>
      </c>
      <c r="D80" s="680">
        <f>H123</f>
        <v>0</v>
      </c>
      <c r="E80" s="571"/>
      <c r="F80" s="571"/>
      <c r="G80" s="571"/>
      <c r="H80" s="571"/>
      <c r="I80" s="571"/>
    </row>
    <row r="81" spans="1:9" x14ac:dyDescent="0.25">
      <c r="A81" s="571"/>
      <c r="B81" s="571" t="s">
        <v>3907</v>
      </c>
      <c r="C81" s="680">
        <f t="shared" ref="C81:D81" si="2">G124</f>
        <v>0</v>
      </c>
      <c r="D81" s="680">
        <f t="shared" si="2"/>
        <v>0</v>
      </c>
      <c r="E81" s="571"/>
      <c r="F81" s="571"/>
      <c r="G81" s="571"/>
      <c r="H81" s="571"/>
      <c r="I81" s="571"/>
    </row>
    <row r="82" spans="1:9" x14ac:dyDescent="0.25">
      <c r="A82" s="571"/>
      <c r="B82" s="571" t="s">
        <v>3908</v>
      </c>
      <c r="C82" s="680">
        <f t="shared" ref="C82:D82" si="3">G125</f>
        <v>0</v>
      </c>
      <c r="D82" s="680">
        <f t="shared" si="3"/>
        <v>0</v>
      </c>
      <c r="E82" s="571"/>
      <c r="F82" s="571"/>
      <c r="G82" s="571"/>
      <c r="H82" s="571"/>
      <c r="I82" s="571"/>
    </row>
    <row r="83" spans="1:9" x14ac:dyDescent="0.25">
      <c r="A83" s="571"/>
      <c r="B83" s="571" t="s">
        <v>3909</v>
      </c>
      <c r="C83" s="680">
        <f t="shared" ref="C83:D83" si="4">G126</f>
        <v>0</v>
      </c>
      <c r="D83" s="680">
        <f t="shared" si="4"/>
        <v>0</v>
      </c>
      <c r="E83" s="571"/>
      <c r="F83" s="571"/>
      <c r="G83" s="571"/>
      <c r="H83" s="571"/>
      <c r="I83" s="571"/>
    </row>
    <row r="84" spans="1:9" x14ac:dyDescent="0.25">
      <c r="A84" s="571"/>
      <c r="B84" s="571" t="s">
        <v>4934</v>
      </c>
      <c r="C84" s="680">
        <f t="shared" ref="C84:D84" si="5">G127</f>
        <v>0</v>
      </c>
      <c r="D84" s="680">
        <f t="shared" si="5"/>
        <v>0</v>
      </c>
      <c r="E84" s="571"/>
      <c r="F84" s="571"/>
      <c r="G84" s="571"/>
      <c r="H84" s="571"/>
      <c r="I84" s="571"/>
    </row>
    <row r="85" spans="1:9" x14ac:dyDescent="0.25">
      <c r="A85" s="571"/>
      <c r="B85" s="571" t="s">
        <v>3910</v>
      </c>
      <c r="C85" s="680">
        <f t="shared" ref="C85:D85" si="6">G128</f>
        <v>0</v>
      </c>
      <c r="D85" s="680">
        <f t="shared" si="6"/>
        <v>0</v>
      </c>
      <c r="E85" s="571"/>
      <c r="F85" s="571"/>
      <c r="G85" s="571"/>
      <c r="H85" s="571"/>
      <c r="I85" s="571"/>
    </row>
    <row r="86" spans="1:9" x14ac:dyDescent="0.25">
      <c r="A86" s="571"/>
      <c r="B86" s="571" t="s">
        <v>3911</v>
      </c>
      <c r="C86" s="680">
        <f t="shared" ref="C86:D86" si="7">G129</f>
        <v>0</v>
      </c>
      <c r="D86" s="680">
        <f t="shared" si="7"/>
        <v>0</v>
      </c>
      <c r="E86" s="571"/>
      <c r="F86" s="571"/>
      <c r="G86" s="571"/>
      <c r="H86" s="571"/>
      <c r="I86" s="571"/>
    </row>
    <row r="87" spans="1:9" x14ac:dyDescent="0.25">
      <c r="A87" s="571"/>
      <c r="B87" s="571" t="s">
        <v>3912</v>
      </c>
      <c r="C87" s="680">
        <f t="shared" ref="C87" si="8">G130</f>
        <v>0</v>
      </c>
      <c r="D87" s="680">
        <f t="shared" ref="D87" si="9">H130</f>
        <v>0</v>
      </c>
      <c r="E87" s="571"/>
      <c r="F87" s="571"/>
      <c r="G87" s="571"/>
      <c r="H87" s="571"/>
      <c r="I87" s="571"/>
    </row>
    <row r="88" spans="1:9" x14ac:dyDescent="0.25">
      <c r="A88" s="571"/>
      <c r="B88" s="572"/>
      <c r="C88" s="681"/>
      <c r="D88" s="681"/>
      <c r="E88" s="571"/>
      <c r="F88" s="571"/>
      <c r="G88" s="571"/>
      <c r="H88" s="571"/>
      <c r="I88" s="571"/>
    </row>
    <row r="89" spans="1:9" ht="15.75" thickBot="1" x14ac:dyDescent="0.3">
      <c r="A89" s="571"/>
      <c r="B89" s="572"/>
      <c r="C89" s="682">
        <f>SUM(C56:C88)</f>
        <v>0</v>
      </c>
      <c r="D89" s="682">
        <f>SUM(D56:D88)</f>
        <v>0</v>
      </c>
      <c r="E89" s="571"/>
      <c r="F89" s="571"/>
      <c r="G89" s="571"/>
      <c r="H89" s="571"/>
      <c r="I89" s="571"/>
    </row>
    <row r="90" spans="1:9" ht="15.75" thickTop="1" x14ac:dyDescent="0.25">
      <c r="A90" s="571"/>
      <c r="B90" s="571"/>
      <c r="C90" s="571"/>
      <c r="D90" s="571"/>
      <c r="E90" s="571"/>
      <c r="F90" s="571"/>
      <c r="G90" s="571"/>
      <c r="H90" s="571"/>
      <c r="I90" s="571"/>
    </row>
    <row r="92" spans="1:9" x14ac:dyDescent="0.25">
      <c r="A92" s="571"/>
      <c r="B92" s="571"/>
      <c r="C92" s="571"/>
      <c r="D92" s="571"/>
      <c r="E92" s="571"/>
      <c r="F92" s="571"/>
      <c r="G92" s="571"/>
      <c r="H92" s="571"/>
      <c r="I92" s="571"/>
    </row>
    <row r="93" spans="1:9" x14ac:dyDescent="0.25">
      <c r="A93" s="571"/>
      <c r="B93" s="1104" t="s">
        <v>3524</v>
      </c>
      <c r="C93" s="1104"/>
      <c r="D93" s="1104"/>
      <c r="E93" s="1104"/>
      <c r="F93" s="1104"/>
      <c r="G93" s="1104"/>
      <c r="H93" s="1104"/>
      <c r="I93" s="571"/>
    </row>
    <row r="94" spans="1:9" x14ac:dyDescent="0.25">
      <c r="A94" s="571"/>
      <c r="B94" s="1104"/>
      <c r="C94" s="1104"/>
      <c r="D94" s="1104"/>
      <c r="E94" s="1104"/>
      <c r="F94" s="1104"/>
      <c r="G94" s="1104"/>
      <c r="H94" s="1104"/>
      <c r="I94" s="571"/>
    </row>
    <row r="95" spans="1:9" ht="18" x14ac:dyDescent="0.25">
      <c r="A95" s="571"/>
      <c r="B95" s="591"/>
      <c r="C95" s="591"/>
      <c r="D95" s="591"/>
      <c r="E95" s="591"/>
      <c r="F95" s="591"/>
      <c r="G95" s="591"/>
      <c r="H95" s="592"/>
      <c r="I95" s="571"/>
    </row>
    <row r="96" spans="1:9" ht="18" x14ac:dyDescent="0.25">
      <c r="A96" s="571"/>
      <c r="B96" s="591"/>
      <c r="C96" s="593"/>
      <c r="D96" s="594"/>
      <c r="E96" s="683"/>
      <c r="F96" s="591"/>
      <c r="G96" s="1025" t="s">
        <v>102</v>
      </c>
      <c r="H96" s="1120"/>
      <c r="I96" s="571"/>
    </row>
    <row r="97" spans="1:9" x14ac:dyDescent="0.25">
      <c r="A97" s="571"/>
      <c r="B97" s="572"/>
      <c r="C97" s="596"/>
      <c r="D97" s="597"/>
      <c r="E97" s="684"/>
      <c r="F97" s="571"/>
      <c r="G97" s="685"/>
      <c r="H97" s="686"/>
      <c r="I97" s="571"/>
    </row>
    <row r="98" spans="1:9" x14ac:dyDescent="0.25">
      <c r="A98" s="571"/>
      <c r="B98" s="572"/>
      <c r="C98" s="599" t="s">
        <v>64</v>
      </c>
      <c r="D98" s="147" t="s">
        <v>65</v>
      </c>
      <c r="E98" s="687" t="s">
        <v>2074</v>
      </c>
      <c r="F98" s="571"/>
      <c r="G98" s="688" t="s">
        <v>64</v>
      </c>
      <c r="H98" s="689" t="s">
        <v>65</v>
      </c>
      <c r="I98" s="571"/>
    </row>
    <row r="99" spans="1:9" x14ac:dyDescent="0.25">
      <c r="A99" s="571"/>
      <c r="B99" s="572" t="s">
        <v>1106</v>
      </c>
      <c r="C99" s="600">
        <f>IF(C25-C27-C29&gt;0,(C25-C27-C29)*C40,0)</f>
        <v>0</v>
      </c>
      <c r="D99" s="601">
        <f>IF(C25-C27-C29&lt;0,-(C25-C27-C29)*C40,0)</f>
        <v>0</v>
      </c>
      <c r="E99" s="690">
        <f>C99-D99</f>
        <v>0</v>
      </c>
      <c r="F99" s="571"/>
      <c r="G99" s="691">
        <f>IF(E99&lt;0,0,E99)</f>
        <v>0</v>
      </c>
      <c r="H99" s="602">
        <f>IF(E99&gt;0,0,E99*-1)</f>
        <v>0</v>
      </c>
      <c r="I99" s="571"/>
    </row>
    <row r="100" spans="1:9" x14ac:dyDescent="0.25">
      <c r="A100" s="571"/>
      <c r="B100" s="572" t="s">
        <v>3891</v>
      </c>
      <c r="C100" s="639">
        <f>IF(C26&lt;0,-C26*C40,0)</f>
        <v>0</v>
      </c>
      <c r="D100" s="602">
        <f>IF(C26&gt;0,C26*C40,0)</f>
        <v>0</v>
      </c>
      <c r="E100" s="690">
        <f t="shared" ref="E100:E130" si="10">C100-D100</f>
        <v>0</v>
      </c>
      <c r="F100" s="571"/>
      <c r="G100" s="691">
        <f>IF(E100&lt;0,0,E100)</f>
        <v>0</v>
      </c>
      <c r="H100" s="602">
        <f>IF(E100&gt;0,0,E100*-1)</f>
        <v>0</v>
      </c>
      <c r="I100" s="571"/>
    </row>
    <row r="101" spans="1:9" x14ac:dyDescent="0.25">
      <c r="A101" s="571"/>
      <c r="B101" s="571" t="s">
        <v>3898</v>
      </c>
      <c r="C101" s="639">
        <f t="shared" ref="C101:C108" si="11">IF($C$28&gt;0,$C$28*C46,0)</f>
        <v>0</v>
      </c>
      <c r="D101" s="602">
        <f t="shared" ref="D101:D108" si="12">IF($C$28&lt;0,-$C$28*C46,0)</f>
        <v>0</v>
      </c>
      <c r="E101" s="690">
        <f t="shared" si="10"/>
        <v>0</v>
      </c>
      <c r="F101" s="571"/>
      <c r="G101" s="691">
        <f t="shared" ref="G101:G122" si="13">IF(E101&lt;0,0,E101)</f>
        <v>0</v>
      </c>
      <c r="H101" s="602">
        <f t="shared" ref="H101:H122" si="14">IF(E101&gt;0,0,E101*-1)</f>
        <v>0</v>
      </c>
      <c r="I101" s="571"/>
    </row>
    <row r="102" spans="1:9" x14ac:dyDescent="0.25">
      <c r="A102" s="571"/>
      <c r="B102" s="571" t="s">
        <v>3899</v>
      </c>
      <c r="C102" s="639">
        <f t="shared" si="11"/>
        <v>0</v>
      </c>
      <c r="D102" s="602">
        <f t="shared" si="12"/>
        <v>0</v>
      </c>
      <c r="E102" s="690">
        <f t="shared" si="10"/>
        <v>0</v>
      </c>
      <c r="F102" s="571"/>
      <c r="G102" s="691">
        <f t="shared" si="13"/>
        <v>0</v>
      </c>
      <c r="H102" s="602">
        <f t="shared" si="14"/>
        <v>0</v>
      </c>
      <c r="I102" s="571"/>
    </row>
    <row r="103" spans="1:9" x14ac:dyDescent="0.25">
      <c r="A103" s="571"/>
      <c r="B103" s="571" t="s">
        <v>3900</v>
      </c>
      <c r="C103" s="639">
        <f t="shared" si="11"/>
        <v>0</v>
      </c>
      <c r="D103" s="602">
        <f t="shared" si="12"/>
        <v>0</v>
      </c>
      <c r="E103" s="690">
        <f t="shared" si="10"/>
        <v>0</v>
      </c>
      <c r="F103" s="571"/>
      <c r="G103" s="691">
        <f t="shared" si="13"/>
        <v>0</v>
      </c>
      <c r="H103" s="602">
        <f t="shared" si="14"/>
        <v>0</v>
      </c>
      <c r="I103" s="571"/>
    </row>
    <row r="104" spans="1:9" x14ac:dyDescent="0.25">
      <c r="A104" s="571"/>
      <c r="B104" s="571" t="s">
        <v>3901</v>
      </c>
      <c r="C104" s="639">
        <f t="shared" si="11"/>
        <v>0</v>
      </c>
      <c r="D104" s="602">
        <f t="shared" si="12"/>
        <v>0</v>
      </c>
      <c r="E104" s="690">
        <f t="shared" si="10"/>
        <v>0</v>
      </c>
      <c r="F104" s="571"/>
      <c r="G104" s="691">
        <f t="shared" si="13"/>
        <v>0</v>
      </c>
      <c r="H104" s="602">
        <f t="shared" si="14"/>
        <v>0</v>
      </c>
      <c r="I104" s="571"/>
    </row>
    <row r="105" spans="1:9" x14ac:dyDescent="0.25">
      <c r="A105" s="571"/>
      <c r="B105" s="571" t="s">
        <v>4932</v>
      </c>
      <c r="C105" s="639">
        <f t="shared" si="11"/>
        <v>0</v>
      </c>
      <c r="D105" s="602">
        <f t="shared" si="12"/>
        <v>0</v>
      </c>
      <c r="E105" s="690">
        <f t="shared" si="10"/>
        <v>0</v>
      </c>
      <c r="F105" s="571"/>
      <c r="G105" s="691">
        <f t="shared" si="13"/>
        <v>0</v>
      </c>
      <c r="H105" s="602">
        <f t="shared" si="14"/>
        <v>0</v>
      </c>
      <c r="I105" s="571"/>
    </row>
    <row r="106" spans="1:9" x14ac:dyDescent="0.25">
      <c r="A106" s="571"/>
      <c r="B106" s="571" t="s">
        <v>3902</v>
      </c>
      <c r="C106" s="639">
        <f t="shared" si="11"/>
        <v>0</v>
      </c>
      <c r="D106" s="602">
        <f t="shared" si="12"/>
        <v>0</v>
      </c>
      <c r="E106" s="690">
        <f t="shared" si="10"/>
        <v>0</v>
      </c>
      <c r="F106" s="571"/>
      <c r="G106" s="691">
        <f t="shared" si="13"/>
        <v>0</v>
      </c>
      <c r="H106" s="602">
        <f t="shared" si="14"/>
        <v>0</v>
      </c>
      <c r="I106" s="571"/>
    </row>
    <row r="107" spans="1:9" x14ac:dyDescent="0.25">
      <c r="A107" s="571"/>
      <c r="B107" s="571" t="s">
        <v>3903</v>
      </c>
      <c r="C107" s="639">
        <f t="shared" si="11"/>
        <v>0</v>
      </c>
      <c r="D107" s="602">
        <f t="shared" si="12"/>
        <v>0</v>
      </c>
      <c r="E107" s="690">
        <f t="shared" si="10"/>
        <v>0</v>
      </c>
      <c r="F107" s="571"/>
      <c r="G107" s="691">
        <f t="shared" si="13"/>
        <v>0</v>
      </c>
      <c r="H107" s="602">
        <f t="shared" si="14"/>
        <v>0</v>
      </c>
      <c r="I107" s="571"/>
    </row>
    <row r="108" spans="1:9" x14ac:dyDescent="0.25">
      <c r="A108" s="571"/>
      <c r="B108" s="571" t="s">
        <v>3904</v>
      </c>
      <c r="C108" s="639">
        <f t="shared" si="11"/>
        <v>0</v>
      </c>
      <c r="D108" s="602">
        <f t="shared" si="12"/>
        <v>0</v>
      </c>
      <c r="E108" s="690">
        <f t="shared" si="10"/>
        <v>0</v>
      </c>
      <c r="F108" s="571"/>
      <c r="G108" s="691">
        <f t="shared" si="13"/>
        <v>0</v>
      </c>
      <c r="H108" s="602">
        <f t="shared" si="14"/>
        <v>0</v>
      </c>
      <c r="I108" s="571"/>
    </row>
    <row r="109" spans="1:9" ht="26.25" x14ac:dyDescent="0.25">
      <c r="A109" s="571"/>
      <c r="B109" s="572" t="s">
        <v>3490</v>
      </c>
      <c r="C109" s="639">
        <f>IF(C30&gt;0,C30*C40,0)</f>
        <v>0</v>
      </c>
      <c r="D109" s="602">
        <v>0</v>
      </c>
      <c r="E109" s="690">
        <f t="shared" si="10"/>
        <v>0</v>
      </c>
      <c r="F109" s="571"/>
      <c r="G109" s="691">
        <f t="shared" si="13"/>
        <v>0</v>
      </c>
      <c r="H109" s="602">
        <f t="shared" si="14"/>
        <v>0</v>
      </c>
      <c r="I109" s="571"/>
    </row>
    <row r="110" spans="1:9" x14ac:dyDescent="0.25">
      <c r="A110" s="571"/>
      <c r="B110" s="572" t="s">
        <v>3491</v>
      </c>
      <c r="C110" s="639">
        <f>IF(C31&gt;0,C31*C40,0)</f>
        <v>0</v>
      </c>
      <c r="D110" s="602">
        <v>0</v>
      </c>
      <c r="E110" s="690">
        <f t="shared" si="10"/>
        <v>0</v>
      </c>
      <c r="F110" s="571"/>
      <c r="G110" s="691">
        <f t="shared" si="13"/>
        <v>0</v>
      </c>
      <c r="H110" s="602">
        <f t="shared" si="14"/>
        <v>0</v>
      </c>
      <c r="I110" s="571"/>
    </row>
    <row r="111" spans="1:9" ht="26.25" x14ac:dyDescent="0.25">
      <c r="A111" s="571"/>
      <c r="B111" s="572" t="s">
        <v>3492</v>
      </c>
      <c r="C111" s="639">
        <v>0</v>
      </c>
      <c r="D111" s="602">
        <f>IF(C30&lt;0,-C30*C40,0)</f>
        <v>0</v>
      </c>
      <c r="E111" s="690">
        <f t="shared" si="10"/>
        <v>0</v>
      </c>
      <c r="F111" s="571"/>
      <c r="G111" s="691">
        <f t="shared" si="13"/>
        <v>0</v>
      </c>
      <c r="H111" s="602">
        <f t="shared" si="14"/>
        <v>0</v>
      </c>
      <c r="I111" s="571"/>
    </row>
    <row r="112" spans="1:9" x14ac:dyDescent="0.25">
      <c r="A112" s="571"/>
      <c r="B112" s="572" t="s">
        <v>3495</v>
      </c>
      <c r="C112" s="639">
        <v>0</v>
      </c>
      <c r="D112" s="602">
        <f>IF(C31&lt;0,-C31*C40,0)</f>
        <v>0</v>
      </c>
      <c r="E112" s="690">
        <f t="shared" si="10"/>
        <v>0</v>
      </c>
      <c r="F112" s="571"/>
      <c r="G112" s="691">
        <f t="shared" si="13"/>
        <v>0</v>
      </c>
      <c r="H112" s="602">
        <f t="shared" si="14"/>
        <v>0</v>
      </c>
      <c r="I112" s="571"/>
    </row>
    <row r="113" spans="1:9" ht="26.25" hidden="1" x14ac:dyDescent="0.25">
      <c r="A113" s="571"/>
      <c r="B113" s="572" t="s">
        <v>3849</v>
      </c>
      <c r="C113" s="639"/>
      <c r="D113" s="602">
        <v>0</v>
      </c>
      <c r="E113" s="690">
        <f t="shared" si="10"/>
        <v>0</v>
      </c>
      <c r="F113" s="571"/>
      <c r="G113" s="691">
        <f t="shared" si="13"/>
        <v>0</v>
      </c>
      <c r="H113" s="602">
        <f t="shared" si="14"/>
        <v>0</v>
      </c>
      <c r="I113" s="571"/>
    </row>
    <row r="114" spans="1:9" ht="26.25" x14ac:dyDescent="0.25">
      <c r="A114" s="571"/>
      <c r="B114" s="572" t="s">
        <v>3892</v>
      </c>
      <c r="C114" s="639">
        <f>(C14+C20)*C40</f>
        <v>0</v>
      </c>
      <c r="D114" s="602">
        <v>0</v>
      </c>
      <c r="E114" s="690">
        <f t="shared" si="10"/>
        <v>0</v>
      </c>
      <c r="F114" s="571"/>
      <c r="G114" s="691">
        <f t="shared" si="13"/>
        <v>0</v>
      </c>
      <c r="H114" s="602">
        <f t="shared" si="14"/>
        <v>0</v>
      </c>
      <c r="I114" s="571"/>
    </row>
    <row r="115" spans="1:9" x14ac:dyDescent="0.25">
      <c r="A115" s="571"/>
      <c r="B115" s="571" t="s">
        <v>3913</v>
      </c>
      <c r="C115" s="639"/>
      <c r="D115" s="602">
        <f t="shared" ref="D115:D122" si="15">$C$14*C46</f>
        <v>0</v>
      </c>
      <c r="E115" s="690">
        <f t="shared" si="10"/>
        <v>0</v>
      </c>
      <c r="F115" s="571"/>
      <c r="G115" s="691">
        <f t="shared" si="13"/>
        <v>0</v>
      </c>
      <c r="H115" s="602">
        <f t="shared" si="14"/>
        <v>0</v>
      </c>
      <c r="I115" s="571"/>
    </row>
    <row r="116" spans="1:9" x14ac:dyDescent="0.25">
      <c r="A116" s="571"/>
      <c r="B116" s="571" t="s">
        <v>3914</v>
      </c>
      <c r="C116" s="639"/>
      <c r="D116" s="602">
        <f t="shared" si="15"/>
        <v>0</v>
      </c>
      <c r="E116" s="690">
        <f t="shared" si="10"/>
        <v>0</v>
      </c>
      <c r="F116" s="571"/>
      <c r="G116" s="691">
        <f t="shared" si="13"/>
        <v>0</v>
      </c>
      <c r="H116" s="602">
        <f t="shared" si="14"/>
        <v>0</v>
      </c>
      <c r="I116" s="571"/>
    </row>
    <row r="117" spans="1:9" x14ac:dyDescent="0.25">
      <c r="A117" s="571"/>
      <c r="B117" s="571" t="s">
        <v>3915</v>
      </c>
      <c r="C117" s="639"/>
      <c r="D117" s="602">
        <f t="shared" si="15"/>
        <v>0</v>
      </c>
      <c r="E117" s="690">
        <f t="shared" si="10"/>
        <v>0</v>
      </c>
      <c r="F117" s="571"/>
      <c r="G117" s="691">
        <f t="shared" si="13"/>
        <v>0</v>
      </c>
      <c r="H117" s="602">
        <f t="shared" si="14"/>
        <v>0</v>
      </c>
      <c r="I117" s="571"/>
    </row>
    <row r="118" spans="1:9" x14ac:dyDescent="0.25">
      <c r="A118" s="571"/>
      <c r="B118" s="571" t="s">
        <v>3916</v>
      </c>
      <c r="C118" s="639"/>
      <c r="D118" s="602">
        <f t="shared" si="15"/>
        <v>0</v>
      </c>
      <c r="E118" s="690">
        <f t="shared" si="10"/>
        <v>0</v>
      </c>
      <c r="F118" s="571"/>
      <c r="G118" s="691">
        <f t="shared" si="13"/>
        <v>0</v>
      </c>
      <c r="H118" s="602">
        <f t="shared" si="14"/>
        <v>0</v>
      </c>
      <c r="I118" s="571"/>
    </row>
    <row r="119" spans="1:9" x14ac:dyDescent="0.25">
      <c r="A119" s="571"/>
      <c r="B119" s="571" t="s">
        <v>4933</v>
      </c>
      <c r="C119" s="639"/>
      <c r="D119" s="602">
        <f t="shared" si="15"/>
        <v>0</v>
      </c>
      <c r="E119" s="690">
        <f t="shared" si="10"/>
        <v>0</v>
      </c>
      <c r="F119" s="571"/>
      <c r="G119" s="691">
        <f t="shared" si="13"/>
        <v>0</v>
      </c>
      <c r="H119" s="602">
        <f t="shared" si="14"/>
        <v>0</v>
      </c>
      <c r="I119" s="571"/>
    </row>
    <row r="120" spans="1:9" x14ac:dyDescent="0.25">
      <c r="A120" s="571"/>
      <c r="B120" s="571" t="s">
        <v>3917</v>
      </c>
      <c r="C120" s="639"/>
      <c r="D120" s="602">
        <f t="shared" si="15"/>
        <v>0</v>
      </c>
      <c r="E120" s="690">
        <f t="shared" si="10"/>
        <v>0</v>
      </c>
      <c r="F120" s="571"/>
      <c r="G120" s="691">
        <f t="shared" si="13"/>
        <v>0</v>
      </c>
      <c r="H120" s="602">
        <f t="shared" si="14"/>
        <v>0</v>
      </c>
      <c r="I120" s="571"/>
    </row>
    <row r="121" spans="1:9" x14ac:dyDescent="0.25">
      <c r="A121" s="571"/>
      <c r="B121" s="571" t="s">
        <v>3918</v>
      </c>
      <c r="C121" s="639"/>
      <c r="D121" s="602">
        <f t="shared" si="15"/>
        <v>0</v>
      </c>
      <c r="E121" s="690">
        <f t="shared" si="10"/>
        <v>0</v>
      </c>
      <c r="F121" s="571"/>
      <c r="G121" s="691">
        <f t="shared" si="13"/>
        <v>0</v>
      </c>
      <c r="H121" s="602">
        <f t="shared" si="14"/>
        <v>0</v>
      </c>
      <c r="I121" s="571"/>
    </row>
    <row r="122" spans="1:9" x14ac:dyDescent="0.25">
      <c r="A122" s="571"/>
      <c r="B122" s="571" t="s">
        <v>3919</v>
      </c>
      <c r="C122" s="639"/>
      <c r="D122" s="602">
        <f t="shared" si="15"/>
        <v>0</v>
      </c>
      <c r="E122" s="690">
        <f t="shared" si="10"/>
        <v>0</v>
      </c>
      <c r="F122" s="571"/>
      <c r="G122" s="691">
        <f t="shared" si="13"/>
        <v>0</v>
      </c>
      <c r="H122" s="602">
        <f t="shared" si="14"/>
        <v>0</v>
      </c>
      <c r="I122" s="571"/>
    </row>
    <row r="123" spans="1:9" x14ac:dyDescent="0.25">
      <c r="A123" s="571"/>
      <c r="B123" s="571" t="s">
        <v>3906</v>
      </c>
      <c r="C123" s="639"/>
      <c r="D123" s="602">
        <f>$C$20*C46</f>
        <v>0</v>
      </c>
      <c r="E123" s="690">
        <f t="shared" si="10"/>
        <v>0</v>
      </c>
      <c r="F123" s="571"/>
      <c r="G123" s="691">
        <f>IF(E123&lt;0,0,E123)</f>
        <v>0</v>
      </c>
      <c r="H123" s="602">
        <f>IF(E123&gt;0,0,E123*-1)</f>
        <v>0</v>
      </c>
      <c r="I123" s="571"/>
    </row>
    <row r="124" spans="1:9" x14ac:dyDescent="0.25">
      <c r="A124" s="571"/>
      <c r="B124" s="571" t="s">
        <v>3907</v>
      </c>
      <c r="C124" s="639"/>
      <c r="D124" s="602">
        <f t="shared" ref="D124:D130" si="16">$C$20*C47</f>
        <v>0</v>
      </c>
      <c r="E124" s="690">
        <f t="shared" si="10"/>
        <v>0</v>
      </c>
      <c r="F124" s="571"/>
      <c r="G124" s="691">
        <f t="shared" ref="G124:G130" si="17">IF(E124&lt;0,0,E124)</f>
        <v>0</v>
      </c>
      <c r="H124" s="602">
        <f t="shared" ref="H124:H130" si="18">IF(E124&gt;0,0,E124*-1)</f>
        <v>0</v>
      </c>
      <c r="I124" s="571"/>
    </row>
    <row r="125" spans="1:9" x14ac:dyDescent="0.25">
      <c r="A125" s="571"/>
      <c r="B125" s="571" t="s">
        <v>3908</v>
      </c>
      <c r="C125" s="639"/>
      <c r="D125" s="602">
        <f t="shared" si="16"/>
        <v>0</v>
      </c>
      <c r="E125" s="690">
        <f t="shared" si="10"/>
        <v>0</v>
      </c>
      <c r="F125" s="571"/>
      <c r="G125" s="691">
        <f t="shared" si="17"/>
        <v>0</v>
      </c>
      <c r="H125" s="602">
        <f t="shared" si="18"/>
        <v>0</v>
      </c>
      <c r="I125" s="571"/>
    </row>
    <row r="126" spans="1:9" x14ac:dyDescent="0.25">
      <c r="A126" s="571"/>
      <c r="B126" s="571" t="s">
        <v>3909</v>
      </c>
      <c r="C126" s="639"/>
      <c r="D126" s="602">
        <f t="shared" si="16"/>
        <v>0</v>
      </c>
      <c r="E126" s="690">
        <f t="shared" si="10"/>
        <v>0</v>
      </c>
      <c r="F126" s="571"/>
      <c r="G126" s="691">
        <f t="shared" si="17"/>
        <v>0</v>
      </c>
      <c r="H126" s="602">
        <f t="shared" si="18"/>
        <v>0</v>
      </c>
      <c r="I126" s="571"/>
    </row>
    <row r="127" spans="1:9" x14ac:dyDescent="0.25">
      <c r="A127" s="571"/>
      <c r="B127" s="571" t="s">
        <v>4934</v>
      </c>
      <c r="C127" s="639"/>
      <c r="D127" s="602">
        <f t="shared" si="16"/>
        <v>0</v>
      </c>
      <c r="E127" s="690">
        <f t="shared" si="10"/>
        <v>0</v>
      </c>
      <c r="F127" s="571"/>
      <c r="G127" s="691">
        <f t="shared" si="17"/>
        <v>0</v>
      </c>
      <c r="H127" s="602">
        <f t="shared" si="18"/>
        <v>0</v>
      </c>
      <c r="I127" s="571"/>
    </row>
    <row r="128" spans="1:9" x14ac:dyDescent="0.25">
      <c r="A128" s="571"/>
      <c r="B128" s="571" t="s">
        <v>3910</v>
      </c>
      <c r="C128" s="639"/>
      <c r="D128" s="602">
        <f t="shared" si="16"/>
        <v>0</v>
      </c>
      <c r="E128" s="690">
        <f t="shared" si="10"/>
        <v>0</v>
      </c>
      <c r="F128" s="571"/>
      <c r="G128" s="691">
        <f t="shared" si="17"/>
        <v>0</v>
      </c>
      <c r="H128" s="602">
        <f t="shared" si="18"/>
        <v>0</v>
      </c>
      <c r="I128" s="571"/>
    </row>
    <row r="129" spans="1:15" x14ac:dyDescent="0.25">
      <c r="A129" s="571"/>
      <c r="B129" s="571" t="s">
        <v>3911</v>
      </c>
      <c r="C129" s="639"/>
      <c r="D129" s="602">
        <f t="shared" si="16"/>
        <v>0</v>
      </c>
      <c r="E129" s="690">
        <f t="shared" si="10"/>
        <v>0</v>
      </c>
      <c r="F129" s="571"/>
      <c r="G129" s="691">
        <f t="shared" si="17"/>
        <v>0</v>
      </c>
      <c r="H129" s="602">
        <f t="shared" si="18"/>
        <v>0</v>
      </c>
      <c r="I129" s="571"/>
    </row>
    <row r="130" spans="1:15" x14ac:dyDescent="0.25">
      <c r="A130" s="571"/>
      <c r="B130" s="571" t="s">
        <v>3912</v>
      </c>
      <c r="C130" s="639"/>
      <c r="D130" s="602">
        <f t="shared" si="16"/>
        <v>0</v>
      </c>
      <c r="E130" s="690">
        <f t="shared" si="10"/>
        <v>0</v>
      </c>
      <c r="F130" s="571"/>
      <c r="G130" s="691">
        <f t="shared" si="17"/>
        <v>0</v>
      </c>
      <c r="H130" s="602">
        <f t="shared" si="18"/>
        <v>0</v>
      </c>
      <c r="I130" s="571"/>
    </row>
    <row r="131" spans="1:15" x14ac:dyDescent="0.25">
      <c r="A131" s="571"/>
      <c r="B131" s="571"/>
      <c r="C131" s="692">
        <f>SUM(C98:C123)</f>
        <v>0</v>
      </c>
      <c r="D131" s="693">
        <f>SUM(D98:D123)</f>
        <v>0</v>
      </c>
      <c r="E131" s="694">
        <f>SUM(E98:E123)</f>
        <v>0</v>
      </c>
      <c r="F131" s="571"/>
      <c r="G131" s="692">
        <f>SUM(G98:G123)</f>
        <v>0</v>
      </c>
      <c r="H131" s="693">
        <f>SUM(H98:H123)</f>
        <v>0</v>
      </c>
      <c r="I131" s="571"/>
    </row>
    <row r="132" spans="1:15" x14ac:dyDescent="0.25">
      <c r="A132" s="571"/>
      <c r="B132" s="571"/>
      <c r="C132" s="571"/>
      <c r="D132" s="571"/>
      <c r="E132" s="571"/>
      <c r="F132" s="571"/>
      <c r="G132" s="571"/>
      <c r="H132" s="571"/>
      <c r="I132" s="571"/>
    </row>
    <row r="133" spans="1:15" x14ac:dyDescent="0.25">
      <c r="A133" s="571"/>
      <c r="B133" s="571"/>
      <c r="C133" s="571"/>
      <c r="D133" s="571"/>
      <c r="E133" s="571"/>
      <c r="F133" s="571"/>
      <c r="G133" s="571"/>
      <c r="H133" s="571"/>
      <c r="I133" s="571"/>
    </row>
    <row r="134" spans="1:15" x14ac:dyDescent="0.25">
      <c r="G134" s="777"/>
      <c r="O134" s="766"/>
    </row>
  </sheetData>
  <mergeCells count="25">
    <mergeCell ref="E29:I29"/>
    <mergeCell ref="A1:C1"/>
    <mergeCell ref="A3:C3"/>
    <mergeCell ref="A6:C6"/>
    <mergeCell ref="A8:B8"/>
    <mergeCell ref="A10:B10"/>
    <mergeCell ref="A12:B12"/>
    <mergeCell ref="D12:J12"/>
    <mergeCell ref="A14:B14"/>
    <mergeCell ref="A16:B16"/>
    <mergeCell ref="A18:B18"/>
    <mergeCell ref="A20:B20"/>
    <mergeCell ref="G96:H96"/>
    <mergeCell ref="A30:B30"/>
    <mergeCell ref="A31:B31"/>
    <mergeCell ref="E31:J31"/>
    <mergeCell ref="A32:B32"/>
    <mergeCell ref="E32:J32"/>
    <mergeCell ref="A33:B33"/>
    <mergeCell ref="E33:J33"/>
    <mergeCell ref="A34:B34"/>
    <mergeCell ref="E34:J34"/>
    <mergeCell ref="B37:I37"/>
    <mergeCell ref="B39:E39"/>
    <mergeCell ref="B93:H94"/>
  </mergeCells>
  <conditionalFormatting sqref="C34">
    <cfRule type="expression" priority="1">
      <formula>MOD(ROW(),2)+0</formula>
    </cfRule>
    <cfRule type="expression" dxfId="0" priority="2">
      <formula>MOD(ROW(),2)=0</formula>
    </cfRule>
  </conditionalFormatting>
  <pageMargins left="0.7" right="0.7" top="0.75" bottom="0.75" header="0.3" footer="0.3"/>
  <pageSetup scale="68" orientation="landscape" r:id="rId1"/>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A905B-E3AC-4644-A5EC-39769D34BFE2}">
  <dimension ref="B2:Q81"/>
  <sheetViews>
    <sheetView topLeftCell="A66" workbookViewId="0">
      <selection activeCell="K73" sqref="K73"/>
    </sheetView>
  </sheetViews>
  <sheetFormatPr defaultColWidth="9.140625" defaultRowHeight="12.75" x14ac:dyDescent="0.2"/>
  <cols>
    <col min="8" max="8" width="12.85546875" customWidth="1"/>
    <col min="10" max="10" width="13.85546875" customWidth="1"/>
  </cols>
  <sheetData>
    <row r="2" spans="2:17" ht="66" customHeight="1" x14ac:dyDescent="0.25">
      <c r="B2" s="956" t="s">
        <v>4855</v>
      </c>
      <c r="C2" s="957"/>
      <c r="D2" s="957"/>
      <c r="E2" s="957"/>
      <c r="F2" s="957"/>
      <c r="G2" s="957"/>
      <c r="H2" s="957"/>
      <c r="I2" s="957"/>
      <c r="J2" s="957"/>
      <c r="K2" s="957"/>
      <c r="L2" s="957"/>
      <c r="M2" s="957"/>
      <c r="N2" s="957"/>
      <c r="O2" s="957"/>
      <c r="P2" s="957"/>
      <c r="Q2" s="958"/>
    </row>
    <row r="3" spans="2:17" x14ac:dyDescent="0.2">
      <c r="B3" s="4"/>
      <c r="I3" s="47"/>
    </row>
    <row r="4" spans="2:17" ht="73.5" customHeight="1" x14ac:dyDescent="0.2">
      <c r="B4" s="4"/>
      <c r="C4" s="891" t="s">
        <v>4862</v>
      </c>
      <c r="D4" s="883"/>
      <c r="E4" s="883"/>
      <c r="F4" s="883"/>
      <c r="G4" s="883"/>
      <c r="H4" s="883"/>
      <c r="I4" s="883"/>
      <c r="J4" s="883"/>
      <c r="K4" s="883"/>
      <c r="L4" s="883"/>
      <c r="M4" s="883"/>
      <c r="N4" s="883"/>
      <c r="O4" s="883"/>
      <c r="P4" s="883"/>
      <c r="Q4" s="883"/>
    </row>
    <row r="5" spans="2:17" x14ac:dyDescent="0.2">
      <c r="B5" s="4"/>
      <c r="I5" s="47"/>
    </row>
    <row r="6" spans="2:17" ht="44.25" customHeight="1" x14ac:dyDescent="0.2">
      <c r="B6" s="4"/>
      <c r="C6" s="883" t="s">
        <v>4856</v>
      </c>
      <c r="D6" s="883"/>
      <c r="E6" s="883"/>
      <c r="F6" s="883"/>
      <c r="G6" s="883"/>
      <c r="H6" s="883"/>
      <c r="I6" s="883"/>
      <c r="J6" s="883"/>
      <c r="K6" s="883"/>
      <c r="L6" s="883"/>
      <c r="M6" s="883"/>
      <c r="N6" s="883"/>
      <c r="O6" s="883"/>
      <c r="P6" s="883"/>
      <c r="Q6" s="883"/>
    </row>
    <row r="7" spans="2:17" x14ac:dyDescent="0.2">
      <c r="B7" s="4"/>
      <c r="I7" s="47"/>
    </row>
    <row r="8" spans="2:17" ht="24.75" customHeight="1" x14ac:dyDescent="0.2">
      <c r="B8" s="4"/>
      <c r="C8" s="1039" t="s">
        <v>4865</v>
      </c>
      <c r="D8" s="893"/>
      <c r="E8" s="893"/>
      <c r="F8" s="893"/>
      <c r="G8" s="893"/>
      <c r="H8" s="893"/>
      <c r="I8" s="893"/>
      <c r="J8" s="893"/>
      <c r="K8" s="893"/>
      <c r="L8" s="893"/>
      <c r="M8" s="893"/>
      <c r="N8" s="893"/>
      <c r="O8" s="893"/>
      <c r="P8" s="893"/>
      <c r="Q8" s="893"/>
    </row>
    <row r="9" spans="2:17" x14ac:dyDescent="0.2">
      <c r="B9" s="4"/>
      <c r="I9" s="47"/>
    </row>
    <row r="10" spans="2:17" x14ac:dyDescent="0.2">
      <c r="B10" s="4"/>
      <c r="I10" s="47"/>
    </row>
    <row r="11" spans="2:17" ht="29.25" customHeight="1" x14ac:dyDescent="0.2">
      <c r="B11" s="4" t="s">
        <v>860</v>
      </c>
      <c r="C11" s="965" t="s">
        <v>4857</v>
      </c>
      <c r="D11" s="967"/>
      <c r="E11" s="967"/>
      <c r="F11" s="967"/>
      <c r="G11" s="967"/>
      <c r="H11" s="967"/>
      <c r="I11" s="967"/>
      <c r="J11" s="967"/>
      <c r="K11" s="967"/>
      <c r="L11" s="967"/>
      <c r="M11" s="967"/>
      <c r="N11" s="967"/>
      <c r="O11" s="967"/>
      <c r="P11" s="967"/>
      <c r="Q11" s="968"/>
    </row>
    <row r="12" spans="2:17" x14ac:dyDescent="0.2">
      <c r="B12" s="4"/>
      <c r="C12" s="4"/>
      <c r="I12" s="56"/>
    </row>
    <row r="13" spans="2:17" x14ac:dyDescent="0.2">
      <c r="B13" s="4"/>
      <c r="H13" s="3" t="s">
        <v>61</v>
      </c>
    </row>
    <row r="14" spans="2:17" x14ac:dyDescent="0.2">
      <c r="B14" s="4"/>
    </row>
    <row r="15" spans="2:17" x14ac:dyDescent="0.2">
      <c r="B15" s="4"/>
      <c r="D15" t="s">
        <v>490</v>
      </c>
      <c r="H15" s="437"/>
    </row>
    <row r="16" spans="2:17" x14ac:dyDescent="0.2">
      <c r="B16" s="4"/>
      <c r="D16" t="s">
        <v>879</v>
      </c>
      <c r="H16" s="437"/>
    </row>
    <row r="17" spans="2:17" x14ac:dyDescent="0.2">
      <c r="B17" s="4"/>
      <c r="D17" t="s">
        <v>880</v>
      </c>
      <c r="H17" s="437"/>
    </row>
    <row r="18" spans="2:17" x14ac:dyDescent="0.2">
      <c r="B18" s="4"/>
      <c r="D18" t="s">
        <v>474</v>
      </c>
      <c r="H18" s="437"/>
    </row>
    <row r="19" spans="2:17" x14ac:dyDescent="0.2">
      <c r="B19" s="4"/>
      <c r="D19" t="s">
        <v>463</v>
      </c>
      <c r="H19" s="437"/>
      <c r="K19" s="862"/>
      <c r="L19" s="862"/>
      <c r="M19" s="862"/>
      <c r="N19" s="862"/>
      <c r="O19" s="862"/>
      <c r="P19" s="862"/>
    </row>
    <row r="20" spans="2:17" x14ac:dyDescent="0.2">
      <c r="B20" s="4"/>
      <c r="D20" t="s">
        <v>397</v>
      </c>
      <c r="H20" s="434"/>
      <c r="K20" s="862"/>
      <c r="L20" s="862"/>
      <c r="M20" s="862"/>
      <c r="N20" s="862"/>
      <c r="O20" s="862"/>
      <c r="P20" s="862"/>
    </row>
    <row r="21" spans="2:17" x14ac:dyDescent="0.2">
      <c r="B21" s="4"/>
      <c r="D21" t="s">
        <v>357</v>
      </c>
      <c r="H21" s="434"/>
      <c r="K21" s="862"/>
      <c r="L21" s="862"/>
      <c r="M21" s="862"/>
      <c r="N21" s="862"/>
      <c r="O21" s="862"/>
      <c r="P21" s="862"/>
    </row>
    <row r="22" spans="2:17" x14ac:dyDescent="0.2">
      <c r="B22" s="4"/>
      <c r="D22" t="s">
        <v>910</v>
      </c>
      <c r="H22" s="434"/>
      <c r="K22" t="s">
        <v>920</v>
      </c>
    </row>
    <row r="23" spans="2:17" x14ac:dyDescent="0.2">
      <c r="B23" s="4"/>
      <c r="D23" s="415" t="s">
        <v>201</v>
      </c>
      <c r="H23" s="445"/>
    </row>
    <row r="24" spans="2:17" ht="13.5" thickBot="1" x14ac:dyDescent="0.25">
      <c r="B24" s="4"/>
      <c r="H24" s="87">
        <f>SUM(H15:H23)</f>
        <v>0</v>
      </c>
    </row>
    <row r="25" spans="2:17" ht="13.5" thickTop="1" x14ac:dyDescent="0.2">
      <c r="B25" s="4"/>
    </row>
    <row r="26" spans="2:17" x14ac:dyDescent="0.2">
      <c r="B26" s="4"/>
    </row>
    <row r="27" spans="2:17" x14ac:dyDescent="0.2">
      <c r="B27" s="4"/>
      <c r="H27" s="5"/>
      <c r="I27" s="57"/>
      <c r="J27" s="57"/>
      <c r="K27" s="57"/>
      <c r="L27" s="57"/>
      <c r="M27" s="57"/>
      <c r="O27" s="57"/>
    </row>
    <row r="28" spans="2:17" x14ac:dyDescent="0.2">
      <c r="B28" s="4" t="s">
        <v>459</v>
      </c>
      <c r="C28" s="962" t="s">
        <v>4860</v>
      </c>
      <c r="D28" s="963"/>
      <c r="E28" s="963"/>
      <c r="F28" s="963"/>
      <c r="G28" s="963"/>
      <c r="H28" s="963"/>
      <c r="I28" s="963"/>
      <c r="J28" s="963"/>
      <c r="K28" s="963"/>
      <c r="L28" s="963"/>
      <c r="M28" s="963"/>
      <c r="N28" s="963"/>
      <c r="O28" s="963"/>
      <c r="P28" s="964"/>
      <c r="Q28" s="4"/>
    </row>
    <row r="29" spans="2:17" x14ac:dyDescent="0.2">
      <c r="B29" s="4"/>
      <c r="I29" s="47"/>
      <c r="M29" s="58" t="s">
        <v>64</v>
      </c>
      <c r="N29" s="55"/>
      <c r="O29" s="58" t="s">
        <v>65</v>
      </c>
    </row>
    <row r="30" spans="2:17" x14ac:dyDescent="0.2">
      <c r="B30" s="4"/>
      <c r="I30" s="47"/>
    </row>
    <row r="31" spans="2:17" x14ac:dyDescent="0.2">
      <c r="B31" s="4"/>
      <c r="E31" s="571" t="s">
        <v>4858</v>
      </c>
      <c r="F31" s="571" t="s">
        <v>4859</v>
      </c>
      <c r="I31" s="47"/>
      <c r="M31" s="83">
        <f>H24</f>
        <v>0</v>
      </c>
      <c r="O31" s="83"/>
    </row>
    <row r="32" spans="2:17" x14ac:dyDescent="0.2">
      <c r="B32" s="4"/>
      <c r="G32" t="s">
        <v>490</v>
      </c>
      <c r="I32" s="47"/>
      <c r="M32" s="83"/>
      <c r="O32" s="83">
        <f t="shared" ref="O32:O40" si="0">H15</f>
        <v>0</v>
      </c>
    </row>
    <row r="33" spans="2:17" x14ac:dyDescent="0.2">
      <c r="B33" s="4"/>
      <c r="G33" t="s">
        <v>879</v>
      </c>
      <c r="I33" s="47"/>
      <c r="M33" s="83"/>
      <c r="O33" s="83">
        <f t="shared" si="0"/>
        <v>0</v>
      </c>
    </row>
    <row r="34" spans="2:17" x14ac:dyDescent="0.2">
      <c r="B34" s="4"/>
      <c r="G34" t="s">
        <v>880</v>
      </c>
      <c r="I34" s="47"/>
      <c r="M34" s="83"/>
      <c r="O34" s="83">
        <f t="shared" si="0"/>
        <v>0</v>
      </c>
    </row>
    <row r="35" spans="2:17" x14ac:dyDescent="0.2">
      <c r="B35" s="4"/>
      <c r="G35" t="s">
        <v>473</v>
      </c>
      <c r="I35" s="47"/>
      <c r="M35" s="83"/>
      <c r="O35" s="83">
        <f t="shared" si="0"/>
        <v>0</v>
      </c>
    </row>
    <row r="36" spans="2:17" x14ac:dyDescent="0.2">
      <c r="B36" s="4"/>
      <c r="G36" t="s">
        <v>881</v>
      </c>
      <c r="I36" s="47"/>
      <c r="M36" s="83"/>
      <c r="O36" s="83">
        <f t="shared" si="0"/>
        <v>0</v>
      </c>
    </row>
    <row r="37" spans="2:17" x14ac:dyDescent="0.2">
      <c r="B37" s="4"/>
      <c r="G37" t="s">
        <v>890</v>
      </c>
      <c r="I37" s="47"/>
      <c r="M37" s="83"/>
      <c r="O37" s="83">
        <f t="shared" si="0"/>
        <v>0</v>
      </c>
    </row>
    <row r="38" spans="2:17" x14ac:dyDescent="0.2">
      <c r="B38" s="4"/>
      <c r="G38" t="s">
        <v>891</v>
      </c>
      <c r="I38" s="47"/>
      <c r="M38" s="83"/>
      <c r="O38" s="83">
        <f t="shared" si="0"/>
        <v>0</v>
      </c>
    </row>
    <row r="39" spans="2:17" x14ac:dyDescent="0.2">
      <c r="B39" s="4"/>
      <c r="G39" t="s">
        <v>910</v>
      </c>
      <c r="I39" s="47"/>
      <c r="M39" s="83"/>
      <c r="O39" s="83">
        <f t="shared" si="0"/>
        <v>0</v>
      </c>
    </row>
    <row r="40" spans="2:17" x14ac:dyDescent="0.2">
      <c r="B40" s="4"/>
      <c r="D40" s="54"/>
      <c r="G40" s="415" t="s">
        <v>201</v>
      </c>
      <c r="I40" s="47"/>
      <c r="M40" s="79"/>
      <c r="O40" s="11">
        <f t="shared" si="0"/>
        <v>0</v>
      </c>
    </row>
    <row r="41" spans="2:17" ht="13.5" thickBot="1" x14ac:dyDescent="0.25">
      <c r="B41" s="4"/>
      <c r="I41" s="47"/>
      <c r="M41" s="76">
        <f>SUM(M31:M39)</f>
        <v>0</v>
      </c>
      <c r="O41" s="76">
        <f>SUM(O31:O40)</f>
        <v>0</v>
      </c>
    </row>
    <row r="42" spans="2:17" x14ac:dyDescent="0.2">
      <c r="B42" s="4"/>
      <c r="I42" s="47"/>
    </row>
    <row r="46" spans="2:17" x14ac:dyDescent="0.2">
      <c r="B46" s="4" t="s">
        <v>465</v>
      </c>
      <c r="C46" s="1133" t="s">
        <v>4861</v>
      </c>
      <c r="D46" s="1134"/>
      <c r="E46" s="1134"/>
      <c r="F46" s="1134"/>
      <c r="G46" s="1134"/>
      <c r="H46" s="1134"/>
      <c r="I46" s="1134"/>
      <c r="J46" s="1135"/>
    </row>
    <row r="47" spans="2:17" ht="15" x14ac:dyDescent="0.25">
      <c r="C47" s="765"/>
      <c r="D47" s="765"/>
      <c r="E47" s="765"/>
    </row>
    <row r="48" spans="2:17" ht="27.75" customHeight="1" x14ac:dyDescent="0.2">
      <c r="C48" s="1039" t="s">
        <v>4863</v>
      </c>
      <c r="D48" s="1039"/>
      <c r="E48" s="1039"/>
      <c r="F48" s="1039"/>
      <c r="G48" s="1039"/>
      <c r="H48" s="1039"/>
      <c r="I48" s="1039"/>
      <c r="J48" s="862"/>
      <c r="K48" s="862"/>
      <c r="L48" s="862"/>
      <c r="M48" s="862"/>
      <c r="N48" s="862"/>
      <c r="O48" s="862"/>
      <c r="P48" s="862"/>
      <c r="Q48" s="862"/>
    </row>
    <row r="49" spans="3:16" x14ac:dyDescent="0.2">
      <c r="C49" s="4"/>
      <c r="I49" s="56"/>
    </row>
    <row r="50" spans="3:16" ht="12.75" customHeight="1" x14ac:dyDescent="0.2">
      <c r="H50" s="3" t="s">
        <v>61</v>
      </c>
    </row>
    <row r="52" spans="3:16" x14ac:dyDescent="0.2">
      <c r="D52" t="s">
        <v>490</v>
      </c>
      <c r="H52" s="437"/>
    </row>
    <row r="53" spans="3:16" x14ac:dyDescent="0.2">
      <c r="D53" t="s">
        <v>879</v>
      </c>
      <c r="H53" s="437"/>
    </row>
    <row r="54" spans="3:16" x14ac:dyDescent="0.2">
      <c r="D54" t="s">
        <v>880</v>
      </c>
      <c r="H54" s="437"/>
    </row>
    <row r="55" spans="3:16" x14ac:dyDescent="0.2">
      <c r="D55" t="s">
        <v>474</v>
      </c>
      <c r="H55" s="437"/>
    </row>
    <row r="56" spans="3:16" x14ac:dyDescent="0.2">
      <c r="D56" t="s">
        <v>463</v>
      </c>
      <c r="H56" s="437"/>
      <c r="K56" s="862"/>
      <c r="L56" s="862"/>
      <c r="M56" s="862"/>
      <c r="N56" s="862"/>
      <c r="O56" s="862"/>
      <c r="P56" s="862"/>
    </row>
    <row r="57" spans="3:16" x14ac:dyDescent="0.2">
      <c r="D57" t="s">
        <v>397</v>
      </c>
      <c r="H57" s="434"/>
      <c r="K57" s="862"/>
      <c r="L57" s="862"/>
      <c r="M57" s="862"/>
      <c r="N57" s="862"/>
      <c r="O57" s="862"/>
      <c r="P57" s="862"/>
    </row>
    <row r="58" spans="3:16" x14ac:dyDescent="0.2">
      <c r="D58" t="s">
        <v>357</v>
      </c>
      <c r="H58" s="434"/>
      <c r="K58" s="862"/>
      <c r="L58" s="862"/>
      <c r="M58" s="862"/>
      <c r="N58" s="862"/>
      <c r="O58" s="862"/>
      <c r="P58" s="862"/>
    </row>
    <row r="59" spans="3:16" x14ac:dyDescent="0.2">
      <c r="D59" t="s">
        <v>910</v>
      </c>
      <c r="H59" s="434"/>
      <c r="K59" t="s">
        <v>920</v>
      </c>
    </row>
    <row r="60" spans="3:16" x14ac:dyDescent="0.2">
      <c r="D60" s="415" t="s">
        <v>201</v>
      </c>
      <c r="H60" s="445"/>
    </row>
    <row r="61" spans="3:16" ht="13.5" thickBot="1" x14ac:dyDescent="0.25">
      <c r="H61" s="87">
        <f>SUM(H52:H60)</f>
        <v>0</v>
      </c>
    </row>
    <row r="62" spans="3:16" ht="13.5" thickTop="1" x14ac:dyDescent="0.2"/>
    <row r="63" spans="3:16" ht="15" x14ac:dyDescent="0.2">
      <c r="C63" s="772"/>
      <c r="D63" s="772"/>
      <c r="J63" s="772"/>
    </row>
    <row r="65" spans="2:16" x14ac:dyDescent="0.2">
      <c r="B65" s="4" t="s">
        <v>459</v>
      </c>
      <c r="C65" s="962" t="s">
        <v>4866</v>
      </c>
      <c r="D65" s="963"/>
      <c r="E65" s="963"/>
      <c r="F65" s="963"/>
      <c r="G65" s="963"/>
      <c r="H65" s="963"/>
      <c r="I65" s="963"/>
      <c r="J65" s="963"/>
      <c r="K65" s="963"/>
      <c r="L65" s="963"/>
      <c r="M65" s="963"/>
      <c r="N65" s="963"/>
      <c r="O65" s="963"/>
      <c r="P65" s="964"/>
    </row>
    <row r="66" spans="2:16" x14ac:dyDescent="0.2">
      <c r="B66" s="4"/>
      <c r="I66" s="47"/>
      <c r="M66" s="58" t="s">
        <v>64</v>
      </c>
      <c r="N66" s="55"/>
      <c r="O66" s="58" t="s">
        <v>65</v>
      </c>
    </row>
    <row r="67" spans="2:16" x14ac:dyDescent="0.2">
      <c r="B67" s="4"/>
      <c r="I67" s="47"/>
    </row>
    <row r="68" spans="2:16" x14ac:dyDescent="0.2">
      <c r="B68" s="4"/>
      <c r="E68" s="571" t="s">
        <v>4867</v>
      </c>
      <c r="F68" t="s">
        <v>490</v>
      </c>
      <c r="I68" s="47"/>
      <c r="M68" s="83">
        <f>H52</f>
        <v>0</v>
      </c>
      <c r="O68" s="83"/>
    </row>
    <row r="69" spans="2:16" x14ac:dyDescent="0.2">
      <c r="B69" s="4"/>
      <c r="E69" s="571"/>
      <c r="F69" t="s">
        <v>879</v>
      </c>
      <c r="I69" s="47"/>
      <c r="M69" s="83">
        <f t="shared" ref="M69:M76" si="1">H53</f>
        <v>0</v>
      </c>
      <c r="O69" s="83"/>
    </row>
    <row r="70" spans="2:16" x14ac:dyDescent="0.2">
      <c r="B70" s="4"/>
      <c r="E70" s="571"/>
      <c r="F70" t="s">
        <v>880</v>
      </c>
      <c r="G70" s="571"/>
      <c r="I70" s="47"/>
      <c r="M70" s="83">
        <f t="shared" si="1"/>
        <v>0</v>
      </c>
      <c r="O70" s="83"/>
    </row>
    <row r="71" spans="2:16" x14ac:dyDescent="0.2">
      <c r="B71" s="4"/>
      <c r="F71" t="s">
        <v>473</v>
      </c>
      <c r="I71" s="47"/>
      <c r="M71" s="83">
        <f t="shared" si="1"/>
        <v>0</v>
      </c>
      <c r="O71" s="83"/>
    </row>
    <row r="72" spans="2:16" x14ac:dyDescent="0.2">
      <c r="B72" s="4"/>
      <c r="F72" t="s">
        <v>881</v>
      </c>
      <c r="I72" s="47"/>
      <c r="M72" s="83">
        <f t="shared" si="1"/>
        <v>0</v>
      </c>
      <c r="O72" s="83"/>
    </row>
    <row r="73" spans="2:16" x14ac:dyDescent="0.2">
      <c r="B73" s="4"/>
      <c r="F73" t="s">
        <v>890</v>
      </c>
      <c r="I73" s="47"/>
      <c r="M73" s="83">
        <f t="shared" si="1"/>
        <v>0</v>
      </c>
      <c r="O73" s="83"/>
    </row>
    <row r="74" spans="2:16" x14ac:dyDescent="0.2">
      <c r="B74" s="4"/>
      <c r="F74" t="s">
        <v>891</v>
      </c>
      <c r="I74" s="47"/>
      <c r="M74" s="83">
        <f t="shared" si="1"/>
        <v>0</v>
      </c>
      <c r="O74" s="83"/>
    </row>
    <row r="75" spans="2:16" x14ac:dyDescent="0.2">
      <c r="B75" s="4"/>
      <c r="F75" t="s">
        <v>910</v>
      </c>
      <c r="I75" s="47"/>
      <c r="M75" s="83">
        <f t="shared" si="1"/>
        <v>0</v>
      </c>
      <c r="O75" s="83"/>
    </row>
    <row r="76" spans="2:16" x14ac:dyDescent="0.2">
      <c r="B76" s="4"/>
      <c r="F76" s="415" t="s">
        <v>201</v>
      </c>
      <c r="I76" s="47"/>
      <c r="M76" s="83">
        <f t="shared" si="1"/>
        <v>0</v>
      </c>
      <c r="O76" s="83"/>
    </row>
    <row r="77" spans="2:16" x14ac:dyDescent="0.2">
      <c r="B77" s="4"/>
      <c r="G77" s="571" t="s">
        <v>4907</v>
      </c>
      <c r="I77" s="47"/>
      <c r="M77" s="83"/>
      <c r="O77" s="83">
        <f>H61</f>
        <v>0</v>
      </c>
    </row>
    <row r="78" spans="2:16" x14ac:dyDescent="0.2">
      <c r="B78" s="4"/>
      <c r="I78" s="47"/>
      <c r="M78" s="83"/>
      <c r="O78" s="83"/>
    </row>
    <row r="79" spans="2:16" x14ac:dyDescent="0.2">
      <c r="B79" s="4"/>
      <c r="D79" s="54"/>
      <c r="G79" s="415"/>
      <c r="I79" s="47"/>
      <c r="M79" s="79"/>
      <c r="O79" s="11"/>
    </row>
    <row r="80" spans="2:16" ht="13.5" thickBot="1" x14ac:dyDescent="0.25">
      <c r="B80" s="4"/>
      <c r="I80" s="47"/>
      <c r="M80" s="76">
        <f>SUM(M68:M78)</f>
        <v>0</v>
      </c>
      <c r="O80" s="76">
        <f>SUM(O68:O79)</f>
        <v>0</v>
      </c>
    </row>
    <row r="81" ht="13.5" thickTop="1" x14ac:dyDescent="0.2"/>
  </sheetData>
  <mergeCells count="9">
    <mergeCell ref="B2:Q2"/>
    <mergeCell ref="C6:Q6"/>
    <mergeCell ref="C4:Q4"/>
    <mergeCell ref="C8:Q8"/>
    <mergeCell ref="C65:P65"/>
    <mergeCell ref="C46:J46"/>
    <mergeCell ref="C48:I48"/>
    <mergeCell ref="C11:Q11"/>
    <mergeCell ref="C28:P28"/>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98505-1761-4303-82C0-E7C0DDA4CB02}">
  <dimension ref="B2:Q81"/>
  <sheetViews>
    <sheetView workbookViewId="0">
      <selection activeCell="O40" sqref="O40"/>
    </sheetView>
  </sheetViews>
  <sheetFormatPr defaultColWidth="9.140625" defaultRowHeight="12.75" x14ac:dyDescent="0.2"/>
  <cols>
    <col min="8" max="8" width="12.85546875" customWidth="1"/>
    <col min="10" max="10" width="13.85546875" customWidth="1"/>
  </cols>
  <sheetData>
    <row r="2" spans="2:17" ht="66" customHeight="1" x14ac:dyDescent="0.25">
      <c r="B2" s="956" t="s">
        <v>4881</v>
      </c>
      <c r="C2" s="957"/>
      <c r="D2" s="957"/>
      <c r="E2" s="957"/>
      <c r="F2" s="957"/>
      <c r="G2" s="957"/>
      <c r="H2" s="957"/>
      <c r="I2" s="957"/>
      <c r="J2" s="957"/>
      <c r="K2" s="957"/>
      <c r="L2" s="957"/>
      <c r="M2" s="957"/>
      <c r="N2" s="957"/>
      <c r="O2" s="957"/>
      <c r="P2" s="957"/>
      <c r="Q2" s="958"/>
    </row>
    <row r="3" spans="2:17" x14ac:dyDescent="0.2">
      <c r="B3" s="4"/>
      <c r="I3" s="47"/>
    </row>
    <row r="4" spans="2:17" ht="30" customHeight="1" x14ac:dyDescent="0.2">
      <c r="B4" s="4"/>
      <c r="C4" s="891" t="s">
        <v>4935</v>
      </c>
      <c r="D4" s="883"/>
      <c r="E4" s="883"/>
      <c r="F4" s="883"/>
      <c r="G4" s="883"/>
      <c r="H4" s="883"/>
      <c r="I4" s="883"/>
      <c r="J4" s="883"/>
      <c r="K4" s="883"/>
      <c r="L4" s="883"/>
      <c r="M4" s="883"/>
      <c r="N4" s="883"/>
      <c r="O4" s="883"/>
      <c r="P4" s="883"/>
      <c r="Q4" s="883"/>
    </row>
    <row r="5" spans="2:17" x14ac:dyDescent="0.2">
      <c r="B5" s="4"/>
      <c r="I5" s="47"/>
    </row>
    <row r="6" spans="2:17" ht="44.25" customHeight="1" x14ac:dyDescent="0.2">
      <c r="B6" s="4"/>
      <c r="C6" s="891" t="s">
        <v>4882</v>
      </c>
      <c r="D6" s="883"/>
      <c r="E6" s="883"/>
      <c r="F6" s="883"/>
      <c r="G6" s="883"/>
      <c r="H6" s="883"/>
      <c r="I6" s="883"/>
      <c r="J6" s="883"/>
      <c r="K6" s="883"/>
      <c r="L6" s="883"/>
      <c r="M6" s="883"/>
      <c r="N6" s="883"/>
      <c r="O6" s="883"/>
      <c r="P6" s="883"/>
      <c r="Q6" s="883"/>
    </row>
    <row r="7" spans="2:17" x14ac:dyDescent="0.2">
      <c r="B7" s="4"/>
      <c r="I7" s="47"/>
    </row>
    <row r="8" spans="2:17" ht="24.75" customHeight="1" x14ac:dyDescent="0.2">
      <c r="B8" s="4"/>
      <c r="C8" s="1039" t="s">
        <v>4883</v>
      </c>
      <c r="D8" s="893"/>
      <c r="E8" s="893"/>
      <c r="F8" s="893"/>
      <c r="G8" s="893"/>
      <c r="H8" s="893"/>
      <c r="I8" s="893"/>
      <c r="J8" s="893"/>
      <c r="K8" s="893"/>
      <c r="L8" s="893"/>
      <c r="M8" s="893"/>
      <c r="N8" s="893"/>
      <c r="O8" s="893"/>
      <c r="P8" s="893"/>
      <c r="Q8" s="893"/>
    </row>
    <row r="9" spans="2:17" x14ac:dyDescent="0.2">
      <c r="B9" s="4"/>
      <c r="I9" s="47"/>
    </row>
    <row r="10" spans="2:17" x14ac:dyDescent="0.2">
      <c r="B10" s="4"/>
      <c r="I10" s="47"/>
    </row>
    <row r="11" spans="2:17" ht="29.25" customHeight="1" x14ac:dyDescent="0.2">
      <c r="B11" s="4" t="s">
        <v>860</v>
      </c>
      <c r="C11" s="965" t="s">
        <v>4884</v>
      </c>
      <c r="D11" s="967"/>
      <c r="E11" s="967"/>
      <c r="F11" s="967"/>
      <c r="G11" s="967"/>
      <c r="H11" s="967"/>
      <c r="I11" s="967"/>
      <c r="J11" s="967"/>
      <c r="K11" s="967"/>
      <c r="L11" s="967"/>
      <c r="M11" s="967"/>
      <c r="N11" s="967"/>
      <c r="O11" s="967"/>
      <c r="P11" s="967"/>
      <c r="Q11" s="968"/>
    </row>
    <row r="12" spans="2:17" x14ac:dyDescent="0.2">
      <c r="B12" s="4"/>
      <c r="C12" s="4"/>
      <c r="I12" s="56"/>
    </row>
    <row r="13" spans="2:17" x14ac:dyDescent="0.2">
      <c r="B13" s="4"/>
      <c r="H13" s="3" t="s">
        <v>61</v>
      </c>
    </row>
    <row r="14" spans="2:17" x14ac:dyDescent="0.2">
      <c r="B14" s="4"/>
    </row>
    <row r="15" spans="2:17" x14ac:dyDescent="0.2">
      <c r="B15" s="4"/>
      <c r="D15" t="s">
        <v>490</v>
      </c>
      <c r="H15" s="437"/>
    </row>
    <row r="16" spans="2:17" x14ac:dyDescent="0.2">
      <c r="B16" s="4"/>
      <c r="D16" t="s">
        <v>879</v>
      </c>
      <c r="H16" s="437"/>
    </row>
    <row r="17" spans="2:17" x14ac:dyDescent="0.2">
      <c r="B17" s="4"/>
      <c r="D17" t="s">
        <v>880</v>
      </c>
      <c r="H17" s="437"/>
    </row>
    <row r="18" spans="2:17" x14ac:dyDescent="0.2">
      <c r="B18" s="4"/>
      <c r="D18" t="s">
        <v>474</v>
      </c>
      <c r="H18" s="437"/>
    </row>
    <row r="19" spans="2:17" x14ac:dyDescent="0.2">
      <c r="B19" s="4"/>
      <c r="D19" t="s">
        <v>463</v>
      </c>
      <c r="H19" s="437"/>
      <c r="K19" s="862"/>
      <c r="L19" s="862"/>
      <c r="M19" s="862"/>
      <c r="N19" s="862"/>
      <c r="O19" s="862"/>
      <c r="P19" s="862"/>
    </row>
    <row r="20" spans="2:17" x14ac:dyDescent="0.2">
      <c r="B20" s="4"/>
      <c r="D20" t="s">
        <v>397</v>
      </c>
      <c r="H20" s="434"/>
      <c r="K20" s="862"/>
      <c r="L20" s="862"/>
      <c r="M20" s="862"/>
      <c r="N20" s="862"/>
      <c r="O20" s="862"/>
      <c r="P20" s="862"/>
    </row>
    <row r="21" spans="2:17" x14ac:dyDescent="0.2">
      <c r="B21" s="4"/>
      <c r="D21" t="s">
        <v>357</v>
      </c>
      <c r="H21" s="434"/>
      <c r="K21" s="862"/>
      <c r="L21" s="862"/>
      <c r="M21" s="862"/>
      <c r="N21" s="862"/>
      <c r="O21" s="862"/>
      <c r="P21" s="862"/>
    </row>
    <row r="22" spans="2:17" x14ac:dyDescent="0.2">
      <c r="B22" s="4"/>
      <c r="D22" t="s">
        <v>910</v>
      </c>
      <c r="H22" s="434">
        <v>0</v>
      </c>
      <c r="K22" t="s">
        <v>920</v>
      </c>
    </row>
    <row r="23" spans="2:17" x14ac:dyDescent="0.2">
      <c r="B23" s="4"/>
      <c r="D23" s="415" t="s">
        <v>201</v>
      </c>
      <c r="H23" s="445">
        <v>0</v>
      </c>
    </row>
    <row r="24" spans="2:17" ht="13.5" thickBot="1" x14ac:dyDescent="0.25">
      <c r="B24" s="4"/>
      <c r="H24" s="87">
        <f>SUM(H15:H23)</f>
        <v>0</v>
      </c>
    </row>
    <row r="25" spans="2:17" ht="13.5" thickTop="1" x14ac:dyDescent="0.2">
      <c r="B25" s="4"/>
    </row>
    <row r="26" spans="2:17" x14ac:dyDescent="0.2">
      <c r="B26" s="4"/>
    </row>
    <row r="27" spans="2:17" x14ac:dyDescent="0.2">
      <c r="B27" s="4"/>
      <c r="H27" s="5"/>
      <c r="I27" s="57"/>
      <c r="J27" s="57"/>
      <c r="K27" s="57"/>
      <c r="L27" s="57"/>
      <c r="M27" s="57"/>
      <c r="O27" s="57"/>
    </row>
    <row r="28" spans="2:17" x14ac:dyDescent="0.2">
      <c r="B28" s="4" t="s">
        <v>459</v>
      </c>
      <c r="C28" s="962" t="s">
        <v>4885</v>
      </c>
      <c r="D28" s="963"/>
      <c r="E28" s="963"/>
      <c r="F28" s="963"/>
      <c r="G28" s="963"/>
      <c r="H28" s="963"/>
      <c r="I28" s="963"/>
      <c r="J28" s="963"/>
      <c r="K28" s="963"/>
      <c r="L28" s="963"/>
      <c r="M28" s="963"/>
      <c r="N28" s="963"/>
      <c r="O28" s="963"/>
      <c r="P28" s="964"/>
      <c r="Q28" s="4"/>
    </row>
    <row r="29" spans="2:17" x14ac:dyDescent="0.2">
      <c r="B29" s="4"/>
      <c r="I29" s="47"/>
      <c r="M29" s="58" t="s">
        <v>64</v>
      </c>
      <c r="N29" s="55"/>
      <c r="O29" s="58" t="s">
        <v>65</v>
      </c>
    </row>
    <row r="30" spans="2:17" x14ac:dyDescent="0.2">
      <c r="B30" s="4"/>
      <c r="I30" s="47"/>
    </row>
    <row r="31" spans="2:17" x14ac:dyDescent="0.2">
      <c r="B31" s="4"/>
      <c r="E31" s="571" t="s">
        <v>4858</v>
      </c>
      <c r="F31" s="571" t="s">
        <v>4886</v>
      </c>
      <c r="I31" s="47"/>
      <c r="M31" s="83">
        <f>H24</f>
        <v>0</v>
      </c>
      <c r="O31" s="83"/>
    </row>
    <row r="32" spans="2:17" x14ac:dyDescent="0.2">
      <c r="B32" s="4"/>
      <c r="G32" t="s">
        <v>490</v>
      </c>
      <c r="I32" s="47"/>
      <c r="M32" s="83"/>
      <c r="O32" s="83">
        <f t="shared" ref="O32:O40" si="0">H15</f>
        <v>0</v>
      </c>
    </row>
    <row r="33" spans="2:17" x14ac:dyDescent="0.2">
      <c r="B33" s="4"/>
      <c r="G33" t="s">
        <v>879</v>
      </c>
      <c r="I33" s="47"/>
      <c r="M33" s="83"/>
      <c r="O33" s="83">
        <f t="shared" si="0"/>
        <v>0</v>
      </c>
    </row>
    <row r="34" spans="2:17" x14ac:dyDescent="0.2">
      <c r="B34" s="4"/>
      <c r="G34" t="s">
        <v>880</v>
      </c>
      <c r="I34" s="47"/>
      <c r="M34" s="83"/>
      <c r="O34" s="83">
        <f t="shared" si="0"/>
        <v>0</v>
      </c>
    </row>
    <row r="35" spans="2:17" x14ac:dyDescent="0.2">
      <c r="B35" s="4"/>
      <c r="G35" t="s">
        <v>473</v>
      </c>
      <c r="I35" s="47"/>
      <c r="M35" s="83"/>
      <c r="O35" s="83">
        <f t="shared" si="0"/>
        <v>0</v>
      </c>
    </row>
    <row r="36" spans="2:17" x14ac:dyDescent="0.2">
      <c r="B36" s="4"/>
      <c r="G36" t="s">
        <v>881</v>
      </c>
      <c r="I36" s="47"/>
      <c r="M36" s="83"/>
      <c r="O36" s="83">
        <f t="shared" si="0"/>
        <v>0</v>
      </c>
    </row>
    <row r="37" spans="2:17" x14ac:dyDescent="0.2">
      <c r="B37" s="4"/>
      <c r="G37" t="s">
        <v>890</v>
      </c>
      <c r="I37" s="47"/>
      <c r="M37" s="83"/>
      <c r="O37" s="83">
        <f t="shared" si="0"/>
        <v>0</v>
      </c>
    </row>
    <row r="38" spans="2:17" x14ac:dyDescent="0.2">
      <c r="B38" s="4"/>
      <c r="G38" t="s">
        <v>891</v>
      </c>
      <c r="I38" s="47"/>
      <c r="M38" s="83"/>
      <c r="O38" s="83">
        <f t="shared" si="0"/>
        <v>0</v>
      </c>
    </row>
    <row r="39" spans="2:17" x14ac:dyDescent="0.2">
      <c r="B39" s="4"/>
      <c r="G39" t="s">
        <v>910</v>
      </c>
      <c r="I39" s="47"/>
      <c r="M39" s="83"/>
      <c r="O39" s="83">
        <f t="shared" si="0"/>
        <v>0</v>
      </c>
    </row>
    <row r="40" spans="2:17" x14ac:dyDescent="0.2">
      <c r="B40" s="4"/>
      <c r="D40" s="54"/>
      <c r="G40" s="415" t="s">
        <v>201</v>
      </c>
      <c r="I40" s="47"/>
      <c r="M40" s="79"/>
      <c r="O40" s="11">
        <f t="shared" si="0"/>
        <v>0</v>
      </c>
    </row>
    <row r="41" spans="2:17" ht="13.5" thickBot="1" x14ac:dyDescent="0.25">
      <c r="B41" s="4"/>
      <c r="I41" s="47"/>
      <c r="M41" s="76">
        <f>SUM(M31:M39)</f>
        <v>0</v>
      </c>
      <c r="O41" s="76">
        <f>SUM(O31:O40)</f>
        <v>0</v>
      </c>
    </row>
    <row r="42" spans="2:17" ht="13.5" thickTop="1" x14ac:dyDescent="0.2">
      <c r="B42" s="4"/>
      <c r="I42" s="47"/>
    </row>
    <row r="46" spans="2:17" x14ac:dyDescent="0.2">
      <c r="B46" s="4" t="s">
        <v>465</v>
      </c>
      <c r="C46" s="1133" t="s">
        <v>4887</v>
      </c>
      <c r="D46" s="1134"/>
      <c r="E46" s="1134"/>
      <c r="F46" s="1134"/>
      <c r="G46" s="1134"/>
      <c r="H46" s="1134"/>
      <c r="I46" s="1134"/>
      <c r="J46" s="1135"/>
    </row>
    <row r="47" spans="2:17" ht="15" x14ac:dyDescent="0.25">
      <c r="C47" s="873"/>
      <c r="D47" s="873"/>
      <c r="E47" s="873"/>
    </row>
    <row r="48" spans="2:17" ht="27.75" customHeight="1" x14ac:dyDescent="0.2">
      <c r="C48" s="1039" t="s">
        <v>4888</v>
      </c>
      <c r="D48" s="1039"/>
      <c r="E48" s="1039"/>
      <c r="F48" s="1039"/>
      <c r="G48" s="1039"/>
      <c r="H48" s="1039"/>
      <c r="I48" s="1039"/>
      <c r="J48" s="862"/>
      <c r="K48" s="862"/>
      <c r="L48" s="862"/>
      <c r="M48" s="862"/>
      <c r="N48" s="862"/>
      <c r="O48" s="862"/>
      <c r="P48" s="862"/>
      <c r="Q48" s="862"/>
    </row>
    <row r="49" spans="3:16" x14ac:dyDescent="0.2">
      <c r="C49" s="4"/>
      <c r="I49" s="56"/>
    </row>
    <row r="50" spans="3:16" ht="12.75" customHeight="1" x14ac:dyDescent="0.2">
      <c r="H50" s="3" t="s">
        <v>61</v>
      </c>
    </row>
    <row r="52" spans="3:16" x14ac:dyDescent="0.2">
      <c r="D52" t="s">
        <v>490</v>
      </c>
      <c r="H52" s="437"/>
    </row>
    <row r="53" spans="3:16" x14ac:dyDescent="0.2">
      <c r="D53" t="s">
        <v>879</v>
      </c>
      <c r="H53" s="437"/>
    </row>
    <row r="54" spans="3:16" x14ac:dyDescent="0.2">
      <c r="D54" t="s">
        <v>880</v>
      </c>
      <c r="H54" s="437"/>
    </row>
    <row r="55" spans="3:16" x14ac:dyDescent="0.2">
      <c r="D55" t="s">
        <v>474</v>
      </c>
      <c r="H55" s="437"/>
    </row>
    <row r="56" spans="3:16" x14ac:dyDescent="0.2">
      <c r="D56" t="s">
        <v>463</v>
      </c>
      <c r="H56" s="437"/>
      <c r="K56" s="862"/>
      <c r="L56" s="862"/>
      <c r="M56" s="862"/>
      <c r="N56" s="862"/>
      <c r="O56" s="862"/>
      <c r="P56" s="862"/>
    </row>
    <row r="57" spans="3:16" x14ac:dyDescent="0.2">
      <c r="D57" t="s">
        <v>397</v>
      </c>
      <c r="H57" s="434"/>
      <c r="K57" s="862"/>
      <c r="L57" s="862"/>
      <c r="M57" s="862"/>
      <c r="N57" s="862"/>
      <c r="O57" s="862"/>
      <c r="P57" s="862"/>
    </row>
    <row r="58" spans="3:16" x14ac:dyDescent="0.2">
      <c r="D58" t="s">
        <v>357</v>
      </c>
      <c r="H58" s="434"/>
      <c r="K58" s="862"/>
      <c r="L58" s="862"/>
      <c r="M58" s="862"/>
      <c r="N58" s="862"/>
      <c r="O58" s="862"/>
      <c r="P58" s="862"/>
    </row>
    <row r="59" spans="3:16" x14ac:dyDescent="0.2">
      <c r="D59" t="s">
        <v>910</v>
      </c>
      <c r="H59" s="434">
        <v>0</v>
      </c>
      <c r="K59" t="s">
        <v>920</v>
      </c>
    </row>
    <row r="60" spans="3:16" x14ac:dyDescent="0.2">
      <c r="D60" s="415" t="s">
        <v>201</v>
      </c>
      <c r="H60" s="445">
        <v>0</v>
      </c>
    </row>
    <row r="61" spans="3:16" ht="13.5" thickBot="1" x14ac:dyDescent="0.25">
      <c r="H61" s="87">
        <f>SUM(H52:H60)</f>
        <v>0</v>
      </c>
    </row>
    <row r="62" spans="3:16" ht="13.5" thickTop="1" x14ac:dyDescent="0.2"/>
    <row r="63" spans="3:16" ht="15" x14ac:dyDescent="0.2">
      <c r="C63" s="874"/>
      <c r="D63" s="874"/>
      <c r="J63" s="874"/>
    </row>
    <row r="65" spans="2:16" x14ac:dyDescent="0.2">
      <c r="B65" s="4" t="s">
        <v>459</v>
      </c>
      <c r="C65" s="962" t="s">
        <v>4889</v>
      </c>
      <c r="D65" s="963"/>
      <c r="E65" s="963"/>
      <c r="F65" s="963"/>
      <c r="G65" s="963"/>
      <c r="H65" s="963"/>
      <c r="I65" s="963"/>
      <c r="J65" s="963"/>
      <c r="K65" s="963"/>
      <c r="L65" s="963"/>
      <c r="M65" s="963"/>
      <c r="N65" s="963"/>
      <c r="O65" s="963"/>
      <c r="P65" s="964"/>
    </row>
    <row r="66" spans="2:16" x14ac:dyDescent="0.2">
      <c r="B66" s="4"/>
      <c r="I66" s="47"/>
      <c r="M66" s="58" t="s">
        <v>64</v>
      </c>
      <c r="N66" s="55"/>
      <c r="O66" s="58" t="s">
        <v>65</v>
      </c>
    </row>
    <row r="67" spans="2:16" x14ac:dyDescent="0.2">
      <c r="B67" s="4"/>
      <c r="I67" s="47"/>
    </row>
    <row r="68" spans="2:16" x14ac:dyDescent="0.2">
      <c r="B68" s="4"/>
      <c r="E68" s="571" t="s">
        <v>4867</v>
      </c>
      <c r="F68" t="s">
        <v>490</v>
      </c>
      <c r="I68" s="47"/>
      <c r="M68" s="83">
        <f>H52</f>
        <v>0</v>
      </c>
      <c r="O68" s="83"/>
    </row>
    <row r="69" spans="2:16" x14ac:dyDescent="0.2">
      <c r="B69" s="4"/>
      <c r="E69" s="571"/>
      <c r="F69" t="s">
        <v>879</v>
      </c>
      <c r="I69" s="47"/>
      <c r="M69" s="83">
        <f t="shared" ref="M69:M76" si="1">H53</f>
        <v>0</v>
      </c>
      <c r="O69" s="83"/>
    </row>
    <row r="70" spans="2:16" x14ac:dyDescent="0.2">
      <c r="B70" s="4"/>
      <c r="E70" s="571"/>
      <c r="F70" t="s">
        <v>880</v>
      </c>
      <c r="G70" s="571"/>
      <c r="I70" s="47"/>
      <c r="M70" s="83">
        <f t="shared" si="1"/>
        <v>0</v>
      </c>
      <c r="O70" s="83"/>
    </row>
    <row r="71" spans="2:16" x14ac:dyDescent="0.2">
      <c r="B71" s="4"/>
      <c r="F71" t="s">
        <v>473</v>
      </c>
      <c r="I71" s="47"/>
      <c r="M71" s="83">
        <f t="shared" si="1"/>
        <v>0</v>
      </c>
      <c r="O71" s="83"/>
    </row>
    <row r="72" spans="2:16" x14ac:dyDescent="0.2">
      <c r="B72" s="4"/>
      <c r="F72" t="s">
        <v>881</v>
      </c>
      <c r="I72" s="47"/>
      <c r="M72" s="83">
        <f t="shared" si="1"/>
        <v>0</v>
      </c>
      <c r="O72" s="83"/>
    </row>
    <row r="73" spans="2:16" x14ac:dyDescent="0.2">
      <c r="B73" s="4"/>
      <c r="F73" t="s">
        <v>890</v>
      </c>
      <c r="I73" s="47"/>
      <c r="M73" s="83">
        <f t="shared" si="1"/>
        <v>0</v>
      </c>
      <c r="O73" s="83"/>
    </row>
    <row r="74" spans="2:16" x14ac:dyDescent="0.2">
      <c r="B74" s="4"/>
      <c r="F74" t="s">
        <v>891</v>
      </c>
      <c r="I74" s="47"/>
      <c r="M74" s="83">
        <f t="shared" si="1"/>
        <v>0</v>
      </c>
      <c r="O74" s="83"/>
    </row>
    <row r="75" spans="2:16" x14ac:dyDescent="0.2">
      <c r="B75" s="4"/>
      <c r="F75" t="s">
        <v>910</v>
      </c>
      <c r="I75" s="47"/>
      <c r="M75" s="83">
        <f t="shared" si="1"/>
        <v>0</v>
      </c>
      <c r="O75" s="83"/>
    </row>
    <row r="76" spans="2:16" x14ac:dyDescent="0.2">
      <c r="B76" s="4"/>
      <c r="F76" s="415" t="s">
        <v>201</v>
      </c>
      <c r="I76" s="47"/>
      <c r="M76" s="83">
        <f t="shared" si="1"/>
        <v>0</v>
      </c>
      <c r="O76" s="83"/>
    </row>
    <row r="77" spans="2:16" x14ac:dyDescent="0.2">
      <c r="B77" s="4"/>
      <c r="G77" s="571" t="s">
        <v>4903</v>
      </c>
      <c r="I77" s="47"/>
      <c r="M77" s="83"/>
      <c r="O77" s="83">
        <f>H61</f>
        <v>0</v>
      </c>
    </row>
    <row r="78" spans="2:16" x14ac:dyDescent="0.2">
      <c r="B78" s="4"/>
      <c r="I78" s="47"/>
      <c r="M78" s="83"/>
      <c r="O78" s="83"/>
    </row>
    <row r="79" spans="2:16" x14ac:dyDescent="0.2">
      <c r="B79" s="4"/>
      <c r="D79" s="54"/>
      <c r="G79" s="415"/>
      <c r="I79" s="47"/>
      <c r="M79" s="79"/>
      <c r="O79" s="11"/>
    </row>
    <row r="80" spans="2:16" ht="13.5" thickBot="1" x14ac:dyDescent="0.25">
      <c r="B80" s="4"/>
      <c r="I80" s="47"/>
      <c r="M80" s="76">
        <f>SUM(M68:M78)</f>
        <v>0</v>
      </c>
      <c r="O80" s="76">
        <f>SUM(O68:O79)</f>
        <v>0</v>
      </c>
    </row>
    <row r="81" ht="13.5" thickTop="1" x14ac:dyDescent="0.2"/>
  </sheetData>
  <mergeCells count="9">
    <mergeCell ref="C46:J46"/>
    <mergeCell ref="C48:I48"/>
    <mergeCell ref="C65:P65"/>
    <mergeCell ref="B2:Q2"/>
    <mergeCell ref="C4:Q4"/>
    <mergeCell ref="C6:Q6"/>
    <mergeCell ref="C8:Q8"/>
    <mergeCell ref="C11:Q11"/>
    <mergeCell ref="C28:P2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P65"/>
  <sheetViews>
    <sheetView workbookViewId="0">
      <selection activeCell="B7" sqref="B7"/>
    </sheetView>
  </sheetViews>
  <sheetFormatPr defaultRowHeight="12.75" x14ac:dyDescent="0.2"/>
  <cols>
    <col min="1" max="1" width="4.42578125" customWidth="1"/>
    <col min="2" max="2" width="3.42578125" customWidth="1"/>
    <col min="6" max="6" width="11.28515625" customWidth="1"/>
    <col min="7" max="7" width="8.42578125" bestFit="1" customWidth="1"/>
    <col min="8" max="8" width="11.42578125" bestFit="1" customWidth="1"/>
    <col min="9" max="9" width="3.140625" customWidth="1"/>
    <col min="10" max="10" width="15.28515625" customWidth="1"/>
    <col min="11" max="11" width="1.140625" customWidth="1"/>
    <col min="12" max="12" width="15.28515625" customWidth="1"/>
    <col min="13" max="13" width="2.140625" customWidth="1"/>
    <col min="14" max="14" width="18" bestFit="1" customWidth="1"/>
    <col min="15" max="15" width="0.85546875" customWidth="1"/>
    <col min="16" max="16" width="1.140625" customWidth="1"/>
  </cols>
  <sheetData>
    <row r="2" spans="1:16" ht="33.75" customHeight="1" x14ac:dyDescent="0.25">
      <c r="A2" s="956" t="s">
        <v>89</v>
      </c>
      <c r="B2" s="957"/>
      <c r="C2" s="957"/>
      <c r="D2" s="957"/>
      <c r="E2" s="957"/>
      <c r="F2" s="957"/>
      <c r="G2" s="957"/>
      <c r="H2" s="957"/>
      <c r="I2" s="957"/>
      <c r="J2" s="957"/>
      <c r="K2" s="957"/>
      <c r="L2" s="957"/>
      <c r="M2" s="957"/>
      <c r="N2" s="957"/>
      <c r="O2" s="958"/>
    </row>
    <row r="3" spans="1:16" x14ac:dyDescent="0.2">
      <c r="H3" s="53"/>
    </row>
    <row r="4" spans="1:16" ht="69" customHeight="1" x14ac:dyDescent="0.2">
      <c r="B4" s="883" t="s">
        <v>950</v>
      </c>
      <c r="C4" s="881"/>
      <c r="D4" s="881"/>
      <c r="E4" s="881"/>
      <c r="F4" s="881"/>
      <c r="G4" s="881"/>
      <c r="H4" s="881"/>
      <c r="I4" s="881"/>
      <c r="J4" s="881"/>
      <c r="K4" s="881"/>
      <c r="L4" s="881"/>
      <c r="M4" s="881"/>
      <c r="N4" s="881"/>
      <c r="O4" s="881"/>
      <c r="P4" s="881"/>
    </row>
    <row r="5" spans="1:16" ht="11.25" customHeight="1" x14ac:dyDescent="0.2">
      <c r="B5" s="46"/>
    </row>
    <row r="6" spans="1:16" ht="17.25" customHeight="1" x14ac:dyDescent="0.2">
      <c r="B6" s="891" t="s">
        <v>4941</v>
      </c>
      <c r="C6" s="881"/>
      <c r="D6" s="881"/>
      <c r="E6" s="881"/>
      <c r="F6" s="881"/>
      <c r="G6" s="881"/>
      <c r="H6" s="881"/>
      <c r="I6" s="881"/>
      <c r="J6" s="881"/>
      <c r="K6" s="881"/>
      <c r="L6" s="881"/>
      <c r="M6" s="881"/>
      <c r="N6" s="881"/>
    </row>
    <row r="7" spans="1:16" ht="4.5" customHeight="1" x14ac:dyDescent="0.2">
      <c r="B7" s="52"/>
    </row>
    <row r="8" spans="1:16" ht="12.75" customHeight="1" x14ac:dyDescent="0.2">
      <c r="A8" s="4"/>
      <c r="B8" s="52" t="s">
        <v>930</v>
      </c>
      <c r="C8" s="892" t="s">
        <v>1043</v>
      </c>
      <c r="D8" s="883"/>
      <c r="E8" s="883"/>
      <c r="F8" s="883"/>
      <c r="G8" s="883"/>
      <c r="H8" s="883"/>
      <c r="I8" s="883"/>
      <c r="J8" s="883"/>
      <c r="K8" s="883"/>
      <c r="L8" s="883"/>
      <c r="M8" s="883"/>
      <c r="N8" s="883"/>
    </row>
    <row r="9" spans="1:16" ht="14.25" customHeight="1" x14ac:dyDescent="0.2">
      <c r="A9" s="4"/>
      <c r="B9" s="52"/>
      <c r="C9" s="883"/>
      <c r="D9" s="883"/>
      <c r="E9" s="883"/>
      <c r="F9" s="883"/>
      <c r="G9" s="883"/>
      <c r="H9" s="883"/>
      <c r="I9" s="883"/>
      <c r="J9" s="883"/>
      <c r="K9" s="883"/>
      <c r="L9" s="883"/>
      <c r="M9" s="883"/>
      <c r="N9" s="883"/>
    </row>
    <row r="10" spans="1:16" ht="4.5" customHeight="1" x14ac:dyDescent="0.2">
      <c r="B10" s="52"/>
    </row>
    <row r="11" spans="1:16" ht="12.75" customHeight="1" x14ac:dyDescent="0.2">
      <c r="B11" s="52" t="s">
        <v>931</v>
      </c>
      <c r="C11" s="892" t="s">
        <v>1044</v>
      </c>
      <c r="D11" s="883"/>
      <c r="E11" s="883"/>
      <c r="F11" s="883"/>
      <c r="G11" s="883"/>
      <c r="H11" s="883"/>
      <c r="I11" s="883"/>
      <c r="J11" s="883"/>
      <c r="K11" s="883"/>
      <c r="L11" s="883"/>
      <c r="M11" s="883"/>
      <c r="N11" s="883"/>
    </row>
    <row r="12" spans="1:16" ht="12.75" customHeight="1" x14ac:dyDescent="0.2">
      <c r="B12" s="52"/>
      <c r="C12" s="883"/>
      <c r="D12" s="883"/>
      <c r="E12" s="883"/>
      <c r="F12" s="883"/>
      <c r="G12" s="883"/>
      <c r="H12" s="883"/>
      <c r="I12" s="883"/>
      <c r="J12" s="883"/>
      <c r="K12" s="883"/>
      <c r="L12" s="883"/>
      <c r="M12" s="883"/>
      <c r="N12" s="883"/>
    </row>
    <row r="13" spans="1:16" ht="4.5" customHeight="1" x14ac:dyDescent="0.2">
      <c r="B13" s="52"/>
      <c r="C13" s="46"/>
    </row>
    <row r="14" spans="1:16" ht="12.75" customHeight="1" x14ac:dyDescent="0.2">
      <c r="B14" s="52" t="s">
        <v>932</v>
      </c>
      <c r="C14" s="883" t="s">
        <v>786</v>
      </c>
      <c r="D14" s="883"/>
      <c r="E14" s="883"/>
      <c r="F14" s="883"/>
      <c r="G14" s="883"/>
      <c r="H14" s="883"/>
      <c r="I14" s="883"/>
      <c r="J14" s="883"/>
      <c r="K14" s="883"/>
      <c r="L14" s="883"/>
      <c r="M14" s="883"/>
      <c r="N14" s="883"/>
    </row>
    <row r="15" spans="1:16" ht="26.25" customHeight="1" x14ac:dyDescent="0.2">
      <c r="B15" s="52"/>
      <c r="C15" s="883"/>
      <c r="D15" s="883"/>
      <c r="E15" s="883"/>
      <c r="F15" s="883"/>
      <c r="G15" s="883"/>
      <c r="H15" s="883"/>
      <c r="I15" s="883"/>
      <c r="J15" s="883"/>
      <c r="K15" s="883"/>
      <c r="L15" s="883"/>
      <c r="M15" s="883"/>
      <c r="N15" s="883"/>
    </row>
    <row r="16" spans="1:16" ht="4.5" customHeight="1" x14ac:dyDescent="0.2">
      <c r="B16" s="52"/>
      <c r="C16" s="46"/>
    </row>
    <row r="17" spans="1:14" ht="12.75" customHeight="1" x14ac:dyDescent="0.2">
      <c r="B17" s="52" t="s">
        <v>862</v>
      </c>
      <c r="C17" s="883" t="s">
        <v>821</v>
      </c>
      <c r="D17" s="883"/>
      <c r="E17" s="883"/>
      <c r="F17" s="883"/>
      <c r="G17" s="883"/>
      <c r="H17" s="883"/>
      <c r="I17" s="883"/>
      <c r="J17" s="883"/>
      <c r="K17" s="883"/>
      <c r="L17" s="883"/>
      <c r="M17" s="883"/>
      <c r="N17" s="883"/>
    </row>
    <row r="18" spans="1:14" ht="25.5" customHeight="1" x14ac:dyDescent="0.2">
      <c r="B18" s="52"/>
      <c r="C18" s="883"/>
      <c r="D18" s="883"/>
      <c r="E18" s="883"/>
      <c r="F18" s="883"/>
      <c r="G18" s="883"/>
      <c r="H18" s="883"/>
      <c r="I18" s="883"/>
      <c r="J18" s="883"/>
      <c r="K18" s="883"/>
      <c r="L18" s="883"/>
      <c r="M18" s="883"/>
      <c r="N18" s="883"/>
    </row>
    <row r="19" spans="1:14" ht="12" customHeight="1" x14ac:dyDescent="0.2">
      <c r="B19" s="46"/>
    </row>
    <row r="20" spans="1:14" ht="25.5" customHeight="1" x14ac:dyDescent="0.2">
      <c r="A20" s="4" t="s">
        <v>860</v>
      </c>
      <c r="B20" s="959" t="s">
        <v>1045</v>
      </c>
      <c r="C20" s="960"/>
      <c r="D20" s="960"/>
      <c r="E20" s="960"/>
      <c r="F20" s="960"/>
      <c r="G20" s="960"/>
      <c r="H20" s="960"/>
      <c r="I20" s="960"/>
      <c r="J20" s="960"/>
      <c r="K20" s="960"/>
      <c r="L20" s="960"/>
      <c r="M20" s="960"/>
      <c r="N20" s="961"/>
    </row>
    <row r="22" spans="1:14" x14ac:dyDescent="0.2">
      <c r="B22" s="60" t="s">
        <v>495</v>
      </c>
    </row>
    <row r="23" spans="1:14" ht="3" customHeight="1" x14ac:dyDescent="0.2"/>
    <row r="24" spans="1:14" ht="12" customHeight="1" x14ac:dyDescent="0.2">
      <c r="H24" s="3" t="s">
        <v>61</v>
      </c>
    </row>
    <row r="25" spans="1:14" x14ac:dyDescent="0.2">
      <c r="B25" t="s">
        <v>460</v>
      </c>
    </row>
    <row r="26" spans="1:14" x14ac:dyDescent="0.2">
      <c r="C26" s="188" t="s">
        <v>1046</v>
      </c>
      <c r="H26" s="439"/>
      <c r="J26" s="526" t="s">
        <v>968</v>
      </c>
    </row>
    <row r="27" spans="1:14" ht="6" customHeight="1" x14ac:dyDescent="0.2">
      <c r="H27" s="440"/>
    </row>
    <row r="28" spans="1:14" x14ac:dyDescent="0.2">
      <c r="C28" t="s">
        <v>461</v>
      </c>
      <c r="H28" s="441"/>
      <c r="J28" s="54"/>
    </row>
    <row r="29" spans="1:14" x14ac:dyDescent="0.2">
      <c r="H29" s="1"/>
    </row>
    <row r="30" spans="1:14" ht="13.5" thickBot="1" x14ac:dyDescent="0.25">
      <c r="H30" s="86">
        <f>SUM(H26:H29)</f>
        <v>0</v>
      </c>
    </row>
    <row r="31" spans="1:14" ht="13.5" thickTop="1" x14ac:dyDescent="0.2">
      <c r="H31" s="63"/>
      <c r="L31" s="117"/>
    </row>
    <row r="32" spans="1:14" x14ac:dyDescent="0.2">
      <c r="H32" s="1"/>
    </row>
    <row r="33" spans="1:14" x14ac:dyDescent="0.2">
      <c r="H33" s="1"/>
    </row>
    <row r="34" spans="1:14" ht="25.5" customHeight="1" x14ac:dyDescent="0.2">
      <c r="A34" s="4" t="s">
        <v>861</v>
      </c>
      <c r="B34" s="965" t="s">
        <v>1047</v>
      </c>
      <c r="C34" s="967"/>
      <c r="D34" s="967"/>
      <c r="E34" s="967"/>
      <c r="F34" s="967"/>
      <c r="G34" s="967"/>
      <c r="H34" s="967"/>
      <c r="I34" s="967"/>
      <c r="J34" s="967"/>
      <c r="K34" s="967"/>
      <c r="L34" s="967"/>
      <c r="M34" s="967"/>
      <c r="N34" s="968"/>
    </row>
    <row r="35" spans="1:14" x14ac:dyDescent="0.2">
      <c r="H35" s="1"/>
    </row>
    <row r="36" spans="1:14" x14ac:dyDescent="0.2">
      <c r="B36" s="60" t="s">
        <v>495</v>
      </c>
      <c r="H36" s="1"/>
    </row>
    <row r="37" spans="1:14" ht="3.75" customHeight="1" x14ac:dyDescent="0.2">
      <c r="H37" s="1"/>
    </row>
    <row r="38" spans="1:14" x14ac:dyDescent="0.2">
      <c r="H38" s="3" t="s">
        <v>61</v>
      </c>
    </row>
    <row r="39" spans="1:14" x14ac:dyDescent="0.2">
      <c r="B39" t="s">
        <v>460</v>
      </c>
    </row>
    <row r="40" spans="1:14" x14ac:dyDescent="0.2">
      <c r="C40" s="188" t="s">
        <v>1048</v>
      </c>
      <c r="H40" s="439"/>
      <c r="J40" s="526" t="s">
        <v>968</v>
      </c>
    </row>
    <row r="41" spans="1:14" ht="6" customHeight="1" x14ac:dyDescent="0.2">
      <c r="H41" s="440"/>
    </row>
    <row r="42" spans="1:14" x14ac:dyDescent="0.2">
      <c r="C42" t="s">
        <v>997</v>
      </c>
      <c r="H42" s="441"/>
      <c r="J42" s="54"/>
    </row>
    <row r="43" spans="1:14" x14ac:dyDescent="0.2">
      <c r="H43" s="1"/>
    </row>
    <row r="44" spans="1:14" ht="13.5" thickBot="1" x14ac:dyDescent="0.25">
      <c r="H44" s="86">
        <f>SUM(H40:H43)</f>
        <v>0</v>
      </c>
    </row>
    <row r="45" spans="1:14" ht="13.5" thickTop="1" x14ac:dyDescent="0.2">
      <c r="H45" s="63"/>
    </row>
    <row r="46" spans="1:14" x14ac:dyDescent="0.2">
      <c r="H46" s="10"/>
    </row>
    <row r="48" spans="1:14" ht="25.5" customHeight="1" x14ac:dyDescent="0.2">
      <c r="A48" s="4" t="s">
        <v>459</v>
      </c>
      <c r="B48" s="962" t="s">
        <v>411</v>
      </c>
      <c r="C48" s="963"/>
      <c r="D48" s="963"/>
      <c r="E48" s="963"/>
      <c r="F48" s="963"/>
      <c r="G48" s="963"/>
      <c r="H48" s="963"/>
      <c r="I48" s="963"/>
      <c r="J48" s="963"/>
      <c r="K48" s="963"/>
      <c r="L48" s="963"/>
      <c r="M48" s="963"/>
      <c r="N48" s="964"/>
    </row>
    <row r="49" spans="1:14" ht="12.75" customHeight="1" x14ac:dyDescent="0.2">
      <c r="A49" s="4"/>
      <c r="B49" s="4"/>
      <c r="C49" s="4"/>
      <c r="D49" s="4"/>
      <c r="E49" s="4"/>
      <c r="F49" s="4"/>
      <c r="G49" s="4"/>
      <c r="H49" s="4"/>
    </row>
    <row r="51" spans="1:14" x14ac:dyDescent="0.2">
      <c r="J51" s="58" t="s">
        <v>64</v>
      </c>
      <c r="K51" s="49"/>
      <c r="L51" s="58" t="s">
        <v>65</v>
      </c>
    </row>
    <row r="52" spans="1:14" ht="6" customHeight="1" x14ac:dyDescent="0.2">
      <c r="J52" s="49"/>
      <c r="K52" s="49"/>
      <c r="L52" s="49"/>
    </row>
    <row r="53" spans="1:14" x14ac:dyDescent="0.2">
      <c r="A53" s="137" t="s">
        <v>710</v>
      </c>
      <c r="B53" t="s">
        <v>808</v>
      </c>
      <c r="H53" s="47"/>
      <c r="J53" s="272">
        <f>IF(H26&gt;=0,H26,"")</f>
        <v>0</v>
      </c>
      <c r="K53" s="95"/>
      <c r="L53" s="84" t="str">
        <f>IF(H26&lt;0,H26,"")</f>
        <v/>
      </c>
      <c r="N53" s="2"/>
    </row>
    <row r="54" spans="1:14" x14ac:dyDescent="0.2">
      <c r="A54" s="137"/>
      <c r="B54" t="s">
        <v>877</v>
      </c>
      <c r="H54" s="47"/>
      <c r="J54" s="84">
        <f>IF(H28&gt;=0,H28,"")</f>
        <v>0</v>
      </c>
      <c r="K54" s="95"/>
      <c r="L54" s="84" t="str">
        <f>IF(H28&lt;0,H28,"")</f>
        <v/>
      </c>
      <c r="N54" s="2"/>
    </row>
    <row r="55" spans="1:14" x14ac:dyDescent="0.2">
      <c r="A55" s="137"/>
      <c r="C55" t="s">
        <v>90</v>
      </c>
      <c r="H55" s="47"/>
      <c r="J55" s="84" t="str">
        <f>IF(H30&lt;0,H30,"")</f>
        <v/>
      </c>
      <c r="K55" s="95"/>
      <c r="L55" s="84">
        <f>IF(H30&gt;=0,H30,"")</f>
        <v>0</v>
      </c>
    </row>
    <row r="56" spans="1:14" ht="6" customHeight="1" x14ac:dyDescent="0.2">
      <c r="A56" s="137"/>
      <c r="H56" s="47"/>
      <c r="J56" s="1"/>
      <c r="K56" s="95"/>
      <c r="L56" s="1"/>
    </row>
    <row r="57" spans="1:14" x14ac:dyDescent="0.2">
      <c r="A57" s="137" t="s">
        <v>711</v>
      </c>
      <c r="B57" s="188" t="s">
        <v>1049</v>
      </c>
      <c r="J57" s="84">
        <f>IF(H40&gt;=0,H40,"")</f>
        <v>0</v>
      </c>
      <c r="K57" s="95"/>
      <c r="L57" s="84" t="str">
        <f>IF(H40&lt;0,H40,"")</f>
        <v/>
      </c>
    </row>
    <row r="58" spans="1:14" x14ac:dyDescent="0.2">
      <c r="A58" s="137"/>
      <c r="B58" t="s">
        <v>877</v>
      </c>
      <c r="J58" s="84">
        <f>IF((H42-H28)&gt;=0,(H42-H28),0)</f>
        <v>0</v>
      </c>
      <c r="K58" s="95"/>
      <c r="L58" s="84">
        <f>IF((H42-H28)&lt;0,(H42-H28)*-1,0)</f>
        <v>0</v>
      </c>
    </row>
    <row r="59" spans="1:14" x14ac:dyDescent="0.2">
      <c r="C59" t="s">
        <v>809</v>
      </c>
      <c r="J59" s="84">
        <f>IF(H40+(H42-H28)&lt;0,(H40+(H42-H28))*-1,0)</f>
        <v>0</v>
      </c>
      <c r="K59" s="95"/>
      <c r="L59" s="84">
        <f>IF(H40+(H42-H28)&gt;=0,H40+(H42-H28),0)</f>
        <v>0</v>
      </c>
    </row>
    <row r="60" spans="1:14" ht="12.75" customHeight="1" x14ac:dyDescent="0.2">
      <c r="J60" s="1"/>
      <c r="K60" s="95"/>
      <c r="L60" s="1"/>
    </row>
    <row r="61" spans="1:14" ht="13.5" thickBot="1" x14ac:dyDescent="0.25">
      <c r="J61" s="80">
        <f>SUM(J53:J60)</f>
        <v>0</v>
      </c>
      <c r="K61" s="5"/>
      <c r="L61" s="80">
        <f>SUM(L53:L60)</f>
        <v>0</v>
      </c>
    </row>
    <row r="62" spans="1:14" ht="13.5" thickTop="1" x14ac:dyDescent="0.2"/>
    <row r="63" spans="1:14" x14ac:dyDescent="0.2">
      <c r="B63" t="s">
        <v>929</v>
      </c>
      <c r="C63" t="s">
        <v>878</v>
      </c>
    </row>
    <row r="65" spans="2:2" x14ac:dyDescent="0.2">
      <c r="B65" s="31"/>
    </row>
  </sheetData>
  <mergeCells count="10">
    <mergeCell ref="B48:N48"/>
    <mergeCell ref="B20:N20"/>
    <mergeCell ref="B34:N34"/>
    <mergeCell ref="C11:N12"/>
    <mergeCell ref="C14:N15"/>
    <mergeCell ref="A2:O2"/>
    <mergeCell ref="B6:N6"/>
    <mergeCell ref="B4:P4"/>
    <mergeCell ref="C8:N9"/>
    <mergeCell ref="C17:N18"/>
  </mergeCells>
  <phoneticPr fontId="15" type="noConversion"/>
  <printOptions horizontalCentered="1"/>
  <pageMargins left="0.5" right="0.45" top="0.72" bottom="0.71" header="0.5" footer="0.5"/>
  <pageSetup scale="75" orientation="portrait" r:id="rId1"/>
  <headerFooter alignWithMargins="0">
    <oddHeader>&amp;R&amp;"Arial,Bold"&amp;12Entry  B</oddHeader>
    <oddFooter>&amp;L&amp;8&amp;D - City model&amp;R&amp;P</oddFooter>
  </headerFooter>
  <rowBreaks count="1" manualBreakCount="1">
    <brk id="63"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AF290"/>
  <sheetViews>
    <sheetView workbookViewId="0">
      <selection activeCell="C9" sqref="C9"/>
    </sheetView>
  </sheetViews>
  <sheetFormatPr defaultRowHeight="12.75" x14ac:dyDescent="0.2"/>
  <cols>
    <col min="1" max="1" width="1.5703125" customWidth="1"/>
    <col min="2" max="2" width="4.42578125" customWidth="1"/>
    <col min="3" max="3" width="3.42578125" customWidth="1"/>
    <col min="7" max="7" width="11.28515625" customWidth="1"/>
    <col min="8" max="8" width="9.28515625" customWidth="1"/>
    <col min="9" max="9" width="12.85546875" customWidth="1"/>
    <col min="10" max="10" width="3.140625" customWidth="1"/>
    <col min="11" max="11" width="15.28515625" customWidth="1"/>
    <col min="12" max="12" width="1.140625" customWidth="1"/>
    <col min="13" max="13" width="15.28515625" customWidth="1"/>
    <col min="14" max="14" width="3" customWidth="1"/>
    <col min="15" max="15" width="18.140625" bestFit="1" customWidth="1"/>
    <col min="16" max="16" width="0.85546875" customWidth="1"/>
    <col min="17" max="17" width="10.7109375" customWidth="1"/>
    <col min="18" max="22" width="10.28515625" bestFit="1" customWidth="1"/>
    <col min="23" max="26" width="9.28515625" bestFit="1" customWidth="1"/>
    <col min="27" max="28" width="9.28515625" customWidth="1"/>
    <col min="29" max="30" width="10.28515625" bestFit="1" customWidth="1"/>
    <col min="31" max="31" width="8.7109375" bestFit="1" customWidth="1"/>
  </cols>
  <sheetData>
    <row r="2" spans="2:16" ht="33.75" customHeight="1" x14ac:dyDescent="0.25">
      <c r="B2" s="956" t="s">
        <v>812</v>
      </c>
      <c r="C2" s="957"/>
      <c r="D2" s="957"/>
      <c r="E2" s="957"/>
      <c r="F2" s="957"/>
      <c r="G2" s="957"/>
      <c r="H2" s="957"/>
      <c r="I2" s="957"/>
      <c r="J2" s="957"/>
      <c r="K2" s="957"/>
      <c r="L2" s="957"/>
      <c r="M2" s="957"/>
      <c r="N2" s="957"/>
      <c r="O2" s="958"/>
      <c r="P2" s="65"/>
    </row>
    <row r="3" spans="2:16" x14ac:dyDescent="0.2">
      <c r="I3" s="53"/>
    </row>
    <row r="4" spans="2:16" ht="67.5" customHeight="1" x14ac:dyDescent="0.2">
      <c r="C4" s="892" t="s">
        <v>1050</v>
      </c>
      <c r="D4" s="883"/>
      <c r="E4" s="883"/>
      <c r="F4" s="883"/>
      <c r="G4" s="883"/>
      <c r="H4" s="883"/>
      <c r="I4" s="883"/>
      <c r="J4" s="883"/>
      <c r="K4" s="883"/>
      <c r="L4" s="883"/>
      <c r="M4" s="883"/>
      <c r="N4" s="883"/>
      <c r="O4" s="883"/>
    </row>
    <row r="5" spans="2:16" ht="4.5" customHeight="1" x14ac:dyDescent="0.2">
      <c r="C5" s="46"/>
    </row>
    <row r="6" spans="2:16" ht="37.5" customHeight="1" x14ac:dyDescent="0.2">
      <c r="C6" s="892" t="s">
        <v>1051</v>
      </c>
      <c r="D6" s="883"/>
      <c r="E6" s="883"/>
      <c r="F6" s="883"/>
      <c r="G6" s="883"/>
      <c r="H6" s="883"/>
      <c r="I6" s="883"/>
      <c r="J6" s="883"/>
      <c r="K6" s="883"/>
      <c r="L6" s="883"/>
      <c r="M6" s="883"/>
      <c r="N6" s="883"/>
      <c r="O6" s="883"/>
    </row>
    <row r="7" spans="2:16" ht="11.25" customHeight="1" x14ac:dyDescent="0.2">
      <c r="C7" s="46"/>
      <c r="D7" s="46"/>
      <c r="E7" s="46"/>
      <c r="F7" s="46"/>
      <c r="G7" s="46"/>
      <c r="H7" s="46"/>
      <c r="I7" s="46"/>
      <c r="J7" s="46"/>
      <c r="K7" s="46"/>
      <c r="L7" s="46"/>
      <c r="M7" s="46"/>
      <c r="N7" s="46"/>
      <c r="O7" s="46"/>
    </row>
    <row r="8" spans="2:16" ht="17.25" customHeight="1" x14ac:dyDescent="0.2">
      <c r="C8" s="891" t="s">
        <v>4942</v>
      </c>
      <c r="D8" s="881"/>
      <c r="E8" s="881"/>
      <c r="F8" s="881"/>
      <c r="G8" s="881"/>
      <c r="H8" s="881"/>
      <c r="I8" s="881"/>
      <c r="J8" s="881"/>
      <c r="K8" s="881"/>
      <c r="L8" s="881"/>
      <c r="M8" s="881"/>
      <c r="N8" s="881"/>
      <c r="O8" s="881"/>
    </row>
    <row r="9" spans="2:16" ht="4.5" customHeight="1" x14ac:dyDescent="0.2">
      <c r="C9" s="52"/>
    </row>
    <row r="10" spans="2:16" ht="12" customHeight="1" x14ac:dyDescent="0.2">
      <c r="B10" s="4"/>
      <c r="C10" s="52" t="s">
        <v>930</v>
      </c>
      <c r="D10" s="892" t="s">
        <v>1052</v>
      </c>
      <c r="E10" s="883"/>
      <c r="F10" s="883"/>
      <c r="G10" s="883"/>
      <c r="H10" s="883"/>
      <c r="I10" s="883"/>
      <c r="J10" s="883"/>
      <c r="K10" s="883"/>
      <c r="L10" s="883"/>
      <c r="M10" s="883"/>
      <c r="N10" s="883"/>
      <c r="O10" s="883"/>
    </row>
    <row r="11" spans="2:16" ht="12.75" customHeight="1" x14ac:dyDescent="0.2">
      <c r="B11" s="4"/>
      <c r="C11" s="52"/>
      <c r="D11" s="883"/>
      <c r="E11" s="883"/>
      <c r="F11" s="883"/>
      <c r="G11" s="883"/>
      <c r="H11" s="883"/>
      <c r="I11" s="883"/>
      <c r="J11" s="883"/>
      <c r="K11" s="883"/>
      <c r="L11" s="883"/>
      <c r="M11" s="883"/>
      <c r="N11" s="883"/>
      <c r="O11" s="883"/>
    </row>
    <row r="12" spans="2:16" ht="4.5" customHeight="1" x14ac:dyDescent="0.2">
      <c r="C12" s="52"/>
    </row>
    <row r="13" spans="2:16" ht="12.75" customHeight="1" x14ac:dyDescent="0.2">
      <c r="C13" s="52" t="s">
        <v>931</v>
      </c>
      <c r="D13" s="892" t="s">
        <v>1053</v>
      </c>
      <c r="E13" s="883"/>
      <c r="F13" s="883"/>
      <c r="G13" s="883"/>
      <c r="H13" s="883"/>
      <c r="I13" s="883"/>
      <c r="J13" s="883"/>
      <c r="K13" s="883"/>
      <c r="L13" s="883"/>
      <c r="M13" s="883"/>
      <c r="N13" s="883"/>
      <c r="O13" s="883"/>
    </row>
    <row r="14" spans="2:16" ht="11.25" customHeight="1" x14ac:dyDescent="0.2">
      <c r="C14" s="52"/>
      <c r="D14" s="883"/>
      <c r="E14" s="883"/>
      <c r="F14" s="883"/>
      <c r="G14" s="883"/>
      <c r="H14" s="883"/>
      <c r="I14" s="883"/>
      <c r="J14" s="883"/>
      <c r="K14" s="883"/>
      <c r="L14" s="883"/>
      <c r="M14" s="883"/>
      <c r="N14" s="883"/>
      <c r="O14" s="883"/>
    </row>
    <row r="15" spans="2:16" ht="4.5" customHeight="1" x14ac:dyDescent="0.2">
      <c r="C15" s="52"/>
      <c r="D15" s="46"/>
    </row>
    <row r="16" spans="2:16" ht="12.75" customHeight="1" x14ac:dyDescent="0.2">
      <c r="C16" s="52" t="s">
        <v>932</v>
      </c>
      <c r="D16" s="883" t="s">
        <v>9</v>
      </c>
      <c r="E16" s="883"/>
      <c r="F16" s="883"/>
      <c r="G16" s="883"/>
      <c r="H16" s="883"/>
      <c r="I16" s="883"/>
      <c r="J16" s="883"/>
      <c r="K16" s="883"/>
      <c r="L16" s="883"/>
      <c r="M16" s="883"/>
      <c r="N16" s="883"/>
      <c r="O16" s="883"/>
    </row>
    <row r="17" spans="2:15" ht="11.25" customHeight="1" x14ac:dyDescent="0.2">
      <c r="C17" s="52"/>
      <c r="D17" s="883"/>
      <c r="E17" s="883"/>
      <c r="F17" s="883"/>
      <c r="G17" s="883"/>
      <c r="H17" s="883"/>
      <c r="I17" s="883"/>
      <c r="J17" s="883"/>
      <c r="K17" s="883"/>
      <c r="L17" s="883"/>
      <c r="M17" s="883"/>
      <c r="N17" s="883"/>
      <c r="O17" s="883"/>
    </row>
    <row r="18" spans="2:15" ht="4.5" customHeight="1" x14ac:dyDescent="0.2">
      <c r="C18" s="52"/>
      <c r="D18" s="46"/>
    </row>
    <row r="19" spans="2:15" ht="12.75" customHeight="1" x14ac:dyDescent="0.2">
      <c r="C19" s="52" t="s">
        <v>862</v>
      </c>
      <c r="D19" s="883" t="s">
        <v>409</v>
      </c>
      <c r="E19" s="883"/>
      <c r="F19" s="883"/>
      <c r="G19" s="883"/>
      <c r="H19" s="883"/>
      <c r="I19" s="883"/>
      <c r="J19" s="883"/>
      <c r="K19" s="883"/>
      <c r="L19" s="883"/>
      <c r="M19" s="883"/>
      <c r="N19" s="883"/>
      <c r="O19" s="883"/>
    </row>
    <row r="20" spans="2:15" ht="12" customHeight="1" x14ac:dyDescent="0.2">
      <c r="C20" s="46"/>
      <c r="D20" s="883"/>
      <c r="E20" s="883"/>
      <c r="F20" s="883"/>
      <c r="G20" s="883"/>
      <c r="H20" s="883"/>
      <c r="I20" s="883"/>
      <c r="J20" s="883"/>
      <c r="K20" s="883"/>
      <c r="L20" s="883"/>
      <c r="M20" s="883"/>
      <c r="N20" s="883"/>
      <c r="O20" s="883"/>
    </row>
    <row r="21" spans="2:15" ht="12" customHeight="1" x14ac:dyDescent="0.2">
      <c r="C21" s="46"/>
      <c r="D21" s="46"/>
    </row>
    <row r="22" spans="2:15" ht="25.5" customHeight="1" x14ac:dyDescent="0.2">
      <c r="B22" s="4" t="s">
        <v>860</v>
      </c>
      <c r="C22" s="959" t="s">
        <v>1054</v>
      </c>
      <c r="D22" s="960"/>
      <c r="E22" s="960"/>
      <c r="F22" s="960"/>
      <c r="G22" s="960"/>
      <c r="H22" s="960"/>
      <c r="I22" s="960"/>
      <c r="J22" s="960"/>
      <c r="K22" s="960"/>
      <c r="L22" s="960"/>
      <c r="M22" s="960"/>
      <c r="N22" s="960"/>
      <c r="O22" s="961"/>
    </row>
    <row r="24" spans="2:15" ht="12" customHeight="1" x14ac:dyDescent="0.2">
      <c r="M24" s="3" t="s">
        <v>61</v>
      </c>
    </row>
    <row r="26" spans="2:15" ht="12.75" customHeight="1" x14ac:dyDescent="0.2">
      <c r="C26" s="50" t="s">
        <v>930</v>
      </c>
      <c r="D26" s="892" t="s">
        <v>1055</v>
      </c>
      <c r="E26" s="883"/>
      <c r="F26" s="883"/>
      <c r="G26" s="883"/>
      <c r="H26" s="883"/>
      <c r="I26" s="883"/>
      <c r="J26" s="883"/>
      <c r="K26" s="883"/>
      <c r="M26" s="969"/>
    </row>
    <row r="27" spans="2:15" ht="14.25" customHeight="1" x14ac:dyDescent="0.2">
      <c r="C27" s="50"/>
      <c r="D27" s="883"/>
      <c r="E27" s="883"/>
      <c r="F27" s="883"/>
      <c r="G27" s="883"/>
      <c r="H27" s="883"/>
      <c r="I27" s="883"/>
      <c r="J27" s="883"/>
      <c r="K27" s="883"/>
      <c r="M27" s="969"/>
    </row>
    <row r="28" spans="2:15" ht="6" customHeight="1" x14ac:dyDescent="0.2">
      <c r="M28" s="440"/>
    </row>
    <row r="29" spans="2:15" ht="12.75" customHeight="1" x14ac:dyDescent="0.2">
      <c r="C29" s="50" t="s">
        <v>931</v>
      </c>
      <c r="D29" s="892" t="s">
        <v>1056</v>
      </c>
      <c r="E29" s="883"/>
      <c r="F29" s="883"/>
      <c r="G29" s="883"/>
      <c r="H29" s="883"/>
      <c r="I29" s="883"/>
      <c r="J29" s="883"/>
      <c r="K29" s="883"/>
      <c r="M29" s="971"/>
    </row>
    <row r="30" spans="2:15" x14ac:dyDescent="0.2">
      <c r="D30" s="883"/>
      <c r="E30" s="883"/>
      <c r="F30" s="883"/>
      <c r="G30" s="883"/>
      <c r="H30" s="883"/>
      <c r="I30" s="883"/>
      <c r="J30" s="883"/>
      <c r="K30" s="883"/>
      <c r="M30" s="971"/>
    </row>
    <row r="31" spans="2:15" x14ac:dyDescent="0.2">
      <c r="I31" s="63"/>
    </row>
    <row r="32" spans="2:15" x14ac:dyDescent="0.2">
      <c r="I32" s="1"/>
    </row>
    <row r="33" spans="2:15" ht="25.5" customHeight="1" x14ac:dyDescent="0.2">
      <c r="B33" s="4" t="s">
        <v>861</v>
      </c>
      <c r="C33" s="965" t="s">
        <v>400</v>
      </c>
      <c r="D33" s="967"/>
      <c r="E33" s="967"/>
      <c r="F33" s="967"/>
      <c r="G33" s="967"/>
      <c r="H33" s="967"/>
      <c r="I33" s="967"/>
      <c r="J33" s="967"/>
      <c r="K33" s="967"/>
      <c r="L33" s="967"/>
      <c r="M33" s="967"/>
      <c r="N33" s="967"/>
      <c r="O33" s="968"/>
    </row>
    <row r="34" spans="2:15" x14ac:dyDescent="0.2">
      <c r="I34" s="1"/>
    </row>
    <row r="35" spans="2:15" x14ac:dyDescent="0.2">
      <c r="M35" s="3" t="s">
        <v>61</v>
      </c>
    </row>
    <row r="37" spans="2:15" ht="12.75" customHeight="1" x14ac:dyDescent="0.2">
      <c r="C37" s="50" t="s">
        <v>930</v>
      </c>
      <c r="D37" s="892" t="s">
        <v>1057</v>
      </c>
      <c r="E37" s="883"/>
      <c r="F37" s="883"/>
      <c r="G37" s="883"/>
      <c r="H37" s="883"/>
      <c r="I37" s="883"/>
      <c r="J37" s="883"/>
      <c r="K37" s="883"/>
      <c r="M37" s="969"/>
    </row>
    <row r="38" spans="2:15" ht="12" customHeight="1" x14ac:dyDescent="0.2">
      <c r="C38" s="50"/>
      <c r="D38" s="883"/>
      <c r="E38" s="883"/>
      <c r="F38" s="883"/>
      <c r="G38" s="883"/>
      <c r="H38" s="883"/>
      <c r="I38" s="883"/>
      <c r="J38" s="883"/>
      <c r="K38" s="883"/>
      <c r="M38" s="969"/>
    </row>
    <row r="39" spans="2:15" ht="6" customHeight="1" x14ac:dyDescent="0.2">
      <c r="M39" s="440"/>
    </row>
    <row r="40" spans="2:15" ht="11.25" customHeight="1" x14ac:dyDescent="0.2">
      <c r="C40" s="50" t="s">
        <v>931</v>
      </c>
      <c r="D40" s="892" t="s">
        <v>1058</v>
      </c>
      <c r="E40" s="883"/>
      <c r="F40" s="883"/>
      <c r="G40" s="883"/>
      <c r="H40" s="883"/>
      <c r="I40" s="883"/>
      <c r="J40" s="883"/>
      <c r="K40" s="883"/>
      <c r="M40" s="971"/>
    </row>
    <row r="41" spans="2:15" x14ac:dyDescent="0.2">
      <c r="D41" s="883"/>
      <c r="E41" s="883"/>
      <c r="F41" s="883"/>
      <c r="G41" s="883"/>
      <c r="H41" s="883"/>
      <c r="I41" s="883"/>
      <c r="J41" s="883"/>
      <c r="K41" s="883"/>
      <c r="M41" s="971"/>
    </row>
    <row r="42" spans="2:15" x14ac:dyDescent="0.2">
      <c r="I42" s="63"/>
    </row>
    <row r="43" spans="2:15" x14ac:dyDescent="0.2">
      <c r="I43" s="63"/>
    </row>
    <row r="44" spans="2:15" ht="25.5" customHeight="1" x14ac:dyDescent="0.2">
      <c r="B44" s="4" t="s">
        <v>459</v>
      </c>
      <c r="C44" s="962" t="s">
        <v>803</v>
      </c>
      <c r="D44" s="963"/>
      <c r="E44" s="963"/>
      <c r="F44" s="963"/>
      <c r="G44" s="963"/>
      <c r="H44" s="963"/>
      <c r="I44" s="963"/>
      <c r="J44" s="963"/>
      <c r="K44" s="963"/>
      <c r="L44" s="963"/>
      <c r="M44" s="963"/>
      <c r="N44" s="963"/>
      <c r="O44" s="964"/>
    </row>
    <row r="45" spans="2:15" x14ac:dyDescent="0.2">
      <c r="I45" s="63"/>
    </row>
    <row r="46" spans="2:15" x14ac:dyDescent="0.2">
      <c r="M46" s="3" t="s">
        <v>61</v>
      </c>
    </row>
    <row r="48" spans="2:15" ht="12.75" customHeight="1" x14ac:dyDescent="0.2">
      <c r="C48" s="50" t="s">
        <v>930</v>
      </c>
      <c r="D48" s="892" t="s">
        <v>1059</v>
      </c>
      <c r="E48" s="883"/>
      <c r="F48" s="883"/>
      <c r="G48" s="883"/>
      <c r="H48" s="883"/>
      <c r="I48" s="883"/>
      <c r="J48" s="883"/>
      <c r="K48" s="883"/>
      <c r="M48" s="969"/>
    </row>
    <row r="49" spans="2:15" ht="13.5" customHeight="1" x14ac:dyDescent="0.2">
      <c r="C49" s="50"/>
      <c r="D49" s="883"/>
      <c r="E49" s="883"/>
      <c r="F49" s="883"/>
      <c r="G49" s="883"/>
      <c r="H49" s="883"/>
      <c r="I49" s="883"/>
      <c r="J49" s="883"/>
      <c r="K49" s="883"/>
      <c r="M49" s="969"/>
    </row>
    <row r="50" spans="2:15" ht="6" customHeight="1" x14ac:dyDescent="0.2">
      <c r="M50" s="440"/>
    </row>
    <row r="51" spans="2:15" ht="12.75" customHeight="1" x14ac:dyDescent="0.2">
      <c r="C51" s="50" t="s">
        <v>931</v>
      </c>
      <c r="D51" s="892" t="s">
        <v>1060</v>
      </c>
      <c r="E51" s="883"/>
      <c r="F51" s="883"/>
      <c r="G51" s="883"/>
      <c r="H51" s="883"/>
      <c r="I51" s="883"/>
      <c r="J51" s="883"/>
      <c r="K51" s="883"/>
      <c r="M51" s="971"/>
    </row>
    <row r="52" spans="2:15" x14ac:dyDescent="0.2">
      <c r="D52" s="883"/>
      <c r="E52" s="883"/>
      <c r="F52" s="883"/>
      <c r="G52" s="883"/>
      <c r="H52" s="883"/>
      <c r="I52" s="883"/>
      <c r="J52" s="883"/>
      <c r="K52" s="883"/>
      <c r="M52" s="971"/>
    </row>
    <row r="53" spans="2:15" x14ac:dyDescent="0.2">
      <c r="I53" s="63"/>
    </row>
    <row r="54" spans="2:15" x14ac:dyDescent="0.2">
      <c r="I54" s="63"/>
    </row>
    <row r="55" spans="2:15" ht="25.5" customHeight="1" x14ac:dyDescent="0.2">
      <c r="B55" s="4" t="s">
        <v>465</v>
      </c>
      <c r="C55" s="962" t="s">
        <v>4937</v>
      </c>
      <c r="D55" s="963"/>
      <c r="E55" s="963"/>
      <c r="F55" s="963"/>
      <c r="G55" s="963"/>
      <c r="H55" s="963"/>
      <c r="I55" s="963"/>
      <c r="J55" s="963"/>
      <c r="K55" s="963"/>
      <c r="L55" s="963"/>
      <c r="M55" s="963"/>
      <c r="N55" s="963"/>
      <c r="O55" s="964"/>
    </row>
    <row r="56" spans="2:15" x14ac:dyDescent="0.2">
      <c r="I56" s="63"/>
    </row>
    <row r="57" spans="2:15" x14ac:dyDescent="0.2">
      <c r="M57" s="3" t="s">
        <v>61</v>
      </c>
    </row>
    <row r="59" spans="2:15" ht="12.75" customHeight="1" x14ac:dyDescent="0.2">
      <c r="C59" s="50" t="s">
        <v>930</v>
      </c>
      <c r="D59" s="892" t="s">
        <v>1061</v>
      </c>
      <c r="E59" s="883"/>
      <c r="F59" s="883"/>
      <c r="G59" s="883"/>
      <c r="H59" s="883"/>
      <c r="I59" s="883"/>
      <c r="J59" s="883"/>
      <c r="K59" s="883"/>
      <c r="M59" s="969"/>
    </row>
    <row r="60" spans="2:15" ht="13.5" customHeight="1" x14ac:dyDescent="0.2">
      <c r="C60" s="50"/>
      <c r="D60" s="883"/>
      <c r="E60" s="883"/>
      <c r="F60" s="883"/>
      <c r="G60" s="883"/>
      <c r="H60" s="883"/>
      <c r="I60" s="883"/>
      <c r="J60" s="883"/>
      <c r="K60" s="883"/>
      <c r="M60" s="969"/>
    </row>
    <row r="61" spans="2:15" ht="6" customHeight="1" x14ac:dyDescent="0.2">
      <c r="M61" s="440"/>
    </row>
    <row r="62" spans="2:15" ht="13.5" customHeight="1" x14ac:dyDescent="0.2">
      <c r="C62" s="50" t="s">
        <v>931</v>
      </c>
      <c r="D62" s="892" t="s">
        <v>1062</v>
      </c>
      <c r="E62" s="883"/>
      <c r="F62" s="883"/>
      <c r="G62" s="883"/>
      <c r="H62" s="883"/>
      <c r="I62" s="883"/>
      <c r="J62" s="883"/>
      <c r="K62" s="883"/>
      <c r="M62" s="971"/>
    </row>
    <row r="63" spans="2:15" x14ac:dyDescent="0.2">
      <c r="D63" s="883"/>
      <c r="E63" s="883"/>
      <c r="F63" s="883"/>
      <c r="G63" s="883"/>
      <c r="H63" s="883"/>
      <c r="I63" s="883"/>
      <c r="J63" s="883"/>
      <c r="K63" s="883"/>
      <c r="M63" s="971"/>
    </row>
    <row r="64" spans="2:15" x14ac:dyDescent="0.2">
      <c r="I64" s="63"/>
    </row>
    <row r="65" spans="2:15" x14ac:dyDescent="0.2">
      <c r="I65" s="63"/>
    </row>
    <row r="66" spans="2:15" ht="25.5" customHeight="1" x14ac:dyDescent="0.2">
      <c r="B66" s="4" t="s">
        <v>481</v>
      </c>
      <c r="C66" s="962" t="s">
        <v>804</v>
      </c>
      <c r="D66" s="963"/>
      <c r="E66" s="963"/>
      <c r="F66" s="963"/>
      <c r="G66" s="963"/>
      <c r="H66" s="963"/>
      <c r="I66" s="963"/>
      <c r="J66" s="963"/>
      <c r="K66" s="963"/>
      <c r="L66" s="963"/>
      <c r="M66" s="963"/>
      <c r="N66" s="963"/>
      <c r="O66" s="964"/>
    </row>
    <row r="67" spans="2:15" x14ac:dyDescent="0.2">
      <c r="I67" s="63"/>
    </row>
    <row r="68" spans="2:15" x14ac:dyDescent="0.2">
      <c r="M68" s="3" t="s">
        <v>61</v>
      </c>
    </row>
    <row r="70" spans="2:15" x14ac:dyDescent="0.2">
      <c r="C70" s="50" t="s">
        <v>930</v>
      </c>
      <c r="D70" s="892" t="s">
        <v>1063</v>
      </c>
      <c r="E70" s="883"/>
      <c r="F70" s="883"/>
      <c r="G70" s="883"/>
      <c r="H70" s="883"/>
      <c r="I70" s="883"/>
      <c r="J70" s="883"/>
      <c r="K70" s="883"/>
      <c r="M70" s="969"/>
    </row>
    <row r="71" spans="2:15" x14ac:dyDescent="0.2">
      <c r="C71" s="50"/>
      <c r="D71" s="883"/>
      <c r="E71" s="883"/>
      <c r="F71" s="883"/>
      <c r="G71" s="883"/>
      <c r="H71" s="883"/>
      <c r="I71" s="883"/>
      <c r="J71" s="883"/>
      <c r="K71" s="883"/>
      <c r="M71" s="969"/>
    </row>
    <row r="72" spans="2:15" x14ac:dyDescent="0.2">
      <c r="M72" s="440"/>
    </row>
    <row r="73" spans="2:15" x14ac:dyDescent="0.2">
      <c r="C73" s="50" t="s">
        <v>931</v>
      </c>
      <c r="D73" s="892" t="s">
        <v>1064</v>
      </c>
      <c r="E73" s="883"/>
      <c r="F73" s="883"/>
      <c r="G73" s="883"/>
      <c r="H73" s="883"/>
      <c r="I73" s="883"/>
      <c r="J73" s="883"/>
      <c r="K73" s="883"/>
      <c r="M73" s="971"/>
    </row>
    <row r="74" spans="2:15" x14ac:dyDescent="0.2">
      <c r="D74" s="883"/>
      <c r="E74" s="883"/>
      <c r="F74" s="883"/>
      <c r="G74" s="883"/>
      <c r="H74" s="883"/>
      <c r="I74" s="883"/>
      <c r="J74" s="883"/>
      <c r="K74" s="883"/>
      <c r="M74" s="971"/>
    </row>
    <row r="75" spans="2:15" x14ac:dyDescent="0.2">
      <c r="I75" s="63"/>
    </row>
    <row r="76" spans="2:15" ht="36.75" customHeight="1" x14ac:dyDescent="0.2">
      <c r="B76" s="4" t="s">
        <v>813</v>
      </c>
      <c r="C76" s="965" t="s">
        <v>293</v>
      </c>
      <c r="D76" s="963"/>
      <c r="E76" s="963"/>
      <c r="F76" s="963"/>
      <c r="G76" s="963"/>
      <c r="H76" s="963"/>
      <c r="I76" s="963"/>
      <c r="J76" s="963"/>
      <c r="K76" s="963"/>
      <c r="L76" s="963"/>
      <c r="M76" s="963"/>
      <c r="N76" s="963"/>
      <c r="O76" s="964"/>
    </row>
    <row r="77" spans="2:15" ht="6.75" customHeight="1" x14ac:dyDescent="0.2">
      <c r="I77" s="63"/>
    </row>
    <row r="78" spans="2:15" x14ac:dyDescent="0.2">
      <c r="M78" s="3" t="s">
        <v>61</v>
      </c>
    </row>
    <row r="79" spans="2:15" ht="12.75" customHeight="1" x14ac:dyDescent="0.2">
      <c r="C79" s="50" t="s">
        <v>930</v>
      </c>
      <c r="D79" s="892" t="s">
        <v>1065</v>
      </c>
      <c r="E79" s="883"/>
      <c r="F79" s="883"/>
      <c r="G79" s="883"/>
      <c r="H79" s="883"/>
      <c r="I79" s="883"/>
      <c r="J79" s="883"/>
      <c r="K79" s="883"/>
      <c r="M79" s="973"/>
    </row>
    <row r="80" spans="2:15" ht="12" customHeight="1" x14ac:dyDescent="0.2">
      <c r="C80" s="50"/>
      <c r="D80" s="883"/>
      <c r="E80" s="883"/>
      <c r="F80" s="883"/>
      <c r="G80" s="883"/>
      <c r="H80" s="883"/>
      <c r="I80" s="883"/>
      <c r="J80" s="883"/>
      <c r="K80" s="883"/>
      <c r="M80" s="969"/>
    </row>
    <row r="81" spans="3:14" ht="6" customHeight="1" x14ac:dyDescent="0.2">
      <c r="M81" s="440"/>
    </row>
    <row r="82" spans="3:14" ht="14.25" customHeight="1" x14ac:dyDescent="0.2">
      <c r="C82" s="50" t="s">
        <v>931</v>
      </c>
      <c r="D82" s="883" t="s">
        <v>120</v>
      </c>
      <c r="E82" s="883"/>
      <c r="F82" s="883"/>
      <c r="G82" s="883"/>
      <c r="H82" s="883"/>
      <c r="I82" s="883"/>
      <c r="J82" s="883"/>
      <c r="K82" s="883"/>
      <c r="M82" s="441">
        <v>0</v>
      </c>
      <c r="N82" s="92" t="s">
        <v>758</v>
      </c>
    </row>
    <row r="83" spans="3:14" ht="6.75" customHeight="1" x14ac:dyDescent="0.2">
      <c r="C83" s="50"/>
      <c r="D83" s="46"/>
      <c r="E83" s="46"/>
      <c r="F83" s="46"/>
      <c r="G83" s="46"/>
      <c r="H83" s="46"/>
      <c r="I83" s="46"/>
      <c r="J83" s="46"/>
      <c r="K83" s="46"/>
      <c r="M83" s="95"/>
      <c r="N83" s="92"/>
    </row>
    <row r="84" spans="3:14" ht="13.5" customHeight="1" x14ac:dyDescent="0.2">
      <c r="C84" s="50" t="s">
        <v>932</v>
      </c>
      <c r="D84" s="883" t="s">
        <v>762</v>
      </c>
      <c r="E84" s="883"/>
      <c r="F84" s="883"/>
      <c r="G84" s="883"/>
      <c r="H84" s="883"/>
      <c r="I84" s="883"/>
      <c r="J84" s="883"/>
      <c r="K84" s="883"/>
      <c r="M84" s="95"/>
      <c r="N84" s="92"/>
    </row>
    <row r="85" spans="3:14" ht="11.25" customHeight="1" x14ac:dyDescent="0.2">
      <c r="C85" s="50"/>
      <c r="D85" s="883"/>
      <c r="E85" s="883"/>
      <c r="F85" s="883"/>
      <c r="G85" s="883"/>
      <c r="H85" s="883"/>
      <c r="I85" s="883"/>
      <c r="J85" s="883"/>
      <c r="K85" s="883"/>
      <c r="M85" s="95"/>
      <c r="N85" s="92"/>
    </row>
    <row r="86" spans="3:14" ht="12.75" customHeight="1" x14ac:dyDescent="0.2">
      <c r="C86" s="50"/>
      <c r="D86" s="46"/>
      <c r="E86" s="46"/>
      <c r="F86" s="46"/>
      <c r="G86" s="46"/>
      <c r="H86" s="46"/>
      <c r="I86" s="46"/>
      <c r="J86" s="46"/>
      <c r="K86" s="91" t="s">
        <v>61</v>
      </c>
      <c r="M86" s="95"/>
      <c r="N86" s="92"/>
    </row>
    <row r="87" spans="3:14" ht="12.75" customHeight="1" x14ac:dyDescent="0.2">
      <c r="C87" s="50"/>
      <c r="D87" s="46"/>
      <c r="E87" s="46"/>
      <c r="F87" t="s">
        <v>704</v>
      </c>
      <c r="K87" s="437"/>
      <c r="M87" s="244"/>
      <c r="N87" s="92"/>
    </row>
    <row r="88" spans="3:14" ht="12.75" customHeight="1" x14ac:dyDescent="0.2">
      <c r="C88" s="50"/>
      <c r="D88" s="46"/>
      <c r="E88" s="46"/>
      <c r="F88" t="s">
        <v>729</v>
      </c>
      <c r="K88" s="437"/>
      <c r="M88" s="244"/>
      <c r="N88" s="92"/>
    </row>
    <row r="89" spans="3:14" ht="12.75" customHeight="1" x14ac:dyDescent="0.2">
      <c r="C89" s="50"/>
      <c r="D89" s="46"/>
      <c r="E89" s="46"/>
      <c r="F89" t="s">
        <v>474</v>
      </c>
      <c r="K89" s="437"/>
      <c r="M89" s="95"/>
      <c r="N89" s="92"/>
    </row>
    <row r="90" spans="3:14" ht="12.75" customHeight="1" x14ac:dyDescent="0.2">
      <c r="C90" s="50"/>
      <c r="D90" s="46"/>
      <c r="E90" s="46"/>
      <c r="F90" t="s">
        <v>463</v>
      </c>
      <c r="K90" s="437"/>
      <c r="M90" s="95"/>
      <c r="N90" s="92"/>
    </row>
    <row r="91" spans="3:14" ht="12.75" customHeight="1" x14ac:dyDescent="0.2">
      <c r="C91" s="50"/>
      <c r="D91" s="46"/>
      <c r="E91" s="46"/>
      <c r="F91" t="s">
        <v>910</v>
      </c>
      <c r="K91" s="437"/>
      <c r="M91" s="95"/>
      <c r="N91" s="92"/>
    </row>
    <row r="92" spans="3:14" ht="12.75" customHeight="1" x14ac:dyDescent="0.2">
      <c r="C92" s="50"/>
      <c r="D92" s="46"/>
      <c r="E92" s="46"/>
      <c r="F92" s="415" t="s">
        <v>201</v>
      </c>
      <c r="K92" s="437"/>
      <c r="M92" s="974" t="str">
        <f>IF(K93=M82," ","Recheck numbers. Entry is out of balance.")</f>
        <v xml:space="preserve"> </v>
      </c>
      <c r="N92" s="92"/>
    </row>
    <row r="93" spans="3:14" ht="21.75" customHeight="1" thickBot="1" x14ac:dyDescent="0.25">
      <c r="C93" s="50"/>
      <c r="D93" s="46"/>
      <c r="E93" s="46"/>
      <c r="J93" s="92" t="s">
        <v>758</v>
      </c>
      <c r="K93" s="76">
        <f>SUM(K87:K92)</f>
        <v>0</v>
      </c>
      <c r="M93" s="974"/>
      <c r="N93" s="92"/>
    </row>
    <row r="94" spans="3:14" ht="12.75" customHeight="1" thickTop="1" x14ac:dyDescent="0.2">
      <c r="C94" s="50"/>
      <c r="D94" s="46"/>
      <c r="E94" s="46"/>
      <c r="F94" s="46"/>
      <c r="G94" s="46"/>
      <c r="H94" s="46"/>
      <c r="I94" s="46"/>
      <c r="J94" s="46"/>
      <c r="K94" s="46"/>
      <c r="M94" s="95"/>
      <c r="N94" s="92"/>
    </row>
    <row r="95" spans="3:14" ht="13.5" customHeight="1" x14ac:dyDescent="0.2">
      <c r="C95" s="50" t="s">
        <v>862</v>
      </c>
      <c r="D95" s="892" t="s">
        <v>1066</v>
      </c>
      <c r="E95" s="883"/>
      <c r="F95" s="883"/>
      <c r="G95" s="883"/>
      <c r="H95" s="883"/>
      <c r="I95" s="883"/>
      <c r="J95" s="883"/>
      <c r="K95" s="883"/>
      <c r="M95" s="971"/>
    </row>
    <row r="96" spans="3:14" ht="12" customHeight="1" x14ac:dyDescent="0.2">
      <c r="C96" s="50"/>
      <c r="D96" s="883"/>
      <c r="E96" s="883"/>
      <c r="F96" s="883"/>
      <c r="G96" s="883"/>
      <c r="H96" s="883"/>
      <c r="I96" s="883"/>
      <c r="J96" s="883"/>
      <c r="K96" s="883"/>
      <c r="M96" s="971"/>
    </row>
    <row r="97" spans="3:15" ht="5.25" customHeight="1" x14ac:dyDescent="0.2">
      <c r="C97" s="50"/>
      <c r="D97" s="46"/>
      <c r="E97" s="46"/>
      <c r="F97" s="46"/>
      <c r="G97" s="46"/>
      <c r="H97" s="46"/>
      <c r="I97" s="46"/>
      <c r="J97" s="46"/>
      <c r="K97" s="46"/>
      <c r="M97" s="45"/>
      <c r="N97" s="92"/>
    </row>
    <row r="98" spans="3:15" ht="15.75" customHeight="1" thickBot="1" x14ac:dyDescent="0.25">
      <c r="C98" s="50"/>
      <c r="D98" s="46"/>
      <c r="E98" s="46"/>
      <c r="F98" s="46"/>
      <c r="H98" s="46"/>
      <c r="I98" t="s">
        <v>498</v>
      </c>
      <c r="J98" s="46"/>
      <c r="K98" s="46"/>
      <c r="M98" s="94">
        <f>M79+M82-M95</f>
        <v>0</v>
      </c>
      <c r="N98" s="92" t="s">
        <v>759</v>
      </c>
    </row>
    <row r="99" spans="3:15" ht="12.75" customHeight="1" thickTop="1" x14ac:dyDescent="0.2">
      <c r="C99" s="50"/>
      <c r="D99" s="46"/>
      <c r="E99" s="46"/>
      <c r="F99" s="46"/>
      <c r="G99" s="46"/>
      <c r="H99" s="46"/>
      <c r="I99" s="46"/>
      <c r="J99" s="46"/>
      <c r="K99" s="46"/>
      <c r="M99" s="95"/>
      <c r="N99" s="92"/>
    </row>
    <row r="100" spans="3:15" ht="12.75" customHeight="1" x14ac:dyDescent="0.2">
      <c r="C100" s="50" t="s">
        <v>863</v>
      </c>
      <c r="D100" s="883" t="s">
        <v>370</v>
      </c>
      <c r="E100" s="883"/>
      <c r="F100" s="883"/>
      <c r="G100" s="883"/>
      <c r="H100" s="883"/>
      <c r="I100" s="883"/>
      <c r="J100" s="883"/>
      <c r="K100" s="883"/>
    </row>
    <row r="101" spans="3:15" ht="24.75" customHeight="1" x14ac:dyDescent="0.2">
      <c r="C101" s="50"/>
      <c r="D101" s="883"/>
      <c r="E101" s="883"/>
      <c r="F101" s="883"/>
      <c r="G101" s="883"/>
      <c r="H101" s="883"/>
      <c r="I101" s="883"/>
      <c r="J101" s="883"/>
      <c r="K101" s="883"/>
    </row>
    <row r="102" spans="3:15" x14ac:dyDescent="0.2">
      <c r="C102" s="50"/>
      <c r="D102" s="46"/>
      <c r="E102" s="46"/>
      <c r="F102" s="46"/>
      <c r="G102" s="46"/>
      <c r="H102" s="46"/>
      <c r="I102" s="46"/>
      <c r="J102" s="46"/>
      <c r="K102" s="91" t="s">
        <v>61</v>
      </c>
    </row>
    <row r="103" spans="3:15" x14ac:dyDescent="0.2">
      <c r="C103" s="50"/>
      <c r="F103" t="s">
        <v>704</v>
      </c>
      <c r="K103" s="437"/>
    </row>
    <row r="104" spans="3:15" x14ac:dyDescent="0.2">
      <c r="C104" s="50"/>
      <c r="F104" t="s">
        <v>729</v>
      </c>
      <c r="K104" s="437"/>
    </row>
    <row r="105" spans="3:15" x14ac:dyDescent="0.2">
      <c r="C105" s="50"/>
      <c r="F105" t="s">
        <v>474</v>
      </c>
      <c r="K105" s="437"/>
    </row>
    <row r="106" spans="3:15" x14ac:dyDescent="0.2">
      <c r="C106" s="50"/>
      <c r="F106" t="s">
        <v>463</v>
      </c>
      <c r="K106" s="437"/>
    </row>
    <row r="107" spans="3:15" ht="12.75" customHeight="1" x14ac:dyDescent="0.2">
      <c r="C107" s="50"/>
      <c r="F107" t="s">
        <v>910</v>
      </c>
      <c r="K107" s="437"/>
      <c r="M107" s="966" t="str">
        <f>IF(K109=M98," ","Recheck numbers in steps 1-4. Entry is out of balance")</f>
        <v xml:space="preserve"> </v>
      </c>
    </row>
    <row r="108" spans="3:15" ht="12.75" customHeight="1" x14ac:dyDescent="0.2">
      <c r="C108" s="50"/>
      <c r="F108" s="415" t="s">
        <v>201</v>
      </c>
      <c r="K108" s="437"/>
      <c r="M108" s="966"/>
    </row>
    <row r="109" spans="3:15" ht="18" customHeight="1" thickBot="1" x14ac:dyDescent="0.4">
      <c r="C109" s="50"/>
      <c r="J109" s="92" t="s">
        <v>759</v>
      </c>
      <c r="K109" s="76">
        <f>SUM(K103:K108)</f>
        <v>0</v>
      </c>
      <c r="M109" s="966"/>
      <c r="N109" s="119"/>
      <c r="O109" s="119"/>
    </row>
    <row r="110" spans="3:15" ht="6.75" customHeight="1" thickTop="1" x14ac:dyDescent="0.35">
      <c r="C110" s="50"/>
      <c r="J110" s="92"/>
      <c r="K110" s="56"/>
      <c r="M110" s="140"/>
      <c r="N110" s="119"/>
      <c r="O110" s="119"/>
    </row>
    <row r="111" spans="3:15" x14ac:dyDescent="0.2">
      <c r="D111" s="213" t="s">
        <v>93</v>
      </c>
      <c r="I111" s="10"/>
    </row>
    <row r="112" spans="3:15" x14ac:dyDescent="0.2">
      <c r="I112" s="10"/>
    </row>
    <row r="113" spans="2:15" ht="36.75" customHeight="1" x14ac:dyDescent="0.2">
      <c r="B113" s="4" t="s">
        <v>814</v>
      </c>
      <c r="C113" s="965" t="s">
        <v>610</v>
      </c>
      <c r="D113" s="963"/>
      <c r="E113" s="963"/>
      <c r="F113" s="963"/>
      <c r="G113" s="963"/>
      <c r="H113" s="963"/>
      <c r="I113" s="963"/>
      <c r="J113" s="963"/>
      <c r="K113" s="963"/>
      <c r="L113" s="963"/>
      <c r="M113" s="963"/>
      <c r="N113" s="963"/>
      <c r="O113" s="964"/>
    </row>
    <row r="114" spans="2:15" ht="3" customHeight="1" x14ac:dyDescent="0.2">
      <c r="B114" s="4"/>
      <c r="C114" s="329"/>
      <c r="D114" s="4"/>
      <c r="E114" s="4"/>
      <c r="F114" s="4"/>
      <c r="G114" s="4"/>
      <c r="H114" s="4"/>
      <c r="I114" s="4"/>
      <c r="J114" s="4"/>
      <c r="K114" s="4"/>
      <c r="L114" s="4"/>
      <c r="M114" s="4"/>
      <c r="N114" s="4"/>
      <c r="O114" s="4"/>
    </row>
    <row r="115" spans="2:15" x14ac:dyDescent="0.2">
      <c r="M115" s="3" t="s">
        <v>61</v>
      </c>
    </row>
    <row r="116" spans="2:15" ht="12.75" customHeight="1" x14ac:dyDescent="0.2">
      <c r="C116" s="50" t="s">
        <v>930</v>
      </c>
      <c r="D116" s="892" t="s">
        <v>1065</v>
      </c>
      <c r="E116" s="883"/>
      <c r="F116" s="883"/>
      <c r="G116" s="883"/>
      <c r="H116" s="883"/>
      <c r="I116" s="883"/>
      <c r="J116" s="883"/>
      <c r="K116" s="883"/>
      <c r="M116" s="969"/>
    </row>
    <row r="117" spans="2:15" ht="14.25" customHeight="1" x14ac:dyDescent="0.2">
      <c r="C117" s="50"/>
      <c r="D117" s="883"/>
      <c r="E117" s="883"/>
      <c r="F117" s="883"/>
      <c r="G117" s="883"/>
      <c r="H117" s="883"/>
      <c r="I117" s="883"/>
      <c r="J117" s="883"/>
      <c r="K117" s="883"/>
      <c r="M117" s="969"/>
    </row>
    <row r="118" spans="2:15" ht="6.75" customHeight="1" x14ac:dyDescent="0.2">
      <c r="C118" s="50"/>
      <c r="D118" s="46"/>
      <c r="E118" s="46"/>
      <c r="F118" s="46"/>
      <c r="G118" s="46"/>
      <c r="H118" s="46"/>
      <c r="I118" s="46"/>
      <c r="J118" s="46"/>
      <c r="K118" s="46"/>
      <c r="M118" s="443"/>
    </row>
    <row r="119" spans="2:15" ht="18.75" customHeight="1" x14ac:dyDescent="0.2">
      <c r="C119" s="50" t="s">
        <v>931</v>
      </c>
      <c r="D119" s="883" t="s">
        <v>92</v>
      </c>
      <c r="E119" s="883"/>
      <c r="F119" s="883"/>
      <c r="G119" s="883"/>
      <c r="H119" s="883"/>
      <c r="I119" s="883"/>
      <c r="J119" s="883"/>
      <c r="K119" s="883"/>
      <c r="M119" s="442"/>
    </row>
    <row r="120" spans="2:15" ht="12.75" customHeight="1" x14ac:dyDescent="0.2">
      <c r="C120" s="50"/>
      <c r="D120" s="46"/>
      <c r="E120" s="46"/>
      <c r="F120" s="46"/>
      <c r="G120" s="46"/>
      <c r="H120" s="46"/>
      <c r="I120" s="46"/>
      <c r="J120" s="46"/>
      <c r="K120" s="46"/>
      <c r="M120" s="205"/>
      <c r="N120" s="92"/>
    </row>
    <row r="121" spans="2:15" ht="12.75" customHeight="1" x14ac:dyDescent="0.2">
      <c r="C121" s="50" t="s">
        <v>932</v>
      </c>
      <c r="D121" s="883" t="s">
        <v>91</v>
      </c>
      <c r="E121" s="883"/>
      <c r="F121" s="883"/>
      <c r="G121" s="883"/>
      <c r="H121" s="883"/>
      <c r="I121" s="883"/>
      <c r="J121" s="883"/>
      <c r="K121" s="883"/>
      <c r="M121" s="205"/>
      <c r="N121" s="92"/>
    </row>
    <row r="122" spans="2:15" ht="12.75" customHeight="1" x14ac:dyDescent="0.2">
      <c r="C122" s="50"/>
      <c r="D122" s="883"/>
      <c r="E122" s="883"/>
      <c r="F122" s="883"/>
      <c r="G122" s="883"/>
      <c r="H122" s="883"/>
      <c r="I122" s="883"/>
      <c r="J122" s="883"/>
      <c r="K122" s="883"/>
      <c r="M122" s="205"/>
      <c r="N122" s="92"/>
    </row>
    <row r="123" spans="2:15" ht="12.75" customHeight="1" x14ac:dyDescent="0.2">
      <c r="C123" s="50"/>
      <c r="D123" s="46"/>
      <c r="E123" s="46"/>
      <c r="F123" s="46"/>
      <c r="G123" s="46"/>
      <c r="H123" s="46"/>
      <c r="I123" s="46"/>
      <c r="J123" s="46"/>
      <c r="K123" s="91" t="s">
        <v>61</v>
      </c>
      <c r="M123" s="130"/>
      <c r="N123" s="92"/>
    </row>
    <row r="124" spans="2:15" ht="12.75" customHeight="1" x14ac:dyDescent="0.2">
      <c r="C124" s="50"/>
      <c r="D124" s="46"/>
      <c r="E124" s="46"/>
      <c r="F124" t="s">
        <v>704</v>
      </c>
      <c r="K124" s="437"/>
      <c r="M124" s="130"/>
      <c r="N124" s="92"/>
    </row>
    <row r="125" spans="2:15" ht="12.75" customHeight="1" x14ac:dyDescent="0.2">
      <c r="C125" s="50"/>
      <c r="D125" s="46"/>
      <c r="E125" s="46"/>
      <c r="F125" t="s">
        <v>729</v>
      </c>
      <c r="K125" s="437"/>
      <c r="M125" s="130"/>
      <c r="N125" s="92"/>
    </row>
    <row r="126" spans="2:15" ht="12.75" customHeight="1" x14ac:dyDescent="0.2">
      <c r="C126" s="50"/>
      <c r="D126" s="46"/>
      <c r="E126" s="46"/>
      <c r="F126" t="s">
        <v>474</v>
      </c>
      <c r="K126" s="437"/>
      <c r="M126" s="130"/>
      <c r="N126" s="92"/>
    </row>
    <row r="127" spans="2:15" ht="12.75" customHeight="1" x14ac:dyDescent="0.2">
      <c r="C127" s="50"/>
      <c r="D127" s="46"/>
      <c r="E127" s="46"/>
      <c r="F127" t="s">
        <v>463</v>
      </c>
      <c r="K127" s="437"/>
      <c r="M127" s="130"/>
      <c r="N127" s="92"/>
    </row>
    <row r="128" spans="2:15" ht="12.75" customHeight="1" x14ac:dyDescent="0.2">
      <c r="C128" s="50"/>
      <c r="D128" s="46"/>
      <c r="E128" s="46"/>
      <c r="F128" t="s">
        <v>910</v>
      </c>
      <c r="K128" s="437"/>
      <c r="M128" s="972" t="str">
        <f>IF(K130=M119," ","Recheck numbers. Entry is out of balance.")</f>
        <v xml:space="preserve"> </v>
      </c>
      <c r="N128" s="92"/>
    </row>
    <row r="129" spans="3:14" ht="12.75" customHeight="1" x14ac:dyDescent="0.2">
      <c r="C129" s="50"/>
      <c r="D129" s="46"/>
      <c r="E129" s="46"/>
      <c r="F129" s="415" t="s">
        <v>201</v>
      </c>
      <c r="K129" s="437"/>
      <c r="M129" s="972"/>
      <c r="N129" s="92"/>
    </row>
    <row r="130" spans="3:14" ht="18" customHeight="1" thickBot="1" x14ac:dyDescent="0.25">
      <c r="C130" s="50"/>
      <c r="D130" s="46"/>
      <c r="E130" s="46"/>
      <c r="J130" s="92" t="s">
        <v>662</v>
      </c>
      <c r="K130" s="76">
        <f>SUM(K124:K129)</f>
        <v>0</v>
      </c>
      <c r="M130" s="972"/>
      <c r="N130" s="92"/>
    </row>
    <row r="131" spans="3:14" ht="12.75" customHeight="1" thickTop="1" x14ac:dyDescent="0.2">
      <c r="C131" s="50"/>
      <c r="D131" s="46"/>
      <c r="E131" s="46"/>
      <c r="F131" s="46"/>
      <c r="G131" s="46"/>
      <c r="H131" s="46"/>
      <c r="I131" s="46"/>
      <c r="J131" s="46"/>
      <c r="K131" s="46"/>
      <c r="M131" s="130"/>
      <c r="N131" s="92"/>
    </row>
    <row r="132" spans="3:14" ht="12.75" customHeight="1" x14ac:dyDescent="0.2">
      <c r="C132" s="50" t="s">
        <v>862</v>
      </c>
      <c r="D132" s="892" t="s">
        <v>1066</v>
      </c>
      <c r="E132" s="883"/>
      <c r="F132" s="883"/>
      <c r="G132" s="883"/>
      <c r="H132" s="883"/>
      <c r="I132" s="883"/>
      <c r="J132" s="883"/>
      <c r="K132" s="883"/>
      <c r="M132" s="971"/>
    </row>
    <row r="133" spans="3:14" ht="13.5" customHeight="1" x14ac:dyDescent="0.2">
      <c r="C133" s="50"/>
      <c r="D133" s="883"/>
      <c r="E133" s="883"/>
      <c r="F133" s="883"/>
      <c r="G133" s="883"/>
      <c r="H133" s="883"/>
      <c r="I133" s="883"/>
      <c r="J133" s="883"/>
      <c r="K133" s="883"/>
      <c r="M133" s="971"/>
    </row>
    <row r="134" spans="3:14" ht="5.25" customHeight="1" x14ac:dyDescent="0.2">
      <c r="M134" s="1"/>
    </row>
    <row r="135" spans="3:14" ht="15.75" customHeight="1" thickBot="1" x14ac:dyDescent="0.25">
      <c r="I135" t="s">
        <v>498</v>
      </c>
      <c r="M135" s="94">
        <f>M116+M119-M132</f>
        <v>0</v>
      </c>
      <c r="N135" s="92" t="s">
        <v>706</v>
      </c>
    </row>
    <row r="136" spans="3:14" ht="12.75" customHeight="1" thickTop="1" x14ac:dyDescent="0.2">
      <c r="M136" s="1"/>
    </row>
    <row r="137" spans="3:14" ht="12.75" customHeight="1" x14ac:dyDescent="0.2">
      <c r="C137" s="50" t="s">
        <v>863</v>
      </c>
      <c r="D137" s="883" t="s">
        <v>529</v>
      </c>
      <c r="E137" s="883"/>
      <c r="F137" s="883"/>
      <c r="G137" s="883"/>
      <c r="H137" s="883"/>
      <c r="I137" s="883"/>
      <c r="J137" s="883"/>
      <c r="K137" s="883"/>
      <c r="M137" s="90"/>
    </row>
    <row r="138" spans="3:14" ht="24" customHeight="1" x14ac:dyDescent="0.2">
      <c r="C138" s="50"/>
      <c r="D138" s="883"/>
      <c r="E138" s="883"/>
      <c r="F138" s="883"/>
      <c r="G138" s="883"/>
      <c r="H138" s="883"/>
      <c r="I138" s="883"/>
      <c r="J138" s="883"/>
      <c r="K138" s="883"/>
      <c r="M138" s="90"/>
    </row>
    <row r="139" spans="3:14" ht="12.75" customHeight="1" x14ac:dyDescent="0.2">
      <c r="C139" s="50"/>
      <c r="D139" s="46"/>
      <c r="E139" s="46"/>
      <c r="F139" s="46"/>
      <c r="G139" s="46"/>
      <c r="H139" s="46"/>
      <c r="I139" s="46"/>
      <c r="J139" s="46"/>
      <c r="K139" s="91" t="s">
        <v>61</v>
      </c>
      <c r="M139" s="90"/>
    </row>
    <row r="140" spans="3:14" x14ac:dyDescent="0.2">
      <c r="C140" s="50"/>
      <c r="F140" t="s">
        <v>704</v>
      </c>
      <c r="K140" s="437"/>
      <c r="M140" s="90"/>
    </row>
    <row r="141" spans="3:14" x14ac:dyDescent="0.2">
      <c r="C141" s="50"/>
      <c r="F141" t="s">
        <v>880</v>
      </c>
      <c r="K141" s="437"/>
      <c r="M141" s="90"/>
    </row>
    <row r="142" spans="3:14" x14ac:dyDescent="0.2">
      <c r="C142" s="50"/>
      <c r="F142" t="s">
        <v>474</v>
      </c>
      <c r="K142" s="437"/>
      <c r="M142" s="90"/>
    </row>
    <row r="143" spans="3:14" x14ac:dyDescent="0.2">
      <c r="C143" s="50"/>
      <c r="F143" t="s">
        <v>705</v>
      </c>
      <c r="K143" s="437"/>
      <c r="M143" s="90"/>
    </row>
    <row r="144" spans="3:14" ht="12.75" customHeight="1" x14ac:dyDescent="0.25">
      <c r="C144" s="50"/>
      <c r="F144" t="s">
        <v>910</v>
      </c>
      <c r="K144" s="437"/>
      <c r="M144" s="136"/>
    </row>
    <row r="145" spans="2:15" ht="12.75" customHeight="1" x14ac:dyDescent="0.2">
      <c r="C145" s="50"/>
      <c r="F145" s="415" t="s">
        <v>201</v>
      </c>
      <c r="K145" s="437"/>
      <c r="M145" s="970" t="str">
        <f>IF(K146=M135," ","Recheck numbers in steps 1-4. Entry is out of balance.")</f>
        <v xml:space="preserve"> </v>
      </c>
    </row>
    <row r="146" spans="2:15" ht="30.75" customHeight="1" thickBot="1" x14ac:dyDescent="0.3">
      <c r="C146" s="50"/>
      <c r="J146" s="92" t="s">
        <v>706</v>
      </c>
      <c r="K146" s="76">
        <f>SUM(K140:K145)</f>
        <v>0</v>
      </c>
      <c r="M146" s="970"/>
      <c r="N146" s="136"/>
      <c r="O146" s="136"/>
    </row>
    <row r="147" spans="2:15" ht="5.25" customHeight="1" thickTop="1" x14ac:dyDescent="0.2">
      <c r="I147" s="10"/>
    </row>
    <row r="148" spans="2:15" x14ac:dyDescent="0.2">
      <c r="D148" s="213" t="s">
        <v>93</v>
      </c>
      <c r="I148" s="10"/>
    </row>
    <row r="149" spans="2:15" x14ac:dyDescent="0.2">
      <c r="I149" s="10"/>
    </row>
    <row r="150" spans="2:15" ht="26.25" customHeight="1" x14ac:dyDescent="0.2">
      <c r="B150" s="4" t="s">
        <v>145</v>
      </c>
      <c r="C150" s="965" t="s">
        <v>410</v>
      </c>
      <c r="D150" s="967"/>
      <c r="E150" s="967"/>
      <c r="F150" s="967"/>
      <c r="G150" s="967"/>
      <c r="H150" s="967"/>
      <c r="I150" s="967"/>
      <c r="J150" s="967"/>
      <c r="K150" s="967"/>
      <c r="L150" s="967"/>
      <c r="M150" s="967"/>
      <c r="N150" s="967"/>
      <c r="O150" s="968"/>
    </row>
    <row r="151" spans="2:15" x14ac:dyDescent="0.2">
      <c r="I151" s="10"/>
    </row>
    <row r="152" spans="2:15" ht="27" customHeight="1" x14ac:dyDescent="0.2">
      <c r="C152" s="980" t="s">
        <v>800</v>
      </c>
      <c r="D152" s="980"/>
      <c r="E152" s="980"/>
      <c r="F152" s="980"/>
      <c r="G152" s="980"/>
      <c r="H152" s="980"/>
      <c r="I152" s="980"/>
      <c r="J152" s="980"/>
      <c r="K152" s="980"/>
      <c r="L152" s="980"/>
      <c r="M152" s="980"/>
      <c r="N152" s="980"/>
      <c r="O152" s="980"/>
    </row>
    <row r="153" spans="2:15" x14ac:dyDescent="0.2">
      <c r="M153" s="3" t="s">
        <v>61</v>
      </c>
    </row>
    <row r="155" spans="2:15" ht="14.25" customHeight="1" x14ac:dyDescent="0.2">
      <c r="C155" s="50" t="s">
        <v>930</v>
      </c>
      <c r="D155" s="892" t="s">
        <v>1067</v>
      </c>
      <c r="E155" s="883"/>
      <c r="F155" s="883"/>
      <c r="G155" s="883"/>
      <c r="H155" s="883"/>
      <c r="I155" s="883"/>
      <c r="J155" s="883"/>
      <c r="K155" s="883"/>
      <c r="L155" s="883"/>
      <c r="M155" s="969"/>
      <c r="N155" s="92" t="s">
        <v>530</v>
      </c>
      <c r="O155" s="2"/>
    </row>
    <row r="156" spans="2:15" ht="36.75" customHeight="1" x14ac:dyDescent="0.2">
      <c r="C156" s="50"/>
      <c r="D156" s="883"/>
      <c r="E156" s="883"/>
      <c r="F156" s="883"/>
      <c r="G156" s="883"/>
      <c r="H156" s="883"/>
      <c r="I156" s="883"/>
      <c r="J156" s="883"/>
      <c r="K156" s="883"/>
      <c r="L156" s="883"/>
      <c r="M156" s="969"/>
      <c r="N156" s="92"/>
      <c r="O156" s="2"/>
    </row>
    <row r="157" spans="2:15" ht="37.5" customHeight="1" x14ac:dyDescent="0.2">
      <c r="D157" s="46"/>
      <c r="E157" s="46"/>
      <c r="F157" s="46"/>
      <c r="G157" s="46"/>
      <c r="H157" s="135" t="s">
        <v>499</v>
      </c>
      <c r="I157" s="134" t="s">
        <v>508</v>
      </c>
      <c r="J157" s="46"/>
      <c r="K157" s="134" t="s">
        <v>291</v>
      </c>
      <c r="M157" s="134" t="s">
        <v>126</v>
      </c>
    </row>
    <row r="158" spans="2:15" ht="12.75" customHeight="1" x14ac:dyDescent="0.2">
      <c r="D158" s="46"/>
      <c r="E158" s="46"/>
      <c r="F158" s="46"/>
      <c r="G158" s="46"/>
      <c r="H158" s="46"/>
      <c r="I158" s="133" t="s">
        <v>61</v>
      </c>
      <c r="J158" s="132"/>
      <c r="K158" s="133" t="s">
        <v>61</v>
      </c>
      <c r="M158" s="133" t="s">
        <v>61</v>
      </c>
    </row>
    <row r="159" spans="2:15" ht="12.75" customHeight="1" x14ac:dyDescent="0.2">
      <c r="D159" s="137" t="s">
        <v>704</v>
      </c>
      <c r="I159" s="437"/>
      <c r="K159" s="437"/>
      <c r="M159" s="437"/>
    </row>
    <row r="160" spans="2:15" ht="12.75" customHeight="1" x14ac:dyDescent="0.2">
      <c r="D160" s="137" t="s">
        <v>879</v>
      </c>
      <c r="I160" s="437"/>
      <c r="K160" s="437"/>
      <c r="M160" s="437"/>
    </row>
    <row r="161" spans="3:15" ht="12.75" customHeight="1" x14ac:dyDescent="0.2">
      <c r="D161" s="137" t="s">
        <v>880</v>
      </c>
      <c r="I161" s="437"/>
      <c r="K161" s="437"/>
      <c r="M161" s="437"/>
    </row>
    <row r="162" spans="3:15" ht="12.75" customHeight="1" x14ac:dyDescent="0.2">
      <c r="D162" s="137" t="s">
        <v>474</v>
      </c>
      <c r="I162" s="437"/>
      <c r="K162" s="437"/>
      <c r="M162" s="437"/>
    </row>
    <row r="163" spans="3:15" ht="12.75" customHeight="1" x14ac:dyDescent="0.2">
      <c r="D163" s="137" t="s">
        <v>705</v>
      </c>
      <c r="I163" s="437"/>
      <c r="K163" s="437"/>
      <c r="M163" s="437"/>
    </row>
    <row r="164" spans="3:15" ht="12.75" customHeight="1" x14ac:dyDescent="0.2">
      <c r="D164" s="137" t="s">
        <v>421</v>
      </c>
      <c r="I164" s="437"/>
      <c r="K164" s="437"/>
      <c r="M164" s="437"/>
      <c r="O164" s="884" t="str">
        <f>IF(O168=M155," ","Recheck numbers. Entry is out of balance.")</f>
        <v xml:space="preserve"> </v>
      </c>
    </row>
    <row r="165" spans="3:15" ht="12.75" customHeight="1" x14ac:dyDescent="0.2">
      <c r="D165" s="137" t="s">
        <v>910</v>
      </c>
      <c r="I165" s="437"/>
      <c r="K165" s="437"/>
      <c r="M165" s="437"/>
      <c r="O165" s="884"/>
    </row>
    <row r="166" spans="3:15" ht="12.75" customHeight="1" x14ac:dyDescent="0.2">
      <c r="D166" s="466" t="s">
        <v>201</v>
      </c>
      <c r="I166" s="437"/>
      <c r="K166" s="437"/>
      <c r="M166" s="437"/>
      <c r="O166" s="884"/>
    </row>
    <row r="167" spans="3:15" ht="12.75" customHeight="1" x14ac:dyDescent="0.2">
      <c r="D167" s="137" t="s">
        <v>115</v>
      </c>
      <c r="F167" s="6"/>
      <c r="G167" s="6"/>
      <c r="H167" s="437"/>
      <c r="I167" s="78" t="s">
        <v>480</v>
      </c>
      <c r="K167" s="78" t="s">
        <v>480</v>
      </c>
      <c r="M167" s="78" t="s">
        <v>480</v>
      </c>
    </row>
    <row r="168" spans="3:15" ht="15.75" customHeight="1" thickBot="1" x14ac:dyDescent="0.25">
      <c r="H168" s="76">
        <f>SUM(H167)</f>
        <v>0</v>
      </c>
      <c r="I168" s="76">
        <f>SUM(I159:I166)</f>
        <v>0</v>
      </c>
      <c r="K168" s="76">
        <f>SUM(K159:K166)</f>
        <v>0</v>
      </c>
      <c r="M168" s="76">
        <f>SUM(M159:M166)</f>
        <v>0</v>
      </c>
      <c r="N168" s="92" t="s">
        <v>530</v>
      </c>
      <c r="O168" s="88">
        <f>H168+I168+K168+M168</f>
        <v>0</v>
      </c>
    </row>
    <row r="169" spans="3:15" ht="12.75" customHeight="1" thickTop="1" x14ac:dyDescent="0.2">
      <c r="H169" s="56"/>
      <c r="I169" s="56"/>
      <c r="K169" s="56"/>
      <c r="M169" s="56"/>
      <c r="N169" s="92"/>
      <c r="O169" s="5"/>
    </row>
    <row r="170" spans="3:15" ht="12.75" customHeight="1" x14ac:dyDescent="0.2">
      <c r="C170" s="60" t="s">
        <v>513</v>
      </c>
    </row>
    <row r="171" spans="3:15" ht="12.75" customHeight="1" x14ac:dyDescent="0.2">
      <c r="C171" s="60"/>
    </row>
    <row r="172" spans="3:15" ht="12.75" customHeight="1" x14ac:dyDescent="0.2">
      <c r="M172" s="1"/>
    </row>
    <row r="173" spans="3:15" ht="12.75" customHeight="1" x14ac:dyDescent="0.2">
      <c r="C173" s="50" t="s">
        <v>931</v>
      </c>
      <c r="D173" s="892" t="s">
        <v>1068</v>
      </c>
      <c r="E173" s="883"/>
      <c r="F173" s="883"/>
      <c r="G173" s="883"/>
      <c r="H173" s="883"/>
      <c r="I173" s="883"/>
      <c r="J173" s="883"/>
      <c r="K173" s="883"/>
      <c r="M173" s="971"/>
      <c r="O173" s="2"/>
    </row>
    <row r="174" spans="3:15" ht="39" customHeight="1" x14ac:dyDescent="0.2">
      <c r="C174" s="50"/>
      <c r="D174" s="883"/>
      <c r="E174" s="883"/>
      <c r="F174" s="883"/>
      <c r="G174" s="883"/>
      <c r="H174" s="883"/>
      <c r="I174" s="883"/>
      <c r="J174" s="883"/>
      <c r="K174" s="883"/>
      <c r="M174" s="971"/>
      <c r="N174" s="92" t="s">
        <v>531</v>
      </c>
      <c r="O174" s="2"/>
    </row>
    <row r="175" spans="3:15" x14ac:dyDescent="0.2">
      <c r="M175" s="1"/>
    </row>
    <row r="176" spans="3:15" ht="12.75" customHeight="1" x14ac:dyDescent="0.2">
      <c r="C176" s="50" t="s">
        <v>932</v>
      </c>
      <c r="D176" s="883" t="s">
        <v>771</v>
      </c>
      <c r="E176" s="883"/>
      <c r="F176" s="883"/>
      <c r="G176" s="883"/>
      <c r="H176" s="883"/>
      <c r="I176" s="883"/>
      <c r="J176" s="883"/>
      <c r="K176" s="883"/>
    </row>
    <row r="177" spans="3:16" ht="12.75" customHeight="1" x14ac:dyDescent="0.2">
      <c r="C177" s="50"/>
      <c r="D177" s="883"/>
      <c r="E177" s="883"/>
      <c r="F177" s="883"/>
      <c r="G177" s="883"/>
      <c r="H177" s="883"/>
      <c r="I177" s="883"/>
      <c r="J177" s="883"/>
      <c r="K177" s="883"/>
    </row>
    <row r="178" spans="3:16" ht="35.25" customHeight="1" x14ac:dyDescent="0.2">
      <c r="C178" s="50"/>
      <c r="D178" s="46"/>
      <c r="E178" s="46"/>
      <c r="F178" s="46"/>
      <c r="G178" s="46"/>
      <c r="H178" s="135" t="s">
        <v>499</v>
      </c>
      <c r="I178" s="134" t="s">
        <v>508</v>
      </c>
      <c r="J178" s="46"/>
      <c r="K178" s="134" t="s">
        <v>291</v>
      </c>
      <c r="M178" s="134" t="s">
        <v>126</v>
      </c>
    </row>
    <row r="179" spans="3:16" x14ac:dyDescent="0.2">
      <c r="C179" s="50"/>
      <c r="D179" s="46"/>
      <c r="E179" s="46"/>
      <c r="F179" s="46"/>
      <c r="G179" s="46"/>
      <c r="H179" s="46"/>
      <c r="I179" s="133" t="s">
        <v>61</v>
      </c>
      <c r="J179" s="132"/>
      <c r="K179" s="133" t="s">
        <v>61</v>
      </c>
      <c r="M179" s="133" t="s">
        <v>61</v>
      </c>
    </row>
    <row r="180" spans="3:16" x14ac:dyDescent="0.2">
      <c r="C180" s="50"/>
      <c r="D180" s="137" t="s">
        <v>704</v>
      </c>
      <c r="I180" s="437"/>
      <c r="K180" s="437"/>
      <c r="M180" s="437"/>
    </row>
    <row r="181" spans="3:16" x14ac:dyDescent="0.2">
      <c r="C181" s="50"/>
      <c r="D181" s="137" t="s">
        <v>879</v>
      </c>
      <c r="I181" s="437"/>
      <c r="K181" s="437"/>
      <c r="M181" s="437"/>
    </row>
    <row r="182" spans="3:16" x14ac:dyDescent="0.2">
      <c r="C182" s="50"/>
      <c r="D182" s="137" t="s">
        <v>880</v>
      </c>
      <c r="I182" s="437"/>
      <c r="K182" s="437"/>
      <c r="M182" s="437"/>
    </row>
    <row r="183" spans="3:16" x14ac:dyDescent="0.2">
      <c r="C183" s="50"/>
      <c r="D183" s="137" t="s">
        <v>474</v>
      </c>
      <c r="I183" s="437"/>
      <c r="K183" s="437"/>
      <c r="M183" s="437"/>
    </row>
    <row r="184" spans="3:16" x14ac:dyDescent="0.2">
      <c r="C184" s="50"/>
      <c r="D184" s="137" t="s">
        <v>705</v>
      </c>
      <c r="I184" s="437"/>
      <c r="K184" s="437"/>
      <c r="M184" s="437"/>
    </row>
    <row r="185" spans="3:16" x14ac:dyDescent="0.2">
      <c r="C185" s="50"/>
      <c r="D185" s="137" t="s">
        <v>421</v>
      </c>
      <c r="I185" s="437"/>
      <c r="K185" s="437"/>
      <c r="M185" s="437"/>
      <c r="O185" s="884" t="str">
        <f>IF(O189=M173," ","Recheck numbers in steps 2 &amp; 3. Entry is out of balance.")</f>
        <v xml:space="preserve"> </v>
      </c>
    </row>
    <row r="186" spans="3:16" x14ac:dyDescent="0.2">
      <c r="C186" s="50"/>
      <c r="D186" s="137" t="s">
        <v>910</v>
      </c>
      <c r="I186" s="437"/>
      <c r="K186" s="437"/>
      <c r="M186" s="437"/>
      <c r="O186" s="884"/>
      <c r="P186" s="151"/>
    </row>
    <row r="187" spans="3:16" ht="13.5" customHeight="1" x14ac:dyDescent="0.2">
      <c r="C187" s="50"/>
      <c r="D187" s="466" t="s">
        <v>201</v>
      </c>
      <c r="I187" s="437"/>
      <c r="K187" s="437"/>
      <c r="M187" s="437"/>
      <c r="O187" s="884"/>
      <c r="P187" s="151"/>
    </row>
    <row r="188" spans="3:16" x14ac:dyDescent="0.2">
      <c r="C188" s="50"/>
      <c r="D188" s="137" t="s">
        <v>115</v>
      </c>
      <c r="F188" s="6"/>
      <c r="G188" s="6"/>
      <c r="H188" s="437"/>
      <c r="I188" s="78" t="s">
        <v>480</v>
      </c>
      <c r="K188" s="78" t="s">
        <v>480</v>
      </c>
      <c r="M188" s="78" t="s">
        <v>480</v>
      </c>
      <c r="O188" s="151"/>
      <c r="P188" s="151"/>
    </row>
    <row r="189" spans="3:16" ht="15.75" customHeight="1" thickBot="1" x14ac:dyDescent="0.25">
      <c r="C189" s="50"/>
      <c r="H189" s="76">
        <f>SUM(H188)</f>
        <v>0</v>
      </c>
      <c r="I189" s="76">
        <f>SUM(I180:I187)</f>
        <v>0</v>
      </c>
      <c r="K189" s="76">
        <f>SUM(K180:K187)</f>
        <v>0</v>
      </c>
      <c r="L189" s="56">
        <f>SUM(L180:L187)</f>
        <v>0</v>
      </c>
      <c r="M189" s="76">
        <f>SUM(M180:M187)</f>
        <v>0</v>
      </c>
      <c r="N189" s="131" t="s">
        <v>531</v>
      </c>
      <c r="O189" s="88">
        <f>H189+I189+K189+M189</f>
        <v>0</v>
      </c>
    </row>
    <row r="190" spans="3:16" ht="15" customHeight="1" thickTop="1" x14ac:dyDescent="0.2">
      <c r="C190" s="50"/>
      <c r="H190" s="56"/>
      <c r="I190" s="56"/>
      <c r="K190" s="56"/>
      <c r="L190" s="56"/>
      <c r="M190" s="56"/>
      <c r="N190" s="131"/>
      <c r="O190" s="5"/>
    </row>
    <row r="191" spans="3:16" ht="15.75" customHeight="1" x14ac:dyDescent="0.2">
      <c r="C191" s="60" t="s">
        <v>513</v>
      </c>
      <c r="H191" s="56"/>
      <c r="I191" s="56"/>
      <c r="K191" s="56"/>
      <c r="M191" s="56"/>
      <c r="N191" s="131"/>
      <c r="O191" s="5"/>
    </row>
    <row r="192" spans="3:16" ht="15.75" customHeight="1" x14ac:dyDescent="0.2">
      <c r="C192" s="60"/>
      <c r="H192" s="56"/>
      <c r="I192" s="56"/>
      <c r="K192" s="56"/>
      <c r="M192" s="56"/>
      <c r="N192" s="131"/>
      <c r="O192" s="5"/>
    </row>
    <row r="193" spans="2:15" ht="25.5" customHeight="1" x14ac:dyDescent="0.2">
      <c r="B193" s="379" t="s">
        <v>270</v>
      </c>
      <c r="C193" s="962" t="s">
        <v>106</v>
      </c>
      <c r="D193" s="981"/>
      <c r="E193" s="981"/>
      <c r="F193" s="981"/>
      <c r="G193" s="981"/>
      <c r="H193" s="981"/>
      <c r="I193" s="981"/>
      <c r="J193" s="981"/>
      <c r="K193" s="981"/>
      <c r="L193" s="981"/>
      <c r="M193" s="981"/>
      <c r="N193" s="981"/>
      <c r="O193" s="982"/>
    </row>
    <row r="194" spans="2:15" ht="15.75" customHeight="1" x14ac:dyDescent="0.2">
      <c r="C194" s="60"/>
      <c r="H194" s="56"/>
      <c r="I194" s="56"/>
      <c r="K194" s="56"/>
      <c r="M194" s="56"/>
      <c r="N194" s="131"/>
      <c r="O194" s="5"/>
    </row>
    <row r="195" spans="2:15" ht="18" customHeight="1" x14ac:dyDescent="0.2">
      <c r="C195" s="190" t="s">
        <v>930</v>
      </c>
      <c r="D195" t="s">
        <v>147</v>
      </c>
      <c r="H195" s="56"/>
      <c r="I195" s="56"/>
      <c r="K195" s="434"/>
      <c r="M195" s="56"/>
      <c r="N195" s="131"/>
      <c r="O195" s="5"/>
    </row>
    <row r="196" spans="2:15" ht="6" customHeight="1" x14ac:dyDescent="0.2">
      <c r="C196" s="188"/>
      <c r="H196" s="56"/>
      <c r="I196" s="56"/>
      <c r="K196" s="420"/>
      <c r="M196" s="56"/>
      <c r="N196" s="131"/>
      <c r="O196" s="5"/>
    </row>
    <row r="197" spans="2:15" ht="17.25" customHeight="1" x14ac:dyDescent="0.2">
      <c r="C197" s="190" t="s">
        <v>931</v>
      </c>
      <c r="D197" t="s">
        <v>801</v>
      </c>
      <c r="H197" s="56"/>
      <c r="I197" s="56"/>
      <c r="K197" s="434"/>
      <c r="M197" s="56"/>
      <c r="N197" s="131"/>
      <c r="O197" s="5"/>
    </row>
    <row r="198" spans="2:15" ht="4.5" customHeight="1" x14ac:dyDescent="0.2">
      <c r="C198" s="60"/>
      <c r="H198" s="56"/>
      <c r="I198" s="56"/>
      <c r="K198" s="56"/>
      <c r="M198" s="56"/>
      <c r="N198" s="131"/>
      <c r="O198" s="5"/>
    </row>
    <row r="199" spans="2:15" ht="12.75" customHeight="1" x14ac:dyDescent="0.2">
      <c r="C199" s="60"/>
      <c r="D199" s="2" t="s">
        <v>149</v>
      </c>
      <c r="H199" s="56"/>
      <c r="I199" s="56"/>
      <c r="K199" s="56"/>
      <c r="M199" s="56"/>
      <c r="N199" s="131"/>
      <c r="O199" s="5"/>
    </row>
    <row r="200" spans="2:15" ht="12.75" customHeight="1" x14ac:dyDescent="0.2">
      <c r="C200" s="60"/>
      <c r="H200" s="56"/>
      <c r="I200" s="56"/>
      <c r="K200" s="56"/>
      <c r="M200" s="56"/>
      <c r="N200" s="131"/>
      <c r="O200" s="5"/>
    </row>
    <row r="201" spans="2:15" ht="7.5" customHeight="1" x14ac:dyDescent="0.2"/>
    <row r="202" spans="2:15" ht="25.5" customHeight="1" x14ac:dyDescent="0.2">
      <c r="B202" s="4" t="s">
        <v>146</v>
      </c>
      <c r="C202" s="962" t="s">
        <v>532</v>
      </c>
      <c r="D202" s="963"/>
      <c r="E202" s="963"/>
      <c r="F202" s="963"/>
      <c r="G202" s="963"/>
      <c r="H202" s="963"/>
      <c r="I202" s="963"/>
      <c r="J202" s="963"/>
      <c r="K202" s="963"/>
      <c r="L202" s="963"/>
      <c r="M202" s="963"/>
      <c r="N202" s="963"/>
      <c r="O202" s="964"/>
    </row>
    <row r="203" spans="2:15" ht="6.75" customHeight="1" x14ac:dyDescent="0.2">
      <c r="B203" s="4"/>
      <c r="C203" s="4"/>
      <c r="D203" s="4"/>
      <c r="E203" s="4"/>
      <c r="F203" s="4"/>
      <c r="G203" s="4"/>
      <c r="H203" s="4"/>
      <c r="I203" s="4"/>
    </row>
    <row r="204" spans="2:15" x14ac:dyDescent="0.2">
      <c r="K204" s="58" t="s">
        <v>64</v>
      </c>
      <c r="L204" s="49"/>
      <c r="M204" s="58" t="s">
        <v>65</v>
      </c>
    </row>
    <row r="205" spans="2:15" x14ac:dyDescent="0.2">
      <c r="B205" t="s">
        <v>712</v>
      </c>
      <c r="C205" t="s">
        <v>50</v>
      </c>
      <c r="K205" s="233">
        <f t="shared" ref="K205:K213" si="0">AE252</f>
        <v>0</v>
      </c>
      <c r="L205" s="49"/>
      <c r="M205" s="115"/>
    </row>
    <row r="206" spans="2:15" x14ac:dyDescent="0.2">
      <c r="C206" s="188" t="s">
        <v>1069</v>
      </c>
      <c r="I206" s="1"/>
      <c r="K206" s="84">
        <f t="shared" si="0"/>
        <v>0</v>
      </c>
      <c r="L206" s="95"/>
      <c r="M206" s="84">
        <f t="shared" ref="M206:M213" si="1">AF253</f>
        <v>0</v>
      </c>
    </row>
    <row r="207" spans="2:15" x14ac:dyDescent="0.2">
      <c r="C207" s="137" t="s">
        <v>815</v>
      </c>
      <c r="D207" s="137"/>
      <c r="E207" s="137"/>
      <c r="F207" s="137"/>
      <c r="I207" s="1"/>
      <c r="K207" s="84">
        <f t="shared" si="0"/>
        <v>0</v>
      </c>
      <c r="L207" s="95"/>
      <c r="M207" s="84">
        <f t="shared" si="1"/>
        <v>0</v>
      </c>
    </row>
    <row r="208" spans="2:15" x14ac:dyDescent="0.2">
      <c r="C208" s="137" t="s">
        <v>817</v>
      </c>
      <c r="D208" s="137"/>
      <c r="E208" s="137"/>
      <c r="F208" s="137"/>
      <c r="I208" s="1"/>
      <c r="K208" s="84">
        <f t="shared" si="0"/>
        <v>0</v>
      </c>
      <c r="L208" s="95"/>
      <c r="M208" s="84">
        <f t="shared" si="1"/>
        <v>0</v>
      </c>
    </row>
    <row r="209" spans="3:13" x14ac:dyDescent="0.2">
      <c r="C209" s="137" t="s">
        <v>816</v>
      </c>
      <c r="D209" s="137"/>
      <c r="E209" s="137"/>
      <c r="F209" s="137"/>
      <c r="I209" s="1"/>
      <c r="K209" s="84">
        <f t="shared" si="0"/>
        <v>0</v>
      </c>
      <c r="L209" s="95"/>
      <c r="M209" s="84">
        <f t="shared" si="1"/>
        <v>0</v>
      </c>
    </row>
    <row r="210" spans="3:13" x14ac:dyDescent="0.2">
      <c r="C210" s="137" t="s">
        <v>385</v>
      </c>
      <c r="D210" s="137"/>
      <c r="E210" s="137"/>
      <c r="F210" s="137"/>
      <c r="I210" s="1"/>
      <c r="K210" s="84">
        <f t="shared" si="0"/>
        <v>0</v>
      </c>
      <c r="L210" s="95"/>
      <c r="M210" s="84">
        <f t="shared" si="1"/>
        <v>0</v>
      </c>
    </row>
    <row r="211" spans="3:13" ht="12.75" customHeight="1" x14ac:dyDescent="0.2">
      <c r="C211" s="137" t="s">
        <v>772</v>
      </c>
      <c r="D211" s="137"/>
      <c r="E211" s="137"/>
      <c r="F211" s="137"/>
      <c r="I211" s="1"/>
      <c r="K211" s="84">
        <f t="shared" si="0"/>
        <v>0</v>
      </c>
      <c r="L211" s="95"/>
      <c r="M211" s="84">
        <f t="shared" si="1"/>
        <v>0</v>
      </c>
    </row>
    <row r="212" spans="3:13" x14ac:dyDescent="0.2">
      <c r="C212" s="137" t="s">
        <v>107</v>
      </c>
      <c r="D212" s="137"/>
      <c r="E212" s="137"/>
      <c r="F212" s="137"/>
      <c r="K212" s="84">
        <f t="shared" si="0"/>
        <v>0</v>
      </c>
      <c r="L212" s="95"/>
      <c r="M212" s="84">
        <f t="shared" si="1"/>
        <v>0</v>
      </c>
    </row>
    <row r="213" spans="3:13" x14ac:dyDescent="0.2">
      <c r="C213" s="137" t="s">
        <v>1000</v>
      </c>
      <c r="D213" s="137"/>
      <c r="E213" s="137"/>
      <c r="F213" s="137"/>
      <c r="K213" s="84">
        <f t="shared" si="0"/>
        <v>0</v>
      </c>
      <c r="L213" s="95"/>
      <c r="M213" s="84">
        <f t="shared" si="1"/>
        <v>0</v>
      </c>
    </row>
    <row r="214" spans="3:13" ht="5.25" customHeight="1" x14ac:dyDescent="0.2">
      <c r="C214" s="137"/>
      <c r="D214" s="137"/>
      <c r="E214" s="137"/>
      <c r="F214" s="137"/>
      <c r="K214" s="84"/>
      <c r="L214" s="95"/>
      <c r="M214" s="84"/>
    </row>
    <row r="215" spans="3:13" x14ac:dyDescent="0.2">
      <c r="C215" s="137" t="s">
        <v>752</v>
      </c>
      <c r="E215" s="137"/>
      <c r="F215" s="137"/>
      <c r="K215" s="11">
        <f t="shared" ref="K215:K222" si="2">AE263</f>
        <v>0</v>
      </c>
      <c r="M215" s="11">
        <f t="shared" ref="M215:M222" si="3">AF263</f>
        <v>0</v>
      </c>
    </row>
    <row r="216" spans="3:13" ht="12.75" customHeight="1" x14ac:dyDescent="0.2">
      <c r="C216" s="137" t="s">
        <v>753</v>
      </c>
      <c r="E216" s="137"/>
      <c r="F216" s="137"/>
      <c r="K216" s="11">
        <f t="shared" si="2"/>
        <v>0</v>
      </c>
      <c r="M216" s="11">
        <f t="shared" si="3"/>
        <v>0</v>
      </c>
    </row>
    <row r="217" spans="3:13" ht="12.75" customHeight="1" x14ac:dyDescent="0.2">
      <c r="C217" s="137" t="s">
        <v>754</v>
      </c>
      <c r="E217" s="137"/>
      <c r="F217" s="137"/>
      <c r="K217" s="11">
        <f t="shared" si="2"/>
        <v>0</v>
      </c>
      <c r="M217" s="11">
        <f t="shared" si="3"/>
        <v>0</v>
      </c>
    </row>
    <row r="218" spans="3:13" ht="12.75" customHeight="1" x14ac:dyDescent="0.2">
      <c r="C218" s="137" t="s">
        <v>755</v>
      </c>
      <c r="E218" s="137"/>
      <c r="F218" s="137"/>
      <c r="K218" s="11">
        <f t="shared" si="2"/>
        <v>0</v>
      </c>
      <c r="M218" s="11">
        <f t="shared" si="3"/>
        <v>0</v>
      </c>
    </row>
    <row r="219" spans="3:13" ht="12.75" customHeight="1" x14ac:dyDescent="0.2">
      <c r="C219" s="137" t="s">
        <v>756</v>
      </c>
      <c r="E219" s="137"/>
      <c r="F219" s="137"/>
      <c r="K219" s="11">
        <f t="shared" si="2"/>
        <v>0</v>
      </c>
      <c r="M219" s="11">
        <f t="shared" si="3"/>
        <v>0</v>
      </c>
    </row>
    <row r="220" spans="3:13" ht="12.75" customHeight="1" x14ac:dyDescent="0.2">
      <c r="C220" s="137" t="s">
        <v>757</v>
      </c>
      <c r="E220" s="137"/>
      <c r="F220" s="137"/>
      <c r="K220" s="11">
        <f t="shared" si="2"/>
        <v>0</v>
      </c>
      <c r="M220" s="11">
        <f t="shared" si="3"/>
        <v>0</v>
      </c>
    </row>
    <row r="221" spans="3:13" ht="12.75" customHeight="1" x14ac:dyDescent="0.2">
      <c r="C221" s="137" t="s">
        <v>416</v>
      </c>
      <c r="E221" s="137"/>
      <c r="F221" s="137"/>
      <c r="K221" s="11">
        <f t="shared" si="2"/>
        <v>0</v>
      </c>
      <c r="M221" s="11">
        <f t="shared" si="3"/>
        <v>0</v>
      </c>
    </row>
    <row r="222" spans="3:13" x14ac:dyDescent="0.2">
      <c r="C222" s="466" t="s">
        <v>205</v>
      </c>
      <c r="E222" s="137"/>
      <c r="F222" s="137"/>
      <c r="K222" s="11">
        <f t="shared" si="2"/>
        <v>0</v>
      </c>
      <c r="M222" s="11">
        <f t="shared" si="3"/>
        <v>0</v>
      </c>
    </row>
    <row r="223" spans="3:13" ht="2.25" customHeight="1" x14ac:dyDescent="0.2">
      <c r="C223" s="137"/>
      <c r="D223" s="137"/>
      <c r="E223" s="137"/>
      <c r="F223" s="137"/>
      <c r="K223" s="79"/>
      <c r="M223" s="11"/>
    </row>
    <row r="224" spans="3:13" x14ac:dyDescent="0.2">
      <c r="C224" s="137" t="s">
        <v>127</v>
      </c>
      <c r="E224" s="137"/>
      <c r="F224" s="137"/>
      <c r="K224" s="11">
        <f t="shared" ref="K224:K231" si="4">AE272</f>
        <v>0</v>
      </c>
      <c r="M224" s="11">
        <f t="shared" ref="M224:M231" si="5">AF272</f>
        <v>0</v>
      </c>
    </row>
    <row r="225" spans="3:13" x14ac:dyDescent="0.2">
      <c r="C225" s="137" t="s">
        <v>822</v>
      </c>
      <c r="E225" s="137"/>
      <c r="F225" s="137"/>
      <c r="K225" s="11">
        <f t="shared" si="4"/>
        <v>0</v>
      </c>
      <c r="M225" s="11">
        <f t="shared" si="5"/>
        <v>0</v>
      </c>
    </row>
    <row r="226" spans="3:13" x14ac:dyDescent="0.2">
      <c r="C226" s="137" t="s">
        <v>128</v>
      </c>
      <c r="E226" s="137"/>
      <c r="F226" s="137"/>
      <c r="K226" s="11">
        <f t="shared" si="4"/>
        <v>0</v>
      </c>
      <c r="M226" s="11">
        <f t="shared" si="5"/>
        <v>0</v>
      </c>
    </row>
    <row r="227" spans="3:13" x14ac:dyDescent="0.2">
      <c r="C227" s="137" t="s">
        <v>129</v>
      </c>
      <c r="E227" s="137"/>
      <c r="F227" s="137"/>
      <c r="K227" s="11">
        <f t="shared" si="4"/>
        <v>0</v>
      </c>
      <c r="M227" s="11">
        <f t="shared" si="5"/>
        <v>0</v>
      </c>
    </row>
    <row r="228" spans="3:13" x14ac:dyDescent="0.2">
      <c r="C228" s="137" t="s">
        <v>130</v>
      </c>
      <c r="E228" s="137"/>
      <c r="F228" s="137"/>
      <c r="K228" s="11">
        <f t="shared" si="4"/>
        <v>0</v>
      </c>
      <c r="M228" s="11">
        <f t="shared" si="5"/>
        <v>0</v>
      </c>
    </row>
    <row r="229" spans="3:13" x14ac:dyDescent="0.2">
      <c r="C229" s="137" t="s">
        <v>497</v>
      </c>
      <c r="E229" s="137"/>
      <c r="F229" s="137"/>
      <c r="K229" s="11">
        <f t="shared" si="4"/>
        <v>0</v>
      </c>
      <c r="M229" s="11">
        <f t="shared" si="5"/>
        <v>0</v>
      </c>
    </row>
    <row r="230" spans="3:13" x14ac:dyDescent="0.2">
      <c r="C230" s="137" t="s">
        <v>417</v>
      </c>
      <c r="E230" s="137"/>
      <c r="F230" s="137"/>
      <c r="K230" s="11">
        <f t="shared" si="4"/>
        <v>0</v>
      </c>
      <c r="M230" s="11">
        <f t="shared" si="5"/>
        <v>0</v>
      </c>
    </row>
    <row r="231" spans="3:13" x14ac:dyDescent="0.2">
      <c r="C231" s="466" t="s">
        <v>206</v>
      </c>
      <c r="E231" s="137"/>
      <c r="F231" s="137"/>
      <c r="K231" s="11">
        <f t="shared" si="4"/>
        <v>0</v>
      </c>
      <c r="M231" s="11">
        <f t="shared" si="5"/>
        <v>0</v>
      </c>
    </row>
    <row r="232" spans="3:13" ht="2.25" customHeight="1" x14ac:dyDescent="0.2">
      <c r="C232" s="137"/>
      <c r="D232" s="137"/>
      <c r="E232" s="137"/>
      <c r="F232" s="137"/>
      <c r="K232" s="79"/>
      <c r="M232" s="11"/>
    </row>
    <row r="233" spans="3:13" x14ac:dyDescent="0.2">
      <c r="C233" s="137" t="s">
        <v>661</v>
      </c>
      <c r="E233" s="137"/>
      <c r="F233" s="137"/>
      <c r="K233" s="11">
        <f t="shared" ref="K233:K240" si="6">AE281</f>
        <v>0</v>
      </c>
      <c r="M233" s="11">
        <f t="shared" ref="M233:M240" si="7">AF281</f>
        <v>0</v>
      </c>
    </row>
    <row r="234" spans="3:13" x14ac:dyDescent="0.2">
      <c r="C234" s="137" t="s">
        <v>760</v>
      </c>
      <c r="E234" s="137"/>
      <c r="F234" s="137"/>
      <c r="K234" s="11">
        <f t="shared" si="6"/>
        <v>0</v>
      </c>
      <c r="M234" s="11">
        <f t="shared" si="7"/>
        <v>0</v>
      </c>
    </row>
    <row r="235" spans="3:13" x14ac:dyDescent="0.2">
      <c r="C235" s="137" t="s">
        <v>761</v>
      </c>
      <c r="E235" s="137"/>
      <c r="F235" s="137"/>
      <c r="K235" s="11">
        <f t="shared" si="6"/>
        <v>0</v>
      </c>
      <c r="M235" s="11">
        <f t="shared" si="7"/>
        <v>0</v>
      </c>
    </row>
    <row r="236" spans="3:13" x14ac:dyDescent="0.2">
      <c r="C236" s="137" t="s">
        <v>934</v>
      </c>
      <c r="E236" s="137"/>
      <c r="F236" s="137"/>
      <c r="K236" s="11">
        <f t="shared" si="6"/>
        <v>0</v>
      </c>
      <c r="M236" s="11">
        <f t="shared" si="7"/>
        <v>0</v>
      </c>
    </row>
    <row r="237" spans="3:13" x14ac:dyDescent="0.2">
      <c r="C237" s="137" t="s">
        <v>935</v>
      </c>
      <c r="E237" s="137"/>
      <c r="F237" s="137"/>
      <c r="K237" s="11">
        <f t="shared" si="6"/>
        <v>0</v>
      </c>
      <c r="M237" s="11">
        <f t="shared" si="7"/>
        <v>0</v>
      </c>
    </row>
    <row r="238" spans="3:13" x14ac:dyDescent="0.2">
      <c r="C238" s="137" t="s">
        <v>996</v>
      </c>
      <c r="E238" s="137"/>
      <c r="F238" s="137"/>
      <c r="K238" s="11">
        <f t="shared" si="6"/>
        <v>0</v>
      </c>
      <c r="M238" s="11">
        <f t="shared" si="7"/>
        <v>0</v>
      </c>
    </row>
    <row r="239" spans="3:13" x14ac:dyDescent="0.2">
      <c r="C239" s="137" t="s">
        <v>418</v>
      </c>
      <c r="E239" s="137"/>
      <c r="F239" s="137"/>
      <c r="K239" s="11">
        <f t="shared" si="6"/>
        <v>0</v>
      </c>
      <c r="M239" s="11">
        <f t="shared" si="7"/>
        <v>0</v>
      </c>
    </row>
    <row r="240" spans="3:13" x14ac:dyDescent="0.2">
      <c r="C240" s="466" t="s">
        <v>207</v>
      </c>
      <c r="E240" s="137"/>
      <c r="F240" s="137"/>
      <c r="K240" s="11">
        <f t="shared" si="6"/>
        <v>0</v>
      </c>
      <c r="M240" s="11">
        <f t="shared" si="7"/>
        <v>0</v>
      </c>
    </row>
    <row r="241" spans="2:32" x14ac:dyDescent="0.2">
      <c r="C241" s="137"/>
      <c r="D241" t="s">
        <v>150</v>
      </c>
      <c r="E241" s="137"/>
      <c r="F241" s="137"/>
      <c r="K241" s="11">
        <f>AE261</f>
        <v>0</v>
      </c>
      <c r="M241" s="11">
        <f>AF261</f>
        <v>0</v>
      </c>
    </row>
    <row r="242" spans="2:32" ht="13.5" thickBot="1" x14ac:dyDescent="0.25">
      <c r="K242" s="80">
        <f>SUM(K205:K241)</f>
        <v>0</v>
      </c>
      <c r="L242" s="5"/>
      <c r="M242" s="80">
        <f>SUM(M205:M241)</f>
        <v>0</v>
      </c>
    </row>
    <row r="243" spans="2:32" ht="13.5" thickTop="1" x14ac:dyDescent="0.2"/>
    <row r="244" spans="2:32" x14ac:dyDescent="0.2">
      <c r="C244" s="213" t="s">
        <v>93</v>
      </c>
      <c r="D244" s="2"/>
      <c r="E244" s="2"/>
      <c r="F244" s="2"/>
      <c r="G244" s="2"/>
      <c r="H244" s="2"/>
      <c r="I244" s="2"/>
      <c r="J244" s="2"/>
      <c r="K244" s="2"/>
      <c r="L244" s="2"/>
      <c r="M244" s="2"/>
    </row>
    <row r="247" spans="2:32" x14ac:dyDescent="0.2">
      <c r="B247" s="977" t="s">
        <v>751</v>
      </c>
      <c r="C247" s="978"/>
      <c r="D247" s="978"/>
      <c r="E247" s="978"/>
      <c r="F247" s="978"/>
      <c r="G247" s="978"/>
      <c r="H247" s="978"/>
      <c r="I247" s="978"/>
      <c r="J247" s="978"/>
      <c r="K247" s="978"/>
      <c r="L247" s="978"/>
      <c r="M247" s="978"/>
      <c r="N247" s="978"/>
      <c r="O247" s="978"/>
      <c r="P247" s="978"/>
      <c r="Q247" s="978"/>
      <c r="R247" s="978"/>
      <c r="S247" s="978"/>
      <c r="T247" s="978"/>
      <c r="U247" s="978"/>
      <c r="V247" s="978"/>
      <c r="W247" s="978"/>
      <c r="X247" s="978"/>
      <c r="Y247" s="978"/>
      <c r="Z247" s="978"/>
      <c r="AA247" s="978"/>
      <c r="AB247" s="978"/>
      <c r="AC247" s="978"/>
      <c r="AD247" s="978"/>
    </row>
    <row r="248" spans="2:32" x14ac:dyDescent="0.2">
      <c r="B248" s="977"/>
      <c r="C248" s="978"/>
      <c r="D248" s="978"/>
      <c r="E248" s="978"/>
      <c r="F248" s="978"/>
      <c r="G248" s="978"/>
      <c r="H248" s="978"/>
      <c r="I248" s="978"/>
      <c r="J248" s="978"/>
      <c r="K248" s="978"/>
      <c r="L248" s="978"/>
      <c r="M248" s="978"/>
      <c r="N248" s="978"/>
      <c r="O248" s="978"/>
      <c r="P248" s="978"/>
      <c r="Q248" s="978"/>
      <c r="R248" s="978"/>
      <c r="S248" s="978"/>
      <c r="T248" s="978"/>
      <c r="U248" s="978"/>
      <c r="V248" s="978"/>
      <c r="W248" s="978"/>
      <c r="X248" s="978"/>
      <c r="Y248" s="978"/>
      <c r="Z248" s="978"/>
      <c r="AA248" s="978"/>
      <c r="AB248" s="978"/>
      <c r="AC248" s="978"/>
      <c r="AD248" s="978"/>
    </row>
    <row r="250" spans="2:32" x14ac:dyDescent="0.2">
      <c r="I250" s="975" t="s">
        <v>412</v>
      </c>
      <c r="J250" s="979"/>
      <c r="K250" s="976"/>
      <c r="M250" s="975" t="s">
        <v>245</v>
      </c>
      <c r="N250" s="979"/>
      <c r="O250" s="976"/>
      <c r="Q250" s="975" t="s">
        <v>246</v>
      </c>
      <c r="R250" s="976"/>
      <c r="S250" s="975" t="s">
        <v>247</v>
      </c>
      <c r="T250" s="976"/>
      <c r="U250" s="975" t="s">
        <v>413</v>
      </c>
      <c r="V250" s="976"/>
      <c r="W250" s="975" t="s">
        <v>414</v>
      </c>
      <c r="X250" s="976"/>
      <c r="Y250" s="975" t="s">
        <v>415</v>
      </c>
      <c r="Z250" s="976"/>
      <c r="AA250" s="975" t="s">
        <v>494</v>
      </c>
      <c r="AB250" s="976"/>
      <c r="AC250" s="975" t="s">
        <v>148</v>
      </c>
      <c r="AD250" s="976"/>
      <c r="AE250" s="975" t="s">
        <v>102</v>
      </c>
      <c r="AF250" s="976"/>
    </row>
    <row r="251" spans="2:32" x14ac:dyDescent="0.2">
      <c r="I251" s="71" t="s">
        <v>64</v>
      </c>
      <c r="J251" s="8"/>
      <c r="K251" s="72" t="s">
        <v>65</v>
      </c>
      <c r="M251" s="71" t="s">
        <v>64</v>
      </c>
      <c r="N251" s="3"/>
      <c r="O251" s="72" t="s">
        <v>65</v>
      </c>
      <c r="Q251" s="71" t="s">
        <v>64</v>
      </c>
      <c r="R251" s="72" t="s">
        <v>65</v>
      </c>
      <c r="S251" s="71" t="s">
        <v>64</v>
      </c>
      <c r="T251" s="72" t="s">
        <v>65</v>
      </c>
      <c r="U251" s="3" t="s">
        <v>327</v>
      </c>
      <c r="V251" s="3" t="s">
        <v>65</v>
      </c>
      <c r="W251" s="71" t="s">
        <v>64</v>
      </c>
      <c r="X251" s="72" t="s">
        <v>65</v>
      </c>
      <c r="Y251" s="71" t="s">
        <v>64</v>
      </c>
      <c r="Z251" s="72" t="s">
        <v>65</v>
      </c>
      <c r="AA251" s="71" t="s">
        <v>64</v>
      </c>
      <c r="AB251" s="72" t="s">
        <v>65</v>
      </c>
      <c r="AC251" s="3" t="s">
        <v>327</v>
      </c>
      <c r="AD251" s="3" t="s">
        <v>65</v>
      </c>
      <c r="AE251" s="71" t="s">
        <v>327</v>
      </c>
      <c r="AF251" s="72" t="s">
        <v>65</v>
      </c>
    </row>
    <row r="252" spans="2:32" x14ac:dyDescent="0.2">
      <c r="B252" t="s">
        <v>712</v>
      </c>
      <c r="C252" t="s">
        <v>50</v>
      </c>
      <c r="AC252" s="139">
        <f>K197</f>
        <v>0</v>
      </c>
      <c r="AE252" s="139">
        <f>I252+M252+Q252+S252+U252+W252+Y252+AA252+AC252</f>
        <v>0</v>
      </c>
    </row>
    <row r="253" spans="2:32" x14ac:dyDescent="0.2">
      <c r="C253" s="188" t="s">
        <v>1069</v>
      </c>
      <c r="I253" s="138">
        <f>M29</f>
        <v>0</v>
      </c>
      <c r="J253" s="138"/>
      <c r="K253" s="138"/>
      <c r="L253" s="47"/>
      <c r="M253" s="138">
        <f>M40</f>
        <v>0</v>
      </c>
      <c r="N253" s="138"/>
      <c r="O253" s="138"/>
      <c r="P253" s="47"/>
      <c r="Q253" s="57">
        <f>M51</f>
        <v>0</v>
      </c>
      <c r="R253" s="139"/>
      <c r="S253" s="57">
        <f>M62</f>
        <v>0</v>
      </c>
      <c r="T253" s="139"/>
      <c r="U253" s="139">
        <f>M73</f>
        <v>0</v>
      </c>
      <c r="V253" s="139"/>
      <c r="W253" s="57">
        <f>M79+M82</f>
        <v>0</v>
      </c>
      <c r="X253" s="139">
        <f>M98</f>
        <v>0</v>
      </c>
      <c r="Y253" s="57">
        <f>M116+M119</f>
        <v>0</v>
      </c>
      <c r="Z253" s="139">
        <f>M135</f>
        <v>0</v>
      </c>
      <c r="AA253" s="57">
        <f>M173</f>
        <v>0</v>
      </c>
      <c r="AB253" s="139"/>
      <c r="AD253" s="139"/>
      <c r="AE253" s="139">
        <f t="shared" ref="AE253:AE288" si="8">I253+M253+Q253+S253+U253+W253+Y253+AA253+AC253</f>
        <v>0</v>
      </c>
      <c r="AF253" s="139">
        <f>K253+O253+R253+T253+V253+X253+Z253+AB253+AD253</f>
        <v>0</v>
      </c>
    </row>
    <row r="254" spans="2:32" x14ac:dyDescent="0.2">
      <c r="C254" s="137" t="s">
        <v>815</v>
      </c>
      <c r="D254" s="137"/>
      <c r="E254" s="137"/>
      <c r="F254" s="13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139">
        <f t="shared" si="8"/>
        <v>0</v>
      </c>
      <c r="AF254" s="139">
        <f t="shared" ref="AF254:AF288" si="9">K254+O254+R254+T254+V254+X254+Z254+AB254+AD254</f>
        <v>0</v>
      </c>
    </row>
    <row r="255" spans="2:32" x14ac:dyDescent="0.2">
      <c r="C255" s="137" t="s">
        <v>817</v>
      </c>
      <c r="D255" s="137"/>
      <c r="E255" s="137"/>
      <c r="F255" s="137"/>
      <c r="I255" s="47">
        <f>M26</f>
        <v>0</v>
      </c>
      <c r="J255" s="47"/>
      <c r="K255" s="47">
        <f>M29</f>
        <v>0</v>
      </c>
      <c r="L255" s="47"/>
      <c r="M255" s="47">
        <f>M37</f>
        <v>0</v>
      </c>
      <c r="N255" s="47"/>
      <c r="O255" s="47">
        <f>M40</f>
        <v>0</v>
      </c>
      <c r="P255" s="47"/>
      <c r="Q255" s="47"/>
      <c r="R255" s="47"/>
      <c r="S255" s="47">
        <f>M59</f>
        <v>0</v>
      </c>
      <c r="T255" s="47">
        <f>M62</f>
        <v>0</v>
      </c>
      <c r="U255" s="47">
        <f>M70</f>
        <v>0</v>
      </c>
      <c r="V255" s="47">
        <f>M73</f>
        <v>0</v>
      </c>
      <c r="W255" s="47"/>
      <c r="X255" s="47"/>
      <c r="Y255" s="47"/>
      <c r="Z255" s="47"/>
      <c r="AA255" s="47"/>
      <c r="AB255" s="47"/>
      <c r="AC255" s="47"/>
      <c r="AD255" s="47"/>
      <c r="AE255" s="139">
        <f t="shared" si="8"/>
        <v>0</v>
      </c>
      <c r="AF255" s="139">
        <f t="shared" si="9"/>
        <v>0</v>
      </c>
    </row>
    <row r="256" spans="2:32" x14ac:dyDescent="0.2">
      <c r="C256" s="137" t="s">
        <v>816</v>
      </c>
      <c r="D256" s="137"/>
      <c r="E256" s="137"/>
      <c r="F256" s="137"/>
      <c r="I256" s="47"/>
      <c r="J256" s="47"/>
      <c r="K256" s="47"/>
      <c r="L256" s="47"/>
      <c r="M256" s="47"/>
      <c r="N256" s="47"/>
      <c r="O256" s="47"/>
      <c r="P256" s="47"/>
      <c r="R256" s="47"/>
      <c r="S256" s="47"/>
      <c r="T256" s="47"/>
      <c r="U256" s="47"/>
      <c r="V256" s="47"/>
      <c r="W256" s="47"/>
      <c r="X256" s="47"/>
      <c r="Y256" s="47"/>
      <c r="Z256" s="47"/>
      <c r="AA256" s="47"/>
      <c r="AB256" s="47"/>
      <c r="AC256" s="47"/>
      <c r="AD256" s="47"/>
      <c r="AE256" s="139">
        <f t="shared" si="8"/>
        <v>0</v>
      </c>
      <c r="AF256" s="139">
        <f t="shared" si="9"/>
        <v>0</v>
      </c>
    </row>
    <row r="257" spans="3:32" x14ac:dyDescent="0.2">
      <c r="C257" s="137" t="s">
        <v>385</v>
      </c>
      <c r="D257" s="137"/>
      <c r="E257" s="137"/>
      <c r="F257" s="13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139">
        <f t="shared" si="8"/>
        <v>0</v>
      </c>
      <c r="AF257" s="139">
        <f t="shared" si="9"/>
        <v>0</v>
      </c>
    </row>
    <row r="258" spans="3:32" x14ac:dyDescent="0.2">
      <c r="C258" s="137" t="s">
        <v>772</v>
      </c>
      <c r="D258" s="137"/>
      <c r="E258" s="137"/>
      <c r="F258" s="13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139">
        <f t="shared" si="8"/>
        <v>0</v>
      </c>
      <c r="AF258" s="139">
        <f t="shared" si="9"/>
        <v>0</v>
      </c>
    </row>
    <row r="259" spans="3:32" x14ac:dyDescent="0.2">
      <c r="C259" s="137" t="s">
        <v>107</v>
      </c>
      <c r="D259" s="137"/>
      <c r="E259" s="137"/>
      <c r="F259" s="137"/>
      <c r="I259" s="47"/>
      <c r="J259" s="47"/>
      <c r="K259" s="47"/>
      <c r="L259" s="47"/>
      <c r="M259" s="47"/>
      <c r="N259" s="47"/>
      <c r="O259" s="47"/>
      <c r="P259" s="47"/>
      <c r="Q259" s="47"/>
      <c r="R259" s="47"/>
      <c r="S259" s="47"/>
      <c r="T259" s="47"/>
      <c r="U259" s="47"/>
      <c r="V259" s="47"/>
      <c r="W259" s="47"/>
      <c r="X259" s="47"/>
      <c r="Y259" s="47"/>
      <c r="Z259" s="47"/>
      <c r="AA259" s="47">
        <f>H167</f>
        <v>0</v>
      </c>
      <c r="AB259" s="47">
        <f>H188</f>
        <v>0</v>
      </c>
      <c r="AC259" s="47"/>
      <c r="AD259" s="47"/>
      <c r="AE259" s="139">
        <f t="shared" si="8"/>
        <v>0</v>
      </c>
      <c r="AF259" s="139">
        <f t="shared" si="9"/>
        <v>0</v>
      </c>
    </row>
    <row r="260" spans="3:32" x14ac:dyDescent="0.2">
      <c r="C260" s="137" t="s">
        <v>1000</v>
      </c>
      <c r="D260" s="137"/>
      <c r="E260" s="137"/>
      <c r="F260" s="137"/>
      <c r="I260" s="47"/>
      <c r="J260" s="47"/>
      <c r="K260" s="47"/>
      <c r="L260" s="47"/>
      <c r="M260" s="47"/>
      <c r="N260" s="47"/>
      <c r="O260" s="47"/>
      <c r="P260" s="47"/>
      <c r="Q260" s="47"/>
      <c r="R260" s="47"/>
      <c r="S260" s="47"/>
      <c r="T260" s="47"/>
      <c r="U260" s="47"/>
      <c r="V260" s="47"/>
      <c r="W260" s="47"/>
      <c r="X260" s="47"/>
      <c r="Y260" s="47"/>
      <c r="Z260" s="47"/>
      <c r="AA260" s="47"/>
      <c r="AB260" s="47"/>
      <c r="AC260" s="47">
        <f>K195</f>
        <v>0</v>
      </c>
      <c r="AD260" s="47">
        <f>K197</f>
        <v>0</v>
      </c>
      <c r="AE260" s="139">
        <f t="shared" si="8"/>
        <v>0</v>
      </c>
      <c r="AF260" s="139">
        <f t="shared" si="9"/>
        <v>0</v>
      </c>
    </row>
    <row r="261" spans="3:32" x14ac:dyDescent="0.2">
      <c r="C261" s="137" t="s">
        <v>90</v>
      </c>
      <c r="E261" s="137"/>
      <c r="F261" s="137"/>
      <c r="I261" s="47"/>
      <c r="J261" s="47"/>
      <c r="K261" s="47">
        <f>M26</f>
        <v>0</v>
      </c>
      <c r="L261" s="47"/>
      <c r="M261" s="47"/>
      <c r="N261" s="47"/>
      <c r="O261" s="47">
        <f>M37</f>
        <v>0</v>
      </c>
      <c r="P261" s="47"/>
      <c r="Q261" s="47"/>
      <c r="R261" s="47">
        <f>M48</f>
        <v>0</v>
      </c>
      <c r="S261" s="47"/>
      <c r="T261" s="47">
        <f>M59</f>
        <v>0</v>
      </c>
      <c r="U261" s="47"/>
      <c r="V261" s="47">
        <f>M70</f>
        <v>0</v>
      </c>
      <c r="W261" s="47"/>
      <c r="X261" s="47">
        <f>M79</f>
        <v>0</v>
      </c>
      <c r="Y261" s="47"/>
      <c r="Z261" s="47">
        <f>M116</f>
        <v>0</v>
      </c>
      <c r="AA261" s="47"/>
      <c r="AB261" s="47">
        <f>M155</f>
        <v>0</v>
      </c>
      <c r="AC261" s="47"/>
      <c r="AD261" s="47">
        <f>K195</f>
        <v>0</v>
      </c>
      <c r="AE261" s="139">
        <f t="shared" si="8"/>
        <v>0</v>
      </c>
      <c r="AF261" s="139">
        <f t="shared" si="9"/>
        <v>0</v>
      </c>
    </row>
    <row r="262" spans="3:32" x14ac:dyDescent="0.2">
      <c r="C262" s="137"/>
      <c r="D262" s="137"/>
      <c r="E262" s="137"/>
      <c r="F262" s="13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139">
        <f t="shared" si="8"/>
        <v>0</v>
      </c>
      <c r="AF262" s="139">
        <f t="shared" si="9"/>
        <v>0</v>
      </c>
    </row>
    <row r="263" spans="3:32" x14ac:dyDescent="0.2">
      <c r="C263" s="137" t="s">
        <v>752</v>
      </c>
      <c r="E263" s="137"/>
      <c r="F263" s="137"/>
      <c r="I263" s="47"/>
      <c r="J263" s="47"/>
      <c r="K263" s="47"/>
      <c r="L263" s="47"/>
      <c r="M263" s="47"/>
      <c r="N263" s="47"/>
      <c r="O263" s="47"/>
      <c r="P263" s="47"/>
      <c r="Q263" s="47"/>
      <c r="R263" s="47"/>
      <c r="S263" s="47"/>
      <c r="T263" s="47"/>
      <c r="U263" s="47"/>
      <c r="V263" s="47"/>
      <c r="W263" s="47"/>
      <c r="X263" s="47"/>
      <c r="Y263" s="47">
        <f>K140</f>
        <v>0</v>
      </c>
      <c r="Z263" s="47">
        <f>K124</f>
        <v>0</v>
      </c>
      <c r="AA263" s="47">
        <f t="shared" ref="AA263:AA270" si="10">I159</f>
        <v>0</v>
      </c>
      <c r="AB263" s="47">
        <f t="shared" ref="AB263:AB270" si="11">I180</f>
        <v>0</v>
      </c>
      <c r="AC263" s="47"/>
      <c r="AD263" s="47"/>
      <c r="AE263" s="139">
        <f t="shared" si="8"/>
        <v>0</v>
      </c>
      <c r="AF263" s="139">
        <f t="shared" si="9"/>
        <v>0</v>
      </c>
    </row>
    <row r="264" spans="3:32" x14ac:dyDescent="0.2">
      <c r="C264" s="137" t="s">
        <v>753</v>
      </c>
      <c r="E264" s="137"/>
      <c r="F264" s="137"/>
      <c r="I264" s="47"/>
      <c r="J264" s="47"/>
      <c r="K264" s="47"/>
      <c r="L264" s="47"/>
      <c r="M264" s="47"/>
      <c r="N264" s="47"/>
      <c r="O264" s="47"/>
      <c r="P264" s="47"/>
      <c r="Q264" s="47"/>
      <c r="R264" s="47"/>
      <c r="S264" s="47"/>
      <c r="T264" s="47"/>
      <c r="U264" s="47"/>
      <c r="V264" s="47"/>
      <c r="W264" s="47"/>
      <c r="X264" s="47"/>
      <c r="Y264" s="47"/>
      <c r="Z264" s="47"/>
      <c r="AA264" s="47">
        <f t="shared" si="10"/>
        <v>0</v>
      </c>
      <c r="AB264" s="47">
        <f t="shared" si="11"/>
        <v>0</v>
      </c>
      <c r="AC264" s="47"/>
      <c r="AD264" s="47"/>
      <c r="AE264" s="139">
        <f t="shared" si="8"/>
        <v>0</v>
      </c>
      <c r="AF264" s="139">
        <f t="shared" si="9"/>
        <v>0</v>
      </c>
    </row>
    <row r="265" spans="3:32" x14ac:dyDescent="0.2">
      <c r="C265" s="137" t="s">
        <v>754</v>
      </c>
      <c r="E265" s="137"/>
      <c r="F265" s="137"/>
      <c r="I265" s="47"/>
      <c r="J265" s="47"/>
      <c r="K265" s="47"/>
      <c r="L265" s="47"/>
      <c r="M265" s="47"/>
      <c r="N265" s="47"/>
      <c r="O265" s="47"/>
      <c r="P265" s="47"/>
      <c r="Q265" s="47"/>
      <c r="R265" s="47"/>
      <c r="S265" s="47"/>
      <c r="T265" s="47"/>
      <c r="U265" s="47"/>
      <c r="V265" s="47"/>
      <c r="W265" s="47"/>
      <c r="X265" s="47"/>
      <c r="Y265" s="47">
        <f>K141</f>
        <v>0</v>
      </c>
      <c r="Z265" s="47">
        <f>K125</f>
        <v>0</v>
      </c>
      <c r="AA265" s="47">
        <f t="shared" si="10"/>
        <v>0</v>
      </c>
      <c r="AB265" s="47">
        <f t="shared" si="11"/>
        <v>0</v>
      </c>
      <c r="AC265" s="47"/>
      <c r="AD265" s="47"/>
      <c r="AE265" s="139">
        <f t="shared" si="8"/>
        <v>0</v>
      </c>
      <c r="AF265" s="139">
        <f t="shared" si="9"/>
        <v>0</v>
      </c>
    </row>
    <row r="266" spans="3:32" x14ac:dyDescent="0.2">
      <c r="C266" s="137" t="s">
        <v>755</v>
      </c>
      <c r="E266" s="137"/>
      <c r="F266" s="137"/>
      <c r="I266" s="47"/>
      <c r="J266" s="47"/>
      <c r="K266" s="47"/>
      <c r="L266" s="47"/>
      <c r="M266" s="47"/>
      <c r="N266" s="47"/>
      <c r="O266" s="47"/>
      <c r="P266" s="47"/>
      <c r="Q266" s="47"/>
      <c r="R266" s="47"/>
      <c r="S266" s="47"/>
      <c r="T266" s="47"/>
      <c r="U266" s="47"/>
      <c r="V266" s="47"/>
      <c r="W266" s="47"/>
      <c r="X266" s="47"/>
      <c r="Y266" s="47">
        <f>K142</f>
        <v>0</v>
      </c>
      <c r="Z266" s="47">
        <f>K126</f>
        <v>0</v>
      </c>
      <c r="AA266" s="47">
        <f t="shared" si="10"/>
        <v>0</v>
      </c>
      <c r="AB266" s="47">
        <f t="shared" si="11"/>
        <v>0</v>
      </c>
      <c r="AC266" s="47"/>
      <c r="AD266" s="47"/>
      <c r="AE266" s="139">
        <f t="shared" si="8"/>
        <v>0</v>
      </c>
      <c r="AF266" s="139">
        <f t="shared" si="9"/>
        <v>0</v>
      </c>
    </row>
    <row r="267" spans="3:32" x14ac:dyDescent="0.2">
      <c r="C267" s="137" t="s">
        <v>756</v>
      </c>
      <c r="E267" s="137"/>
      <c r="F267" s="137"/>
      <c r="I267" s="47"/>
      <c r="J267" s="47"/>
      <c r="K267" s="47"/>
      <c r="L267" s="47"/>
      <c r="M267" s="47"/>
      <c r="N267" s="47"/>
      <c r="O267" s="47"/>
      <c r="P267" s="47"/>
      <c r="Q267" s="47"/>
      <c r="R267" s="47"/>
      <c r="S267" s="47"/>
      <c r="T267" s="47"/>
      <c r="U267" s="47"/>
      <c r="V267" s="47"/>
      <c r="W267" s="47"/>
      <c r="X267" s="47"/>
      <c r="Y267" s="47">
        <f>K143</f>
        <v>0</v>
      </c>
      <c r="Z267" s="47">
        <f>K127</f>
        <v>0</v>
      </c>
      <c r="AA267" s="47">
        <f t="shared" si="10"/>
        <v>0</v>
      </c>
      <c r="AB267" s="47">
        <f t="shared" si="11"/>
        <v>0</v>
      </c>
      <c r="AC267" s="47"/>
      <c r="AD267" s="47"/>
      <c r="AE267" s="139">
        <f t="shared" si="8"/>
        <v>0</v>
      </c>
      <c r="AF267" s="139">
        <f t="shared" si="9"/>
        <v>0</v>
      </c>
    </row>
    <row r="268" spans="3:32" x14ac:dyDescent="0.2">
      <c r="C268" s="137" t="s">
        <v>757</v>
      </c>
      <c r="E268" s="137"/>
      <c r="F268" s="137"/>
      <c r="I268" s="47"/>
      <c r="J268" s="47"/>
      <c r="K268" s="47"/>
      <c r="L268" s="47"/>
      <c r="M268" s="47"/>
      <c r="N268" s="47"/>
      <c r="O268" s="47"/>
      <c r="P268" s="47"/>
      <c r="Q268" s="47"/>
      <c r="R268" s="47"/>
      <c r="S268" s="47"/>
      <c r="T268" s="47"/>
      <c r="U268" s="47"/>
      <c r="V268" s="47"/>
      <c r="W268" s="47"/>
      <c r="X268" s="47"/>
      <c r="Y268" s="47"/>
      <c r="Z268" s="47"/>
      <c r="AA268" s="47">
        <f t="shared" si="10"/>
        <v>0</v>
      </c>
      <c r="AB268" s="47">
        <f t="shared" si="11"/>
        <v>0</v>
      </c>
      <c r="AC268" s="47"/>
      <c r="AD268" s="47"/>
      <c r="AE268" s="139">
        <f t="shared" si="8"/>
        <v>0</v>
      </c>
      <c r="AF268" s="139">
        <f t="shared" si="9"/>
        <v>0</v>
      </c>
    </row>
    <row r="269" spans="3:32" x14ac:dyDescent="0.2">
      <c r="C269" s="137" t="s">
        <v>416</v>
      </c>
      <c r="E269" s="137"/>
      <c r="F269" s="137"/>
      <c r="I269" s="47"/>
      <c r="J269" s="47"/>
      <c r="K269" s="47"/>
      <c r="L269" s="47"/>
      <c r="M269" s="47"/>
      <c r="N269" s="47"/>
      <c r="O269" s="47"/>
      <c r="P269" s="47"/>
      <c r="Q269" s="47"/>
      <c r="R269" s="47"/>
      <c r="S269" s="47"/>
      <c r="T269" s="47"/>
      <c r="U269" s="47"/>
      <c r="V269" s="47"/>
      <c r="W269" s="47"/>
      <c r="X269" s="47"/>
      <c r="Y269" s="47">
        <f>K144</f>
        <v>0</v>
      </c>
      <c r="Z269" s="47">
        <f>K128</f>
        <v>0</v>
      </c>
      <c r="AA269" s="47">
        <f t="shared" si="10"/>
        <v>0</v>
      </c>
      <c r="AB269" s="47">
        <f t="shared" si="11"/>
        <v>0</v>
      </c>
      <c r="AC269" s="47"/>
      <c r="AD269" s="47"/>
      <c r="AE269" s="139">
        <f t="shared" si="8"/>
        <v>0</v>
      </c>
      <c r="AF269" s="139">
        <f t="shared" si="9"/>
        <v>0</v>
      </c>
    </row>
    <row r="270" spans="3:32" x14ac:dyDescent="0.2">
      <c r="C270" s="466" t="s">
        <v>205</v>
      </c>
      <c r="E270" s="137"/>
      <c r="F270" s="137"/>
      <c r="I270" s="47"/>
      <c r="J270" s="47"/>
      <c r="K270" s="47"/>
      <c r="L270" s="47"/>
      <c r="M270" s="47"/>
      <c r="N270" s="47"/>
      <c r="O270" s="47"/>
      <c r="P270" s="47"/>
      <c r="Q270" s="47"/>
      <c r="R270" s="47"/>
      <c r="S270" s="47"/>
      <c r="T270" s="47"/>
      <c r="U270" s="47"/>
      <c r="V270" s="47"/>
      <c r="W270" s="47"/>
      <c r="X270" s="47"/>
      <c r="Y270" s="47">
        <f>K145</f>
        <v>0</v>
      </c>
      <c r="Z270" s="47">
        <f>K129</f>
        <v>0</v>
      </c>
      <c r="AA270" s="47">
        <f t="shared" si="10"/>
        <v>0</v>
      </c>
      <c r="AB270" s="47">
        <f t="shared" si="11"/>
        <v>0</v>
      </c>
      <c r="AC270" s="47"/>
      <c r="AD270" s="47"/>
      <c r="AE270" s="139">
        <f t="shared" si="8"/>
        <v>0</v>
      </c>
      <c r="AF270" s="139">
        <f t="shared" si="9"/>
        <v>0</v>
      </c>
    </row>
    <row r="271" spans="3:32" x14ac:dyDescent="0.2">
      <c r="C271" s="137"/>
      <c r="D271" s="137"/>
      <c r="E271" s="137"/>
      <c r="F271" s="13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139">
        <f t="shared" si="8"/>
        <v>0</v>
      </c>
      <c r="AF271" s="139">
        <f t="shared" si="9"/>
        <v>0</v>
      </c>
    </row>
    <row r="272" spans="3:32" x14ac:dyDescent="0.2">
      <c r="C272" s="137" t="s">
        <v>127</v>
      </c>
      <c r="E272" s="137"/>
      <c r="F272" s="137"/>
      <c r="I272" s="47"/>
      <c r="J272" s="47"/>
      <c r="K272" s="47"/>
      <c r="L272" s="47"/>
      <c r="M272" s="47"/>
      <c r="N272" s="47"/>
      <c r="O272" s="47"/>
      <c r="P272" s="47"/>
      <c r="Q272" s="47"/>
      <c r="R272" s="47"/>
      <c r="S272" s="47"/>
      <c r="T272" s="47"/>
      <c r="U272" s="47"/>
      <c r="V272" s="47"/>
      <c r="W272" s="47"/>
      <c r="X272" s="47"/>
      <c r="Y272" s="47"/>
      <c r="Z272" s="47"/>
      <c r="AA272" s="47">
        <f t="shared" ref="AA272:AA279" si="12">K159</f>
        <v>0</v>
      </c>
      <c r="AB272" s="47">
        <f t="shared" ref="AB272:AB279" si="13">K180</f>
        <v>0</v>
      </c>
      <c r="AC272" s="47"/>
      <c r="AD272" s="47"/>
      <c r="AE272" s="139">
        <f t="shared" si="8"/>
        <v>0</v>
      </c>
      <c r="AF272" s="139">
        <f t="shared" si="9"/>
        <v>0</v>
      </c>
    </row>
    <row r="273" spans="3:32" x14ac:dyDescent="0.2">
      <c r="C273" s="137" t="s">
        <v>822</v>
      </c>
      <c r="E273" s="137"/>
      <c r="F273" s="137"/>
      <c r="I273" s="47"/>
      <c r="J273" s="47"/>
      <c r="K273" s="47"/>
      <c r="L273" s="47"/>
      <c r="M273" s="47"/>
      <c r="N273" s="47"/>
      <c r="O273" s="47"/>
      <c r="P273" s="47"/>
      <c r="Q273" s="47">
        <f>M48</f>
        <v>0</v>
      </c>
      <c r="R273" s="47">
        <f>M51</f>
        <v>0</v>
      </c>
      <c r="S273" s="47"/>
      <c r="T273" s="47"/>
      <c r="U273" s="47"/>
      <c r="V273" s="47"/>
      <c r="W273" s="47"/>
      <c r="X273" s="47"/>
      <c r="Y273" s="47"/>
      <c r="Z273" s="47"/>
      <c r="AA273" s="47">
        <f t="shared" si="12"/>
        <v>0</v>
      </c>
      <c r="AB273" s="47">
        <f t="shared" si="13"/>
        <v>0</v>
      </c>
      <c r="AC273" s="47"/>
      <c r="AD273" s="47"/>
      <c r="AE273" s="139">
        <f t="shared" si="8"/>
        <v>0</v>
      </c>
      <c r="AF273" s="139">
        <f t="shared" si="9"/>
        <v>0</v>
      </c>
    </row>
    <row r="274" spans="3:32" x14ac:dyDescent="0.2">
      <c r="C274" s="137" t="s">
        <v>128</v>
      </c>
      <c r="E274" s="137"/>
      <c r="F274" s="137"/>
      <c r="I274" s="47"/>
      <c r="J274" s="47"/>
      <c r="K274" s="47"/>
      <c r="L274" s="47"/>
      <c r="M274" s="47"/>
      <c r="N274" s="47"/>
      <c r="O274" s="47"/>
      <c r="P274" s="47"/>
      <c r="Q274" s="47"/>
      <c r="R274" s="47"/>
      <c r="S274" s="47"/>
      <c r="T274" s="47"/>
      <c r="U274" s="47"/>
      <c r="V274" s="47"/>
      <c r="W274" s="47"/>
      <c r="X274" s="47"/>
      <c r="Y274" s="47"/>
      <c r="Z274" s="47"/>
      <c r="AA274" s="47">
        <f t="shared" si="12"/>
        <v>0</v>
      </c>
      <c r="AB274" s="47">
        <f t="shared" si="13"/>
        <v>0</v>
      </c>
      <c r="AC274" s="47"/>
      <c r="AD274" s="47"/>
      <c r="AE274" s="139">
        <f t="shared" si="8"/>
        <v>0</v>
      </c>
      <c r="AF274" s="139">
        <f t="shared" si="9"/>
        <v>0</v>
      </c>
    </row>
    <row r="275" spans="3:32" x14ac:dyDescent="0.2">
      <c r="C275" s="137" t="s">
        <v>129</v>
      </c>
      <c r="E275" s="137"/>
      <c r="F275" s="137"/>
      <c r="I275" s="47"/>
      <c r="J275" s="47"/>
      <c r="K275" s="47"/>
      <c r="L275" s="47"/>
      <c r="M275" s="47"/>
      <c r="N275" s="47"/>
      <c r="O275" s="47"/>
      <c r="P275" s="47"/>
      <c r="Q275" s="47"/>
      <c r="R275" s="47"/>
      <c r="S275" s="47"/>
      <c r="T275" s="47"/>
      <c r="U275" s="47"/>
      <c r="V275" s="47"/>
      <c r="W275" s="47"/>
      <c r="X275" s="47"/>
      <c r="Y275" s="47"/>
      <c r="Z275" s="47"/>
      <c r="AA275" s="47">
        <f t="shared" si="12"/>
        <v>0</v>
      </c>
      <c r="AB275" s="47">
        <f t="shared" si="13"/>
        <v>0</v>
      </c>
      <c r="AC275" s="47"/>
      <c r="AD275" s="47"/>
      <c r="AE275" s="139">
        <f t="shared" si="8"/>
        <v>0</v>
      </c>
      <c r="AF275" s="139">
        <f t="shared" si="9"/>
        <v>0</v>
      </c>
    </row>
    <row r="276" spans="3:32" x14ac:dyDescent="0.2">
      <c r="C276" s="137" t="s">
        <v>130</v>
      </c>
      <c r="E276" s="137"/>
      <c r="F276" s="137"/>
      <c r="I276" s="47"/>
      <c r="J276" s="47"/>
      <c r="K276" s="47"/>
      <c r="L276" s="47"/>
      <c r="M276" s="47"/>
      <c r="N276" s="47"/>
      <c r="O276" s="47"/>
      <c r="P276" s="47"/>
      <c r="Q276" s="47"/>
      <c r="R276" s="47"/>
      <c r="S276" s="47"/>
      <c r="T276" s="47"/>
      <c r="U276" s="47"/>
      <c r="V276" s="47"/>
      <c r="W276" s="47"/>
      <c r="X276" s="47"/>
      <c r="Y276" s="47"/>
      <c r="Z276" s="47"/>
      <c r="AA276" s="47">
        <f t="shared" si="12"/>
        <v>0</v>
      </c>
      <c r="AB276" s="47">
        <f t="shared" si="13"/>
        <v>0</v>
      </c>
      <c r="AC276" s="47"/>
      <c r="AD276" s="47"/>
      <c r="AE276" s="139">
        <f t="shared" si="8"/>
        <v>0</v>
      </c>
      <c r="AF276" s="139">
        <f t="shared" si="9"/>
        <v>0</v>
      </c>
    </row>
    <row r="277" spans="3:32" x14ac:dyDescent="0.2">
      <c r="C277" s="137" t="s">
        <v>497</v>
      </c>
      <c r="E277" s="137"/>
      <c r="F277" s="137"/>
      <c r="I277" s="47"/>
      <c r="J277" s="47"/>
      <c r="K277" s="47"/>
      <c r="L277" s="47"/>
      <c r="M277" s="47"/>
      <c r="N277" s="47"/>
      <c r="O277" s="47"/>
      <c r="P277" s="47"/>
      <c r="Q277" s="47"/>
      <c r="R277" s="47"/>
      <c r="S277" s="47"/>
      <c r="T277" s="47"/>
      <c r="U277" s="47"/>
      <c r="V277" s="47"/>
      <c r="W277" s="47"/>
      <c r="X277" s="47"/>
      <c r="Y277" s="47"/>
      <c r="Z277" s="47"/>
      <c r="AA277" s="47">
        <f t="shared" si="12"/>
        <v>0</v>
      </c>
      <c r="AB277" s="47">
        <f t="shared" si="13"/>
        <v>0</v>
      </c>
      <c r="AC277" s="47"/>
      <c r="AD277" s="47"/>
      <c r="AE277" s="139">
        <f t="shared" si="8"/>
        <v>0</v>
      </c>
      <c r="AF277" s="139">
        <f t="shared" si="9"/>
        <v>0</v>
      </c>
    </row>
    <row r="278" spans="3:32" x14ac:dyDescent="0.2">
      <c r="C278" s="137" t="s">
        <v>417</v>
      </c>
      <c r="E278" s="137"/>
      <c r="F278" s="137"/>
      <c r="I278" s="47"/>
      <c r="J278" s="47"/>
      <c r="K278" s="47"/>
      <c r="L278" s="47"/>
      <c r="M278" s="47"/>
      <c r="N278" s="47"/>
      <c r="O278" s="47"/>
      <c r="P278" s="47"/>
      <c r="Q278" s="47"/>
      <c r="R278" s="47"/>
      <c r="S278" s="47"/>
      <c r="T278" s="47"/>
      <c r="U278" s="47"/>
      <c r="V278" s="47"/>
      <c r="W278" s="47"/>
      <c r="X278" s="47"/>
      <c r="Y278" s="47"/>
      <c r="Z278" s="47"/>
      <c r="AA278" s="47">
        <f t="shared" si="12"/>
        <v>0</v>
      </c>
      <c r="AB278" s="47">
        <f t="shared" si="13"/>
        <v>0</v>
      </c>
      <c r="AC278" s="47"/>
      <c r="AD278" s="47"/>
      <c r="AE278" s="139">
        <f t="shared" si="8"/>
        <v>0</v>
      </c>
      <c r="AF278" s="139">
        <f t="shared" si="9"/>
        <v>0</v>
      </c>
    </row>
    <row r="279" spans="3:32" x14ac:dyDescent="0.2">
      <c r="C279" s="466" t="s">
        <v>206</v>
      </c>
      <c r="E279" s="137"/>
      <c r="F279" s="137"/>
      <c r="I279" s="47"/>
      <c r="J279" s="47"/>
      <c r="K279" s="47"/>
      <c r="L279" s="47"/>
      <c r="M279" s="47"/>
      <c r="N279" s="47"/>
      <c r="O279" s="47"/>
      <c r="P279" s="47"/>
      <c r="Q279" s="47"/>
      <c r="R279" s="47"/>
      <c r="S279" s="47"/>
      <c r="T279" s="47"/>
      <c r="U279" s="47"/>
      <c r="V279" s="47"/>
      <c r="W279" s="47"/>
      <c r="X279" s="47"/>
      <c r="Y279" s="47"/>
      <c r="Z279" s="47"/>
      <c r="AA279" s="47">
        <f t="shared" si="12"/>
        <v>0</v>
      </c>
      <c r="AB279" s="47">
        <f t="shared" si="13"/>
        <v>0</v>
      </c>
      <c r="AC279" s="47"/>
      <c r="AD279" s="47"/>
      <c r="AE279" s="139">
        <f t="shared" si="8"/>
        <v>0</v>
      </c>
      <c r="AF279" s="139">
        <f t="shared" si="9"/>
        <v>0</v>
      </c>
    </row>
    <row r="280" spans="3:32" x14ac:dyDescent="0.2">
      <c r="C280" s="137"/>
      <c r="D280" s="137"/>
      <c r="E280" s="137"/>
      <c r="F280" s="13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139">
        <f t="shared" si="8"/>
        <v>0</v>
      </c>
      <c r="AF280" s="139">
        <f t="shared" si="9"/>
        <v>0</v>
      </c>
    </row>
    <row r="281" spans="3:32" x14ac:dyDescent="0.2">
      <c r="C281" s="137" t="s">
        <v>661</v>
      </c>
      <c r="E281" s="137"/>
      <c r="F281" s="137"/>
      <c r="I281" s="47"/>
      <c r="J281" s="47"/>
      <c r="K281" s="47"/>
      <c r="L281" s="47"/>
      <c r="M281" s="47"/>
      <c r="N281" s="47"/>
      <c r="O281" s="47"/>
      <c r="P281" s="47"/>
      <c r="Q281" s="47"/>
      <c r="R281" s="47"/>
      <c r="S281" s="47"/>
      <c r="T281" s="47"/>
      <c r="U281" s="47"/>
      <c r="V281" s="47"/>
      <c r="W281" s="47">
        <f>K103</f>
        <v>0</v>
      </c>
      <c r="X281" s="47">
        <f>K87</f>
        <v>0</v>
      </c>
      <c r="Y281" s="47"/>
      <c r="Z281" s="47"/>
      <c r="AA281" s="47">
        <f t="shared" ref="AA281:AA288" si="14">M159</f>
        <v>0</v>
      </c>
      <c r="AB281" s="47">
        <f t="shared" ref="AB281:AB288" si="15">M180</f>
        <v>0</v>
      </c>
      <c r="AC281" s="47"/>
      <c r="AD281" s="47"/>
      <c r="AE281" s="139">
        <f t="shared" si="8"/>
        <v>0</v>
      </c>
      <c r="AF281" s="139">
        <f t="shared" si="9"/>
        <v>0</v>
      </c>
    </row>
    <row r="282" spans="3:32" x14ac:dyDescent="0.2">
      <c r="C282" s="137" t="s">
        <v>760</v>
      </c>
      <c r="E282" s="137"/>
      <c r="F282" s="137"/>
      <c r="I282" s="47"/>
      <c r="J282" s="47"/>
      <c r="K282" s="47"/>
      <c r="L282" s="47"/>
      <c r="M282" s="47"/>
      <c r="N282" s="47"/>
      <c r="O282" s="47"/>
      <c r="P282" s="47"/>
      <c r="Q282" s="47"/>
      <c r="R282" s="47"/>
      <c r="S282" s="47"/>
      <c r="T282" s="47"/>
      <c r="U282" s="47"/>
      <c r="V282" s="47"/>
      <c r="W282" s="47"/>
      <c r="X282" s="47"/>
      <c r="Y282" s="47"/>
      <c r="Z282" s="47"/>
      <c r="AA282" s="47">
        <f t="shared" si="14"/>
        <v>0</v>
      </c>
      <c r="AB282" s="47">
        <f t="shared" si="15"/>
        <v>0</v>
      </c>
      <c r="AC282" s="47"/>
      <c r="AD282" s="47"/>
      <c r="AE282" s="139">
        <f t="shared" si="8"/>
        <v>0</v>
      </c>
      <c r="AF282" s="139">
        <f t="shared" si="9"/>
        <v>0</v>
      </c>
    </row>
    <row r="283" spans="3:32" x14ac:dyDescent="0.2">
      <c r="C283" s="137" t="s">
        <v>761</v>
      </c>
      <c r="E283" s="137"/>
      <c r="F283" s="137"/>
      <c r="I283" s="47"/>
      <c r="J283" s="47"/>
      <c r="K283" s="47"/>
      <c r="L283" s="47"/>
      <c r="M283" s="47"/>
      <c r="N283" s="47"/>
      <c r="O283" s="47"/>
      <c r="P283" s="47"/>
      <c r="Q283" s="47"/>
      <c r="R283" s="47"/>
      <c r="S283" s="47"/>
      <c r="T283" s="47"/>
      <c r="U283" s="47"/>
      <c r="V283" s="47"/>
      <c r="W283" s="47">
        <f>K104</f>
        <v>0</v>
      </c>
      <c r="X283" s="47">
        <f>K88</f>
        <v>0</v>
      </c>
      <c r="Y283" s="47"/>
      <c r="Z283" s="47"/>
      <c r="AA283" s="47">
        <f t="shared" si="14"/>
        <v>0</v>
      </c>
      <c r="AB283" s="47">
        <f t="shared" si="15"/>
        <v>0</v>
      </c>
      <c r="AC283" s="47"/>
      <c r="AD283" s="47"/>
      <c r="AE283" s="139">
        <f t="shared" si="8"/>
        <v>0</v>
      </c>
      <c r="AF283" s="139">
        <f t="shared" si="9"/>
        <v>0</v>
      </c>
    </row>
    <row r="284" spans="3:32" x14ac:dyDescent="0.2">
      <c r="C284" s="137" t="s">
        <v>934</v>
      </c>
      <c r="E284" s="137"/>
      <c r="F284" s="137"/>
      <c r="I284" s="47"/>
      <c r="J284" s="47"/>
      <c r="K284" s="47"/>
      <c r="L284" s="47"/>
      <c r="M284" s="47"/>
      <c r="N284" s="47"/>
      <c r="O284" s="47"/>
      <c r="P284" s="47"/>
      <c r="Q284" s="47"/>
      <c r="R284" s="47"/>
      <c r="S284" s="47"/>
      <c r="T284" s="47"/>
      <c r="U284" s="47"/>
      <c r="V284" s="47"/>
      <c r="W284" s="47">
        <f>K105</f>
        <v>0</v>
      </c>
      <c r="X284" s="47">
        <f>K89</f>
        <v>0</v>
      </c>
      <c r="Y284" s="47"/>
      <c r="Z284" s="47"/>
      <c r="AA284" s="47">
        <f t="shared" si="14"/>
        <v>0</v>
      </c>
      <c r="AB284" s="47">
        <f t="shared" si="15"/>
        <v>0</v>
      </c>
      <c r="AC284" s="47"/>
      <c r="AD284" s="47"/>
      <c r="AE284" s="139">
        <f t="shared" si="8"/>
        <v>0</v>
      </c>
      <c r="AF284" s="139">
        <f t="shared" si="9"/>
        <v>0</v>
      </c>
    </row>
    <row r="285" spans="3:32" x14ac:dyDescent="0.2">
      <c r="C285" s="137" t="s">
        <v>935</v>
      </c>
      <c r="E285" s="137"/>
      <c r="F285" s="137"/>
      <c r="I285" s="47"/>
      <c r="J285" s="47"/>
      <c r="K285" s="47"/>
      <c r="L285" s="47"/>
      <c r="M285" s="47"/>
      <c r="N285" s="47"/>
      <c r="O285" s="47"/>
      <c r="P285" s="47"/>
      <c r="Q285" s="47"/>
      <c r="R285" s="47"/>
      <c r="S285" s="47"/>
      <c r="T285" s="47"/>
      <c r="U285" s="47"/>
      <c r="V285" s="47"/>
      <c r="W285" s="47">
        <f>K106</f>
        <v>0</v>
      </c>
      <c r="X285" s="47">
        <f>K90</f>
        <v>0</v>
      </c>
      <c r="Y285" s="47"/>
      <c r="Z285" s="47"/>
      <c r="AA285" s="47">
        <f t="shared" si="14"/>
        <v>0</v>
      </c>
      <c r="AB285" s="47">
        <f t="shared" si="15"/>
        <v>0</v>
      </c>
      <c r="AC285" s="47"/>
      <c r="AD285" s="47"/>
      <c r="AE285" s="139">
        <f t="shared" si="8"/>
        <v>0</v>
      </c>
      <c r="AF285" s="139">
        <f t="shared" si="9"/>
        <v>0</v>
      </c>
    </row>
    <row r="286" spans="3:32" x14ac:dyDescent="0.2">
      <c r="C286" s="137" t="s">
        <v>996</v>
      </c>
      <c r="E286" s="137"/>
      <c r="F286" s="137"/>
      <c r="I286" s="47"/>
      <c r="J286" s="47"/>
      <c r="K286" s="47"/>
      <c r="L286" s="47"/>
      <c r="M286" s="47"/>
      <c r="N286" s="47"/>
      <c r="O286" s="47"/>
      <c r="P286" s="47"/>
      <c r="Q286" s="47"/>
      <c r="R286" s="47"/>
      <c r="S286" s="47"/>
      <c r="T286" s="47"/>
      <c r="U286" s="47"/>
      <c r="V286" s="47"/>
      <c r="W286" s="47"/>
      <c r="X286" s="47"/>
      <c r="Y286" s="47"/>
      <c r="Z286" s="47"/>
      <c r="AA286" s="47">
        <f t="shared" si="14"/>
        <v>0</v>
      </c>
      <c r="AB286" s="47">
        <f t="shared" si="15"/>
        <v>0</v>
      </c>
      <c r="AC286" s="47"/>
      <c r="AD286" s="47"/>
      <c r="AE286" s="139">
        <f t="shared" si="8"/>
        <v>0</v>
      </c>
      <c r="AF286" s="139">
        <f t="shared" si="9"/>
        <v>0</v>
      </c>
    </row>
    <row r="287" spans="3:32" x14ac:dyDescent="0.2">
      <c r="C287" s="137" t="s">
        <v>418</v>
      </c>
      <c r="E287" s="137"/>
      <c r="F287" s="137"/>
      <c r="I287" s="47"/>
      <c r="J287" s="47"/>
      <c r="K287" s="47"/>
      <c r="L287" s="47"/>
      <c r="M287" s="47"/>
      <c r="N287" s="47"/>
      <c r="O287" s="47"/>
      <c r="P287" s="47"/>
      <c r="Q287" s="47"/>
      <c r="R287" s="47"/>
      <c r="S287" s="47"/>
      <c r="T287" s="47"/>
      <c r="U287" s="47"/>
      <c r="V287" s="47"/>
      <c r="W287" s="47">
        <f>K107</f>
        <v>0</v>
      </c>
      <c r="X287" s="47">
        <f>K91</f>
        <v>0</v>
      </c>
      <c r="Y287" s="47"/>
      <c r="Z287" s="47"/>
      <c r="AA287" s="47">
        <f t="shared" si="14"/>
        <v>0</v>
      </c>
      <c r="AB287" s="47">
        <f t="shared" si="15"/>
        <v>0</v>
      </c>
      <c r="AC287" s="47"/>
      <c r="AD287" s="47"/>
      <c r="AE287" s="139">
        <f t="shared" si="8"/>
        <v>0</v>
      </c>
      <c r="AF287" s="139">
        <f t="shared" si="9"/>
        <v>0</v>
      </c>
    </row>
    <row r="288" spans="3:32" x14ac:dyDescent="0.2">
      <c r="C288" s="466" t="s">
        <v>207</v>
      </c>
      <c r="E288" s="137"/>
      <c r="F288" s="137"/>
      <c r="I288" s="47"/>
      <c r="J288" s="47"/>
      <c r="K288" s="47"/>
      <c r="L288" s="47"/>
      <c r="M288" s="47"/>
      <c r="N288" s="47"/>
      <c r="O288" s="47"/>
      <c r="P288" s="47"/>
      <c r="Q288" s="47"/>
      <c r="R288" s="47"/>
      <c r="S288" s="47"/>
      <c r="T288" s="47"/>
      <c r="U288" s="47"/>
      <c r="V288" s="47"/>
      <c r="W288" s="47">
        <f>K108</f>
        <v>0</v>
      </c>
      <c r="X288" s="47">
        <f>K92</f>
        <v>0</v>
      </c>
      <c r="Y288" s="47"/>
      <c r="Z288" s="47"/>
      <c r="AA288" s="47">
        <f t="shared" si="14"/>
        <v>0</v>
      </c>
      <c r="AB288" s="47">
        <f t="shared" si="15"/>
        <v>0</v>
      </c>
      <c r="AC288" s="47"/>
      <c r="AD288" s="47"/>
      <c r="AE288" s="139">
        <f t="shared" si="8"/>
        <v>0</v>
      </c>
      <c r="AF288" s="139">
        <f t="shared" si="9"/>
        <v>0</v>
      </c>
    </row>
    <row r="289" spans="9:32" ht="13.5" thickBot="1" x14ac:dyDescent="0.25">
      <c r="I289" s="48">
        <f>SUM(I253:I286)</f>
        <v>0</v>
      </c>
      <c r="J289" s="47"/>
      <c r="K289" s="48">
        <f>SUM(K253:K286)</f>
        <v>0</v>
      </c>
      <c r="L289" s="48">
        <f>SUM(L254:L286)</f>
        <v>0</v>
      </c>
      <c r="M289" s="48">
        <f>SUM(M253:M286)</f>
        <v>0</v>
      </c>
      <c r="N289" s="57"/>
      <c r="O289" s="48">
        <f>SUM(O253:O286)</f>
        <v>0</v>
      </c>
      <c r="P289" s="57"/>
      <c r="Q289" s="48">
        <f t="shared" ref="Q289:V289" si="16">SUM(Q253:Q286)</f>
        <v>0</v>
      </c>
      <c r="R289" s="48">
        <f t="shared" si="16"/>
        <v>0</v>
      </c>
      <c r="S289" s="48">
        <f t="shared" si="16"/>
        <v>0</v>
      </c>
      <c r="T289" s="48">
        <f t="shared" si="16"/>
        <v>0</v>
      </c>
      <c r="U289" s="48">
        <f t="shared" si="16"/>
        <v>0</v>
      </c>
      <c r="V289" s="48">
        <f t="shared" si="16"/>
        <v>0</v>
      </c>
      <c r="W289" s="48">
        <f t="shared" ref="W289:AB289" si="17">SUM(W253:W288)</f>
        <v>0</v>
      </c>
      <c r="X289" s="48">
        <f t="shared" si="17"/>
        <v>0</v>
      </c>
      <c r="Y289" s="48">
        <f t="shared" si="17"/>
        <v>0</v>
      </c>
      <c r="Z289" s="48">
        <f t="shared" si="17"/>
        <v>0</v>
      </c>
      <c r="AA289" s="48">
        <f t="shared" si="17"/>
        <v>0</v>
      </c>
      <c r="AB289" s="48">
        <f t="shared" si="17"/>
        <v>0</v>
      </c>
      <c r="AC289" s="48">
        <f>SUM(AC252:AC288)</f>
        <v>0</v>
      </c>
      <c r="AD289" s="48">
        <f>SUM(AD253:AD288)</f>
        <v>0</v>
      </c>
      <c r="AE289" s="48">
        <f>SUM(AE252:AE288)</f>
        <v>0</v>
      </c>
      <c r="AF289" s="48">
        <f>SUM(AF252:AF288)</f>
        <v>0</v>
      </c>
    </row>
    <row r="290" spans="9:32" ht="13.5" thickTop="1" x14ac:dyDescent="0.2"/>
  </sheetData>
  <mergeCells count="75">
    <mergeCell ref="C193:O193"/>
    <mergeCell ref="D26:K27"/>
    <mergeCell ref="D29:K30"/>
    <mergeCell ref="C76:O76"/>
    <mergeCell ref="D51:K52"/>
    <mergeCell ref="M51:M52"/>
    <mergeCell ref="M59:M60"/>
    <mergeCell ref="C66:O66"/>
    <mergeCell ref="O185:O187"/>
    <mergeCell ref="D119:K119"/>
    <mergeCell ref="C55:O55"/>
    <mergeCell ref="D59:K60"/>
    <mergeCell ref="C33:O33"/>
    <mergeCell ref="M26:M27"/>
    <mergeCell ref="D132:K133"/>
    <mergeCell ref="M132:M133"/>
    <mergeCell ref="C4:O4"/>
    <mergeCell ref="B2:O2"/>
    <mergeCell ref="C8:O8"/>
    <mergeCell ref="C22:O22"/>
    <mergeCell ref="D10:O11"/>
    <mergeCell ref="D13:O14"/>
    <mergeCell ref="D16:O17"/>
    <mergeCell ref="D19:O20"/>
    <mergeCell ref="C6:O6"/>
    <mergeCell ref="AE250:AF250"/>
    <mergeCell ref="S250:T250"/>
    <mergeCell ref="W250:X250"/>
    <mergeCell ref="Y250:Z250"/>
    <mergeCell ref="AA250:AB250"/>
    <mergeCell ref="AC250:AD250"/>
    <mergeCell ref="U250:V250"/>
    <mergeCell ref="Q250:R250"/>
    <mergeCell ref="B247:AD248"/>
    <mergeCell ref="D173:K174"/>
    <mergeCell ref="D48:K49"/>
    <mergeCell ref="M48:M49"/>
    <mergeCell ref="I250:K250"/>
    <mergeCell ref="D62:K63"/>
    <mergeCell ref="M250:O250"/>
    <mergeCell ref="M107:M109"/>
    <mergeCell ref="C202:O202"/>
    <mergeCell ref="M116:M117"/>
    <mergeCell ref="C152:O152"/>
    <mergeCell ref="O164:O166"/>
    <mergeCell ref="M173:M174"/>
    <mergeCell ref="D176:K177"/>
    <mergeCell ref="D155:L156"/>
    <mergeCell ref="M62:M63"/>
    <mergeCell ref="D79:K80"/>
    <mergeCell ref="M79:M80"/>
    <mergeCell ref="M92:M93"/>
    <mergeCell ref="C113:O113"/>
    <mergeCell ref="D70:K71"/>
    <mergeCell ref="M29:M30"/>
    <mergeCell ref="D37:K38"/>
    <mergeCell ref="M37:M38"/>
    <mergeCell ref="D40:K41"/>
    <mergeCell ref="M40:M41"/>
    <mergeCell ref="C44:O44"/>
    <mergeCell ref="M155:M156"/>
    <mergeCell ref="M145:M146"/>
    <mergeCell ref="C150:O150"/>
    <mergeCell ref="D100:K101"/>
    <mergeCell ref="M70:M71"/>
    <mergeCell ref="D82:K82"/>
    <mergeCell ref="D84:K85"/>
    <mergeCell ref="D95:K96"/>
    <mergeCell ref="D73:K74"/>
    <mergeCell ref="M95:M96"/>
    <mergeCell ref="M73:M74"/>
    <mergeCell ref="M128:M130"/>
    <mergeCell ref="D137:K138"/>
    <mergeCell ref="D121:K122"/>
    <mergeCell ref="D116:K117"/>
  </mergeCells>
  <phoneticPr fontId="15" type="noConversion"/>
  <printOptions horizontalCentered="1"/>
  <pageMargins left="0.5" right="0.45" top="0.64" bottom="0.63" header="0.5" footer="0.5"/>
  <pageSetup scale="65" orientation="portrait" r:id="rId1"/>
  <headerFooter alignWithMargins="0">
    <oddHeader>&amp;R&amp;"Arial,Bold"&amp;12Entry C</oddHeader>
    <oddFooter>&amp;L&amp;8&amp;D - City model&amp;R  &amp;P</oddFooter>
  </headerFooter>
  <rowBreaks count="4" manualBreakCount="4">
    <brk id="74" min="1" max="15" man="1"/>
    <brk id="148" min="1" max="15" man="1"/>
    <brk id="200" min="1" max="15" man="1"/>
    <brk id="245" min="1"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O74"/>
  <sheetViews>
    <sheetView workbookViewId="0">
      <selection activeCell="C10" sqref="C10:N11"/>
    </sheetView>
  </sheetViews>
  <sheetFormatPr defaultRowHeight="12.75" x14ac:dyDescent="0.2"/>
  <cols>
    <col min="1" max="1" width="3.5703125" customWidth="1"/>
    <col min="2" max="2" width="3.28515625" customWidth="1"/>
    <col min="3" max="3" width="18.140625" customWidth="1"/>
    <col min="7" max="7" width="14.140625" bestFit="1" customWidth="1"/>
    <col min="8" max="8" width="1.140625" customWidth="1"/>
    <col min="9" max="9" width="12.7109375" customWidth="1"/>
    <col min="10" max="10" width="13.7109375" customWidth="1"/>
    <col min="11" max="11" width="1.42578125" customWidth="1"/>
    <col min="12" max="12" width="13.7109375" customWidth="1"/>
    <col min="13" max="13" width="11" customWidth="1"/>
    <col min="14" max="14" width="13" customWidth="1"/>
    <col min="15" max="15" width="1.5703125" customWidth="1"/>
    <col min="16" max="16" width="1.7109375" customWidth="1"/>
  </cols>
  <sheetData>
    <row r="1" spans="1:15" ht="7.5" customHeight="1" x14ac:dyDescent="0.2"/>
    <row r="2" spans="1:15" ht="34.5" customHeight="1" x14ac:dyDescent="0.25">
      <c r="A2" s="956" t="s">
        <v>603</v>
      </c>
      <c r="B2" s="957"/>
      <c r="C2" s="957"/>
      <c r="D2" s="957"/>
      <c r="E2" s="957"/>
      <c r="F2" s="957"/>
      <c r="G2" s="957"/>
      <c r="H2" s="957"/>
      <c r="I2" s="957"/>
      <c r="J2" s="957"/>
      <c r="K2" s="957"/>
      <c r="L2" s="957"/>
      <c r="M2" s="957"/>
      <c r="N2" s="958"/>
      <c r="O2" s="65"/>
    </row>
    <row r="3" spans="1:15" ht="8.25" customHeight="1" x14ac:dyDescent="0.2"/>
    <row r="4" spans="1:15" ht="90" customHeight="1" x14ac:dyDescent="0.2">
      <c r="B4" s="892" t="s">
        <v>1070</v>
      </c>
      <c r="C4" s="883"/>
      <c r="D4" s="883"/>
      <c r="E4" s="883"/>
      <c r="F4" s="883"/>
      <c r="G4" s="883"/>
      <c r="H4" s="883"/>
      <c r="I4" s="883"/>
      <c r="J4" s="883"/>
      <c r="K4" s="883"/>
      <c r="L4" s="883"/>
      <c r="M4" s="883"/>
      <c r="N4" s="883"/>
      <c r="O4" s="46"/>
    </row>
    <row r="5" spans="1:15" ht="3.75" customHeight="1" x14ac:dyDescent="0.2">
      <c r="B5" s="46"/>
      <c r="C5" s="46"/>
      <c r="D5" s="46"/>
      <c r="E5" s="46"/>
      <c r="F5" s="46"/>
      <c r="G5" s="46"/>
      <c r="H5" s="46"/>
      <c r="I5" s="46"/>
      <c r="J5" s="46"/>
      <c r="K5" s="46"/>
      <c r="L5" s="46"/>
      <c r="M5" s="46"/>
      <c r="N5" s="46"/>
      <c r="O5" s="46"/>
    </row>
    <row r="6" spans="1:15" ht="64.5" customHeight="1" x14ac:dyDescent="0.2">
      <c r="B6" s="883" t="s">
        <v>516</v>
      </c>
      <c r="C6" s="883"/>
      <c r="D6" s="883"/>
      <c r="E6" s="883"/>
      <c r="F6" s="883"/>
      <c r="G6" s="883"/>
      <c r="H6" s="883"/>
      <c r="I6" s="883"/>
      <c r="J6" s="883"/>
      <c r="K6" s="883"/>
      <c r="L6" s="883"/>
      <c r="M6" s="883"/>
      <c r="N6" s="883"/>
      <c r="O6" s="46"/>
    </row>
    <row r="7" spans="1:15" ht="4.5" customHeight="1" x14ac:dyDescent="0.2"/>
    <row r="8" spans="1:15" ht="53.25" customHeight="1" x14ac:dyDescent="0.2">
      <c r="B8" s="891" t="s">
        <v>4943</v>
      </c>
      <c r="C8" s="883"/>
      <c r="D8" s="883"/>
      <c r="E8" s="883"/>
      <c r="F8" s="883"/>
      <c r="G8" s="883"/>
      <c r="H8" s="883"/>
      <c r="I8" s="883"/>
      <c r="J8" s="883"/>
      <c r="K8" s="883"/>
      <c r="L8" s="883"/>
      <c r="M8" s="883"/>
      <c r="N8" s="883"/>
      <c r="O8" s="46"/>
    </row>
    <row r="9" spans="1:15" ht="5.25" customHeight="1" x14ac:dyDescent="0.2"/>
    <row r="10" spans="1:15" ht="12.75" customHeight="1" x14ac:dyDescent="0.2">
      <c r="B10" s="50" t="s">
        <v>930</v>
      </c>
      <c r="C10" s="883" t="s">
        <v>966</v>
      </c>
      <c r="D10" s="883"/>
      <c r="E10" s="883"/>
      <c r="F10" s="883"/>
      <c r="G10" s="883"/>
      <c r="H10" s="883"/>
      <c r="I10" s="883"/>
      <c r="J10" s="883"/>
      <c r="K10" s="883"/>
      <c r="L10" s="883"/>
      <c r="M10" s="883"/>
      <c r="N10" s="883"/>
      <c r="O10" s="46"/>
    </row>
    <row r="11" spans="1:15" ht="12" customHeight="1" x14ac:dyDescent="0.2">
      <c r="B11" s="50"/>
      <c r="C11" s="883"/>
      <c r="D11" s="883"/>
      <c r="E11" s="883"/>
      <c r="F11" s="883"/>
      <c r="G11" s="883"/>
      <c r="H11" s="883"/>
      <c r="I11" s="883"/>
      <c r="J11" s="883"/>
      <c r="K11" s="883"/>
      <c r="L11" s="883"/>
      <c r="M11" s="883"/>
      <c r="N11" s="883"/>
      <c r="O11" s="46"/>
    </row>
    <row r="12" spans="1:15" ht="6" customHeight="1" x14ac:dyDescent="0.2"/>
    <row r="13" spans="1:15" ht="16.5" customHeight="1" x14ac:dyDescent="0.2">
      <c r="B13" s="50" t="s">
        <v>931</v>
      </c>
      <c r="C13" s="881" t="s">
        <v>398</v>
      </c>
      <c r="D13" s="881"/>
      <c r="E13" s="881"/>
      <c r="F13" s="881"/>
      <c r="G13" s="881"/>
      <c r="H13" s="881"/>
      <c r="I13" s="881"/>
      <c r="J13" s="881"/>
      <c r="K13" s="881"/>
      <c r="L13" s="881"/>
      <c r="M13" s="881"/>
      <c r="N13" s="881"/>
      <c r="O13" s="881"/>
    </row>
    <row r="14" spans="1:15" ht="5.25" customHeight="1" x14ac:dyDescent="0.2"/>
    <row r="15" spans="1:15" x14ac:dyDescent="0.2">
      <c r="B15" s="50" t="s">
        <v>932</v>
      </c>
      <c r="C15" s="881" t="s">
        <v>399</v>
      </c>
      <c r="D15" s="881"/>
      <c r="E15" s="881"/>
      <c r="F15" s="881"/>
      <c r="G15" s="881"/>
      <c r="H15" s="881"/>
      <c r="I15" s="881"/>
      <c r="J15" s="881"/>
      <c r="K15" s="881"/>
      <c r="L15" s="881"/>
      <c r="M15" s="881"/>
      <c r="N15" s="881"/>
      <c r="O15" s="881"/>
    </row>
    <row r="16" spans="1:15" ht="12" customHeight="1" x14ac:dyDescent="0.2"/>
    <row r="17" spans="1:15" ht="25.5" customHeight="1" x14ac:dyDescent="0.2">
      <c r="A17" s="4" t="s">
        <v>860</v>
      </c>
      <c r="B17" s="962" t="s">
        <v>998</v>
      </c>
      <c r="C17" s="963"/>
      <c r="D17" s="963"/>
      <c r="E17" s="963"/>
      <c r="F17" s="963"/>
      <c r="G17" s="963"/>
      <c r="H17" s="963"/>
      <c r="I17" s="963"/>
      <c r="J17" s="963"/>
      <c r="K17" s="963"/>
      <c r="L17" s="963"/>
      <c r="M17" s="963"/>
      <c r="N17" s="964"/>
      <c r="O17" s="4"/>
    </row>
    <row r="18" spans="1:15" ht="6.75" customHeight="1" x14ac:dyDescent="0.2"/>
    <row r="19" spans="1:15" x14ac:dyDescent="0.2">
      <c r="G19" s="55" t="s">
        <v>374</v>
      </c>
    </row>
    <row r="20" spans="1:15" x14ac:dyDescent="0.2">
      <c r="G20" s="55" t="s">
        <v>476</v>
      </c>
    </row>
    <row r="21" spans="1:15" x14ac:dyDescent="0.2">
      <c r="G21" s="3" t="s">
        <v>375</v>
      </c>
    </row>
    <row r="22" spans="1:15" ht="5.25" customHeight="1" x14ac:dyDescent="0.2">
      <c r="G22" s="55"/>
    </row>
    <row r="23" spans="1:15" x14ac:dyDescent="0.2">
      <c r="C23" t="s">
        <v>490</v>
      </c>
      <c r="G23" s="437"/>
    </row>
    <row r="24" spans="1:15" x14ac:dyDescent="0.2">
      <c r="C24" t="s">
        <v>879</v>
      </c>
      <c r="G24" s="437"/>
    </row>
    <row r="25" spans="1:15" x14ac:dyDescent="0.2">
      <c r="C25" t="s">
        <v>880</v>
      </c>
      <c r="G25" s="437"/>
    </row>
    <row r="26" spans="1:15" x14ac:dyDescent="0.2">
      <c r="C26" t="s">
        <v>474</v>
      </c>
      <c r="G26" s="437"/>
    </row>
    <row r="27" spans="1:15" x14ac:dyDescent="0.2">
      <c r="C27" t="s">
        <v>463</v>
      </c>
      <c r="G27" s="437"/>
    </row>
    <row r="28" spans="1:15" x14ac:dyDescent="0.2">
      <c r="C28" t="s">
        <v>372</v>
      </c>
      <c r="G28" s="437"/>
    </row>
    <row r="29" spans="1:15" x14ac:dyDescent="0.2">
      <c r="C29" t="s">
        <v>910</v>
      </c>
      <c r="G29" s="437"/>
    </row>
    <row r="30" spans="1:15" x14ac:dyDescent="0.2">
      <c r="C30" s="415" t="s">
        <v>201</v>
      </c>
      <c r="G30" s="437"/>
    </row>
    <row r="31" spans="1:15" x14ac:dyDescent="0.2">
      <c r="C31" t="s">
        <v>373</v>
      </c>
      <c r="G31" s="437"/>
    </row>
    <row r="32" spans="1:15" x14ac:dyDescent="0.2">
      <c r="G32" s="47"/>
    </row>
    <row r="33" spans="1:15" ht="13.5" thickBot="1" x14ac:dyDescent="0.25">
      <c r="G33" s="76">
        <f>SUM(G23:G31)</f>
        <v>0</v>
      </c>
    </row>
    <row r="34" spans="1:15" ht="13.5" thickTop="1" x14ac:dyDescent="0.2"/>
    <row r="35" spans="1:15" ht="25.5" customHeight="1" x14ac:dyDescent="0.2">
      <c r="A35" s="4" t="s">
        <v>861</v>
      </c>
      <c r="B35" s="962" t="s">
        <v>999</v>
      </c>
      <c r="C35" s="963"/>
      <c r="D35" s="963"/>
      <c r="E35" s="963"/>
      <c r="F35" s="963"/>
      <c r="G35" s="963"/>
      <c r="H35" s="963"/>
      <c r="I35" s="963"/>
      <c r="J35" s="963"/>
      <c r="K35" s="963"/>
      <c r="L35" s="963"/>
      <c r="M35" s="963"/>
      <c r="N35" s="964"/>
      <c r="O35" s="7"/>
    </row>
    <row r="36" spans="1:15" ht="8.25" customHeight="1" x14ac:dyDescent="0.2"/>
    <row r="37" spans="1:15" x14ac:dyDescent="0.2">
      <c r="G37" s="55" t="s">
        <v>374</v>
      </c>
    </row>
    <row r="38" spans="1:15" x14ac:dyDescent="0.2">
      <c r="G38" s="3" t="s">
        <v>476</v>
      </c>
      <c r="M38" s="47"/>
    </row>
    <row r="39" spans="1:15" ht="4.5" customHeight="1" x14ac:dyDescent="0.2">
      <c r="G39" s="55"/>
      <c r="M39" s="47"/>
    </row>
    <row r="40" spans="1:15" x14ac:dyDescent="0.2">
      <c r="C40" t="s">
        <v>470</v>
      </c>
      <c r="G40" s="444"/>
      <c r="M40" s="47"/>
      <c r="O40" s="47"/>
    </row>
    <row r="41" spans="1:15" x14ac:dyDescent="0.2">
      <c r="C41" t="s">
        <v>190</v>
      </c>
      <c r="G41" s="444"/>
      <c r="M41" s="47"/>
      <c r="O41" s="47"/>
    </row>
    <row r="42" spans="1:15" x14ac:dyDescent="0.2">
      <c r="C42" t="s">
        <v>467</v>
      </c>
      <c r="G42" s="444"/>
      <c r="M42" s="47"/>
      <c r="O42" s="47"/>
    </row>
    <row r="43" spans="1:15" x14ac:dyDescent="0.2">
      <c r="C43" t="s">
        <v>191</v>
      </c>
      <c r="G43" s="444"/>
      <c r="M43" s="47"/>
      <c r="O43" s="47"/>
    </row>
    <row r="44" spans="1:15" x14ac:dyDescent="0.2">
      <c r="C44" t="s">
        <v>468</v>
      </c>
      <c r="G44" s="444"/>
      <c r="O44" s="47"/>
    </row>
    <row r="45" spans="1:15" x14ac:dyDescent="0.2">
      <c r="C45" s="571" t="s">
        <v>1025</v>
      </c>
      <c r="G45" s="444"/>
      <c r="O45" s="47"/>
    </row>
    <row r="46" spans="1:15" x14ac:dyDescent="0.2">
      <c r="C46" s="571" t="s">
        <v>4906</v>
      </c>
      <c r="G46" s="444"/>
      <c r="O46" s="47"/>
    </row>
    <row r="47" spans="1:15" x14ac:dyDescent="0.2">
      <c r="C47" s="415" t="s">
        <v>358</v>
      </c>
      <c r="G47" s="444"/>
      <c r="O47" s="47"/>
    </row>
    <row r="48" spans="1:15" x14ac:dyDescent="0.2">
      <c r="C48" s="415" t="s">
        <v>359</v>
      </c>
      <c r="G48" s="444"/>
    </row>
    <row r="49" spans="1:15" ht="13.5" thickBot="1" x14ac:dyDescent="0.25">
      <c r="G49" s="76">
        <f>SUM(G40:G48)</f>
        <v>0</v>
      </c>
    </row>
    <row r="50" spans="1:15" ht="13.5" thickTop="1" x14ac:dyDescent="0.2"/>
    <row r="51" spans="1:15" ht="26.25" customHeight="1" x14ac:dyDescent="0.2">
      <c r="A51" s="4" t="s">
        <v>459</v>
      </c>
      <c r="B51" s="962" t="s">
        <v>434</v>
      </c>
      <c r="C51" s="963"/>
      <c r="D51" s="963"/>
      <c r="E51" s="963"/>
      <c r="F51" s="963"/>
      <c r="G51" s="963"/>
      <c r="H51" s="963"/>
      <c r="I51" s="963"/>
      <c r="J51" s="963"/>
      <c r="K51" s="963"/>
      <c r="L51" s="963"/>
      <c r="M51" s="963"/>
      <c r="N51" s="964"/>
      <c r="O51" s="7"/>
    </row>
    <row r="52" spans="1:15" ht="8.25" customHeight="1" x14ac:dyDescent="0.2"/>
    <row r="53" spans="1:15" x14ac:dyDescent="0.2">
      <c r="J53" s="58" t="s">
        <v>64</v>
      </c>
      <c r="K53" s="49"/>
      <c r="L53" s="58" t="s">
        <v>65</v>
      </c>
    </row>
    <row r="54" spans="1:15" ht="6.75" customHeight="1" x14ac:dyDescent="0.2">
      <c r="J54" s="49"/>
      <c r="K54" s="49"/>
      <c r="L54" s="49"/>
    </row>
    <row r="55" spans="1:15" x14ac:dyDescent="0.2">
      <c r="A55" s="137" t="s">
        <v>713</v>
      </c>
      <c r="B55" t="s">
        <v>490</v>
      </c>
      <c r="J55" s="11">
        <f t="shared" ref="J55:J63" si="0">G23</f>
        <v>0</v>
      </c>
      <c r="L55" s="79"/>
    </row>
    <row r="56" spans="1:15" x14ac:dyDescent="0.2">
      <c r="B56" t="s">
        <v>879</v>
      </c>
      <c r="J56" s="11">
        <f t="shared" si="0"/>
        <v>0</v>
      </c>
      <c r="L56" s="79"/>
    </row>
    <row r="57" spans="1:15" x14ac:dyDescent="0.2">
      <c r="B57" t="s">
        <v>880</v>
      </c>
      <c r="J57" s="11">
        <f t="shared" si="0"/>
        <v>0</v>
      </c>
      <c r="L57" s="79"/>
    </row>
    <row r="58" spans="1:15" x14ac:dyDescent="0.2">
      <c r="B58" t="s">
        <v>474</v>
      </c>
      <c r="J58" s="11">
        <f t="shared" si="0"/>
        <v>0</v>
      </c>
      <c r="L58" s="79"/>
    </row>
    <row r="59" spans="1:15" x14ac:dyDescent="0.2">
      <c r="B59" t="s">
        <v>463</v>
      </c>
      <c r="J59" s="11">
        <f t="shared" si="0"/>
        <v>0</v>
      </c>
      <c r="L59" s="79"/>
    </row>
    <row r="60" spans="1:15" x14ac:dyDescent="0.2">
      <c r="B60" t="s">
        <v>372</v>
      </c>
      <c r="J60" s="11">
        <f t="shared" si="0"/>
        <v>0</v>
      </c>
      <c r="L60" s="79"/>
    </row>
    <row r="61" spans="1:15" x14ac:dyDescent="0.2">
      <c r="B61" t="s">
        <v>910</v>
      </c>
      <c r="J61" s="11">
        <f t="shared" si="0"/>
        <v>0</v>
      </c>
      <c r="L61" s="79"/>
    </row>
    <row r="62" spans="1:15" x14ac:dyDescent="0.2">
      <c r="B62" s="415" t="s">
        <v>201</v>
      </c>
      <c r="J62" s="11">
        <f t="shared" si="0"/>
        <v>0</v>
      </c>
      <c r="L62" s="79"/>
    </row>
    <row r="63" spans="1:15" x14ac:dyDescent="0.2">
      <c r="B63" t="s">
        <v>373</v>
      </c>
      <c r="J63" s="11">
        <f t="shared" si="0"/>
        <v>0</v>
      </c>
      <c r="L63" s="79"/>
    </row>
    <row r="64" spans="1:15" x14ac:dyDescent="0.2">
      <c r="C64" s="33" t="s">
        <v>567</v>
      </c>
      <c r="J64" s="79"/>
      <c r="L64" s="11">
        <f t="shared" ref="L64:L70" si="1">G40</f>
        <v>0</v>
      </c>
    </row>
    <row r="65" spans="3:12" x14ac:dyDescent="0.2">
      <c r="C65" t="s">
        <v>894</v>
      </c>
      <c r="J65" s="79"/>
      <c r="L65" s="11">
        <f t="shared" si="1"/>
        <v>0</v>
      </c>
    </row>
    <row r="66" spans="3:12" x14ac:dyDescent="0.2">
      <c r="C66" t="s">
        <v>895</v>
      </c>
      <c r="J66" s="79"/>
      <c r="L66" s="11">
        <f t="shared" si="1"/>
        <v>0</v>
      </c>
    </row>
    <row r="67" spans="3:12" x14ac:dyDescent="0.2">
      <c r="C67" t="s">
        <v>113</v>
      </c>
      <c r="J67" s="79"/>
      <c r="L67" s="11">
        <f t="shared" si="1"/>
        <v>0</v>
      </c>
    </row>
    <row r="68" spans="3:12" x14ac:dyDescent="0.2">
      <c r="C68" t="s">
        <v>896</v>
      </c>
      <c r="J68" s="79"/>
      <c r="L68" s="11">
        <f t="shared" si="1"/>
        <v>0</v>
      </c>
    </row>
    <row r="69" spans="3:12" x14ac:dyDescent="0.2">
      <c r="C69" s="571" t="s">
        <v>4911</v>
      </c>
      <c r="J69" s="79"/>
      <c r="L69" s="11">
        <f t="shared" si="1"/>
        <v>0</v>
      </c>
    </row>
    <row r="70" spans="3:12" x14ac:dyDescent="0.2">
      <c r="C70" s="571" t="s">
        <v>4912</v>
      </c>
      <c r="J70" s="79"/>
      <c r="L70" s="11">
        <f t="shared" si="1"/>
        <v>0</v>
      </c>
    </row>
    <row r="71" spans="3:12" x14ac:dyDescent="0.2">
      <c r="C71" s="415" t="s">
        <v>623</v>
      </c>
      <c r="J71" s="79"/>
      <c r="L71" s="11">
        <f>G47</f>
        <v>0</v>
      </c>
    </row>
    <row r="72" spans="3:12" x14ac:dyDescent="0.2">
      <c r="C72" s="415" t="s">
        <v>624</v>
      </c>
      <c r="J72" s="79"/>
      <c r="L72" s="11">
        <f>G48</f>
        <v>0</v>
      </c>
    </row>
    <row r="73" spans="3:12" ht="13.5" thickBot="1" x14ac:dyDescent="0.25">
      <c r="J73" s="80">
        <f>SUM(J55:J72)</f>
        <v>0</v>
      </c>
      <c r="L73" s="80">
        <f>SUM(L64:L72)</f>
        <v>0</v>
      </c>
    </row>
    <row r="74" spans="3:12" ht="13.5" thickTop="1" x14ac:dyDescent="0.2"/>
  </sheetData>
  <mergeCells count="10">
    <mergeCell ref="C10:N11"/>
    <mergeCell ref="B51:N51"/>
    <mergeCell ref="A2:N2"/>
    <mergeCell ref="B4:N4"/>
    <mergeCell ref="B6:N6"/>
    <mergeCell ref="B8:N8"/>
    <mergeCell ref="C13:O13"/>
    <mergeCell ref="C15:O15"/>
    <mergeCell ref="B17:N17"/>
    <mergeCell ref="B35:N35"/>
  </mergeCells>
  <phoneticPr fontId="15" type="noConversion"/>
  <printOptions horizontalCentered="1"/>
  <pageMargins left="0.36" right="0.48" top="0.78" bottom="0.69" header="0.5" footer="0.5"/>
  <pageSetup scale="67" orientation="portrait" r:id="rId1"/>
  <headerFooter alignWithMargins="0">
    <oddHeader>&amp;R&amp;"Arial,Bold"&amp;12Entry  D</oddHeader>
    <oddFooter>&amp;L&amp;8&amp;D - City model&amp;R&amp;P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P74"/>
  <sheetViews>
    <sheetView workbookViewId="0">
      <selection activeCell="E60" sqref="E60:E61"/>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42578125" bestFit="1" customWidth="1"/>
    <col min="8" max="8" width="1.42578125" style="47" customWidth="1"/>
    <col min="10" max="10" width="10.42578125" bestFit="1" customWidth="1"/>
    <col min="12" max="12" width="11.5703125" bestFit="1" customWidth="1"/>
    <col min="13" max="13" width="1.7109375" customWidth="1"/>
    <col min="14" max="14" width="11.28515625" bestFit="1" customWidth="1"/>
    <col min="15" max="15" width="10" bestFit="1" customWidth="1"/>
    <col min="16" max="16" width="1.7109375" customWidth="1"/>
    <col min="17" max="17" width="0.7109375" customWidth="1"/>
  </cols>
  <sheetData>
    <row r="1" spans="1:16" ht="7.5" customHeight="1" x14ac:dyDescent="0.2"/>
    <row r="2" spans="1:16" ht="33.75" customHeight="1" x14ac:dyDescent="0.25">
      <c r="A2" s="956" t="s">
        <v>462</v>
      </c>
      <c r="B2" s="957"/>
      <c r="C2" s="957"/>
      <c r="D2" s="957"/>
      <c r="E2" s="957"/>
      <c r="F2" s="957"/>
      <c r="G2" s="957"/>
      <c r="H2" s="957"/>
      <c r="I2" s="957"/>
      <c r="J2" s="957"/>
      <c r="K2" s="957"/>
      <c r="L2" s="957"/>
      <c r="M2" s="957"/>
      <c r="N2" s="957"/>
      <c r="O2" s="957"/>
      <c r="P2" s="958"/>
    </row>
    <row r="3" spans="1:16" ht="3.75" customHeight="1" x14ac:dyDescent="0.2"/>
    <row r="4" spans="1:16" ht="69.75" customHeight="1" x14ac:dyDescent="0.2">
      <c r="B4" s="883" t="s">
        <v>699</v>
      </c>
      <c r="C4" s="883"/>
      <c r="D4" s="883"/>
      <c r="E4" s="883"/>
      <c r="F4" s="883"/>
      <c r="G4" s="883"/>
      <c r="H4" s="883"/>
      <c r="I4" s="883"/>
      <c r="J4" s="883"/>
      <c r="K4" s="883"/>
      <c r="L4" s="883"/>
      <c r="M4" s="883"/>
      <c r="N4" s="883"/>
      <c r="O4" s="883"/>
      <c r="P4" s="883"/>
    </row>
    <row r="5" spans="1:16" ht="3.75" customHeight="1" x14ac:dyDescent="0.2"/>
    <row r="6" spans="1:16" ht="66.75" customHeight="1" x14ac:dyDescent="0.2">
      <c r="B6" s="883" t="s">
        <v>1071</v>
      </c>
      <c r="C6" s="883"/>
      <c r="D6" s="883"/>
      <c r="E6" s="883"/>
      <c r="F6" s="883"/>
      <c r="G6" s="883"/>
      <c r="H6" s="883"/>
      <c r="I6" s="883"/>
      <c r="J6" s="883"/>
      <c r="K6" s="883"/>
      <c r="L6" s="883"/>
      <c r="M6" s="883"/>
      <c r="N6" s="883"/>
      <c r="O6" s="883"/>
      <c r="P6" s="883"/>
    </row>
    <row r="7" spans="1:16" ht="3.75" customHeight="1" x14ac:dyDescent="0.2">
      <c r="B7" s="46"/>
      <c r="C7" s="46"/>
      <c r="D7" s="46"/>
      <c r="E7" s="46"/>
      <c r="F7" s="46"/>
      <c r="G7" s="46"/>
      <c r="H7" s="46"/>
      <c r="I7" s="46"/>
      <c r="J7" s="46"/>
      <c r="K7" s="46"/>
      <c r="L7" s="46"/>
      <c r="M7" s="46"/>
      <c r="N7" s="46"/>
      <c r="O7" s="46"/>
      <c r="P7" s="46"/>
    </row>
    <row r="8" spans="1:16" ht="27" customHeight="1" x14ac:dyDescent="0.2">
      <c r="B8" s="883" t="s">
        <v>451</v>
      </c>
      <c r="C8" s="883"/>
      <c r="D8" s="883"/>
      <c r="E8" s="883"/>
      <c r="F8" s="883"/>
      <c r="G8" s="883"/>
      <c r="H8" s="883"/>
      <c r="I8" s="883"/>
      <c r="J8" s="883"/>
      <c r="K8" s="883"/>
      <c r="L8" s="883"/>
      <c r="M8" s="883"/>
      <c r="N8" s="883"/>
      <c r="O8" s="883"/>
      <c r="P8" s="883"/>
    </row>
    <row r="9" spans="1:16" ht="9" customHeight="1" x14ac:dyDescent="0.2"/>
    <row r="10" spans="1:16" ht="12.75" customHeight="1" x14ac:dyDescent="0.2">
      <c r="B10" s="50" t="s">
        <v>930</v>
      </c>
      <c r="C10" s="891" t="s">
        <v>4924</v>
      </c>
      <c r="D10" s="883"/>
      <c r="E10" s="883"/>
      <c r="F10" s="883"/>
      <c r="G10" s="883"/>
      <c r="H10" s="883"/>
      <c r="I10" s="883"/>
      <c r="J10" s="883"/>
      <c r="K10" s="883"/>
      <c r="L10" s="883"/>
      <c r="M10" s="883"/>
      <c r="N10" s="883"/>
      <c r="O10" s="883"/>
      <c r="P10" s="46"/>
    </row>
    <row r="11" spans="1:16" ht="48.75" customHeight="1" x14ac:dyDescent="0.2">
      <c r="B11" s="50"/>
      <c r="C11" s="883"/>
      <c r="D11" s="883"/>
      <c r="E11" s="883"/>
      <c r="F11" s="883"/>
      <c r="G11" s="883"/>
      <c r="H11" s="883"/>
      <c r="I11" s="883"/>
      <c r="J11" s="883"/>
      <c r="K11" s="883"/>
      <c r="L11" s="883"/>
      <c r="M11" s="883"/>
      <c r="N11" s="883"/>
      <c r="O11" s="883"/>
      <c r="P11" s="46"/>
    </row>
    <row r="12" spans="1:16" ht="5.25" customHeight="1" x14ac:dyDescent="0.2">
      <c r="B12" s="50"/>
      <c r="C12" s="46"/>
      <c r="D12" s="46"/>
      <c r="E12" s="46"/>
      <c r="F12" s="46"/>
      <c r="G12" s="46"/>
      <c r="H12" s="46"/>
      <c r="I12" s="46"/>
      <c r="J12" s="46"/>
      <c r="K12" s="46"/>
      <c r="L12" s="46"/>
      <c r="M12" s="46"/>
      <c r="N12" s="46"/>
      <c r="O12" s="46"/>
      <c r="P12" s="46"/>
    </row>
    <row r="13" spans="1:16" ht="12.75" customHeight="1" x14ac:dyDescent="0.2">
      <c r="B13" s="50" t="s">
        <v>931</v>
      </c>
      <c r="C13" s="883" t="s">
        <v>81</v>
      </c>
      <c r="D13" s="883"/>
      <c r="E13" s="883"/>
      <c r="F13" s="883"/>
      <c r="G13" s="883"/>
      <c r="H13" s="883"/>
      <c r="I13" s="883"/>
      <c r="J13" s="883"/>
      <c r="K13" s="883"/>
      <c r="L13" s="883"/>
      <c r="M13" s="883"/>
      <c r="N13" s="883"/>
      <c r="O13" s="883"/>
    </row>
    <row r="14" spans="1:16" ht="12" customHeight="1" x14ac:dyDescent="0.2">
      <c r="B14" s="50"/>
      <c r="C14" s="883"/>
      <c r="D14" s="883"/>
      <c r="E14" s="883"/>
      <c r="F14" s="883"/>
      <c r="G14" s="883"/>
      <c r="H14" s="883"/>
      <c r="I14" s="883"/>
      <c r="J14" s="883"/>
      <c r="K14" s="883"/>
      <c r="L14" s="883"/>
      <c r="M14" s="883"/>
      <c r="N14" s="883"/>
      <c r="O14" s="883"/>
    </row>
    <row r="15" spans="1:16" ht="5.25" customHeight="1" x14ac:dyDescent="0.2">
      <c r="B15" s="50"/>
    </row>
    <row r="16" spans="1:16" x14ac:dyDescent="0.2">
      <c r="B16" s="50" t="s">
        <v>464</v>
      </c>
      <c r="C16" t="s">
        <v>198</v>
      </c>
    </row>
    <row r="17" spans="1:16" ht="4.5" customHeight="1" x14ac:dyDescent="0.2"/>
    <row r="18" spans="1:16" ht="25.5" customHeight="1" x14ac:dyDescent="0.2">
      <c r="A18" s="4" t="s">
        <v>860</v>
      </c>
      <c r="B18" s="965" t="s">
        <v>361</v>
      </c>
      <c r="C18" s="967"/>
      <c r="D18" s="967"/>
      <c r="E18" s="967"/>
      <c r="F18" s="967"/>
      <c r="G18" s="967"/>
      <c r="H18" s="967"/>
      <c r="I18" s="967"/>
      <c r="J18" s="967"/>
      <c r="K18" s="967"/>
      <c r="L18" s="967"/>
      <c r="M18" s="967"/>
      <c r="N18" s="967"/>
      <c r="O18" s="967"/>
      <c r="P18" s="968"/>
    </row>
    <row r="19" spans="1:16" ht="3" customHeight="1" x14ac:dyDescent="0.2">
      <c r="B19" s="4"/>
      <c r="H19" s="56"/>
    </row>
    <row r="20" spans="1:16" x14ac:dyDescent="0.2">
      <c r="G20" s="3" t="s">
        <v>61</v>
      </c>
      <c r="H20"/>
    </row>
    <row r="21" spans="1:16" ht="3" customHeight="1" x14ac:dyDescent="0.2">
      <c r="H21"/>
    </row>
    <row r="22" spans="1:16" x14ac:dyDescent="0.2">
      <c r="C22" t="s">
        <v>490</v>
      </c>
      <c r="G22" s="437"/>
      <c r="H22"/>
    </row>
    <row r="23" spans="1:16" x14ac:dyDescent="0.2">
      <c r="C23" t="s">
        <v>879</v>
      </c>
      <c r="G23" s="437"/>
      <c r="H23"/>
    </row>
    <row r="24" spans="1:16" x14ac:dyDescent="0.2">
      <c r="C24" t="s">
        <v>880</v>
      </c>
      <c r="G24" s="437"/>
      <c r="H24"/>
    </row>
    <row r="25" spans="1:16" x14ac:dyDescent="0.2">
      <c r="C25" t="s">
        <v>474</v>
      </c>
      <c r="G25" s="437"/>
      <c r="H25"/>
    </row>
    <row r="26" spans="1:16" ht="12.75" customHeight="1" x14ac:dyDescent="0.2">
      <c r="C26" t="s">
        <v>463</v>
      </c>
      <c r="G26" s="437"/>
      <c r="H26"/>
      <c r="J26" s="983" t="s">
        <v>921</v>
      </c>
      <c r="K26" s="983"/>
      <c r="L26" s="983"/>
      <c r="M26" s="983"/>
      <c r="N26" s="983"/>
      <c r="O26" s="983"/>
    </row>
    <row r="27" spans="1:16" x14ac:dyDescent="0.2">
      <c r="C27" t="s">
        <v>397</v>
      </c>
      <c r="G27" s="434"/>
      <c r="H27"/>
      <c r="J27" s="983"/>
      <c r="K27" s="983"/>
      <c r="L27" s="983"/>
      <c r="M27" s="983"/>
      <c r="N27" s="983"/>
      <c r="O27" s="983"/>
    </row>
    <row r="28" spans="1:16" x14ac:dyDescent="0.2">
      <c r="C28" t="s">
        <v>357</v>
      </c>
      <c r="G28" s="434"/>
      <c r="H28"/>
      <c r="J28" s="983"/>
      <c r="K28" s="983"/>
      <c r="L28" s="983"/>
      <c r="M28" s="983"/>
      <c r="N28" s="983"/>
      <c r="O28" s="983"/>
    </row>
    <row r="29" spans="1:16" x14ac:dyDescent="0.2">
      <c r="C29" t="s">
        <v>910</v>
      </c>
      <c r="G29" s="434"/>
      <c r="H29"/>
      <c r="J29" t="s">
        <v>920</v>
      </c>
    </row>
    <row r="30" spans="1:16" x14ac:dyDescent="0.2">
      <c r="C30" s="415" t="s">
        <v>201</v>
      </c>
      <c r="G30" s="445"/>
      <c r="H30"/>
    </row>
    <row r="31" spans="1:16" ht="13.5" thickBot="1" x14ac:dyDescent="0.25">
      <c r="G31" s="87">
        <f>SUM(G22:G30)</f>
        <v>0</v>
      </c>
      <c r="H31"/>
    </row>
    <row r="32" spans="1:16" ht="5.25" customHeight="1" thickTop="1" x14ac:dyDescent="0.2">
      <c r="H32"/>
    </row>
    <row r="33" spans="1:16" x14ac:dyDescent="0.2">
      <c r="H33"/>
    </row>
    <row r="34" spans="1:16" ht="25.5" customHeight="1" x14ac:dyDescent="0.2">
      <c r="A34" s="4" t="s">
        <v>861</v>
      </c>
      <c r="B34" s="962" t="s">
        <v>368</v>
      </c>
      <c r="C34" s="963"/>
      <c r="D34" s="963"/>
      <c r="E34" s="963"/>
      <c r="F34" s="963"/>
      <c r="G34" s="963"/>
      <c r="H34" s="963"/>
      <c r="I34" s="963"/>
      <c r="J34" s="963"/>
      <c r="K34" s="963"/>
      <c r="L34" s="963"/>
      <c r="M34" s="963"/>
      <c r="N34" s="963"/>
      <c r="O34" s="963"/>
      <c r="P34" s="964"/>
    </row>
    <row r="35" spans="1:16" x14ac:dyDescent="0.2">
      <c r="G35" s="3" t="s">
        <v>61</v>
      </c>
      <c r="H35" s="57"/>
      <c r="I35" s="57"/>
      <c r="J35" s="57"/>
      <c r="K35" s="57"/>
      <c r="L35" s="57"/>
      <c r="N35" s="57"/>
    </row>
    <row r="36" spans="1:16" ht="3" customHeight="1" x14ac:dyDescent="0.2">
      <c r="H36" s="57"/>
      <c r="I36" s="57"/>
      <c r="J36" s="57"/>
      <c r="K36" s="57"/>
      <c r="L36" s="57"/>
      <c r="N36" s="57"/>
    </row>
    <row r="37" spans="1:16" x14ac:dyDescent="0.2">
      <c r="C37" t="s">
        <v>469</v>
      </c>
      <c r="G37" s="434"/>
      <c r="H37" s="57"/>
      <c r="I37" s="57"/>
      <c r="J37" s="57"/>
      <c r="K37" s="57"/>
      <c r="L37" s="57"/>
    </row>
    <row r="38" spans="1:16" x14ac:dyDescent="0.2">
      <c r="C38" t="s">
        <v>0</v>
      </c>
      <c r="G38" s="434"/>
      <c r="H38" s="57"/>
      <c r="I38" s="57"/>
      <c r="J38" s="57"/>
      <c r="K38" s="57"/>
      <c r="L38" s="57"/>
    </row>
    <row r="39" spans="1:16" ht="12" customHeight="1" x14ac:dyDescent="0.2">
      <c r="C39" t="s">
        <v>470</v>
      </c>
      <c r="G39" s="434"/>
      <c r="H39" s="57"/>
      <c r="I39" s="57"/>
      <c r="J39" s="980" t="s">
        <v>870</v>
      </c>
      <c r="K39" s="980"/>
      <c r="L39" s="980"/>
      <c r="M39" s="980"/>
      <c r="N39" s="980"/>
      <c r="O39" s="980"/>
    </row>
    <row r="40" spans="1:16" x14ac:dyDescent="0.2">
      <c r="C40" t="s">
        <v>471</v>
      </c>
      <c r="G40" s="434"/>
      <c r="H40" s="57"/>
      <c r="I40" s="57"/>
      <c r="J40" s="980"/>
      <c r="K40" s="980"/>
      <c r="L40" s="980"/>
      <c r="M40" s="980"/>
      <c r="N40" s="980"/>
      <c r="O40" s="980"/>
    </row>
    <row r="41" spans="1:16" x14ac:dyDescent="0.2">
      <c r="C41" t="s">
        <v>467</v>
      </c>
      <c r="G41" s="434"/>
      <c r="H41" s="57"/>
      <c r="I41" s="57"/>
      <c r="J41" s="980"/>
      <c r="K41" s="980"/>
      <c r="L41" s="980"/>
      <c r="M41" s="980"/>
      <c r="N41" s="980"/>
      <c r="O41" s="980"/>
    </row>
    <row r="42" spans="1:16" x14ac:dyDescent="0.2">
      <c r="C42" t="s">
        <v>466</v>
      </c>
      <c r="G42" s="434"/>
      <c r="H42" s="57"/>
      <c r="I42" s="57"/>
      <c r="J42" s="57"/>
      <c r="K42" s="57"/>
      <c r="L42" s="57"/>
    </row>
    <row r="43" spans="1:16" x14ac:dyDescent="0.2">
      <c r="C43" t="s">
        <v>369</v>
      </c>
      <c r="G43" s="434"/>
      <c r="H43" s="57"/>
      <c r="I43" s="57"/>
      <c r="J43" s="57"/>
      <c r="K43" s="57"/>
      <c r="L43" s="57"/>
    </row>
    <row r="44" spans="1:16" x14ac:dyDescent="0.2">
      <c r="C44" s="571" t="s">
        <v>1025</v>
      </c>
      <c r="G44" s="434"/>
      <c r="H44" s="57"/>
      <c r="I44" s="57"/>
      <c r="J44" s="57"/>
      <c r="K44" s="57"/>
      <c r="L44" s="57"/>
    </row>
    <row r="45" spans="1:16" x14ac:dyDescent="0.2">
      <c r="C45" s="571" t="s">
        <v>4906</v>
      </c>
      <c r="G45" s="434"/>
      <c r="H45" s="57"/>
      <c r="I45" s="57"/>
      <c r="J45" s="57"/>
      <c r="K45" s="57"/>
      <c r="L45" s="57"/>
    </row>
    <row r="46" spans="1:16" x14ac:dyDescent="0.2">
      <c r="C46" s="415" t="s">
        <v>358</v>
      </c>
      <c r="G46" s="434"/>
      <c r="H46" s="57"/>
      <c r="I46" s="57"/>
      <c r="J46" s="57"/>
      <c r="K46" s="57"/>
      <c r="L46" s="57"/>
    </row>
    <row r="47" spans="1:16" x14ac:dyDescent="0.2">
      <c r="C47" s="415" t="s">
        <v>359</v>
      </c>
      <c r="G47" s="445"/>
      <c r="H47" s="57"/>
      <c r="I47" s="57"/>
      <c r="J47" s="57"/>
      <c r="K47" s="57"/>
      <c r="L47" s="57"/>
    </row>
    <row r="48" spans="1:16" ht="17.25" thickBot="1" x14ac:dyDescent="0.4">
      <c r="G48" s="88">
        <f>SUM(G37:G47)</f>
        <v>0</v>
      </c>
      <c r="H48" s="57"/>
      <c r="I48" s="66" t="str">
        <f>IF(G31=G48," ","Recheck numbers in Section A or B. Entry is out of balance.")</f>
        <v xml:space="preserve"> </v>
      </c>
      <c r="J48" s="57"/>
      <c r="K48" s="57"/>
      <c r="L48" s="57"/>
      <c r="N48" s="57"/>
    </row>
    <row r="49" spans="1:16" ht="13.5" thickTop="1" x14ac:dyDescent="0.2">
      <c r="G49" s="5"/>
      <c r="H49" s="57"/>
      <c r="I49" s="57"/>
      <c r="J49" s="57"/>
      <c r="K49" s="57"/>
      <c r="L49" s="57"/>
      <c r="N49" s="57"/>
    </row>
    <row r="50" spans="1:16" ht="25.5" customHeight="1" x14ac:dyDescent="0.2">
      <c r="A50" s="4" t="s">
        <v>459</v>
      </c>
      <c r="B50" s="962" t="s">
        <v>435</v>
      </c>
      <c r="C50" s="963"/>
      <c r="D50" s="963"/>
      <c r="E50" s="963"/>
      <c r="F50" s="963"/>
      <c r="G50" s="963"/>
      <c r="H50" s="963"/>
      <c r="I50" s="963"/>
      <c r="J50" s="963"/>
      <c r="K50" s="963"/>
      <c r="L50" s="963"/>
      <c r="M50" s="963"/>
      <c r="N50" s="963"/>
      <c r="O50" s="964"/>
      <c r="P50" s="4"/>
    </row>
    <row r="51" spans="1:16" x14ac:dyDescent="0.2">
      <c r="L51" s="58" t="s">
        <v>64</v>
      </c>
      <c r="M51" s="55"/>
      <c r="N51" s="58" t="s">
        <v>65</v>
      </c>
    </row>
    <row r="52" spans="1:16" ht="3" customHeight="1" x14ac:dyDescent="0.2"/>
    <row r="53" spans="1:16" ht="12.75" customHeight="1" x14ac:dyDescent="0.2">
      <c r="D53" t="s">
        <v>576</v>
      </c>
      <c r="E53" t="s">
        <v>469</v>
      </c>
      <c r="L53" s="83">
        <f xml:space="preserve">    G37</f>
        <v>0</v>
      </c>
      <c r="N53" s="83"/>
    </row>
    <row r="54" spans="1:16" x14ac:dyDescent="0.2">
      <c r="E54" t="s">
        <v>472</v>
      </c>
      <c r="L54" s="83">
        <f t="shared" ref="L54:L59" si="0">G38</f>
        <v>0</v>
      </c>
      <c r="N54" s="83"/>
    </row>
    <row r="55" spans="1:16" x14ac:dyDescent="0.2">
      <c r="E55" t="s">
        <v>470</v>
      </c>
      <c r="L55" s="83">
        <f t="shared" si="0"/>
        <v>0</v>
      </c>
      <c r="N55" s="83"/>
    </row>
    <row r="56" spans="1:16" x14ac:dyDescent="0.2">
      <c r="E56" t="s">
        <v>471</v>
      </c>
      <c r="L56" s="83">
        <f t="shared" si="0"/>
        <v>0</v>
      </c>
      <c r="N56" s="83"/>
    </row>
    <row r="57" spans="1:16" x14ac:dyDescent="0.2">
      <c r="E57" t="s">
        <v>467</v>
      </c>
      <c r="L57" s="83">
        <f t="shared" si="0"/>
        <v>0</v>
      </c>
      <c r="N57" s="83"/>
    </row>
    <row r="58" spans="1:16" x14ac:dyDescent="0.2">
      <c r="E58" t="s">
        <v>466</v>
      </c>
      <c r="L58" s="83">
        <f t="shared" si="0"/>
        <v>0</v>
      </c>
      <c r="N58" s="83"/>
    </row>
    <row r="59" spans="1:16" x14ac:dyDescent="0.2">
      <c r="E59" t="s">
        <v>468</v>
      </c>
      <c r="L59" s="83">
        <f t="shared" si="0"/>
        <v>0</v>
      </c>
      <c r="N59" s="83"/>
    </row>
    <row r="60" spans="1:16" x14ac:dyDescent="0.2">
      <c r="E60" s="571" t="s">
        <v>1025</v>
      </c>
      <c r="L60" s="83">
        <f>G44</f>
        <v>0</v>
      </c>
      <c r="N60" s="83"/>
    </row>
    <row r="61" spans="1:16" x14ac:dyDescent="0.2">
      <c r="E61" s="571" t="s">
        <v>4906</v>
      </c>
      <c r="L61" s="83">
        <f>G45</f>
        <v>0</v>
      </c>
      <c r="N61" s="83"/>
    </row>
    <row r="62" spans="1:16" x14ac:dyDescent="0.2">
      <c r="E62" s="415" t="s">
        <v>358</v>
      </c>
      <c r="L62" s="83">
        <f>G46</f>
        <v>0</v>
      </c>
      <c r="N62" s="83"/>
    </row>
    <row r="63" spans="1:16" x14ac:dyDescent="0.2">
      <c r="E63" s="415" t="s">
        <v>359</v>
      </c>
      <c r="L63" s="83">
        <f>G47</f>
        <v>0</v>
      </c>
      <c r="N63" s="83"/>
    </row>
    <row r="64" spans="1:16" x14ac:dyDescent="0.2">
      <c r="F64" t="s">
        <v>490</v>
      </c>
      <c r="L64" s="83"/>
      <c r="N64" s="83">
        <f t="shared" ref="N64:N72" si="1">G22</f>
        <v>0</v>
      </c>
    </row>
    <row r="65" spans="3:14" x14ac:dyDescent="0.2">
      <c r="F65" t="s">
        <v>879</v>
      </c>
      <c r="L65" s="83"/>
      <c r="N65" s="83">
        <f t="shared" si="1"/>
        <v>0</v>
      </c>
    </row>
    <row r="66" spans="3:14" x14ac:dyDescent="0.2">
      <c r="F66" t="s">
        <v>880</v>
      </c>
      <c r="L66" s="83"/>
      <c r="N66" s="83">
        <f t="shared" si="1"/>
        <v>0</v>
      </c>
    </row>
    <row r="67" spans="3:14" x14ac:dyDescent="0.2">
      <c r="F67" t="s">
        <v>473</v>
      </c>
      <c r="L67" s="83"/>
      <c r="N67" s="83">
        <f t="shared" si="1"/>
        <v>0</v>
      </c>
    </row>
    <row r="68" spans="3:14" x14ac:dyDescent="0.2">
      <c r="F68" t="s">
        <v>881</v>
      </c>
      <c r="L68" s="83"/>
      <c r="N68" s="83">
        <f t="shared" si="1"/>
        <v>0</v>
      </c>
    </row>
    <row r="69" spans="3:14" x14ac:dyDescent="0.2">
      <c r="F69" t="s">
        <v>890</v>
      </c>
      <c r="L69" s="83"/>
      <c r="N69" s="83">
        <f t="shared" si="1"/>
        <v>0</v>
      </c>
    </row>
    <row r="70" spans="3:14" x14ac:dyDescent="0.2">
      <c r="F70" t="s">
        <v>891</v>
      </c>
      <c r="L70" s="83"/>
      <c r="N70" s="83">
        <f t="shared" si="1"/>
        <v>0</v>
      </c>
    </row>
    <row r="71" spans="3:14" x14ac:dyDescent="0.2">
      <c r="F71" t="s">
        <v>910</v>
      </c>
      <c r="L71" s="83"/>
      <c r="N71" s="83">
        <f t="shared" si="1"/>
        <v>0</v>
      </c>
    </row>
    <row r="72" spans="3:14" x14ac:dyDescent="0.2">
      <c r="C72" s="54"/>
      <c r="F72" s="415" t="s">
        <v>201</v>
      </c>
      <c r="L72" s="79"/>
      <c r="N72" s="11">
        <f t="shared" si="1"/>
        <v>0</v>
      </c>
    </row>
    <row r="73" spans="3:14" ht="13.5" thickBot="1" x14ac:dyDescent="0.25">
      <c r="L73" s="76">
        <f>SUM(L53:L71)</f>
        <v>0</v>
      </c>
      <c r="N73" s="76">
        <f>SUM(N53:N72)</f>
        <v>0</v>
      </c>
    </row>
    <row r="74" spans="3:14" ht="13.5" thickTop="1" x14ac:dyDescent="0.2"/>
  </sheetData>
  <sheetProtection algorithmName="SHA-512" hashValue="0CwRZsuucm7PBym5w7YOQiEeo7tkE0/lcFISZ/l61SvngXcd6qjPQBI2jV4fpKtAscztiAyr7ls0r07K+QRT+Q==" saltValue="aAoB/JEQxG+GqmoyBZ8pGw==" spinCount="100000" sheet="1" objects="1" scenarios="1"/>
  <mergeCells count="11">
    <mergeCell ref="B50:O50"/>
    <mergeCell ref="C13:O14"/>
    <mergeCell ref="C10:O11"/>
    <mergeCell ref="B18:P18"/>
    <mergeCell ref="J26:O28"/>
    <mergeCell ref="A2:P2"/>
    <mergeCell ref="B4:P4"/>
    <mergeCell ref="B8:P8"/>
    <mergeCell ref="B34:P34"/>
    <mergeCell ref="J39:O41"/>
    <mergeCell ref="B6:P6"/>
  </mergeCells>
  <phoneticPr fontId="15" type="noConversion"/>
  <printOptions horizontalCentered="1"/>
  <pageMargins left="0.36" right="0.37" top="0.65" bottom="0.5" header="0.5" footer="0.5"/>
  <pageSetup scale="68" orientation="portrait" r:id="rId1"/>
  <headerFooter alignWithMargins="0">
    <oddHeader>&amp;R&amp;"Arial,Bold"&amp;12Entry E</oddHeader>
    <oddFooter>&amp;L&amp;8&amp;D - City model&amp;R&amp;P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C365"/>
  <sheetViews>
    <sheetView topLeftCell="A79" workbookViewId="0">
      <selection activeCell="D100" sqref="D100:K101"/>
    </sheetView>
  </sheetViews>
  <sheetFormatPr defaultRowHeight="12.75" x14ac:dyDescent="0.2"/>
  <cols>
    <col min="1" max="1" width="3.140625" customWidth="1"/>
    <col min="2" max="2" width="2.42578125" customWidth="1"/>
    <col min="3" max="3" width="2.5703125" customWidth="1"/>
    <col min="5" max="5" width="3.140625" customWidth="1"/>
    <col min="6" max="6" width="11.28515625" customWidth="1"/>
    <col min="7" max="9" width="10" customWidth="1"/>
    <col min="10" max="10" width="6.28515625" customWidth="1"/>
    <col min="11" max="11" width="7" customWidth="1"/>
    <col min="12" max="12" width="11.140625" bestFit="1" customWidth="1"/>
    <col min="13" max="13" width="13.140625" customWidth="1"/>
    <col min="14" max="14" width="2.28515625" customWidth="1"/>
    <col min="15" max="15" width="13.140625" bestFit="1" customWidth="1"/>
    <col min="16" max="16" width="10.7109375" bestFit="1" customWidth="1"/>
    <col min="17" max="17" width="14.140625" bestFit="1" customWidth="1"/>
    <col min="18" max="19" width="14.42578125" bestFit="1" customWidth="1"/>
    <col min="20" max="20" width="14.140625" customWidth="1"/>
    <col min="21" max="21" width="2.85546875" customWidth="1"/>
    <col min="22" max="25" width="10.28515625" bestFit="1" customWidth="1"/>
    <col min="26" max="27" width="10.28515625" customWidth="1"/>
    <col min="28" max="29" width="10.28515625" bestFit="1" customWidth="1"/>
  </cols>
  <sheetData>
    <row r="1" spans="1:20" ht="6" customHeight="1" x14ac:dyDescent="0.2"/>
    <row r="2" spans="1:20" ht="29.25" customHeight="1" x14ac:dyDescent="0.25">
      <c r="A2" s="956" t="s">
        <v>475</v>
      </c>
      <c r="B2" s="957"/>
      <c r="C2" s="957"/>
      <c r="D2" s="957"/>
      <c r="E2" s="957"/>
      <c r="F2" s="957"/>
      <c r="G2" s="957"/>
      <c r="H2" s="957"/>
      <c r="I2" s="957"/>
      <c r="J2" s="957"/>
      <c r="K2" s="957"/>
      <c r="L2" s="957"/>
      <c r="M2" s="957"/>
      <c r="N2" s="957"/>
      <c r="O2" s="957"/>
      <c r="P2" s="957"/>
      <c r="Q2" s="957"/>
      <c r="R2" s="957"/>
      <c r="S2" s="957"/>
      <c r="T2" s="958"/>
    </row>
    <row r="3" spans="1:20" ht="4.5" customHeight="1" x14ac:dyDescent="0.2">
      <c r="B3" s="883"/>
      <c r="C3" s="883"/>
      <c r="D3" s="883"/>
      <c r="E3" s="883"/>
      <c r="F3" s="883"/>
      <c r="G3" s="883"/>
      <c r="H3" s="883"/>
      <c r="I3" s="883"/>
      <c r="J3" s="883"/>
      <c r="K3" s="883"/>
      <c r="L3" s="883"/>
      <c r="M3" s="883"/>
      <c r="N3" s="883"/>
    </row>
    <row r="4" spans="1:20" ht="51" customHeight="1" x14ac:dyDescent="0.2">
      <c r="B4" s="883" t="s">
        <v>348</v>
      </c>
      <c r="C4" s="883"/>
      <c r="D4" s="883"/>
      <c r="E4" s="883"/>
      <c r="F4" s="883"/>
      <c r="G4" s="883"/>
      <c r="H4" s="883"/>
      <c r="I4" s="883"/>
      <c r="J4" s="883"/>
      <c r="K4" s="883"/>
      <c r="L4" s="883"/>
      <c r="M4" s="883"/>
      <c r="N4" s="883"/>
      <c r="O4" s="883"/>
      <c r="P4" s="883"/>
      <c r="Q4" s="883"/>
      <c r="R4" s="883"/>
      <c r="S4" s="883"/>
      <c r="T4" s="883"/>
    </row>
    <row r="5" spans="1:20" ht="2.25" customHeight="1" x14ac:dyDescent="0.2">
      <c r="J5" s="2"/>
      <c r="K5" s="2"/>
    </row>
    <row r="6" spans="1:20" ht="12.75" customHeight="1" x14ac:dyDescent="0.2">
      <c r="A6" s="4"/>
      <c r="B6" s="50" t="s">
        <v>930</v>
      </c>
      <c r="C6" s="883" t="s">
        <v>226</v>
      </c>
      <c r="D6" s="883"/>
      <c r="E6" s="883"/>
      <c r="F6" s="883"/>
      <c r="G6" s="883"/>
      <c r="H6" s="883"/>
      <c r="I6" s="883"/>
      <c r="J6" s="883"/>
      <c r="K6" s="883"/>
      <c r="L6" s="883"/>
      <c r="M6" s="883"/>
      <c r="N6" s="883"/>
      <c r="O6" s="883"/>
      <c r="P6" s="883"/>
      <c r="Q6" s="883"/>
      <c r="R6" s="883"/>
      <c r="S6" s="883"/>
      <c r="T6" s="883"/>
    </row>
    <row r="7" spans="1:20" ht="12.75" customHeight="1" x14ac:dyDescent="0.2">
      <c r="A7" s="4"/>
      <c r="B7" s="50"/>
      <c r="C7" s="883"/>
      <c r="D7" s="883"/>
      <c r="E7" s="883"/>
      <c r="F7" s="883"/>
      <c r="G7" s="883"/>
      <c r="H7" s="883"/>
      <c r="I7" s="883"/>
      <c r="J7" s="883"/>
      <c r="K7" s="883"/>
      <c r="L7" s="883"/>
      <c r="M7" s="883"/>
      <c r="N7" s="883"/>
      <c r="O7" s="883"/>
      <c r="P7" s="883"/>
      <c r="Q7" s="883"/>
      <c r="R7" s="883"/>
      <c r="S7" s="883"/>
      <c r="T7" s="883"/>
    </row>
    <row r="8" spans="1:20" ht="4.5" customHeight="1" x14ac:dyDescent="0.2">
      <c r="A8" s="4"/>
    </row>
    <row r="9" spans="1:20" ht="12.75" customHeight="1" x14ac:dyDescent="0.2">
      <c r="A9" s="4"/>
      <c r="B9" s="50" t="s">
        <v>931</v>
      </c>
      <c r="C9" s="883" t="s">
        <v>229</v>
      </c>
      <c r="D9" s="883"/>
      <c r="E9" s="883"/>
      <c r="F9" s="883"/>
      <c r="G9" s="883"/>
      <c r="H9" s="883"/>
      <c r="I9" s="883"/>
      <c r="J9" s="883"/>
      <c r="K9" s="883"/>
      <c r="L9" s="883"/>
      <c r="M9" s="883"/>
      <c r="N9" s="883"/>
      <c r="O9" s="883"/>
      <c r="P9" s="883"/>
      <c r="Q9" s="883"/>
      <c r="R9" s="883"/>
      <c r="S9" s="883"/>
      <c r="T9" s="883"/>
    </row>
    <row r="10" spans="1:20" ht="2.25" customHeight="1" x14ac:dyDescent="0.2">
      <c r="A10" s="4"/>
    </row>
    <row r="11" spans="1:20" ht="16.899999999999999" customHeight="1" x14ac:dyDescent="0.2">
      <c r="A11" s="4"/>
      <c r="B11" s="50" t="s">
        <v>932</v>
      </c>
      <c r="C11" s="892" t="s">
        <v>8</v>
      </c>
      <c r="D11" s="892"/>
      <c r="E11" s="892"/>
      <c r="F11" s="892"/>
      <c r="G11" s="892"/>
      <c r="H11" s="892"/>
      <c r="I11" s="892"/>
      <c r="J11" s="892"/>
      <c r="K11" s="892"/>
      <c r="L11" s="892"/>
      <c r="M11" s="892"/>
      <c r="N11" s="892"/>
      <c r="O11" s="892"/>
      <c r="P11" s="892"/>
      <c r="Q11" s="892"/>
      <c r="R11" s="892"/>
      <c r="S11" s="892"/>
      <c r="T11" s="892"/>
    </row>
    <row r="12" spans="1:20" ht="36.75" customHeight="1" x14ac:dyDescent="0.2">
      <c r="A12" s="4"/>
      <c r="B12" s="50"/>
      <c r="C12" s="892"/>
      <c r="D12" s="892"/>
      <c r="E12" s="892"/>
      <c r="F12" s="892"/>
      <c r="G12" s="892"/>
      <c r="H12" s="892"/>
      <c r="I12" s="892"/>
      <c r="J12" s="892"/>
      <c r="K12" s="892"/>
      <c r="L12" s="892"/>
      <c r="M12" s="892"/>
      <c r="N12" s="892"/>
      <c r="O12" s="892"/>
      <c r="P12" s="892"/>
      <c r="Q12" s="892"/>
      <c r="R12" s="892"/>
      <c r="S12" s="892"/>
      <c r="T12" s="892"/>
    </row>
    <row r="13" spans="1:20" ht="2.25" customHeight="1" x14ac:dyDescent="0.2">
      <c r="A13" s="4"/>
    </row>
    <row r="14" spans="1:20" ht="12.75" customHeight="1" x14ac:dyDescent="0.2">
      <c r="A14" s="4"/>
      <c r="B14" s="50" t="s">
        <v>862</v>
      </c>
      <c r="C14" s="883" t="s">
        <v>496</v>
      </c>
      <c r="D14" s="883"/>
      <c r="E14" s="883"/>
      <c r="F14" s="883"/>
      <c r="G14" s="883"/>
      <c r="H14" s="883"/>
      <c r="I14" s="883"/>
      <c r="J14" s="883"/>
      <c r="K14" s="883"/>
      <c r="L14" s="883"/>
      <c r="M14" s="883"/>
      <c r="N14" s="883"/>
      <c r="O14" s="883"/>
      <c r="P14" s="883"/>
      <c r="Q14" s="883"/>
      <c r="R14" s="883"/>
      <c r="S14" s="883"/>
      <c r="T14" s="883"/>
    </row>
    <row r="15" spans="1:20" ht="3" customHeight="1" x14ac:dyDescent="0.2">
      <c r="A15" s="4"/>
    </row>
    <row r="16" spans="1:20" ht="12.75" customHeight="1" x14ac:dyDescent="0.2">
      <c r="A16" s="4"/>
      <c r="B16" s="50" t="s">
        <v>863</v>
      </c>
      <c r="C16" s="883" t="s">
        <v>690</v>
      </c>
      <c r="D16" s="883"/>
      <c r="E16" s="883"/>
      <c r="F16" s="883"/>
      <c r="G16" s="883"/>
      <c r="H16" s="883"/>
      <c r="I16" s="883"/>
      <c r="J16" s="883"/>
      <c r="K16" s="883"/>
      <c r="L16" s="883"/>
      <c r="M16" s="883"/>
      <c r="N16" s="883"/>
      <c r="O16" s="883"/>
      <c r="P16" s="883"/>
      <c r="Q16" s="883"/>
      <c r="R16" s="883"/>
      <c r="S16" s="883"/>
      <c r="T16" s="883"/>
    </row>
    <row r="17" spans="1:20" ht="12.75" customHeight="1" x14ac:dyDescent="0.2">
      <c r="A17" s="4"/>
      <c r="B17" s="50"/>
      <c r="C17" s="883"/>
      <c r="D17" s="883"/>
      <c r="E17" s="883"/>
      <c r="F17" s="883"/>
      <c r="G17" s="883"/>
      <c r="H17" s="883"/>
      <c r="I17" s="883"/>
      <c r="J17" s="883"/>
      <c r="K17" s="883"/>
      <c r="L17" s="883"/>
      <c r="M17" s="883"/>
      <c r="N17" s="883"/>
      <c r="O17" s="883"/>
      <c r="P17" s="883"/>
      <c r="Q17" s="883"/>
      <c r="R17" s="883"/>
      <c r="S17" s="883"/>
      <c r="T17" s="883"/>
    </row>
    <row r="18" spans="1:20" ht="12.75" customHeight="1" x14ac:dyDescent="0.2">
      <c r="A18" s="4"/>
      <c r="B18" s="50"/>
      <c r="C18" s="883"/>
      <c r="D18" s="883"/>
      <c r="E18" s="883"/>
      <c r="F18" s="883"/>
      <c r="G18" s="883"/>
      <c r="H18" s="883"/>
      <c r="I18" s="883"/>
      <c r="J18" s="883"/>
      <c r="K18" s="883"/>
      <c r="L18" s="883"/>
      <c r="M18" s="883"/>
      <c r="N18" s="883"/>
      <c r="O18" s="883"/>
      <c r="P18" s="883"/>
      <c r="Q18" s="883"/>
      <c r="R18" s="883"/>
      <c r="S18" s="883"/>
      <c r="T18" s="883"/>
    </row>
    <row r="19" spans="1:20" ht="2.25" customHeight="1" x14ac:dyDescent="0.2">
      <c r="A19" s="4"/>
      <c r="B19" s="50"/>
      <c r="C19" s="46"/>
      <c r="D19" s="46"/>
      <c r="E19" s="46"/>
      <c r="F19" s="46"/>
      <c r="G19" s="46"/>
      <c r="H19" s="46"/>
      <c r="I19" s="46"/>
      <c r="J19" s="46"/>
      <c r="K19" s="46"/>
      <c r="L19" s="46"/>
      <c r="M19" s="46"/>
      <c r="N19" s="46"/>
      <c r="O19" s="46"/>
    </row>
    <row r="20" spans="1:20" ht="12.75" customHeight="1" x14ac:dyDescent="0.2">
      <c r="A20" s="4"/>
      <c r="B20" s="50" t="s">
        <v>323</v>
      </c>
      <c r="C20" s="883" t="s">
        <v>485</v>
      </c>
      <c r="D20" s="883"/>
      <c r="E20" s="883"/>
      <c r="F20" s="883"/>
      <c r="G20" s="883"/>
      <c r="H20" s="883"/>
      <c r="I20" s="883"/>
      <c r="J20" s="883"/>
      <c r="K20" s="883"/>
      <c r="L20" s="883"/>
      <c r="M20" s="883"/>
      <c r="N20" s="883"/>
      <c r="O20" s="883"/>
      <c r="P20" s="883"/>
      <c r="Q20" s="883"/>
      <c r="R20" s="883"/>
      <c r="S20" s="883"/>
      <c r="T20" s="883"/>
    </row>
    <row r="21" spans="1:20" ht="12.75" customHeight="1" x14ac:dyDescent="0.2">
      <c r="A21" s="4"/>
      <c r="B21" s="50"/>
      <c r="C21" s="883"/>
      <c r="D21" s="883"/>
      <c r="E21" s="883"/>
      <c r="F21" s="883"/>
      <c r="G21" s="883"/>
      <c r="H21" s="883"/>
      <c r="I21" s="883"/>
      <c r="J21" s="883"/>
      <c r="K21" s="883"/>
      <c r="L21" s="883"/>
      <c r="M21" s="883"/>
      <c r="N21" s="883"/>
      <c r="O21" s="883"/>
      <c r="P21" s="883"/>
      <c r="Q21" s="883"/>
      <c r="R21" s="883"/>
      <c r="S21" s="883"/>
      <c r="T21" s="883"/>
    </row>
    <row r="22" spans="1:20" ht="12.75" customHeight="1" x14ac:dyDescent="0.2">
      <c r="A22" s="4"/>
      <c r="B22" s="50"/>
      <c r="C22" s="883"/>
      <c r="D22" s="883"/>
      <c r="E22" s="883"/>
      <c r="F22" s="883"/>
      <c r="G22" s="883"/>
      <c r="H22" s="883"/>
      <c r="I22" s="883"/>
      <c r="J22" s="883"/>
      <c r="K22" s="883"/>
      <c r="L22" s="883"/>
      <c r="M22" s="883"/>
      <c r="N22" s="883"/>
      <c r="O22" s="883"/>
      <c r="P22" s="883"/>
      <c r="Q22" s="883"/>
      <c r="R22" s="883"/>
      <c r="S22" s="883"/>
      <c r="T22" s="883"/>
    </row>
    <row r="23" spans="1:20" ht="2.25" customHeight="1" x14ac:dyDescent="0.2">
      <c r="A23" s="4"/>
      <c r="B23" s="50"/>
      <c r="C23" s="46"/>
      <c r="D23" s="46"/>
      <c r="E23" s="46"/>
      <c r="F23" s="46"/>
      <c r="G23" s="46"/>
      <c r="H23" s="46"/>
      <c r="I23" s="46"/>
      <c r="J23" s="46"/>
      <c r="K23" s="46"/>
      <c r="L23" s="46"/>
      <c r="M23" s="46"/>
      <c r="N23" s="46"/>
      <c r="O23" s="46"/>
    </row>
    <row r="24" spans="1:20" ht="12.75" customHeight="1" x14ac:dyDescent="0.2">
      <c r="A24" s="4"/>
      <c r="B24" s="50" t="s">
        <v>153</v>
      </c>
      <c r="C24" s="883" t="s">
        <v>484</v>
      </c>
      <c r="D24" s="883"/>
      <c r="E24" s="883"/>
      <c r="F24" s="883"/>
      <c r="G24" s="883"/>
      <c r="H24" s="883"/>
      <c r="I24" s="883"/>
      <c r="J24" s="883"/>
      <c r="K24" s="883"/>
      <c r="L24" s="883"/>
      <c r="M24" s="883"/>
      <c r="N24" s="883"/>
      <c r="O24" s="883"/>
      <c r="P24" s="883"/>
      <c r="Q24" s="883"/>
      <c r="R24" s="883"/>
      <c r="S24" s="883"/>
      <c r="T24" s="883"/>
    </row>
    <row r="25" spans="1:20" ht="37.5" customHeight="1" x14ac:dyDescent="0.2">
      <c r="A25" s="4"/>
      <c r="B25" s="50"/>
      <c r="C25" s="883"/>
      <c r="D25" s="883"/>
      <c r="E25" s="883"/>
      <c r="F25" s="883"/>
      <c r="G25" s="883"/>
      <c r="H25" s="883"/>
      <c r="I25" s="883"/>
      <c r="J25" s="883"/>
      <c r="K25" s="883"/>
      <c r="L25" s="883"/>
      <c r="M25" s="883"/>
      <c r="N25" s="883"/>
      <c r="O25" s="883"/>
      <c r="P25" s="883"/>
      <c r="Q25" s="883"/>
      <c r="R25" s="883"/>
      <c r="S25" s="883"/>
      <c r="T25" s="883"/>
    </row>
    <row r="26" spans="1:20" ht="3.75" customHeight="1" x14ac:dyDescent="0.2">
      <c r="A26" s="46"/>
    </row>
    <row r="27" spans="1:20" ht="25.5" customHeight="1" x14ac:dyDescent="0.2">
      <c r="A27" s="4" t="s">
        <v>860</v>
      </c>
      <c r="B27" s="962" t="s">
        <v>811</v>
      </c>
      <c r="C27" s="963"/>
      <c r="D27" s="963"/>
      <c r="E27" s="963"/>
      <c r="F27" s="963"/>
      <c r="G27" s="963"/>
      <c r="H27" s="963"/>
      <c r="I27" s="963"/>
      <c r="J27" s="963"/>
      <c r="K27" s="963"/>
      <c r="L27" s="963"/>
      <c r="M27" s="963"/>
      <c r="N27" s="963"/>
      <c r="O27" s="963"/>
      <c r="P27" s="963"/>
      <c r="Q27" s="963"/>
      <c r="R27" s="963"/>
      <c r="S27" s="963"/>
      <c r="T27" s="964"/>
    </row>
    <row r="28" spans="1:20" ht="12.75" customHeight="1" x14ac:dyDescent="0.2">
      <c r="A28" s="4"/>
      <c r="L28" s="49"/>
      <c r="M28" s="49"/>
      <c r="N28" s="49"/>
      <c r="O28" s="49" t="s">
        <v>477</v>
      </c>
      <c r="P28" s="49"/>
      <c r="R28" s="467" t="s">
        <v>228</v>
      </c>
      <c r="S28" s="467" t="s">
        <v>228</v>
      </c>
    </row>
    <row r="29" spans="1:20" ht="12.75" customHeight="1" x14ac:dyDescent="0.2">
      <c r="A29" s="4"/>
      <c r="L29" s="58" t="s">
        <v>469</v>
      </c>
      <c r="M29" s="58" t="s">
        <v>765</v>
      </c>
      <c r="N29" s="49"/>
      <c r="O29" s="58" t="s">
        <v>766</v>
      </c>
      <c r="R29" s="468" t="s">
        <v>240</v>
      </c>
      <c r="S29" s="468" t="s">
        <v>241</v>
      </c>
    </row>
    <row r="30" spans="1:20" ht="15.75" customHeight="1" x14ac:dyDescent="0.2">
      <c r="A30" s="4"/>
      <c r="B30" s="67" t="s">
        <v>930</v>
      </c>
      <c r="C30" s="4" t="s">
        <v>691</v>
      </c>
      <c r="R30" s="4"/>
      <c r="S30" s="4"/>
    </row>
    <row r="31" spans="1:20" ht="6.75" customHeight="1" x14ac:dyDescent="0.2">
      <c r="A31" s="4"/>
      <c r="B31" s="67"/>
      <c r="C31" s="4"/>
      <c r="R31" s="4"/>
      <c r="S31" s="4"/>
    </row>
    <row r="32" spans="1:20" ht="12.75" customHeight="1" x14ac:dyDescent="0.2">
      <c r="A32" s="4"/>
      <c r="C32" t="s">
        <v>82</v>
      </c>
      <c r="D32" s="883" t="s">
        <v>83</v>
      </c>
      <c r="E32" s="883"/>
      <c r="F32" s="883"/>
      <c r="G32" s="883"/>
      <c r="H32" s="883"/>
      <c r="I32" s="883"/>
      <c r="L32" s="985"/>
      <c r="M32" s="993"/>
      <c r="N32" s="415"/>
      <c r="O32" s="993"/>
      <c r="R32" s="1005"/>
      <c r="S32" s="1005"/>
    </row>
    <row r="33" spans="1:20" ht="13.5" customHeight="1" x14ac:dyDescent="0.2">
      <c r="A33" s="4"/>
      <c r="D33" s="883"/>
      <c r="E33" s="883"/>
      <c r="F33" s="883"/>
      <c r="G33" s="883"/>
      <c r="H33" s="883"/>
      <c r="I33" s="883"/>
      <c r="L33" s="985"/>
      <c r="M33" s="993"/>
      <c r="N33" s="415"/>
      <c r="O33" s="993"/>
      <c r="R33" s="1005"/>
      <c r="S33" s="1005"/>
    </row>
    <row r="34" spans="1:20" ht="5.25" customHeight="1" x14ac:dyDescent="0.2">
      <c r="L34" s="47"/>
    </row>
    <row r="35" spans="1:20" ht="12.75" customHeight="1" x14ac:dyDescent="0.2">
      <c r="C35" t="s">
        <v>84</v>
      </c>
      <c r="D35" s="883" t="s">
        <v>383</v>
      </c>
      <c r="E35" s="883"/>
      <c r="F35" s="883"/>
      <c r="G35" s="883"/>
      <c r="H35" s="883"/>
      <c r="I35" s="883"/>
      <c r="L35" s="78" t="s">
        <v>480</v>
      </c>
      <c r="M35" s="993"/>
      <c r="N35" s="415"/>
      <c r="O35" s="993"/>
      <c r="R35" s="993"/>
      <c r="S35" s="993"/>
    </row>
    <row r="36" spans="1:20" ht="12.75" customHeight="1" x14ac:dyDescent="0.2">
      <c r="D36" s="883"/>
      <c r="E36" s="883"/>
      <c r="F36" s="883"/>
      <c r="G36" s="883"/>
      <c r="H36" s="883"/>
      <c r="I36" s="883"/>
      <c r="L36" s="78"/>
      <c r="M36" s="993"/>
      <c r="N36" s="415"/>
      <c r="O36" s="993"/>
      <c r="R36" s="993"/>
      <c r="S36" s="993"/>
    </row>
    <row r="37" spans="1:20" ht="5.25" customHeight="1" x14ac:dyDescent="0.2">
      <c r="L37" s="68"/>
    </row>
    <row r="38" spans="1:20" ht="12.75" customHeight="1" x14ac:dyDescent="0.2">
      <c r="C38" t="s">
        <v>384</v>
      </c>
      <c r="D38" s="883" t="s">
        <v>189</v>
      </c>
      <c r="E38" s="883"/>
      <c r="F38" s="883"/>
      <c r="G38" s="883"/>
      <c r="H38" s="883"/>
      <c r="I38" s="883"/>
      <c r="L38" s="78" t="s">
        <v>480</v>
      </c>
      <c r="M38" s="993"/>
      <c r="N38" s="415">
        <v>0</v>
      </c>
      <c r="O38" s="993"/>
      <c r="R38" s="993"/>
      <c r="S38" s="993"/>
    </row>
    <row r="39" spans="1:20" ht="13.5" customHeight="1" x14ac:dyDescent="0.2">
      <c r="D39" s="883"/>
      <c r="E39" s="883"/>
      <c r="F39" s="883"/>
      <c r="G39" s="883"/>
      <c r="H39" s="883"/>
      <c r="I39" s="883"/>
      <c r="L39" s="78"/>
      <c r="M39" s="993"/>
      <c r="N39" s="415"/>
      <c r="O39" s="993"/>
      <c r="R39" s="993"/>
      <c r="S39" s="993"/>
    </row>
    <row r="40" spans="1:20" ht="3.75" customHeight="1" x14ac:dyDescent="0.2">
      <c r="D40" s="46"/>
      <c r="E40" s="46"/>
      <c r="F40" s="46"/>
      <c r="G40" s="46"/>
      <c r="H40" s="46"/>
      <c r="I40" s="46"/>
      <c r="L40" s="47"/>
    </row>
    <row r="41" spans="1:20" ht="13.5" customHeight="1" x14ac:dyDescent="0.2">
      <c r="D41" s="46"/>
      <c r="E41" s="883" t="s">
        <v>770</v>
      </c>
      <c r="F41" s="883"/>
      <c r="G41" s="883"/>
      <c r="H41" s="883"/>
      <c r="I41" s="883"/>
      <c r="L41" s="74">
        <f>L32</f>
        <v>0</v>
      </c>
      <c r="M41" s="75">
        <f>M32-(M35+M38)</f>
        <v>0</v>
      </c>
      <c r="O41" s="75">
        <f>O32-(O35+O38)</f>
        <v>0</v>
      </c>
      <c r="R41" s="75"/>
      <c r="S41" s="75"/>
    </row>
    <row r="42" spans="1:20" ht="6.75" customHeight="1" x14ac:dyDescent="0.2">
      <c r="D42" s="46"/>
      <c r="E42" s="46"/>
      <c r="F42" s="46"/>
      <c r="G42" s="46"/>
      <c r="H42" s="46"/>
      <c r="I42" s="46"/>
      <c r="L42" s="47"/>
    </row>
    <row r="43" spans="1:20" ht="13.5" customHeight="1" x14ac:dyDescent="0.2">
      <c r="C43" t="s">
        <v>764</v>
      </c>
      <c r="D43" s="883" t="s">
        <v>244</v>
      </c>
      <c r="E43" s="883"/>
      <c r="F43" s="883"/>
      <c r="G43" s="883"/>
      <c r="H43" s="883"/>
      <c r="I43" s="46"/>
      <c r="L43" s="434"/>
      <c r="M43" s="436"/>
      <c r="N43" s="415"/>
      <c r="O43" s="436"/>
      <c r="R43" s="436"/>
      <c r="S43" s="436"/>
    </row>
    <row r="44" spans="1:20" ht="6" customHeight="1" x14ac:dyDescent="0.2">
      <c r="D44" s="46"/>
      <c r="E44" s="46"/>
      <c r="F44" s="46"/>
      <c r="G44" s="46"/>
      <c r="H44" s="46"/>
      <c r="I44" s="46"/>
      <c r="L44" s="47"/>
    </row>
    <row r="45" spans="1:20" ht="13.5" thickBot="1" x14ac:dyDescent="0.25">
      <c r="E45" t="s">
        <v>224</v>
      </c>
      <c r="L45" s="76">
        <f>L43-L41</f>
        <v>0</v>
      </c>
      <c r="M45" s="77">
        <f>M43-M41</f>
        <v>0</v>
      </c>
      <c r="O45" s="77">
        <f>O43-O41</f>
        <v>0</v>
      </c>
      <c r="R45" s="77"/>
      <c r="S45" s="77"/>
    </row>
    <row r="46" spans="1:20" ht="9" customHeight="1" thickTop="1" x14ac:dyDescent="0.2"/>
    <row r="47" spans="1:20" ht="24.95" customHeight="1" x14ac:dyDescent="0.2">
      <c r="C47" s="1003" t="s">
        <v>1022</v>
      </c>
      <c r="D47" s="1004"/>
      <c r="E47" s="1004"/>
      <c r="F47" s="1004"/>
      <c r="G47" s="1004"/>
      <c r="H47" s="1004"/>
      <c r="I47" s="1004"/>
      <c r="J47" s="1004"/>
      <c r="K47" s="1004"/>
      <c r="L47" s="1004"/>
      <c r="M47" s="1004"/>
      <c r="N47" s="1004"/>
      <c r="O47" s="1004"/>
      <c r="P47" s="1004"/>
      <c r="Q47" s="1004"/>
      <c r="R47" s="1004"/>
      <c r="S47" s="1004"/>
      <c r="T47" s="1004"/>
    </row>
    <row r="48" spans="1:20" x14ac:dyDescent="0.2">
      <c r="O48" s="49" t="s">
        <v>227</v>
      </c>
      <c r="Q48" s="49" t="s">
        <v>767</v>
      </c>
      <c r="R48" s="467" t="s">
        <v>228</v>
      </c>
      <c r="S48" s="467" t="s">
        <v>228</v>
      </c>
    </row>
    <row r="49" spans="2:19" ht="12" customHeight="1" x14ac:dyDescent="0.2">
      <c r="B49" s="67" t="s">
        <v>931</v>
      </c>
      <c r="C49" s="4" t="s">
        <v>360</v>
      </c>
      <c r="L49" s="58" t="s">
        <v>469</v>
      </c>
      <c r="M49" s="58" t="s">
        <v>765</v>
      </c>
      <c r="N49" s="49"/>
      <c r="O49" s="58" t="s">
        <v>766</v>
      </c>
      <c r="P49" s="58" t="s">
        <v>467</v>
      </c>
      <c r="Q49" s="58" t="s">
        <v>768</v>
      </c>
      <c r="R49" s="468" t="s">
        <v>240</v>
      </c>
      <c r="S49" s="468" t="s">
        <v>241</v>
      </c>
    </row>
    <row r="50" spans="2:19" ht="12.75" customHeight="1" x14ac:dyDescent="0.2">
      <c r="C50" t="s">
        <v>82</v>
      </c>
      <c r="D50" s="883" t="s">
        <v>18</v>
      </c>
      <c r="E50" s="883"/>
      <c r="F50" s="883"/>
      <c r="G50" s="883"/>
      <c r="H50" s="883"/>
      <c r="I50" s="883"/>
      <c r="L50" s="999"/>
      <c r="M50" s="999"/>
      <c r="N50" s="446"/>
      <c r="O50" s="999"/>
      <c r="P50" s="999"/>
      <c r="Q50" s="999"/>
      <c r="R50" s="992"/>
      <c r="S50" s="992"/>
    </row>
    <row r="51" spans="2:19" ht="12" customHeight="1" x14ac:dyDescent="0.2">
      <c r="D51" s="883"/>
      <c r="E51" s="883"/>
      <c r="F51" s="883"/>
      <c r="G51" s="883"/>
      <c r="H51" s="883"/>
      <c r="I51" s="883"/>
      <c r="L51" s="985"/>
      <c r="M51" s="985"/>
      <c r="N51" s="446"/>
      <c r="O51" s="985"/>
      <c r="P51" s="985"/>
      <c r="Q51" s="985"/>
      <c r="R51" s="993"/>
      <c r="S51" s="993"/>
    </row>
    <row r="52" spans="2:19" ht="3.75" customHeight="1" x14ac:dyDescent="0.2">
      <c r="L52" s="47"/>
      <c r="M52" s="47"/>
      <c r="N52" s="47"/>
      <c r="O52" s="47"/>
      <c r="P52" s="47"/>
      <c r="Q52" s="47"/>
    </row>
    <row r="53" spans="2:19" ht="12.75" customHeight="1" x14ac:dyDescent="0.2">
      <c r="C53" t="s">
        <v>84</v>
      </c>
      <c r="D53" s="883" t="s">
        <v>51</v>
      </c>
      <c r="E53" s="883"/>
      <c r="F53" s="883"/>
      <c r="G53" s="883"/>
      <c r="H53" s="883"/>
      <c r="I53" s="883"/>
      <c r="L53" s="78" t="s">
        <v>480</v>
      </c>
      <c r="M53" s="985"/>
      <c r="N53" s="446"/>
      <c r="O53" s="985"/>
      <c r="P53" s="985"/>
      <c r="Q53" s="985"/>
      <c r="R53" s="985"/>
      <c r="S53" s="985"/>
    </row>
    <row r="54" spans="2:19" ht="12.75" customHeight="1" x14ac:dyDescent="0.2">
      <c r="D54" s="883"/>
      <c r="E54" s="883"/>
      <c r="F54" s="883"/>
      <c r="G54" s="883"/>
      <c r="H54" s="883"/>
      <c r="I54" s="883"/>
      <c r="L54" s="78"/>
      <c r="M54" s="985"/>
      <c r="N54" s="446"/>
      <c r="O54" s="985"/>
      <c r="P54" s="985"/>
      <c r="Q54" s="985"/>
      <c r="R54" s="985"/>
      <c r="S54" s="985"/>
    </row>
    <row r="55" spans="2:19" ht="3.75" customHeight="1" x14ac:dyDescent="0.2">
      <c r="L55" s="68"/>
      <c r="M55" s="47"/>
      <c r="N55" s="47"/>
      <c r="O55" s="47"/>
      <c r="P55" s="47"/>
      <c r="Q55" s="47"/>
      <c r="R55" s="47"/>
      <c r="S55" s="47"/>
    </row>
    <row r="56" spans="2:19" ht="13.5" customHeight="1" x14ac:dyDescent="0.2">
      <c r="C56" t="s">
        <v>384</v>
      </c>
      <c r="D56" s="883" t="s">
        <v>984</v>
      </c>
      <c r="E56" s="883"/>
      <c r="F56" s="883"/>
      <c r="G56" s="883"/>
      <c r="H56" s="883"/>
      <c r="I56" s="883"/>
      <c r="L56" s="78" t="s">
        <v>480</v>
      </c>
      <c r="M56" s="985"/>
      <c r="N56" s="446"/>
      <c r="O56" s="985"/>
      <c r="P56" s="985">
        <v>0</v>
      </c>
      <c r="Q56" s="985"/>
      <c r="R56" s="985"/>
      <c r="S56" s="985"/>
    </row>
    <row r="57" spans="2:19" ht="13.5" customHeight="1" x14ac:dyDescent="0.2">
      <c r="D57" s="883"/>
      <c r="E57" s="883"/>
      <c r="F57" s="883"/>
      <c r="G57" s="883"/>
      <c r="H57" s="883"/>
      <c r="I57" s="883"/>
      <c r="L57" s="78"/>
      <c r="M57" s="985"/>
      <c r="N57" s="446"/>
      <c r="O57" s="985"/>
      <c r="P57" s="985"/>
      <c r="Q57" s="985"/>
      <c r="R57" s="985"/>
      <c r="S57" s="985"/>
    </row>
    <row r="58" spans="2:19" ht="3.75" customHeight="1" x14ac:dyDescent="0.2">
      <c r="L58" s="47"/>
      <c r="M58" s="47"/>
      <c r="N58" s="47"/>
      <c r="O58" s="47"/>
      <c r="P58" s="47"/>
      <c r="Q58" s="47"/>
    </row>
    <row r="59" spans="2:19" ht="12.75" customHeight="1" x14ac:dyDescent="0.2">
      <c r="E59" t="s">
        <v>770</v>
      </c>
      <c r="L59" s="74">
        <f>L50</f>
        <v>0</v>
      </c>
      <c r="M59" s="74">
        <f>M50-(M53+M56)</f>
        <v>0</v>
      </c>
      <c r="N59" s="57"/>
      <c r="O59" s="74">
        <f>O50-(O53+O56)</f>
        <v>0</v>
      </c>
      <c r="P59" s="74">
        <f>P50-(P53+P56)</f>
        <v>0</v>
      </c>
      <c r="Q59" s="74">
        <f>Q50-(Q53+Q56)</f>
        <v>0</v>
      </c>
      <c r="R59" s="75"/>
      <c r="S59" s="75"/>
    </row>
    <row r="60" spans="2:19" ht="3" customHeight="1" x14ac:dyDescent="0.2">
      <c r="L60" s="47"/>
      <c r="M60" s="47"/>
      <c r="N60" s="47"/>
      <c r="O60" s="47"/>
      <c r="P60" s="47"/>
      <c r="Q60" s="47"/>
    </row>
    <row r="61" spans="2:19" ht="13.5" customHeight="1" x14ac:dyDescent="0.2">
      <c r="C61" t="s">
        <v>764</v>
      </c>
      <c r="D61" s="881" t="s">
        <v>985</v>
      </c>
      <c r="E61" s="881"/>
      <c r="F61" s="881"/>
      <c r="G61" s="881"/>
      <c r="H61" s="881"/>
      <c r="I61" s="881"/>
      <c r="L61" s="47"/>
      <c r="M61" s="47"/>
      <c r="N61" s="47"/>
      <c r="O61" s="47"/>
      <c r="P61" s="47"/>
      <c r="Q61" s="47"/>
    </row>
    <row r="62" spans="2:19" ht="13.5" customHeight="1" x14ac:dyDescent="0.2">
      <c r="E62" t="s">
        <v>769</v>
      </c>
      <c r="L62" s="437"/>
      <c r="M62" s="437"/>
      <c r="N62" s="446"/>
      <c r="O62" s="437"/>
      <c r="P62" s="437"/>
      <c r="Q62" s="437"/>
      <c r="R62" s="436"/>
      <c r="S62" s="436"/>
    </row>
    <row r="63" spans="2:19" ht="13.5" customHeight="1" x14ac:dyDescent="0.2">
      <c r="E63" t="s">
        <v>448</v>
      </c>
      <c r="L63" s="437"/>
      <c r="M63" s="437"/>
      <c r="N63" s="446"/>
      <c r="O63" s="437"/>
      <c r="P63" s="437"/>
      <c r="Q63" s="437"/>
      <c r="R63" s="436"/>
      <c r="S63" s="436"/>
    </row>
    <row r="64" spans="2:19" ht="3.75" customHeight="1" x14ac:dyDescent="0.2">
      <c r="L64" s="47"/>
      <c r="M64" s="47"/>
      <c r="N64" s="47"/>
      <c r="O64" s="47"/>
      <c r="P64" s="47"/>
      <c r="Q64" s="47"/>
    </row>
    <row r="65" spans="1:20" ht="12.75" customHeight="1" thickBot="1" x14ac:dyDescent="0.25">
      <c r="E65" t="s">
        <v>225</v>
      </c>
      <c r="L65" s="76">
        <f>(L62+L63)-L59</f>
        <v>0</v>
      </c>
      <c r="M65" s="76">
        <f>(M62+M63)-M59</f>
        <v>0</v>
      </c>
      <c r="N65" s="57"/>
      <c r="O65" s="76">
        <f>(O62+O63)-O59</f>
        <v>0</v>
      </c>
      <c r="P65" s="76">
        <f>(P62+P63)-P59</f>
        <v>0</v>
      </c>
      <c r="Q65" s="76">
        <f>(Q62+Q63)-Q59</f>
        <v>0</v>
      </c>
      <c r="R65" s="77"/>
      <c r="S65" s="77"/>
    </row>
    <row r="66" spans="1:20" ht="5.25" customHeight="1" thickTop="1" x14ac:dyDescent="0.2"/>
    <row r="67" spans="1:20" ht="26.25" customHeight="1" x14ac:dyDescent="0.2">
      <c r="D67" s="880" t="s">
        <v>48</v>
      </c>
      <c r="E67" s="883"/>
      <c r="F67" s="883"/>
      <c r="G67" s="883"/>
      <c r="H67" s="883"/>
      <c r="I67" s="883"/>
      <c r="J67" s="883"/>
      <c r="K67" s="883"/>
      <c r="L67" s="883"/>
      <c r="M67" s="883"/>
      <c r="N67" s="883"/>
      <c r="O67" s="883"/>
      <c r="P67" s="883"/>
      <c r="Q67" s="883"/>
      <c r="R67" s="883"/>
      <c r="S67" s="883"/>
      <c r="T67" s="883"/>
    </row>
    <row r="68" spans="1:20" ht="6" customHeight="1" x14ac:dyDescent="0.2"/>
    <row r="69" spans="1:20" ht="25.5" customHeight="1" x14ac:dyDescent="0.2">
      <c r="A69" s="4" t="s">
        <v>861</v>
      </c>
      <c r="B69" s="962" t="s">
        <v>478</v>
      </c>
      <c r="C69" s="963"/>
      <c r="D69" s="963"/>
      <c r="E69" s="963"/>
      <c r="F69" s="963"/>
      <c r="G69" s="963"/>
      <c r="H69" s="963"/>
      <c r="I69" s="963"/>
      <c r="J69" s="963"/>
      <c r="K69" s="963"/>
      <c r="L69" s="963"/>
      <c r="M69" s="963"/>
      <c r="N69" s="963"/>
      <c r="O69" s="963"/>
      <c r="P69" s="963"/>
      <c r="Q69" s="963"/>
      <c r="R69" s="963"/>
      <c r="S69" s="963"/>
      <c r="T69" s="964"/>
    </row>
    <row r="70" spans="1:20" ht="3" customHeight="1" x14ac:dyDescent="0.2">
      <c r="C70" s="4"/>
      <c r="D70" s="4"/>
      <c r="E70" s="4"/>
      <c r="F70" s="1002"/>
      <c r="G70" s="1002"/>
      <c r="H70" s="1002"/>
      <c r="I70" s="4"/>
      <c r="N70" s="4"/>
    </row>
    <row r="71" spans="1:20" x14ac:dyDescent="0.2">
      <c r="O71" s="49" t="s">
        <v>227</v>
      </c>
      <c r="Q71" s="49" t="s">
        <v>767</v>
      </c>
      <c r="R71" s="467" t="s">
        <v>228</v>
      </c>
      <c r="S71" s="467" t="s">
        <v>228</v>
      </c>
    </row>
    <row r="72" spans="1:20" ht="12.75" customHeight="1" x14ac:dyDescent="0.2">
      <c r="B72" s="67"/>
      <c r="C72" s="4" t="s">
        <v>230</v>
      </c>
      <c r="L72" s="58" t="s">
        <v>469</v>
      </c>
      <c r="M72" s="58" t="s">
        <v>765</v>
      </c>
      <c r="N72" s="49"/>
      <c r="O72" s="58" t="s">
        <v>766</v>
      </c>
      <c r="P72" s="58" t="s">
        <v>467</v>
      </c>
      <c r="Q72" s="58" t="s">
        <v>768</v>
      </c>
      <c r="R72" s="468" t="s">
        <v>240</v>
      </c>
      <c r="S72" s="468" t="s">
        <v>241</v>
      </c>
      <c r="T72" s="49" t="s">
        <v>102</v>
      </c>
    </row>
    <row r="73" spans="1:20" ht="12.75" customHeight="1" x14ac:dyDescent="0.2">
      <c r="C73" t="s">
        <v>82</v>
      </c>
      <c r="D73" s="883" t="s">
        <v>986</v>
      </c>
      <c r="E73" s="883"/>
      <c r="F73" s="883"/>
      <c r="G73" s="883"/>
      <c r="H73" s="883"/>
      <c r="I73" s="883"/>
      <c r="L73" s="507"/>
      <c r="M73" s="999"/>
      <c r="N73" s="446"/>
      <c r="O73" s="999"/>
      <c r="P73" s="999"/>
      <c r="Q73" s="999"/>
      <c r="R73" s="992"/>
      <c r="S73" s="992"/>
      <c r="T73" s="1001">
        <f>SUM(M73:S73)</f>
        <v>0</v>
      </c>
    </row>
    <row r="74" spans="1:20" ht="14.25" customHeight="1" x14ac:dyDescent="0.2">
      <c r="D74" s="883"/>
      <c r="E74" s="883"/>
      <c r="F74" s="883"/>
      <c r="G74" s="883"/>
      <c r="H74" s="883"/>
      <c r="I74" s="883"/>
      <c r="L74" s="56"/>
      <c r="M74" s="988"/>
      <c r="N74" s="446"/>
      <c r="O74" s="985"/>
      <c r="P74" s="985"/>
      <c r="Q74" s="985"/>
      <c r="R74" s="993"/>
      <c r="S74" s="993"/>
      <c r="T74" s="1001"/>
    </row>
    <row r="75" spans="1:20" ht="6" customHeight="1" x14ac:dyDescent="0.2">
      <c r="L75" s="47"/>
      <c r="M75" s="446"/>
      <c r="N75" s="446"/>
      <c r="O75" s="446"/>
      <c r="P75" s="446"/>
      <c r="Q75" s="446"/>
      <c r="R75" s="415"/>
      <c r="S75" s="415"/>
      <c r="T75" s="5"/>
    </row>
    <row r="76" spans="1:20" ht="14.25" customHeight="1" x14ac:dyDescent="0.2">
      <c r="C76" t="s">
        <v>84</v>
      </c>
      <c r="D76" s="883" t="s">
        <v>987</v>
      </c>
      <c r="E76" s="883"/>
      <c r="F76" s="883"/>
      <c r="G76" s="883"/>
      <c r="H76" s="883"/>
      <c r="I76" s="883"/>
      <c r="L76" s="78" t="s">
        <v>480</v>
      </c>
      <c r="M76" s="985"/>
      <c r="N76" s="446"/>
      <c r="O76" s="985"/>
      <c r="P76" s="985"/>
      <c r="Q76" s="985"/>
      <c r="R76" s="993"/>
      <c r="S76" s="993"/>
      <c r="T76" s="1001">
        <f>SUM(M76:S76)</f>
        <v>0</v>
      </c>
    </row>
    <row r="77" spans="1:20" ht="9.75" customHeight="1" x14ac:dyDescent="0.2">
      <c r="D77" s="883"/>
      <c r="E77" s="883"/>
      <c r="F77" s="883"/>
      <c r="G77" s="883"/>
      <c r="H77" s="883"/>
      <c r="I77" s="883"/>
      <c r="L77" s="78"/>
      <c r="M77" s="985"/>
      <c r="N77" s="446"/>
      <c r="O77" s="985"/>
      <c r="P77" s="985"/>
      <c r="Q77" s="985"/>
      <c r="R77" s="993"/>
      <c r="S77" s="993"/>
      <c r="T77" s="1001"/>
    </row>
    <row r="78" spans="1:20" ht="4.5" customHeight="1" x14ac:dyDescent="0.2">
      <c r="L78" s="68"/>
      <c r="M78" s="446"/>
      <c r="N78" s="446"/>
      <c r="O78" s="446"/>
      <c r="P78" s="446"/>
      <c r="Q78" s="446"/>
      <c r="R78" s="415"/>
      <c r="S78" s="415"/>
      <c r="T78" s="5">
        <f>SUM(M78:S78)</f>
        <v>0</v>
      </c>
    </row>
    <row r="79" spans="1:20" ht="12.75" customHeight="1" x14ac:dyDescent="0.2">
      <c r="C79" t="s">
        <v>384</v>
      </c>
      <c r="D79" s="883" t="s">
        <v>988</v>
      </c>
      <c r="E79" s="883"/>
      <c r="F79" s="883"/>
      <c r="G79" s="883"/>
      <c r="H79" s="883"/>
      <c r="I79" s="883"/>
      <c r="L79" s="78" t="s">
        <v>480</v>
      </c>
      <c r="M79" s="985"/>
      <c r="N79" s="446"/>
      <c r="O79" s="985"/>
      <c r="P79" s="985"/>
      <c r="Q79" s="985"/>
      <c r="R79" s="993"/>
      <c r="S79" s="993"/>
      <c r="T79" s="1001">
        <f>SUM(M79:S79)</f>
        <v>0</v>
      </c>
    </row>
    <row r="80" spans="1:20" ht="12.75" customHeight="1" x14ac:dyDescent="0.2">
      <c r="D80" s="883"/>
      <c r="E80" s="883"/>
      <c r="F80" s="883"/>
      <c r="G80" s="883"/>
      <c r="H80" s="883"/>
      <c r="I80" s="883"/>
      <c r="L80" s="78"/>
      <c r="M80" s="985"/>
      <c r="N80" s="446"/>
      <c r="O80" s="985"/>
      <c r="P80" s="985"/>
      <c r="Q80" s="985"/>
      <c r="R80" s="993"/>
      <c r="S80" s="993"/>
      <c r="T80" s="1001"/>
    </row>
    <row r="81" spans="1:23" ht="5.25" customHeight="1" x14ac:dyDescent="0.2">
      <c r="L81" s="47"/>
      <c r="M81" s="47"/>
      <c r="N81" s="47"/>
      <c r="O81" s="47"/>
      <c r="P81" s="47"/>
      <c r="Q81" s="47"/>
    </row>
    <row r="82" spans="1:23" x14ac:dyDescent="0.2">
      <c r="E82" t="s">
        <v>989</v>
      </c>
      <c r="L82" s="69">
        <f>L73</f>
        <v>0</v>
      </c>
      <c r="M82" s="74">
        <f>M73-(M76+M79)</f>
        <v>0</v>
      </c>
      <c r="N82" s="57"/>
      <c r="O82" s="74">
        <f t="shared" ref="O82:T82" si="0">O73-(O76+O79)</f>
        <v>0</v>
      </c>
      <c r="P82" s="74">
        <f t="shared" si="0"/>
        <v>0</v>
      </c>
      <c r="Q82" s="74">
        <f t="shared" si="0"/>
        <v>0</v>
      </c>
      <c r="R82" s="74">
        <f t="shared" si="0"/>
        <v>0</v>
      </c>
      <c r="S82" s="74">
        <f t="shared" si="0"/>
        <v>0</v>
      </c>
      <c r="T82" s="74">
        <f t="shared" si="0"/>
        <v>0</v>
      </c>
    </row>
    <row r="83" spans="1:23" ht="4.5" customHeight="1" x14ac:dyDescent="0.2">
      <c r="L83" s="47"/>
      <c r="M83" s="47"/>
      <c r="N83" s="47"/>
      <c r="O83" s="47"/>
      <c r="P83" s="47"/>
      <c r="Q83" s="47"/>
    </row>
    <row r="84" spans="1:23" ht="16.899999999999999" customHeight="1" x14ac:dyDescent="0.35">
      <c r="C84" t="s">
        <v>764</v>
      </c>
      <c r="D84" s="883" t="s">
        <v>783</v>
      </c>
      <c r="E84" s="883"/>
      <c r="F84" s="883"/>
      <c r="G84" s="883"/>
      <c r="H84" s="883"/>
      <c r="I84" s="883"/>
      <c r="L84" s="47"/>
      <c r="M84" s="985"/>
      <c r="N84" s="446"/>
      <c r="O84" s="985"/>
      <c r="P84" s="985"/>
      <c r="Q84" s="985"/>
      <c r="R84" s="993"/>
      <c r="S84" s="993"/>
      <c r="T84" s="1001">
        <f>SUM(M84:S84)</f>
        <v>0</v>
      </c>
      <c r="U84" s="1006" t="str">
        <f>IF(T84=T82," ","Recheck numbers for d. Entry out of balance.")</f>
        <v xml:space="preserve"> </v>
      </c>
      <c r="V84" s="1006"/>
      <c r="W84" s="1006"/>
    </row>
    <row r="85" spans="1:23" ht="40.5" customHeight="1" x14ac:dyDescent="0.35">
      <c r="D85" s="883"/>
      <c r="E85" s="883"/>
      <c r="F85" s="883"/>
      <c r="G85" s="883"/>
      <c r="H85" s="883"/>
      <c r="I85" s="883"/>
      <c r="L85" s="47"/>
      <c r="M85" s="985"/>
      <c r="N85" s="446"/>
      <c r="O85" s="985"/>
      <c r="P85" s="985"/>
      <c r="Q85" s="985"/>
      <c r="R85" s="993"/>
      <c r="S85" s="993"/>
      <c r="T85" s="1001"/>
      <c r="U85" s="119"/>
      <c r="V85" s="119"/>
      <c r="W85" s="119"/>
    </row>
    <row r="86" spans="1:23" ht="12.75" customHeight="1" x14ac:dyDescent="0.2">
      <c r="D86" s="46"/>
      <c r="E86" s="46"/>
      <c r="F86" s="46"/>
      <c r="G86" s="46"/>
      <c r="H86" s="46"/>
      <c r="I86" s="46"/>
      <c r="L86" s="47"/>
      <c r="M86" s="47"/>
      <c r="N86" s="47"/>
      <c r="O86" s="47"/>
      <c r="P86" s="47"/>
      <c r="Q86" s="47"/>
    </row>
    <row r="87" spans="1:23" ht="25.5" customHeight="1" x14ac:dyDescent="0.25">
      <c r="A87" s="4" t="s">
        <v>459</v>
      </c>
      <c r="B87" s="962" t="s">
        <v>319</v>
      </c>
      <c r="C87" s="963"/>
      <c r="D87" s="963"/>
      <c r="E87" s="963"/>
      <c r="F87" s="963"/>
      <c r="G87" s="963"/>
      <c r="H87" s="963"/>
      <c r="I87" s="963"/>
      <c r="J87" s="963"/>
      <c r="K87" s="963"/>
      <c r="L87" s="963"/>
      <c r="M87" s="963"/>
      <c r="N87" s="963"/>
      <c r="O87" s="963"/>
      <c r="P87" s="963"/>
      <c r="Q87" s="963"/>
      <c r="R87" s="963"/>
      <c r="S87" s="963"/>
      <c r="T87" s="964"/>
    </row>
    <row r="88" spans="1:23" x14ac:dyDescent="0.2">
      <c r="C88" s="4"/>
      <c r="D88" s="4"/>
      <c r="E88" s="4"/>
      <c r="F88" s="1002"/>
      <c r="G88" s="1002"/>
      <c r="H88" s="1002"/>
      <c r="I88" s="4"/>
      <c r="N88" s="4"/>
    </row>
    <row r="89" spans="1:23" x14ac:dyDescent="0.2">
      <c r="O89" s="49" t="s">
        <v>227</v>
      </c>
      <c r="Q89" s="49" t="s">
        <v>767</v>
      </c>
      <c r="R89" s="467" t="s">
        <v>228</v>
      </c>
      <c r="S89" s="467" t="s">
        <v>228</v>
      </c>
    </row>
    <row r="90" spans="1:23" x14ac:dyDescent="0.2">
      <c r="B90" s="53"/>
      <c r="C90" s="4" t="s">
        <v>318</v>
      </c>
      <c r="L90" s="58" t="s">
        <v>469</v>
      </c>
      <c r="M90" s="58" t="s">
        <v>765</v>
      </c>
      <c r="N90" s="49"/>
      <c r="O90" s="58" t="s">
        <v>766</v>
      </c>
      <c r="P90" s="58" t="s">
        <v>467</v>
      </c>
      <c r="Q90" s="58" t="s">
        <v>768</v>
      </c>
      <c r="R90" s="468" t="s">
        <v>240</v>
      </c>
      <c r="S90" s="468" t="s">
        <v>241</v>
      </c>
      <c r="T90" s="58" t="s">
        <v>468</v>
      </c>
    </row>
    <row r="91" spans="1:23" x14ac:dyDescent="0.2">
      <c r="B91" s="53"/>
      <c r="C91" t="s">
        <v>82</v>
      </c>
      <c r="D91" s="883" t="s">
        <v>986</v>
      </c>
      <c r="E91" s="883"/>
      <c r="F91" s="883"/>
      <c r="G91" s="883"/>
      <c r="H91" s="883"/>
      <c r="I91" s="883"/>
      <c r="L91" s="437"/>
      <c r="M91" s="437"/>
      <c r="N91" s="446"/>
      <c r="O91" s="437"/>
      <c r="P91" s="437"/>
      <c r="Q91" s="437"/>
      <c r="R91" s="436"/>
      <c r="S91" s="436"/>
      <c r="T91" s="436"/>
    </row>
    <row r="92" spans="1:23" ht="6" customHeight="1" x14ac:dyDescent="0.2">
      <c r="B92" s="53"/>
      <c r="L92" s="47"/>
      <c r="M92" s="446"/>
      <c r="N92" s="446"/>
      <c r="O92" s="446"/>
      <c r="P92" s="446"/>
      <c r="Q92" s="446"/>
      <c r="R92" s="415"/>
      <c r="S92" s="415"/>
      <c r="T92" s="415"/>
    </row>
    <row r="93" spans="1:23" x14ac:dyDescent="0.2">
      <c r="C93" t="s">
        <v>84</v>
      </c>
      <c r="D93" s="883" t="s">
        <v>987</v>
      </c>
      <c r="E93" s="883"/>
      <c r="F93" s="883"/>
      <c r="G93" s="883"/>
      <c r="H93" s="883"/>
      <c r="I93" s="883"/>
      <c r="L93" s="78" t="s">
        <v>480</v>
      </c>
      <c r="M93" s="437"/>
      <c r="N93" s="446"/>
      <c r="O93" s="437"/>
      <c r="P93" s="437"/>
      <c r="Q93" s="437"/>
      <c r="R93" s="436"/>
      <c r="S93" s="436"/>
      <c r="T93" s="436"/>
    </row>
    <row r="94" spans="1:23" ht="6" customHeight="1" x14ac:dyDescent="0.2">
      <c r="L94" s="68"/>
      <c r="M94" s="446"/>
      <c r="N94" s="446"/>
      <c r="O94" s="446"/>
      <c r="P94" s="446"/>
      <c r="Q94" s="446"/>
      <c r="R94" s="415"/>
      <c r="S94" s="415"/>
      <c r="T94" s="415"/>
    </row>
    <row r="95" spans="1:23" ht="15" customHeight="1" x14ac:dyDescent="0.2">
      <c r="C95" t="s">
        <v>384</v>
      </c>
      <c r="D95" s="883" t="s">
        <v>988</v>
      </c>
      <c r="E95" s="883"/>
      <c r="F95" s="883"/>
      <c r="G95" s="883"/>
      <c r="H95" s="883"/>
      <c r="I95" s="883"/>
      <c r="L95" s="78" t="s">
        <v>480</v>
      </c>
      <c r="M95" s="985"/>
      <c r="N95" s="446"/>
      <c r="O95" s="985"/>
      <c r="P95" s="985"/>
      <c r="Q95" s="985"/>
      <c r="R95" s="993"/>
      <c r="S95" s="993"/>
      <c r="T95" s="993"/>
    </row>
    <row r="96" spans="1:23" ht="11.25" customHeight="1" x14ac:dyDescent="0.2">
      <c r="D96" s="883"/>
      <c r="E96" s="883"/>
      <c r="F96" s="883"/>
      <c r="G96" s="883"/>
      <c r="H96" s="883"/>
      <c r="I96" s="883"/>
      <c r="L96" s="47"/>
      <c r="M96" s="985"/>
      <c r="N96" s="446"/>
      <c r="O96" s="985"/>
      <c r="P96" s="985"/>
      <c r="Q96" s="985"/>
      <c r="R96" s="993"/>
      <c r="S96" s="993"/>
      <c r="T96" s="993"/>
    </row>
    <row r="97" spans="1:20" ht="6" customHeight="1" x14ac:dyDescent="0.2">
      <c r="L97" s="47"/>
      <c r="M97" s="47"/>
      <c r="N97" s="47"/>
      <c r="O97" s="47"/>
      <c r="P97" s="47"/>
      <c r="Q97" s="47"/>
    </row>
    <row r="98" spans="1:20" x14ac:dyDescent="0.2">
      <c r="E98" t="s">
        <v>326</v>
      </c>
      <c r="L98" s="74">
        <f>L91</f>
        <v>0</v>
      </c>
      <c r="M98" s="74">
        <f>M91-(M93+M95)</f>
        <v>0</v>
      </c>
      <c r="N98" s="57"/>
      <c r="O98" s="74">
        <f>O91-(O93+O95)</f>
        <v>0</v>
      </c>
      <c r="P98" s="74">
        <f>P91-(P93+P95)</f>
        <v>0</v>
      </c>
      <c r="Q98" s="74">
        <f>Q91-(Q93+Q95)</f>
        <v>0</v>
      </c>
      <c r="R98" s="75"/>
      <c r="S98" s="75"/>
      <c r="T98" s="75"/>
    </row>
    <row r="99" spans="1:20" ht="6" customHeight="1" x14ac:dyDescent="0.2">
      <c r="L99" s="57"/>
      <c r="M99" s="56"/>
      <c r="N99" s="57"/>
      <c r="O99" s="56"/>
      <c r="P99" s="56"/>
      <c r="Q99" s="56"/>
    </row>
    <row r="100" spans="1:20" ht="12.75" customHeight="1" x14ac:dyDescent="0.2">
      <c r="C100" s="50" t="s">
        <v>764</v>
      </c>
      <c r="D100" s="883" t="s">
        <v>695</v>
      </c>
      <c r="E100" s="883"/>
      <c r="F100" s="883"/>
      <c r="G100" s="883"/>
      <c r="H100" s="883"/>
      <c r="I100" s="883"/>
      <c r="J100" s="883"/>
      <c r="K100" s="883"/>
      <c r="L100" s="57"/>
      <c r="M100" s="56"/>
      <c r="N100" s="57"/>
      <c r="O100" s="988"/>
      <c r="P100" s="998" t="s">
        <v>962</v>
      </c>
      <c r="Q100" s="998"/>
      <c r="R100" s="998"/>
      <c r="S100" s="998"/>
      <c r="T100" s="506"/>
    </row>
    <row r="101" spans="1:20" ht="24" customHeight="1" x14ac:dyDescent="0.2">
      <c r="C101" s="50"/>
      <c r="D101" s="883"/>
      <c r="E101" s="883"/>
      <c r="F101" s="883"/>
      <c r="G101" s="883"/>
      <c r="H101" s="883"/>
      <c r="I101" s="883"/>
      <c r="J101" s="883"/>
      <c r="K101" s="883"/>
      <c r="L101" s="57"/>
      <c r="M101" s="56"/>
      <c r="N101" s="57"/>
      <c r="O101" s="988"/>
      <c r="P101" s="998"/>
      <c r="Q101" s="998"/>
      <c r="R101" s="998"/>
      <c r="S101" s="998"/>
      <c r="T101" s="506"/>
    </row>
    <row r="102" spans="1:20" ht="2.25" customHeight="1" x14ac:dyDescent="0.2"/>
    <row r="103" spans="1:20" ht="15" x14ac:dyDescent="0.2">
      <c r="E103" s="92" t="s">
        <v>320</v>
      </c>
      <c r="F103" s="2" t="s">
        <v>628</v>
      </c>
    </row>
    <row r="104" spans="1:20" ht="6" customHeight="1" x14ac:dyDescent="0.2"/>
    <row r="105" spans="1:20" ht="25.5" customHeight="1" x14ac:dyDescent="0.2">
      <c r="A105" s="4" t="s">
        <v>465</v>
      </c>
      <c r="B105" s="962" t="s">
        <v>630</v>
      </c>
      <c r="C105" s="963"/>
      <c r="D105" s="963"/>
      <c r="E105" s="963"/>
      <c r="F105" s="963"/>
      <c r="G105" s="963"/>
      <c r="H105" s="963"/>
      <c r="I105" s="963"/>
      <c r="J105" s="963"/>
      <c r="K105" s="963"/>
      <c r="L105" s="963"/>
      <c r="M105" s="963"/>
      <c r="N105" s="963"/>
      <c r="O105" s="963"/>
      <c r="P105" s="963"/>
      <c r="Q105" s="963"/>
      <c r="R105" s="963"/>
      <c r="S105" s="963"/>
      <c r="T105" s="964"/>
    </row>
    <row r="106" spans="1:20" ht="2.25" customHeight="1" x14ac:dyDescent="0.2"/>
    <row r="107" spans="1:20" ht="11.25" customHeight="1" x14ac:dyDescent="0.2">
      <c r="O107" s="49" t="s">
        <v>227</v>
      </c>
      <c r="Q107" s="49" t="s">
        <v>767</v>
      </c>
      <c r="R107" s="467" t="s">
        <v>228</v>
      </c>
      <c r="S107" s="467" t="s">
        <v>228</v>
      </c>
    </row>
    <row r="108" spans="1:20" ht="11.25" customHeight="1" x14ac:dyDescent="0.2">
      <c r="C108" s="4" t="s">
        <v>629</v>
      </c>
      <c r="L108" s="58" t="s">
        <v>469</v>
      </c>
      <c r="M108" s="58" t="s">
        <v>765</v>
      </c>
      <c r="N108" s="49"/>
      <c r="O108" s="58" t="s">
        <v>766</v>
      </c>
      <c r="P108" s="58" t="s">
        <v>467</v>
      </c>
      <c r="Q108" s="58" t="s">
        <v>768</v>
      </c>
      <c r="R108" s="468" t="s">
        <v>240</v>
      </c>
      <c r="S108" s="468" t="s">
        <v>241</v>
      </c>
      <c r="T108" s="58" t="s">
        <v>468</v>
      </c>
    </row>
    <row r="109" spans="1:20" ht="12.75" customHeight="1" x14ac:dyDescent="0.2">
      <c r="C109" t="s">
        <v>82</v>
      </c>
      <c r="D109" s="883" t="s">
        <v>429</v>
      </c>
      <c r="E109" s="883"/>
      <c r="F109" s="883"/>
      <c r="G109" s="883"/>
      <c r="H109" s="883"/>
      <c r="I109" s="883"/>
      <c r="L109" s="999"/>
      <c r="M109" s="999"/>
      <c r="N109" s="446"/>
      <c r="O109" s="999"/>
      <c r="P109" s="999"/>
      <c r="Q109" s="999"/>
      <c r="R109" s="992"/>
      <c r="S109" s="992"/>
      <c r="T109" s="992"/>
    </row>
    <row r="110" spans="1:20" ht="12" customHeight="1" x14ac:dyDescent="0.2">
      <c r="D110" s="883"/>
      <c r="E110" s="883"/>
      <c r="F110" s="883"/>
      <c r="G110" s="883"/>
      <c r="H110" s="883"/>
      <c r="I110" s="883"/>
      <c r="L110" s="985"/>
      <c r="M110" s="985"/>
      <c r="N110" s="446"/>
      <c r="O110" s="985"/>
      <c r="P110" s="985"/>
      <c r="Q110" s="985"/>
      <c r="R110" s="993"/>
      <c r="S110" s="993"/>
      <c r="T110" s="993"/>
    </row>
    <row r="111" spans="1:20" ht="3" customHeight="1" x14ac:dyDescent="0.2">
      <c r="D111" s="46"/>
      <c r="E111" s="46"/>
      <c r="F111" s="46"/>
      <c r="G111" s="46"/>
      <c r="H111" s="46"/>
      <c r="I111" s="46"/>
      <c r="L111" s="505"/>
      <c r="M111" s="505"/>
      <c r="N111" s="505"/>
      <c r="O111" s="505"/>
      <c r="P111" s="505"/>
      <c r="Q111" s="505"/>
      <c r="R111" s="415"/>
      <c r="S111" s="415"/>
      <c r="T111" s="415"/>
    </row>
    <row r="112" spans="1:20" ht="13.5" customHeight="1" x14ac:dyDescent="0.2">
      <c r="C112" s="50" t="s">
        <v>84</v>
      </c>
      <c r="D112" s="883" t="s">
        <v>694</v>
      </c>
      <c r="E112" s="883"/>
      <c r="F112" s="883"/>
      <c r="G112" s="883"/>
      <c r="H112" s="883"/>
      <c r="I112" s="883"/>
      <c r="J112" s="883"/>
      <c r="K112" s="883"/>
      <c r="L112" s="505"/>
      <c r="M112" s="508"/>
      <c r="N112" s="505"/>
      <c r="O112" s="437"/>
      <c r="P112" s="505"/>
      <c r="Q112" s="505"/>
      <c r="R112" s="415"/>
      <c r="S112" s="415"/>
      <c r="T112" s="415"/>
    </row>
    <row r="113" spans="1:20" ht="3" customHeight="1" x14ac:dyDescent="0.2">
      <c r="D113" s="46"/>
      <c r="E113" s="46"/>
      <c r="F113" s="46"/>
      <c r="G113" s="46"/>
      <c r="H113" s="46"/>
      <c r="I113" s="46"/>
      <c r="L113" s="505"/>
      <c r="M113" s="505"/>
      <c r="N113" s="505"/>
      <c r="O113" s="505"/>
      <c r="P113" s="505"/>
      <c r="Q113" s="505"/>
      <c r="R113" s="415"/>
      <c r="S113" s="415"/>
      <c r="T113" s="415"/>
    </row>
    <row r="114" spans="1:20" ht="12" customHeight="1" x14ac:dyDescent="0.2">
      <c r="C114" s="50" t="s">
        <v>384</v>
      </c>
      <c r="D114" s="883" t="s">
        <v>693</v>
      </c>
      <c r="E114" s="883"/>
      <c r="F114" s="883"/>
      <c r="G114" s="883"/>
      <c r="H114" s="883"/>
      <c r="I114" s="883"/>
      <c r="J114" s="883"/>
      <c r="K114" s="883"/>
      <c r="L114" s="505"/>
      <c r="M114" s="505"/>
      <c r="N114" s="505"/>
      <c r="O114" s="985"/>
      <c r="P114" s="998" t="s">
        <v>963</v>
      </c>
      <c r="Q114" s="998"/>
      <c r="R114" s="998"/>
      <c r="S114" s="998"/>
      <c r="T114" s="506"/>
    </row>
    <row r="115" spans="1:20" ht="25.5" customHeight="1" x14ac:dyDescent="0.2">
      <c r="D115" s="883"/>
      <c r="E115" s="883"/>
      <c r="F115" s="883"/>
      <c r="G115" s="883"/>
      <c r="H115" s="883"/>
      <c r="I115" s="883"/>
      <c r="J115" s="883"/>
      <c r="K115" s="883"/>
      <c r="L115" s="505"/>
      <c r="M115" s="505"/>
      <c r="N115" s="505"/>
      <c r="O115" s="985"/>
      <c r="P115" s="998"/>
      <c r="Q115" s="998"/>
      <c r="R115" s="998"/>
      <c r="S115" s="998"/>
      <c r="T115" s="506"/>
    </row>
    <row r="116" spans="1:20" ht="7.5" customHeight="1" x14ac:dyDescent="0.2">
      <c r="D116" s="46"/>
      <c r="E116" s="46"/>
      <c r="F116" s="46"/>
      <c r="G116" s="46"/>
      <c r="H116" s="46"/>
      <c r="I116" s="46"/>
      <c r="L116" s="47"/>
      <c r="M116" s="47"/>
      <c r="N116" s="47"/>
      <c r="O116" s="47"/>
      <c r="P116" s="47"/>
      <c r="Q116" s="47"/>
    </row>
    <row r="117" spans="1:20" ht="25.5" customHeight="1" x14ac:dyDescent="0.2">
      <c r="A117" s="4" t="s">
        <v>481</v>
      </c>
      <c r="B117" s="962" t="s">
        <v>40</v>
      </c>
      <c r="C117" s="963"/>
      <c r="D117" s="963"/>
      <c r="E117" s="963"/>
      <c r="F117" s="963"/>
      <c r="G117" s="963"/>
      <c r="H117" s="963"/>
      <c r="I117" s="963"/>
      <c r="J117" s="963"/>
      <c r="K117" s="963"/>
      <c r="L117" s="963"/>
      <c r="M117" s="963"/>
      <c r="N117" s="963"/>
      <c r="O117" s="963"/>
      <c r="P117" s="963"/>
      <c r="Q117" s="963"/>
      <c r="R117" s="963"/>
      <c r="S117" s="963"/>
      <c r="T117" s="964"/>
    </row>
    <row r="118" spans="1:20" ht="4.5" customHeight="1" x14ac:dyDescent="0.2">
      <c r="L118" s="47"/>
      <c r="M118" s="47"/>
      <c r="N118" s="47"/>
      <c r="O118" s="47"/>
      <c r="P118" s="47"/>
      <c r="Q118" s="47"/>
    </row>
    <row r="119" spans="1:20" x14ac:dyDescent="0.2">
      <c r="B119" s="50" t="s">
        <v>930</v>
      </c>
      <c r="C119" s="883" t="s">
        <v>750</v>
      </c>
      <c r="D119" s="883"/>
      <c r="E119" s="883"/>
      <c r="F119" s="883"/>
      <c r="G119" s="883"/>
      <c r="H119" s="883"/>
      <c r="I119" s="883"/>
      <c r="J119" s="883"/>
      <c r="K119" s="883"/>
      <c r="L119" s="47"/>
      <c r="M119" s="985"/>
      <c r="N119" s="47"/>
      <c r="O119" s="47"/>
      <c r="P119" s="47"/>
      <c r="Q119" s="47"/>
    </row>
    <row r="120" spans="1:20" x14ac:dyDescent="0.2">
      <c r="C120" s="883"/>
      <c r="D120" s="883"/>
      <c r="E120" s="883"/>
      <c r="F120" s="883"/>
      <c r="G120" s="883"/>
      <c r="H120" s="883"/>
      <c r="I120" s="883"/>
      <c r="J120" s="883"/>
      <c r="K120" s="883"/>
      <c r="L120" s="47"/>
      <c r="M120" s="985"/>
      <c r="N120" s="47"/>
      <c r="O120" s="47"/>
      <c r="P120" s="47"/>
      <c r="Q120" s="47"/>
    </row>
    <row r="121" spans="1:20" ht="3.75" customHeight="1" x14ac:dyDescent="0.2">
      <c r="L121" s="47"/>
      <c r="M121" s="47"/>
      <c r="N121" s="47"/>
      <c r="O121" s="47"/>
      <c r="P121" s="47"/>
      <c r="Q121" s="47"/>
    </row>
    <row r="122" spans="1:20" x14ac:dyDescent="0.2">
      <c r="B122" s="50" t="s">
        <v>931</v>
      </c>
      <c r="C122" t="s">
        <v>199</v>
      </c>
      <c r="L122" s="47"/>
      <c r="M122" s="47"/>
      <c r="N122" s="47"/>
      <c r="O122" s="47"/>
      <c r="P122" s="47"/>
      <c r="Q122" s="47"/>
    </row>
    <row r="123" spans="1:20" x14ac:dyDescent="0.2">
      <c r="H123" t="s">
        <v>879</v>
      </c>
      <c r="L123" s="47"/>
      <c r="M123" s="437"/>
      <c r="N123" s="47"/>
      <c r="O123" s="47"/>
      <c r="P123" s="47"/>
      <c r="Q123" s="47"/>
    </row>
    <row r="124" spans="1:20" x14ac:dyDescent="0.2">
      <c r="H124" t="s">
        <v>880</v>
      </c>
      <c r="L124" s="47"/>
      <c r="M124" s="437"/>
      <c r="N124" s="47"/>
      <c r="O124" s="47"/>
      <c r="P124" s="47"/>
      <c r="Q124" s="47"/>
    </row>
    <row r="125" spans="1:20" x14ac:dyDescent="0.2">
      <c r="H125" t="s">
        <v>474</v>
      </c>
      <c r="L125" s="47"/>
      <c r="M125" s="437">
        <v>0</v>
      </c>
      <c r="N125" s="47"/>
      <c r="O125" s="47"/>
      <c r="P125" s="47"/>
      <c r="Q125" s="47"/>
    </row>
    <row r="126" spans="1:20" x14ac:dyDescent="0.2">
      <c r="H126" t="s">
        <v>463</v>
      </c>
      <c r="L126" s="47"/>
      <c r="M126" s="437">
        <v>0</v>
      </c>
      <c r="N126" s="47"/>
      <c r="O126" s="47"/>
      <c r="P126" s="47"/>
      <c r="Q126" s="47"/>
    </row>
    <row r="127" spans="1:20" x14ac:dyDescent="0.2">
      <c r="H127" t="s">
        <v>100</v>
      </c>
      <c r="L127" s="47"/>
      <c r="M127" s="437">
        <v>0</v>
      </c>
      <c r="N127" s="47"/>
      <c r="O127" s="47"/>
      <c r="P127" s="47"/>
      <c r="Q127" s="47"/>
    </row>
    <row r="128" spans="1:20" x14ac:dyDescent="0.2">
      <c r="H128" t="s">
        <v>910</v>
      </c>
      <c r="L128" s="47"/>
      <c r="M128" s="437"/>
      <c r="N128" s="47"/>
      <c r="O128" s="1000" t="str">
        <f>IF(M130=M119," ","Recheck numbers. Entry does not balance.")</f>
        <v xml:space="preserve"> </v>
      </c>
      <c r="P128" s="47"/>
      <c r="Q128" s="47"/>
    </row>
    <row r="129" spans="1:20" x14ac:dyDescent="0.2">
      <c r="H129" s="415" t="s">
        <v>201</v>
      </c>
      <c r="L129" s="47"/>
      <c r="M129" s="437">
        <v>0</v>
      </c>
      <c r="N129" s="47"/>
      <c r="O129" s="1000"/>
      <c r="P129" s="47"/>
      <c r="Q129" s="47"/>
    </row>
    <row r="130" spans="1:20" ht="13.5" thickBot="1" x14ac:dyDescent="0.25">
      <c r="M130" s="80">
        <f>SUM(M123:M129)</f>
        <v>0</v>
      </c>
      <c r="O130" s="1000"/>
    </row>
    <row r="131" spans="1:20" ht="13.5" thickTop="1" x14ac:dyDescent="0.2">
      <c r="M131" s="524"/>
      <c r="O131" s="511"/>
    </row>
    <row r="132" spans="1:20" ht="25.5" customHeight="1" x14ac:dyDescent="0.2">
      <c r="A132" s="4" t="s">
        <v>813</v>
      </c>
      <c r="B132" s="962" t="s">
        <v>553</v>
      </c>
      <c r="C132" s="963"/>
      <c r="D132" s="963"/>
      <c r="E132" s="963"/>
      <c r="F132" s="963"/>
      <c r="G132" s="963"/>
      <c r="H132" s="963"/>
      <c r="I132" s="963"/>
      <c r="J132" s="963"/>
      <c r="K132" s="963"/>
      <c r="L132" s="963"/>
      <c r="M132" s="963"/>
      <c r="N132" s="963"/>
      <c r="O132" s="963"/>
      <c r="P132" s="963"/>
      <c r="Q132" s="963"/>
      <c r="R132" s="963"/>
      <c r="S132" s="963"/>
      <c r="T132" s="964"/>
    </row>
    <row r="133" spans="1:20" ht="6.75" customHeight="1" x14ac:dyDescent="0.2">
      <c r="M133" s="5"/>
      <c r="N133" s="511"/>
    </row>
    <row r="134" spans="1:20" x14ac:dyDescent="0.2">
      <c r="B134" s="883" t="s">
        <v>4918</v>
      </c>
      <c r="C134" s="883"/>
      <c r="D134" s="883"/>
      <c r="E134" s="883"/>
      <c r="F134" s="883"/>
      <c r="G134" s="883"/>
      <c r="H134" s="883"/>
      <c r="I134" s="883"/>
      <c r="J134" s="883"/>
      <c r="K134" s="883"/>
      <c r="L134" s="883"/>
      <c r="M134" s="883"/>
      <c r="N134" s="883"/>
      <c r="O134" s="883"/>
      <c r="P134" s="883"/>
      <c r="Q134" s="883"/>
      <c r="R134" s="883"/>
      <c r="S134" s="883"/>
      <c r="T134" s="883"/>
    </row>
    <row r="135" spans="1:20" x14ac:dyDescent="0.2">
      <c r="B135" s="883"/>
      <c r="C135" s="883"/>
      <c r="D135" s="883"/>
      <c r="E135" s="883"/>
      <c r="F135" s="883"/>
      <c r="G135" s="883"/>
      <c r="H135" s="883"/>
      <c r="I135" s="883"/>
      <c r="J135" s="883"/>
      <c r="K135" s="883"/>
      <c r="L135" s="883"/>
      <c r="M135" s="883"/>
      <c r="N135" s="883"/>
      <c r="O135" s="883"/>
      <c r="P135" s="883"/>
      <c r="Q135" s="883"/>
      <c r="R135" s="883"/>
      <c r="S135" s="883"/>
      <c r="T135" s="883"/>
    </row>
    <row r="136" spans="1:20" x14ac:dyDescent="0.2">
      <c r="B136" s="883"/>
      <c r="C136" s="883"/>
      <c r="D136" s="883"/>
      <c r="E136" s="883"/>
      <c r="F136" s="883"/>
      <c r="G136" s="883"/>
      <c r="H136" s="883"/>
      <c r="I136" s="883"/>
      <c r="J136" s="883"/>
      <c r="K136" s="883"/>
      <c r="L136" s="883"/>
      <c r="M136" s="883"/>
      <c r="N136" s="883"/>
      <c r="O136" s="883"/>
      <c r="P136" s="883"/>
      <c r="Q136" s="883"/>
      <c r="R136" s="883"/>
      <c r="S136" s="883"/>
      <c r="T136" s="883"/>
    </row>
    <row r="137" spans="1:20" x14ac:dyDescent="0.2">
      <c r="B137" s="883"/>
      <c r="C137" s="883"/>
      <c r="D137" s="883"/>
      <c r="E137" s="883"/>
      <c r="F137" s="883"/>
      <c r="G137" s="883"/>
      <c r="H137" s="883"/>
      <c r="I137" s="883"/>
      <c r="J137" s="883"/>
      <c r="K137" s="883"/>
      <c r="L137" s="883"/>
      <c r="M137" s="883"/>
      <c r="N137" s="883"/>
      <c r="O137" s="883"/>
      <c r="P137" s="883"/>
      <c r="Q137" s="883"/>
      <c r="R137" s="883"/>
      <c r="S137" s="883"/>
      <c r="T137" s="883"/>
    </row>
    <row r="138" spans="1:20" x14ac:dyDescent="0.2">
      <c r="B138" s="883"/>
      <c r="C138" s="883"/>
      <c r="D138" s="883"/>
      <c r="E138" s="883"/>
      <c r="F138" s="883"/>
      <c r="G138" s="883"/>
      <c r="H138" s="883"/>
      <c r="I138" s="883"/>
      <c r="J138" s="883"/>
      <c r="K138" s="883"/>
      <c r="L138" s="883"/>
      <c r="M138" s="883"/>
      <c r="N138" s="883"/>
      <c r="O138" s="883"/>
      <c r="P138" s="883"/>
      <c r="Q138" s="883"/>
      <c r="R138" s="883"/>
      <c r="S138" s="883"/>
      <c r="T138" s="883"/>
    </row>
    <row r="139" spans="1:20" ht="6.75" customHeight="1" x14ac:dyDescent="0.2">
      <c r="M139" s="5"/>
      <c r="N139" s="511"/>
    </row>
    <row r="140" spans="1:20" ht="12" customHeight="1" x14ac:dyDescent="0.2">
      <c r="B140" s="883" t="s">
        <v>4919</v>
      </c>
      <c r="C140" s="883"/>
      <c r="D140" s="883"/>
      <c r="E140" s="883"/>
      <c r="F140" s="883"/>
      <c r="G140" s="883"/>
      <c r="H140" s="883"/>
      <c r="I140" s="883"/>
      <c r="J140" s="883"/>
      <c r="K140" s="883"/>
      <c r="L140" s="883"/>
      <c r="M140" s="883"/>
      <c r="N140" s="883"/>
      <c r="O140" s="883"/>
      <c r="P140" s="883"/>
      <c r="Q140" s="883"/>
      <c r="R140" s="883"/>
      <c r="S140" s="883"/>
      <c r="T140" s="883"/>
    </row>
    <row r="141" spans="1:20" ht="12" customHeight="1" x14ac:dyDescent="0.2">
      <c r="B141" s="883"/>
      <c r="C141" s="883"/>
      <c r="D141" s="883"/>
      <c r="E141" s="883"/>
      <c r="F141" s="883"/>
      <c r="G141" s="883"/>
      <c r="H141" s="883"/>
      <c r="I141" s="883"/>
      <c r="J141" s="883"/>
      <c r="K141" s="883"/>
      <c r="L141" s="883"/>
      <c r="M141" s="883"/>
      <c r="N141" s="883"/>
      <c r="O141" s="883"/>
      <c r="P141" s="883"/>
      <c r="Q141" s="883"/>
      <c r="R141" s="883"/>
      <c r="S141" s="883"/>
      <c r="T141" s="883"/>
    </row>
    <row r="142" spans="1:20" ht="12" customHeight="1" x14ac:dyDescent="0.2">
      <c r="M142" s="5"/>
      <c r="N142" s="511"/>
    </row>
    <row r="143" spans="1:20" x14ac:dyDescent="0.2">
      <c r="B143" s="67" t="s">
        <v>930</v>
      </c>
      <c r="C143" s="880" t="s">
        <v>957</v>
      </c>
      <c r="D143" s="880"/>
      <c r="E143" s="880"/>
      <c r="F143" s="880"/>
      <c r="G143" s="880"/>
      <c r="H143" s="880"/>
      <c r="I143" s="880"/>
      <c r="J143" s="880"/>
      <c r="O143" s="49" t="s">
        <v>227</v>
      </c>
      <c r="Q143" s="49" t="s">
        <v>767</v>
      </c>
      <c r="R143" s="467" t="s">
        <v>228</v>
      </c>
      <c r="S143" s="467" t="s">
        <v>228</v>
      </c>
    </row>
    <row r="144" spans="1:20" ht="13.5" customHeight="1" x14ac:dyDescent="0.2">
      <c r="C144" s="880"/>
      <c r="D144" s="880"/>
      <c r="E144" s="880"/>
      <c r="F144" s="880"/>
      <c r="G144" s="880"/>
      <c r="H144" s="880"/>
      <c r="I144" s="880"/>
      <c r="J144" s="880"/>
      <c r="L144" s="58" t="s">
        <v>469</v>
      </c>
      <c r="M144" s="58" t="s">
        <v>765</v>
      </c>
      <c r="O144" s="58" t="s">
        <v>766</v>
      </c>
      <c r="P144" s="58" t="s">
        <v>467</v>
      </c>
      <c r="Q144" s="58" t="s">
        <v>768</v>
      </c>
      <c r="R144" s="468" t="s">
        <v>240</v>
      </c>
      <c r="S144" s="468" t="s">
        <v>241</v>
      </c>
      <c r="T144" s="58" t="s">
        <v>468</v>
      </c>
    </row>
    <row r="145" spans="2:20" x14ac:dyDescent="0.2">
      <c r="C145" s="55" t="s">
        <v>82</v>
      </c>
      <c r="D145" s="883" t="s">
        <v>300</v>
      </c>
      <c r="E145" s="883"/>
      <c r="F145" s="883"/>
      <c r="G145" s="883"/>
      <c r="H145" s="883"/>
      <c r="I145" s="883"/>
      <c r="J145" s="883"/>
      <c r="L145" s="999"/>
      <c r="M145" s="999"/>
      <c r="O145" s="999"/>
      <c r="P145" s="999"/>
      <c r="Q145" s="999"/>
      <c r="R145" s="992"/>
      <c r="S145" s="992"/>
      <c r="T145" s="992"/>
    </row>
    <row r="146" spans="2:20" x14ac:dyDescent="0.2">
      <c r="C146" s="55"/>
      <c r="D146" s="883"/>
      <c r="E146" s="883"/>
      <c r="F146" s="883"/>
      <c r="G146" s="883"/>
      <c r="H146" s="883"/>
      <c r="I146" s="883"/>
      <c r="J146" s="883"/>
      <c r="L146" s="985"/>
      <c r="M146" s="985"/>
      <c r="O146" s="985"/>
      <c r="P146" s="985"/>
      <c r="Q146" s="985"/>
      <c r="R146" s="993"/>
      <c r="S146" s="993"/>
      <c r="T146" s="993"/>
    </row>
    <row r="147" spans="2:20" ht="6" customHeight="1" x14ac:dyDescent="0.2">
      <c r="C147" s="55"/>
      <c r="L147" s="47"/>
      <c r="M147" s="47"/>
      <c r="O147" s="47"/>
      <c r="P147" s="47"/>
      <c r="Q147" s="47"/>
    </row>
    <row r="148" spans="2:20" x14ac:dyDescent="0.2">
      <c r="C148" s="55" t="s">
        <v>84</v>
      </c>
      <c r="D148" s="883" t="s">
        <v>301</v>
      </c>
      <c r="E148" s="883"/>
      <c r="F148" s="883"/>
      <c r="G148" s="883"/>
      <c r="H148" s="883"/>
      <c r="I148" s="883"/>
      <c r="J148" s="883"/>
      <c r="L148" s="78" t="s">
        <v>480</v>
      </c>
      <c r="M148" s="985"/>
      <c r="O148" s="985"/>
      <c r="P148" s="985"/>
      <c r="Q148" s="985"/>
      <c r="R148" s="985"/>
      <c r="S148" s="985"/>
      <c r="T148" s="985"/>
    </row>
    <row r="149" spans="2:20" x14ac:dyDescent="0.2">
      <c r="C149" s="55"/>
      <c r="D149" s="883"/>
      <c r="E149" s="883"/>
      <c r="F149" s="883"/>
      <c r="G149" s="883"/>
      <c r="H149" s="883"/>
      <c r="I149" s="883"/>
      <c r="J149" s="883"/>
      <c r="L149" s="78"/>
      <c r="M149" s="985"/>
      <c r="O149" s="985"/>
      <c r="P149" s="985"/>
      <c r="Q149" s="985"/>
      <c r="R149" s="985"/>
      <c r="S149" s="985"/>
      <c r="T149" s="985"/>
    </row>
    <row r="150" spans="2:20" ht="6" customHeight="1" x14ac:dyDescent="0.2">
      <c r="C150" s="55"/>
      <c r="L150" s="68"/>
      <c r="M150" s="47"/>
      <c r="O150" s="47"/>
      <c r="P150" s="47"/>
      <c r="Q150" s="47"/>
      <c r="R150" s="47"/>
      <c r="S150" s="47"/>
    </row>
    <row r="151" spans="2:20" x14ac:dyDescent="0.2">
      <c r="C151" s="55" t="s">
        <v>384</v>
      </c>
      <c r="D151" s="883" t="s">
        <v>302</v>
      </c>
      <c r="E151" s="883"/>
      <c r="F151" s="883"/>
      <c r="G151" s="883"/>
      <c r="H151" s="883"/>
      <c r="I151" s="883"/>
      <c r="J151" s="883"/>
      <c r="L151" s="78" t="s">
        <v>480</v>
      </c>
      <c r="M151" s="985">
        <v>0</v>
      </c>
      <c r="O151" s="985"/>
      <c r="P151" s="985">
        <v>0</v>
      </c>
      <c r="Q151" s="985"/>
      <c r="R151" s="985"/>
      <c r="S151" s="985"/>
      <c r="T151" s="985"/>
    </row>
    <row r="152" spans="2:20" x14ac:dyDescent="0.2">
      <c r="C152" s="55"/>
      <c r="D152" s="883"/>
      <c r="E152" s="883"/>
      <c r="F152" s="883"/>
      <c r="G152" s="883"/>
      <c r="H152" s="883"/>
      <c r="I152" s="883"/>
      <c r="J152" s="883"/>
      <c r="L152" s="78"/>
      <c r="M152" s="985"/>
      <c r="O152" s="985"/>
      <c r="P152" s="985"/>
      <c r="Q152" s="985"/>
      <c r="R152" s="985"/>
      <c r="S152" s="985"/>
      <c r="T152" s="985"/>
    </row>
    <row r="153" spans="2:20" ht="6" customHeight="1" x14ac:dyDescent="0.2">
      <c r="C153" s="55"/>
      <c r="L153" s="47"/>
      <c r="M153" s="47"/>
      <c r="O153" s="47"/>
      <c r="P153" s="47"/>
      <c r="Q153" s="47"/>
    </row>
    <row r="154" spans="2:20" x14ac:dyDescent="0.2">
      <c r="C154" s="55"/>
      <c r="E154" t="s">
        <v>303</v>
      </c>
      <c r="L154" s="74">
        <f>L145</f>
        <v>0</v>
      </c>
      <c r="M154" s="74">
        <f>M145-(M148+M151)</f>
        <v>0</v>
      </c>
      <c r="O154" s="74">
        <f>O145-(O148+O151)</f>
        <v>0</v>
      </c>
      <c r="P154" s="74">
        <f>P145-(P148+P151)</f>
        <v>0</v>
      </c>
      <c r="Q154" s="74">
        <f>Q145-(Q148+Q151)</f>
        <v>0</v>
      </c>
      <c r="R154" s="75"/>
      <c r="S154" s="75"/>
      <c r="T154" s="75"/>
    </row>
    <row r="155" spans="2:20" ht="6.75" customHeight="1" x14ac:dyDescent="0.2">
      <c r="C155" s="55"/>
      <c r="L155" s="47"/>
      <c r="M155" s="47"/>
      <c r="N155" s="47"/>
      <c r="O155" s="47"/>
      <c r="P155" s="47"/>
    </row>
    <row r="156" spans="2:20" x14ac:dyDescent="0.2">
      <c r="B156" s="67" t="s">
        <v>931</v>
      </c>
      <c r="C156" s="883" t="s">
        <v>952</v>
      </c>
      <c r="D156" s="883"/>
      <c r="E156" s="883"/>
      <c r="F156" s="883"/>
      <c r="G156" s="883"/>
      <c r="H156" s="883"/>
      <c r="I156" s="883"/>
      <c r="J156" s="883"/>
      <c r="L156" s="985"/>
      <c r="M156" s="47"/>
      <c r="N156" s="47"/>
      <c r="O156" s="47"/>
      <c r="P156" s="47"/>
    </row>
    <row r="157" spans="2:20" ht="12.75" customHeight="1" x14ac:dyDescent="0.2">
      <c r="C157" s="883"/>
      <c r="D157" s="883"/>
      <c r="E157" s="883"/>
      <c r="F157" s="883"/>
      <c r="G157" s="883"/>
      <c r="H157" s="883"/>
      <c r="I157" s="883"/>
      <c r="J157" s="883"/>
      <c r="L157" s="985"/>
      <c r="M157" s="47"/>
      <c r="N157" s="47"/>
      <c r="O157" s="47"/>
      <c r="P157" s="47"/>
    </row>
    <row r="158" spans="2:20" ht="6.75" customHeight="1" x14ac:dyDescent="0.2">
      <c r="B158" s="4"/>
      <c r="C158" s="55"/>
      <c r="L158" s="47"/>
      <c r="M158" s="47"/>
      <c r="N158" s="47"/>
      <c r="O158" s="47"/>
      <c r="P158" s="47"/>
    </row>
    <row r="159" spans="2:20" ht="12.75" customHeight="1" x14ac:dyDescent="0.2">
      <c r="B159" s="67" t="s">
        <v>932</v>
      </c>
      <c r="C159" s="883" t="s">
        <v>27</v>
      </c>
      <c r="D159" s="883"/>
      <c r="E159" s="883"/>
      <c r="F159" s="883"/>
      <c r="G159" s="883"/>
      <c r="H159" s="883"/>
      <c r="I159" s="883"/>
      <c r="J159" s="883"/>
      <c r="L159" s="47"/>
      <c r="M159" s="47"/>
      <c r="N159" s="47"/>
      <c r="O159" s="47"/>
      <c r="P159" s="47"/>
    </row>
    <row r="160" spans="2:20" ht="11.25" customHeight="1" x14ac:dyDescent="0.2">
      <c r="C160" s="883"/>
      <c r="D160" s="883"/>
      <c r="E160" s="883"/>
      <c r="F160" s="883"/>
      <c r="G160" s="883"/>
      <c r="H160" s="883"/>
      <c r="I160" s="883"/>
      <c r="J160" s="883"/>
      <c r="L160" s="47"/>
      <c r="M160" s="47"/>
      <c r="N160" s="47"/>
      <c r="O160" s="47"/>
      <c r="P160" s="47"/>
    </row>
    <row r="161" spans="1:20" x14ac:dyDescent="0.2">
      <c r="C161" s="513" t="s">
        <v>82</v>
      </c>
      <c r="D161" s="883" t="s">
        <v>28</v>
      </c>
      <c r="E161" s="883"/>
      <c r="F161" s="883"/>
      <c r="G161" s="883"/>
      <c r="H161" s="883"/>
      <c r="I161" s="883"/>
      <c r="L161" s="985"/>
      <c r="M161" s="994" t="str">
        <f>IF(L161=0," ",L156/L161)</f>
        <v xml:space="preserve"> </v>
      </c>
      <c r="O161" s="512" t="s">
        <v>29</v>
      </c>
      <c r="P161" s="47"/>
    </row>
    <row r="162" spans="1:20" x14ac:dyDescent="0.2">
      <c r="C162" s="55"/>
      <c r="D162" s="883"/>
      <c r="E162" s="883"/>
      <c r="F162" s="883"/>
      <c r="G162" s="883"/>
      <c r="H162" s="883"/>
      <c r="I162" s="883"/>
      <c r="L162" s="985"/>
      <c r="M162" s="994"/>
      <c r="O162" s="161" t="s">
        <v>30</v>
      </c>
      <c r="P162" s="47"/>
    </row>
    <row r="163" spans="1:20" ht="10.5" customHeight="1" x14ac:dyDescent="0.2">
      <c r="C163" s="55"/>
      <c r="J163" s="60" t="s">
        <v>31</v>
      </c>
      <c r="L163" s="47"/>
      <c r="M163" s="47"/>
      <c r="N163" s="47"/>
      <c r="O163" s="47"/>
      <c r="P163" s="47"/>
    </row>
    <row r="164" spans="1:20" x14ac:dyDescent="0.2">
      <c r="C164" s="513" t="s">
        <v>84</v>
      </c>
      <c r="D164" s="883" t="s">
        <v>32</v>
      </c>
      <c r="E164" s="883"/>
      <c r="F164" s="883"/>
      <c r="G164" s="883"/>
      <c r="H164" s="883"/>
      <c r="I164" s="883"/>
      <c r="L164" s="995"/>
      <c r="M164" s="996">
        <f>L164*L156</f>
        <v>0</v>
      </c>
      <c r="Q164" s="997" t="str">
        <f>IF(M164=0," ",(M164/M145))</f>
        <v xml:space="preserve"> </v>
      </c>
      <c r="R164" s="512" t="s">
        <v>29</v>
      </c>
      <c r="S164" s="47"/>
    </row>
    <row r="165" spans="1:20" x14ac:dyDescent="0.2">
      <c r="C165" s="55"/>
      <c r="D165" s="883"/>
      <c r="E165" s="883"/>
      <c r="F165" s="883"/>
      <c r="G165" s="883"/>
      <c r="H165" s="883"/>
      <c r="I165" s="883"/>
      <c r="L165" s="995"/>
      <c r="M165" s="996"/>
      <c r="O165" s="161" t="s">
        <v>33</v>
      </c>
      <c r="Q165" s="997"/>
      <c r="R165" s="512" t="s">
        <v>34</v>
      </c>
      <c r="S165" s="47"/>
    </row>
    <row r="166" spans="1:20" ht="12.75" customHeight="1" x14ac:dyDescent="0.2">
      <c r="C166" s="55"/>
      <c r="L166" s="47"/>
      <c r="M166" s="47"/>
      <c r="N166" s="47"/>
      <c r="O166" s="47"/>
      <c r="P166" s="47"/>
    </row>
    <row r="167" spans="1:20" ht="12.75" customHeight="1" x14ac:dyDescent="0.2">
      <c r="B167" s="67" t="s">
        <v>862</v>
      </c>
      <c r="C167" s="4" t="s">
        <v>953</v>
      </c>
      <c r="D167" s="4"/>
      <c r="E167" s="4"/>
      <c r="F167" s="4"/>
      <c r="K167" s="990" t="s">
        <v>37</v>
      </c>
      <c r="L167" s="990"/>
      <c r="M167" s="522" t="str">
        <f>IF(L161=0,"0",((L154+M154+O154+P154+Q154+R154+S154+T154)*M161))</f>
        <v>0</v>
      </c>
      <c r="O167" s="991" t="s">
        <v>38</v>
      </c>
      <c r="P167" s="991"/>
      <c r="Q167" s="523" t="str">
        <f>IF(L164=0,"0",(L154+M154+O154+P154+Q154+R154+S154+T154)*Q164)</f>
        <v>0</v>
      </c>
    </row>
    <row r="168" spans="1:20" ht="6.75" customHeight="1" x14ac:dyDescent="0.2">
      <c r="B168" s="67"/>
      <c r="C168" s="4"/>
      <c r="D168" s="4"/>
      <c r="E168" s="4"/>
      <c r="F168" s="4"/>
      <c r="K168" s="518"/>
      <c r="L168" s="518"/>
      <c r="M168" s="519"/>
      <c r="O168" s="520"/>
      <c r="P168" s="520"/>
      <c r="Q168" s="521"/>
    </row>
    <row r="169" spans="1:20" ht="12.75" customHeight="1" x14ac:dyDescent="0.2">
      <c r="A169" t="s">
        <v>185</v>
      </c>
      <c r="C169" s="55" t="s">
        <v>82</v>
      </c>
      <c r="D169" s="986" t="s">
        <v>1019</v>
      </c>
      <c r="E169" s="986"/>
      <c r="F169" s="986"/>
      <c r="G169" s="986"/>
      <c r="H169" s="986"/>
      <c r="I169" s="986"/>
      <c r="L169" s="47"/>
      <c r="M169" s="47"/>
      <c r="T169" s="516"/>
    </row>
    <row r="170" spans="1:20" ht="12.75" customHeight="1" x14ac:dyDescent="0.2">
      <c r="C170" s="47"/>
      <c r="D170" s="986"/>
      <c r="E170" s="986"/>
      <c r="F170" s="986"/>
      <c r="G170" s="986"/>
      <c r="H170" s="986"/>
      <c r="I170" s="986"/>
      <c r="L170" s="47"/>
      <c r="M170" s="47"/>
      <c r="T170" s="516"/>
    </row>
    <row r="171" spans="1:20" x14ac:dyDescent="0.2">
      <c r="C171" s="47"/>
      <c r="D171" t="s">
        <v>469</v>
      </c>
      <c r="H171" s="444"/>
      <c r="L171" s="47"/>
      <c r="M171" s="47"/>
    </row>
    <row r="172" spans="1:20" x14ac:dyDescent="0.2">
      <c r="C172" s="47"/>
      <c r="D172" t="s">
        <v>470</v>
      </c>
      <c r="H172" s="444"/>
      <c r="L172" s="47"/>
      <c r="M172" s="47"/>
    </row>
    <row r="173" spans="1:20" x14ac:dyDescent="0.2">
      <c r="C173" s="47"/>
      <c r="D173" t="s">
        <v>175</v>
      </c>
      <c r="H173" s="444"/>
      <c r="L173" s="47"/>
      <c r="M173" s="47"/>
    </row>
    <row r="174" spans="1:20" x14ac:dyDescent="0.2">
      <c r="C174" s="47"/>
      <c r="D174" t="s">
        <v>467</v>
      </c>
      <c r="H174" s="444"/>
      <c r="L174" s="47"/>
      <c r="M174" s="47"/>
    </row>
    <row r="175" spans="1:20" x14ac:dyDescent="0.2">
      <c r="C175" s="47"/>
      <c r="D175" t="s">
        <v>176</v>
      </c>
      <c r="H175" s="444"/>
      <c r="L175" s="47"/>
      <c r="M175" s="47"/>
    </row>
    <row r="176" spans="1:20" x14ac:dyDescent="0.2">
      <c r="C176" s="47"/>
      <c r="D176" t="s">
        <v>468</v>
      </c>
      <c r="H176" s="444"/>
      <c r="L176" s="47"/>
      <c r="M176" s="47"/>
    </row>
    <row r="177" spans="1:23" x14ac:dyDescent="0.2">
      <c r="C177" s="47"/>
      <c r="D177" s="415" t="s">
        <v>242</v>
      </c>
      <c r="H177" s="444"/>
      <c r="L177" s="47"/>
      <c r="M177" s="47"/>
      <c r="V177" s="984" t="str">
        <f>IF(U177=Y153," ","Recheck number. Must match 4 above.")</f>
        <v xml:space="preserve"> </v>
      </c>
      <c r="W177" s="984"/>
    </row>
    <row r="178" spans="1:23" x14ac:dyDescent="0.2">
      <c r="C178" s="47"/>
      <c r="D178" s="415" t="s">
        <v>243</v>
      </c>
      <c r="H178" s="444"/>
      <c r="L178" s="47"/>
      <c r="M178" s="47"/>
    </row>
    <row r="179" spans="1:23" ht="24" customHeight="1" thickBot="1" x14ac:dyDescent="0.25">
      <c r="C179" s="47"/>
      <c r="D179" s="47"/>
      <c r="E179" s="47"/>
      <c r="H179" s="218">
        <f>SUM(H171:H178)</f>
        <v>0</v>
      </c>
      <c r="I179" s="984" t="str">
        <f>IF(H179=M167+Q167," ","Recheck number. Must match loss amt. in 4 above.")</f>
        <v xml:space="preserve"> </v>
      </c>
      <c r="J179" s="984"/>
      <c r="K179" s="984"/>
      <c r="L179" s="47"/>
      <c r="M179" s="47"/>
      <c r="T179" s="517"/>
    </row>
    <row r="180" spans="1:23" ht="13.5" thickTop="1" x14ac:dyDescent="0.2">
      <c r="C180" s="55"/>
      <c r="L180" s="47"/>
      <c r="M180" s="47"/>
      <c r="N180" s="47"/>
      <c r="O180" s="47"/>
      <c r="P180" s="47"/>
    </row>
    <row r="181" spans="1:23" ht="11.25" customHeight="1" x14ac:dyDescent="0.2">
      <c r="B181" s="67" t="s">
        <v>863</v>
      </c>
      <c r="C181" s="881" t="s">
        <v>838</v>
      </c>
      <c r="D181" s="881"/>
      <c r="E181" s="881"/>
      <c r="F181" s="881"/>
      <c r="G181" s="881"/>
      <c r="H181" s="881"/>
      <c r="I181" s="881"/>
      <c r="L181" s="56"/>
      <c r="M181" s="988"/>
      <c r="O181" s="56"/>
      <c r="P181" s="56"/>
    </row>
    <row r="182" spans="1:23" x14ac:dyDescent="0.2">
      <c r="C182" s="55" t="s">
        <v>82</v>
      </c>
      <c r="D182" t="s">
        <v>35</v>
      </c>
      <c r="L182" s="420"/>
      <c r="M182" s="989"/>
      <c r="O182" s="420"/>
      <c r="P182" s="420"/>
      <c r="Q182" s="415"/>
      <c r="R182" s="415"/>
    </row>
    <row r="183" spans="1:23" ht="6.75" customHeight="1" x14ac:dyDescent="0.2">
      <c r="C183" s="55"/>
      <c r="L183" s="56"/>
      <c r="M183" s="56"/>
      <c r="N183" s="56"/>
      <c r="O183" s="56"/>
      <c r="P183" s="56"/>
    </row>
    <row r="184" spans="1:23" ht="24.75" customHeight="1" thickBot="1" x14ac:dyDescent="0.25">
      <c r="C184" t="s">
        <v>84</v>
      </c>
      <c r="E184" s="987" t="s">
        <v>36</v>
      </c>
      <c r="F184" s="987"/>
      <c r="G184" s="987"/>
      <c r="H184" s="987"/>
      <c r="I184" s="987"/>
      <c r="L184" s="56"/>
      <c r="M184" s="87">
        <f>M181-(M167+Q167)</f>
        <v>0</v>
      </c>
      <c r="O184" s="56"/>
      <c r="P184" s="56"/>
    </row>
    <row r="185" spans="1:23" ht="12.75" customHeight="1" thickTop="1" x14ac:dyDescent="0.2">
      <c r="L185" s="56"/>
      <c r="M185" s="56"/>
      <c r="O185" s="56"/>
      <c r="P185" s="56"/>
    </row>
    <row r="186" spans="1:23" ht="12.75" customHeight="1" x14ac:dyDescent="0.2">
      <c r="L186" s="56"/>
      <c r="M186" s="56"/>
      <c r="O186" s="56"/>
      <c r="P186" s="56"/>
    </row>
    <row r="187" spans="1:23" ht="25.5" customHeight="1" x14ac:dyDescent="0.2">
      <c r="A187" s="4" t="s">
        <v>813</v>
      </c>
      <c r="B187" s="962" t="s">
        <v>4920</v>
      </c>
      <c r="C187" s="963"/>
      <c r="D187" s="963"/>
      <c r="E187" s="963"/>
      <c r="F187" s="963"/>
      <c r="G187" s="963"/>
      <c r="H187" s="963"/>
      <c r="I187" s="963"/>
      <c r="J187" s="963"/>
      <c r="K187" s="963"/>
      <c r="L187" s="963"/>
      <c r="M187" s="963"/>
      <c r="N187" s="963"/>
      <c r="O187" s="963"/>
      <c r="P187" s="963"/>
      <c r="Q187" s="963"/>
      <c r="R187" s="963"/>
      <c r="S187" s="963"/>
      <c r="T187" s="964"/>
    </row>
    <row r="188" spans="1:23" ht="12.75" customHeight="1" x14ac:dyDescent="0.2">
      <c r="B188" s="50" t="s">
        <v>323</v>
      </c>
      <c r="C188" s="883" t="s">
        <v>956</v>
      </c>
      <c r="D188" s="883"/>
      <c r="E188" s="883"/>
      <c r="F188" s="883"/>
      <c r="G188" s="883"/>
      <c r="H188" s="883"/>
      <c r="I188" s="883"/>
      <c r="J188" s="883"/>
      <c r="L188" s="56"/>
      <c r="M188" s="56"/>
      <c r="O188" s="56"/>
      <c r="P188" s="56"/>
    </row>
    <row r="189" spans="1:23" ht="12.75" customHeight="1" x14ac:dyDescent="0.2">
      <c r="C189" s="883"/>
      <c r="D189" s="883"/>
      <c r="E189" s="883"/>
      <c r="F189" s="883"/>
      <c r="G189" s="883"/>
      <c r="H189" s="883"/>
      <c r="I189" s="883"/>
      <c r="J189" s="883"/>
      <c r="L189" s="56"/>
      <c r="M189" s="56"/>
      <c r="O189" s="56"/>
      <c r="P189" s="56"/>
    </row>
    <row r="190" spans="1:23" ht="12.75" customHeight="1" x14ac:dyDescent="0.2">
      <c r="C190" t="s">
        <v>82</v>
      </c>
      <c r="D190" s="883" t="s">
        <v>72</v>
      </c>
      <c r="E190" s="883"/>
      <c r="F190" s="883"/>
      <c r="G190" s="883"/>
      <c r="H190" s="883"/>
      <c r="I190" s="883"/>
      <c r="J190" s="883"/>
      <c r="L190" s="56"/>
      <c r="M190" s="56"/>
      <c r="O190" s="56"/>
      <c r="P190" s="56"/>
    </row>
    <row r="191" spans="1:23" ht="12.75" customHeight="1" x14ac:dyDescent="0.2">
      <c r="D191" s="883"/>
      <c r="E191" s="883"/>
      <c r="F191" s="883"/>
      <c r="G191" s="883"/>
      <c r="H191" s="883"/>
      <c r="I191" s="883"/>
      <c r="J191" s="883"/>
      <c r="L191" s="56"/>
      <c r="M191" s="56"/>
      <c r="O191" s="56"/>
      <c r="P191" s="56"/>
    </row>
    <row r="192" spans="1:23" ht="12.75" customHeight="1" x14ac:dyDescent="0.2">
      <c r="D192" t="s">
        <v>955</v>
      </c>
      <c r="I192" s="444"/>
      <c r="L192" s="56"/>
      <c r="M192" s="56"/>
      <c r="O192" s="56"/>
      <c r="P192" s="56"/>
    </row>
    <row r="193" spans="3:16" ht="12.75" customHeight="1" x14ac:dyDescent="0.2">
      <c r="D193" t="s">
        <v>436</v>
      </c>
      <c r="I193" s="444"/>
      <c r="L193" s="56"/>
      <c r="M193" s="56"/>
      <c r="O193" s="56"/>
      <c r="P193" s="56"/>
    </row>
    <row r="194" spans="3:16" ht="12.75" customHeight="1" x14ac:dyDescent="0.2">
      <c r="L194" s="56"/>
      <c r="M194" s="56"/>
      <c r="O194" s="56"/>
      <c r="P194" s="56"/>
    </row>
    <row r="195" spans="3:16" ht="12.75" customHeight="1" x14ac:dyDescent="0.2">
      <c r="C195" t="s">
        <v>84</v>
      </c>
      <c r="D195" s="986" t="s">
        <v>607</v>
      </c>
      <c r="E195" s="986"/>
      <c r="F195" s="986"/>
      <c r="G195" s="986"/>
      <c r="H195" s="986"/>
      <c r="I195" s="986"/>
      <c r="J195" s="986"/>
      <c r="K195" s="516"/>
      <c r="L195" s="56"/>
      <c r="M195" s="56"/>
    </row>
    <row r="196" spans="3:16" ht="12.75" customHeight="1" x14ac:dyDescent="0.2">
      <c r="C196" s="516"/>
      <c r="D196" s="986"/>
      <c r="E196" s="986"/>
      <c r="F196" s="986"/>
      <c r="G196" s="986"/>
      <c r="H196" s="986"/>
      <c r="I196" s="986"/>
      <c r="J196" s="986"/>
      <c r="K196" s="516"/>
      <c r="L196" s="56"/>
      <c r="M196" s="56"/>
    </row>
    <row r="197" spans="3:16" ht="12.75" customHeight="1" x14ac:dyDescent="0.2">
      <c r="C197" s="516"/>
      <c r="D197" s="986"/>
      <c r="E197" s="986"/>
      <c r="F197" s="986"/>
      <c r="G197" s="986"/>
      <c r="H197" s="986"/>
      <c r="I197" s="986"/>
      <c r="J197" s="986"/>
      <c r="L197" s="56"/>
      <c r="M197" s="56"/>
    </row>
    <row r="198" spans="3:16" ht="12.75" customHeight="1" x14ac:dyDescent="0.2">
      <c r="C198" s="55"/>
      <c r="E198" t="s">
        <v>954</v>
      </c>
      <c r="I198" s="444"/>
      <c r="L198" s="56"/>
      <c r="M198" s="56"/>
    </row>
    <row r="199" spans="3:16" ht="12.75" customHeight="1" x14ac:dyDescent="0.2">
      <c r="C199" s="55"/>
      <c r="E199" t="s">
        <v>490</v>
      </c>
      <c r="I199" s="444"/>
      <c r="L199" s="56"/>
      <c r="M199" s="56"/>
    </row>
    <row r="200" spans="3:16" ht="12.75" customHeight="1" x14ac:dyDescent="0.2">
      <c r="C200" s="55"/>
      <c r="E200" t="s">
        <v>879</v>
      </c>
      <c r="I200" s="444"/>
      <c r="L200" s="56"/>
      <c r="M200" s="56"/>
    </row>
    <row r="201" spans="3:16" ht="12.75" customHeight="1" x14ac:dyDescent="0.2">
      <c r="C201" s="55"/>
      <c r="E201" t="s">
        <v>880</v>
      </c>
      <c r="I201" s="444"/>
      <c r="L201" s="56"/>
      <c r="M201" s="56"/>
    </row>
    <row r="202" spans="3:16" ht="12.75" customHeight="1" x14ac:dyDescent="0.2">
      <c r="C202" s="55"/>
      <c r="E202" t="s">
        <v>474</v>
      </c>
      <c r="I202" s="444"/>
      <c r="L202" s="56"/>
      <c r="M202" s="56"/>
    </row>
    <row r="203" spans="3:16" ht="12.75" customHeight="1" x14ac:dyDescent="0.2">
      <c r="C203" s="55"/>
      <c r="E203" t="s">
        <v>463</v>
      </c>
      <c r="I203" s="444"/>
      <c r="L203" s="56"/>
      <c r="M203" s="56"/>
    </row>
    <row r="204" spans="3:16" ht="12.75" customHeight="1" x14ac:dyDescent="0.2">
      <c r="C204" s="55"/>
      <c r="E204" t="s">
        <v>397</v>
      </c>
      <c r="I204" s="444"/>
      <c r="L204" s="56"/>
      <c r="M204" s="56"/>
    </row>
    <row r="205" spans="3:16" ht="12.75" customHeight="1" x14ac:dyDescent="0.2">
      <c r="C205" s="55"/>
      <c r="E205" t="s">
        <v>910</v>
      </c>
      <c r="I205" s="444"/>
      <c r="L205" s="56"/>
      <c r="M205" s="56"/>
    </row>
    <row r="206" spans="3:16" ht="12.75" customHeight="1" x14ac:dyDescent="0.2">
      <c r="C206" s="55"/>
      <c r="E206" t="s">
        <v>201</v>
      </c>
      <c r="I206" s="444"/>
      <c r="L206" s="56"/>
      <c r="M206" s="56"/>
    </row>
    <row r="207" spans="3:16" x14ac:dyDescent="0.2">
      <c r="C207" s="55"/>
      <c r="J207" s="984" t="str">
        <f>IF(I208=M184," ","Recheck entry. Total must match net gain or loss in 5.b above.")</f>
        <v xml:space="preserve"> </v>
      </c>
      <c r="K207" s="984"/>
      <c r="L207" s="984"/>
      <c r="M207" s="56"/>
    </row>
    <row r="208" spans="3:16" x14ac:dyDescent="0.2">
      <c r="H208" s="31" t="s">
        <v>608</v>
      </c>
      <c r="I208" s="523">
        <f>I192+I193+I198+I199+I200+I201+I202+I203+I204+I205+I206</f>
        <v>0</v>
      </c>
      <c r="J208" s="984"/>
      <c r="K208" s="984"/>
      <c r="L208" s="984"/>
      <c r="M208" s="5"/>
      <c r="O208" s="511"/>
    </row>
    <row r="209" spans="1:20" x14ac:dyDescent="0.2">
      <c r="H209" s="31"/>
      <c r="I209" s="525"/>
      <c r="J209" s="517"/>
      <c r="K209" s="517"/>
      <c r="L209" s="517"/>
      <c r="M209" s="5"/>
      <c r="O209" s="511"/>
    </row>
    <row r="210" spans="1:20" ht="26.25" customHeight="1" x14ac:dyDescent="0.2">
      <c r="A210" s="4" t="s">
        <v>814</v>
      </c>
      <c r="B210" s="962" t="s">
        <v>990</v>
      </c>
      <c r="C210" s="963"/>
      <c r="D210" s="963"/>
      <c r="E210" s="963"/>
      <c r="F210" s="963"/>
      <c r="G210" s="963"/>
      <c r="H210" s="963"/>
      <c r="I210" s="963"/>
      <c r="J210" s="963"/>
      <c r="K210" s="963"/>
      <c r="L210" s="963"/>
      <c r="M210" s="963"/>
      <c r="N210" s="963"/>
      <c r="O210" s="963"/>
      <c r="P210" s="963"/>
      <c r="Q210" s="963"/>
      <c r="R210" s="963"/>
      <c r="S210" s="963"/>
      <c r="T210" s="964"/>
    </row>
    <row r="211" spans="1:20" ht="3.75" customHeight="1" x14ac:dyDescent="0.2"/>
    <row r="212" spans="1:20" x14ac:dyDescent="0.2">
      <c r="E212" t="s">
        <v>185</v>
      </c>
      <c r="M212" s="58" t="s">
        <v>64</v>
      </c>
      <c r="N212" s="55"/>
      <c r="O212" s="58" t="s">
        <v>65</v>
      </c>
    </row>
    <row r="213" spans="1:20" ht="4.5" customHeight="1" x14ac:dyDescent="0.2"/>
    <row r="214" spans="1:20" x14ac:dyDescent="0.2">
      <c r="D214" t="s">
        <v>439</v>
      </c>
      <c r="E214" t="s">
        <v>177</v>
      </c>
      <c r="M214" s="11">
        <f>AB300</f>
        <v>0</v>
      </c>
      <c r="O214" s="11">
        <f>AC300</f>
        <v>0</v>
      </c>
    </row>
    <row r="215" spans="1:20" x14ac:dyDescent="0.2">
      <c r="E215" t="s">
        <v>178</v>
      </c>
      <c r="M215" s="11">
        <f>AB301</f>
        <v>0</v>
      </c>
      <c r="O215" s="11">
        <f>AC301</f>
        <v>0</v>
      </c>
    </row>
    <row r="216" spans="1:20" x14ac:dyDescent="0.2">
      <c r="E216" t="s">
        <v>179</v>
      </c>
      <c r="M216" s="11">
        <f>AB302</f>
        <v>0</v>
      </c>
      <c r="O216" s="11">
        <f>AC302</f>
        <v>0</v>
      </c>
    </row>
    <row r="217" spans="1:20" x14ac:dyDescent="0.2">
      <c r="E217" t="s">
        <v>180</v>
      </c>
      <c r="M217" s="11">
        <f>AB303</f>
        <v>0</v>
      </c>
      <c r="O217" s="11">
        <f>AC303</f>
        <v>0</v>
      </c>
    </row>
    <row r="218" spans="1:20" x14ac:dyDescent="0.2">
      <c r="E218" s="571" t="s">
        <v>4913</v>
      </c>
      <c r="M218" s="11">
        <f t="shared" ref="M218:M219" si="1">AB304</f>
        <v>0</v>
      </c>
      <c r="O218" s="11">
        <f t="shared" ref="O218:O219" si="2">AC304</f>
        <v>0</v>
      </c>
    </row>
    <row r="219" spans="1:20" x14ac:dyDescent="0.2">
      <c r="E219" s="571" t="s">
        <v>4914</v>
      </c>
      <c r="M219" s="11">
        <f t="shared" si="1"/>
        <v>0</v>
      </c>
      <c r="O219" s="11">
        <f t="shared" si="2"/>
        <v>0</v>
      </c>
    </row>
    <row r="220" spans="1:20" x14ac:dyDescent="0.2">
      <c r="E220" s="415" t="s">
        <v>321</v>
      </c>
      <c r="M220" s="11">
        <f t="shared" ref="M220:M226" si="3">AB306</f>
        <v>0</v>
      </c>
      <c r="O220" s="11">
        <f t="shared" ref="O220:O225" si="4">AC306</f>
        <v>0</v>
      </c>
    </row>
    <row r="221" spans="1:20" x14ac:dyDescent="0.2">
      <c r="E221" s="415" t="s">
        <v>322</v>
      </c>
      <c r="M221" s="11">
        <f t="shared" si="3"/>
        <v>0</v>
      </c>
      <c r="O221" s="11">
        <f t="shared" si="4"/>
        <v>0</v>
      </c>
    </row>
    <row r="222" spans="1:20" x14ac:dyDescent="0.2">
      <c r="E222" t="s">
        <v>181</v>
      </c>
      <c r="M222" s="11">
        <f t="shared" si="3"/>
        <v>0</v>
      </c>
      <c r="O222" s="11">
        <f t="shared" si="4"/>
        <v>0</v>
      </c>
    </row>
    <row r="223" spans="1:20" x14ac:dyDescent="0.2">
      <c r="E223" t="s">
        <v>449</v>
      </c>
      <c r="M223" s="11">
        <f t="shared" si="3"/>
        <v>0</v>
      </c>
      <c r="O223" s="11">
        <f t="shared" si="4"/>
        <v>0</v>
      </c>
    </row>
    <row r="224" spans="1:20" x14ac:dyDescent="0.2">
      <c r="E224" t="s">
        <v>525</v>
      </c>
      <c r="M224" s="11">
        <f t="shared" si="3"/>
        <v>0</v>
      </c>
      <c r="O224" s="11">
        <f t="shared" si="4"/>
        <v>0</v>
      </c>
    </row>
    <row r="225" spans="4:15" x14ac:dyDescent="0.2">
      <c r="E225" t="s">
        <v>317</v>
      </c>
      <c r="M225" s="11">
        <f t="shared" si="3"/>
        <v>0</v>
      </c>
      <c r="O225" s="11">
        <f t="shared" si="4"/>
        <v>0</v>
      </c>
    </row>
    <row r="226" spans="4:15" x14ac:dyDescent="0.2">
      <c r="E226" t="s">
        <v>965</v>
      </c>
      <c r="M226" s="11">
        <f t="shared" si="3"/>
        <v>0</v>
      </c>
      <c r="O226" s="11">
        <f t="shared" ref="O226:O232" si="5">AC312</f>
        <v>0</v>
      </c>
    </row>
    <row r="227" spans="4:15" x14ac:dyDescent="0.2">
      <c r="F227" t="s">
        <v>469</v>
      </c>
      <c r="M227" s="11">
        <f t="shared" ref="M227:M232" si="6">AB313</f>
        <v>0</v>
      </c>
      <c r="O227" s="11">
        <f t="shared" si="5"/>
        <v>0</v>
      </c>
    </row>
    <row r="228" spans="4:15" x14ac:dyDescent="0.2">
      <c r="F228" t="s">
        <v>470</v>
      </c>
      <c r="M228" s="11">
        <f t="shared" si="6"/>
        <v>0</v>
      </c>
      <c r="O228" s="11">
        <f t="shared" si="5"/>
        <v>0</v>
      </c>
    </row>
    <row r="229" spans="4:15" x14ac:dyDescent="0.2">
      <c r="F229" t="s">
        <v>175</v>
      </c>
      <c r="M229" s="11">
        <f t="shared" si="6"/>
        <v>0</v>
      </c>
      <c r="O229" s="11">
        <f t="shared" si="5"/>
        <v>0</v>
      </c>
    </row>
    <row r="230" spans="4:15" x14ac:dyDescent="0.2">
      <c r="F230" t="s">
        <v>467</v>
      </c>
      <c r="M230" s="11">
        <f t="shared" si="6"/>
        <v>0</v>
      </c>
      <c r="O230" s="11">
        <f t="shared" si="5"/>
        <v>0</v>
      </c>
    </row>
    <row r="231" spans="4:15" x14ac:dyDescent="0.2">
      <c r="F231" t="s">
        <v>176</v>
      </c>
      <c r="M231" s="11">
        <f t="shared" si="6"/>
        <v>0</v>
      </c>
      <c r="O231" s="11">
        <f t="shared" si="5"/>
        <v>0</v>
      </c>
    </row>
    <row r="232" spans="4:15" x14ac:dyDescent="0.2">
      <c r="F232" t="s">
        <v>468</v>
      </c>
      <c r="M232" s="11">
        <f t="shared" si="6"/>
        <v>0</v>
      </c>
      <c r="O232" s="11">
        <f t="shared" si="5"/>
        <v>0</v>
      </c>
    </row>
    <row r="233" spans="4:15" x14ac:dyDescent="0.2">
      <c r="F233" s="571" t="s">
        <v>1025</v>
      </c>
      <c r="M233" s="11"/>
      <c r="O233" s="11"/>
    </row>
    <row r="234" spans="4:15" x14ac:dyDescent="0.2">
      <c r="F234" s="571" t="s">
        <v>4906</v>
      </c>
      <c r="M234" s="11"/>
      <c r="O234" s="11"/>
    </row>
    <row r="235" spans="4:15" x14ac:dyDescent="0.2">
      <c r="F235" s="415" t="s">
        <v>242</v>
      </c>
      <c r="M235" s="11">
        <f>AB319</f>
        <v>0</v>
      </c>
      <c r="O235" s="11">
        <f>AC319</f>
        <v>0</v>
      </c>
    </row>
    <row r="236" spans="4:15" x14ac:dyDescent="0.2">
      <c r="F236" s="415" t="s">
        <v>243</v>
      </c>
      <c r="M236" s="11">
        <f>AB320</f>
        <v>0</v>
      </c>
      <c r="O236" s="11">
        <f>AC320</f>
        <v>0</v>
      </c>
    </row>
    <row r="237" spans="4:15" ht="15" x14ac:dyDescent="0.2">
      <c r="F237" t="s">
        <v>526</v>
      </c>
      <c r="M237" s="11">
        <f>AB321</f>
        <v>0</v>
      </c>
      <c r="O237" s="11">
        <f>AC321</f>
        <v>0</v>
      </c>
    </row>
    <row r="238" spans="4:15" ht="15" x14ac:dyDescent="0.2">
      <c r="F238" t="s">
        <v>527</v>
      </c>
      <c r="M238" s="11">
        <f>AB322</f>
        <v>0</v>
      </c>
      <c r="O238" s="11">
        <f>AC322</f>
        <v>0</v>
      </c>
    </row>
    <row r="239" spans="4:15" ht="4.5" customHeight="1" x14ac:dyDescent="0.2">
      <c r="M239" s="5"/>
      <c r="O239" s="5"/>
    </row>
    <row r="240" spans="4:15" x14ac:dyDescent="0.2">
      <c r="D240" t="s">
        <v>438</v>
      </c>
      <c r="E240" t="s">
        <v>469</v>
      </c>
      <c r="M240" s="11">
        <f t="shared" ref="M240:M245" si="7">AB324</f>
        <v>0</v>
      </c>
      <c r="O240" s="11">
        <f t="shared" ref="O240:O245" si="8">AC324</f>
        <v>0</v>
      </c>
    </row>
    <row r="241" spans="4:15" x14ac:dyDescent="0.2">
      <c r="E241" t="s">
        <v>470</v>
      </c>
      <c r="M241" s="11">
        <f t="shared" si="7"/>
        <v>0</v>
      </c>
      <c r="O241" s="11">
        <f t="shared" si="8"/>
        <v>0</v>
      </c>
    </row>
    <row r="242" spans="4:15" x14ac:dyDescent="0.2">
      <c r="E242" t="s">
        <v>175</v>
      </c>
      <c r="M242" s="11">
        <f t="shared" si="7"/>
        <v>0</v>
      </c>
      <c r="O242" s="11">
        <f t="shared" si="8"/>
        <v>0</v>
      </c>
    </row>
    <row r="243" spans="4:15" x14ac:dyDescent="0.2">
      <c r="E243" t="s">
        <v>467</v>
      </c>
      <c r="M243" s="11">
        <f t="shared" si="7"/>
        <v>0</v>
      </c>
      <c r="O243" s="11">
        <f t="shared" si="8"/>
        <v>0</v>
      </c>
    </row>
    <row r="244" spans="4:15" x14ac:dyDescent="0.2">
      <c r="E244" t="s">
        <v>176</v>
      </c>
      <c r="M244" s="11">
        <f t="shared" si="7"/>
        <v>0</v>
      </c>
      <c r="O244" s="11">
        <f t="shared" si="8"/>
        <v>0</v>
      </c>
    </row>
    <row r="245" spans="4:15" x14ac:dyDescent="0.2">
      <c r="E245" t="s">
        <v>468</v>
      </c>
      <c r="M245" s="11">
        <f t="shared" si="7"/>
        <v>0</v>
      </c>
      <c r="O245" s="11">
        <f t="shared" si="8"/>
        <v>0</v>
      </c>
    </row>
    <row r="246" spans="4:15" x14ac:dyDescent="0.2">
      <c r="E246" s="571" t="s">
        <v>1025</v>
      </c>
      <c r="M246" s="11"/>
      <c r="O246" s="11"/>
    </row>
    <row r="247" spans="4:15" x14ac:dyDescent="0.2">
      <c r="E247" s="571" t="s">
        <v>4906</v>
      </c>
      <c r="M247" s="11"/>
      <c r="O247" s="11"/>
    </row>
    <row r="248" spans="4:15" x14ac:dyDescent="0.2">
      <c r="E248" s="415" t="s">
        <v>242</v>
      </c>
      <c r="M248" s="11">
        <f t="shared" ref="M248:M249" si="9">AB330</f>
        <v>0</v>
      </c>
      <c r="O248" s="11">
        <f t="shared" ref="O248:O251" si="10">AC330</f>
        <v>0</v>
      </c>
    </row>
    <row r="249" spans="4:15" x14ac:dyDescent="0.2">
      <c r="E249" s="415" t="s">
        <v>243</v>
      </c>
      <c r="M249" s="11">
        <f t="shared" si="9"/>
        <v>0</v>
      </c>
      <c r="O249" s="11">
        <f t="shared" si="10"/>
        <v>0</v>
      </c>
    </row>
    <row r="250" spans="4:15" x14ac:dyDescent="0.2">
      <c r="F250" t="s">
        <v>437</v>
      </c>
      <c r="M250" s="11">
        <f>AB332</f>
        <v>0</v>
      </c>
      <c r="O250" s="11">
        <f t="shared" si="10"/>
        <v>0</v>
      </c>
    </row>
    <row r="251" spans="4:15" x14ac:dyDescent="0.2">
      <c r="F251" t="s">
        <v>714</v>
      </c>
      <c r="M251" s="11">
        <f>AB333</f>
        <v>0</v>
      </c>
      <c r="O251" s="11">
        <f t="shared" si="10"/>
        <v>0</v>
      </c>
    </row>
    <row r="252" spans="4:15" x14ac:dyDescent="0.2">
      <c r="F252" t="s">
        <v>964</v>
      </c>
      <c r="M252" s="11">
        <f>AB334</f>
        <v>0</v>
      </c>
      <c r="O252" s="11">
        <f>AC334</f>
        <v>0</v>
      </c>
    </row>
    <row r="253" spans="4:15" ht="4.5" customHeight="1" x14ac:dyDescent="0.2">
      <c r="M253" s="5"/>
      <c r="O253" s="5"/>
    </row>
    <row r="254" spans="4:15" x14ac:dyDescent="0.2">
      <c r="D254" t="s">
        <v>366</v>
      </c>
      <c r="E254" t="s">
        <v>879</v>
      </c>
      <c r="M254" s="11">
        <f t="shared" ref="M254:M261" si="11">AB336</f>
        <v>0</v>
      </c>
      <c r="O254" s="11">
        <f t="shared" ref="O254:O261" si="12">AC336</f>
        <v>0</v>
      </c>
    </row>
    <row r="255" spans="4:15" x14ac:dyDescent="0.2">
      <c r="E255" t="s">
        <v>880</v>
      </c>
      <c r="M255" s="11">
        <f t="shared" si="11"/>
        <v>0</v>
      </c>
      <c r="O255" s="11">
        <f t="shared" si="12"/>
        <v>0</v>
      </c>
    </row>
    <row r="256" spans="4:15" x14ac:dyDescent="0.2">
      <c r="E256" t="s">
        <v>474</v>
      </c>
      <c r="M256" s="11">
        <f t="shared" si="11"/>
        <v>0</v>
      </c>
      <c r="O256" s="11">
        <f t="shared" si="12"/>
        <v>0</v>
      </c>
    </row>
    <row r="257" spans="4:15" x14ac:dyDescent="0.2">
      <c r="E257" t="s">
        <v>463</v>
      </c>
      <c r="M257" s="11">
        <f t="shared" si="11"/>
        <v>0</v>
      </c>
      <c r="O257" s="11">
        <f t="shared" si="12"/>
        <v>0</v>
      </c>
    </row>
    <row r="258" spans="4:15" x14ac:dyDescent="0.2">
      <c r="E258" t="s">
        <v>100</v>
      </c>
      <c r="M258" s="11">
        <f t="shared" si="11"/>
        <v>0</v>
      </c>
      <c r="O258" s="11">
        <f t="shared" si="12"/>
        <v>0</v>
      </c>
    </row>
    <row r="259" spans="4:15" x14ac:dyDescent="0.2">
      <c r="E259" t="s">
        <v>910</v>
      </c>
      <c r="M259" s="11">
        <f t="shared" si="11"/>
        <v>0</v>
      </c>
      <c r="O259" s="11">
        <f t="shared" si="12"/>
        <v>0</v>
      </c>
    </row>
    <row r="260" spans="4:15" x14ac:dyDescent="0.2">
      <c r="E260" s="415" t="s">
        <v>201</v>
      </c>
      <c r="M260" s="11">
        <f t="shared" si="11"/>
        <v>0</v>
      </c>
      <c r="O260" s="11">
        <f t="shared" si="12"/>
        <v>0</v>
      </c>
    </row>
    <row r="261" spans="4:15" x14ac:dyDescent="0.2">
      <c r="F261" t="s">
        <v>367</v>
      </c>
      <c r="M261" s="11">
        <f t="shared" si="11"/>
        <v>0</v>
      </c>
      <c r="O261" s="11">
        <f t="shared" si="12"/>
        <v>0</v>
      </c>
    </row>
    <row r="262" spans="4:15" ht="4.5" customHeight="1" x14ac:dyDescent="0.2"/>
    <row r="263" spans="4:15" x14ac:dyDescent="0.2">
      <c r="D263" t="s">
        <v>951</v>
      </c>
      <c r="E263" t="s">
        <v>503</v>
      </c>
      <c r="M263" s="11">
        <f t="shared" ref="M263:M269" si="13">AB345</f>
        <v>0</v>
      </c>
      <c r="O263" s="79"/>
    </row>
    <row r="264" spans="4:15" x14ac:dyDescent="0.2">
      <c r="F264" t="s">
        <v>469</v>
      </c>
      <c r="M264" s="11">
        <f t="shared" si="13"/>
        <v>0</v>
      </c>
      <c r="O264" s="11">
        <f t="shared" ref="O264:O269" si="14">AC346</f>
        <v>0</v>
      </c>
    </row>
    <row r="265" spans="4:15" x14ac:dyDescent="0.2">
      <c r="F265" t="s">
        <v>470</v>
      </c>
      <c r="M265" s="11">
        <f t="shared" si="13"/>
        <v>0</v>
      </c>
      <c r="O265" s="11">
        <f t="shared" si="14"/>
        <v>0</v>
      </c>
    </row>
    <row r="266" spans="4:15" x14ac:dyDescent="0.2">
      <c r="F266" t="s">
        <v>175</v>
      </c>
      <c r="M266" s="11">
        <f t="shared" si="13"/>
        <v>0</v>
      </c>
      <c r="O266" s="11">
        <f t="shared" si="14"/>
        <v>0</v>
      </c>
    </row>
    <row r="267" spans="4:15" x14ac:dyDescent="0.2">
      <c r="F267" t="s">
        <v>467</v>
      </c>
      <c r="M267" s="11">
        <f t="shared" si="13"/>
        <v>0</v>
      </c>
      <c r="O267" s="11">
        <f t="shared" si="14"/>
        <v>0</v>
      </c>
    </row>
    <row r="268" spans="4:15" x14ac:dyDescent="0.2">
      <c r="F268" t="s">
        <v>176</v>
      </c>
      <c r="M268" s="11">
        <f t="shared" si="13"/>
        <v>0</v>
      </c>
      <c r="O268" s="11">
        <f t="shared" si="14"/>
        <v>0</v>
      </c>
    </row>
    <row r="269" spans="4:15" x14ac:dyDescent="0.2">
      <c r="F269" t="s">
        <v>468</v>
      </c>
      <c r="M269" s="11">
        <f t="shared" si="13"/>
        <v>0</v>
      </c>
      <c r="O269" s="11">
        <f t="shared" si="14"/>
        <v>0</v>
      </c>
    </row>
    <row r="270" spans="4:15" x14ac:dyDescent="0.2">
      <c r="F270" s="571" t="s">
        <v>1025</v>
      </c>
      <c r="M270" s="11"/>
      <c r="O270" s="11"/>
    </row>
    <row r="271" spans="4:15" x14ac:dyDescent="0.2">
      <c r="F271" s="571" t="s">
        <v>4906</v>
      </c>
      <c r="M271" s="11"/>
      <c r="O271" s="11"/>
    </row>
    <row r="272" spans="4:15" x14ac:dyDescent="0.2">
      <c r="F272" s="415" t="s">
        <v>242</v>
      </c>
      <c r="M272" s="11">
        <f t="shared" ref="M272:M283" si="15">AB352</f>
        <v>0</v>
      </c>
      <c r="O272" s="11">
        <f t="shared" ref="O272:O283" si="16">AC352</f>
        <v>0</v>
      </c>
    </row>
    <row r="273" spans="5:20" x14ac:dyDescent="0.2">
      <c r="F273" s="415" t="s">
        <v>243</v>
      </c>
      <c r="M273" s="11">
        <f t="shared" si="15"/>
        <v>0</v>
      </c>
      <c r="O273" s="11">
        <f t="shared" si="16"/>
        <v>0</v>
      </c>
    </row>
    <row r="274" spans="5:20" x14ac:dyDescent="0.2">
      <c r="F274" s="415" t="s">
        <v>436</v>
      </c>
      <c r="M274" s="11">
        <f t="shared" si="15"/>
        <v>0</v>
      </c>
      <c r="O274" s="11">
        <f t="shared" si="16"/>
        <v>0</v>
      </c>
    </row>
    <row r="275" spans="5:20" x14ac:dyDescent="0.2">
      <c r="F275" s="415" t="s">
        <v>4917</v>
      </c>
      <c r="M275" s="11">
        <f t="shared" si="15"/>
        <v>0</v>
      </c>
      <c r="O275" s="11">
        <f t="shared" si="16"/>
        <v>0</v>
      </c>
    </row>
    <row r="276" spans="5:20" x14ac:dyDescent="0.2">
      <c r="E276" t="s">
        <v>490</v>
      </c>
      <c r="M276" s="11">
        <f t="shared" si="15"/>
        <v>0</v>
      </c>
      <c r="O276" s="11">
        <f t="shared" si="16"/>
        <v>0</v>
      </c>
    </row>
    <row r="277" spans="5:20" x14ac:dyDescent="0.2">
      <c r="E277" t="s">
        <v>879</v>
      </c>
      <c r="M277" s="11">
        <f t="shared" si="15"/>
        <v>0</v>
      </c>
      <c r="O277" s="11">
        <f t="shared" si="16"/>
        <v>0</v>
      </c>
    </row>
    <row r="278" spans="5:20" x14ac:dyDescent="0.2">
      <c r="E278" t="s">
        <v>880</v>
      </c>
      <c r="M278" s="11">
        <f t="shared" si="15"/>
        <v>0</v>
      </c>
      <c r="O278" s="11">
        <f t="shared" si="16"/>
        <v>0</v>
      </c>
    </row>
    <row r="279" spans="5:20" x14ac:dyDescent="0.2">
      <c r="E279" t="s">
        <v>474</v>
      </c>
      <c r="M279" s="11">
        <f t="shared" si="15"/>
        <v>0</v>
      </c>
      <c r="O279" s="11">
        <f t="shared" si="16"/>
        <v>0</v>
      </c>
    </row>
    <row r="280" spans="5:20" x14ac:dyDescent="0.2">
      <c r="E280" t="s">
        <v>463</v>
      </c>
      <c r="M280" s="11">
        <f t="shared" si="15"/>
        <v>0</v>
      </c>
      <c r="O280" s="11">
        <f t="shared" si="16"/>
        <v>0</v>
      </c>
    </row>
    <row r="281" spans="5:20" x14ac:dyDescent="0.2">
      <c r="E281" t="s">
        <v>397</v>
      </c>
      <c r="M281" s="11">
        <f t="shared" si="15"/>
        <v>0</v>
      </c>
      <c r="O281" s="11">
        <f t="shared" si="16"/>
        <v>0</v>
      </c>
    </row>
    <row r="282" spans="5:20" x14ac:dyDescent="0.2">
      <c r="E282" t="s">
        <v>910</v>
      </c>
      <c r="M282" s="11">
        <f t="shared" si="15"/>
        <v>0</v>
      </c>
      <c r="O282" s="11">
        <f t="shared" si="16"/>
        <v>0</v>
      </c>
    </row>
    <row r="283" spans="5:20" x14ac:dyDescent="0.2">
      <c r="E283" t="s">
        <v>201</v>
      </c>
      <c r="M283" s="11">
        <f t="shared" si="15"/>
        <v>0</v>
      </c>
      <c r="O283" s="11">
        <f t="shared" si="16"/>
        <v>0</v>
      </c>
    </row>
    <row r="284" spans="5:20" ht="3" customHeight="1" x14ac:dyDescent="0.2"/>
    <row r="285" spans="5:20" ht="13.5" thickBot="1" x14ac:dyDescent="0.25">
      <c r="F285" t="s">
        <v>692</v>
      </c>
      <c r="M285" s="80">
        <f>SUM(M214:M283)</f>
        <v>0</v>
      </c>
      <c r="O285" s="80">
        <f>SUM(O214:O283)</f>
        <v>0</v>
      </c>
    </row>
    <row r="286" spans="5:20" ht="13.5" thickTop="1" x14ac:dyDescent="0.2"/>
    <row r="287" spans="5:20" ht="12" customHeight="1" x14ac:dyDescent="0.2">
      <c r="E287" s="92" t="s">
        <v>759</v>
      </c>
      <c r="F287" s="1004" t="s">
        <v>528</v>
      </c>
      <c r="G287" s="1004"/>
      <c r="H287" s="1004"/>
      <c r="I287" s="1004"/>
      <c r="J287" s="1004"/>
      <c r="K287" s="1004"/>
      <c r="L287" s="1004"/>
      <c r="M287" s="1004"/>
      <c r="N287" s="1004"/>
      <c r="O287" s="1004"/>
      <c r="P287" s="1004"/>
      <c r="Q287" s="1004"/>
      <c r="R287" s="1004"/>
      <c r="S287" s="1004"/>
      <c r="T287" s="1004"/>
    </row>
    <row r="288" spans="5:20" ht="12.75" customHeight="1" x14ac:dyDescent="0.2">
      <c r="E288" s="92"/>
      <c r="F288" s="1004"/>
      <c r="G288" s="1004"/>
      <c r="H288" s="1004"/>
      <c r="I288" s="1004"/>
      <c r="J288" s="1004"/>
      <c r="K288" s="1004"/>
      <c r="L288" s="1004"/>
      <c r="M288" s="1004"/>
      <c r="N288" s="1004"/>
      <c r="O288" s="1004"/>
      <c r="P288" s="1004"/>
      <c r="Q288" s="1004"/>
      <c r="R288" s="1004"/>
      <c r="S288" s="1004"/>
      <c r="T288" s="1004"/>
    </row>
    <row r="289" spans="1:29" ht="15" x14ac:dyDescent="0.2">
      <c r="D289" t="s">
        <v>763</v>
      </c>
      <c r="E289" s="92" t="s">
        <v>662</v>
      </c>
      <c r="F289" s="118" t="s">
        <v>45</v>
      </c>
    </row>
    <row r="296" spans="1:29" x14ac:dyDescent="0.2">
      <c r="Z296" s="8"/>
      <c r="AA296" s="8"/>
    </row>
    <row r="297" spans="1:29" ht="19.5" customHeight="1" x14ac:dyDescent="0.25">
      <c r="C297" s="1009" t="s">
        <v>810</v>
      </c>
      <c r="D297" s="1010"/>
      <c r="E297" s="1010"/>
      <c r="F297" s="1010"/>
      <c r="G297" s="1010"/>
      <c r="H297" s="1010"/>
      <c r="I297" s="1010"/>
      <c r="J297" s="1010"/>
      <c r="K297" s="1010"/>
      <c r="L297" s="1010"/>
      <c r="M297" s="1010"/>
      <c r="N297" s="1010"/>
      <c r="O297" s="1010"/>
      <c r="P297" s="1010"/>
      <c r="Q297" s="1010"/>
      <c r="R297" s="1010"/>
      <c r="S297" s="1010"/>
      <c r="T297" s="1010"/>
      <c r="U297" s="1010"/>
      <c r="V297" s="1010"/>
      <c r="W297" s="1010"/>
      <c r="X297" s="1010"/>
      <c r="Y297" s="1010"/>
      <c r="Z297" s="514"/>
      <c r="AA297" s="514"/>
      <c r="AB297" s="123"/>
    </row>
    <row r="298" spans="1:29" x14ac:dyDescent="0.2">
      <c r="L298" s="975" t="s">
        <v>324</v>
      </c>
      <c r="M298" s="979"/>
      <c r="N298" s="70"/>
      <c r="O298" s="979" t="s">
        <v>325</v>
      </c>
      <c r="P298" s="979"/>
      <c r="Q298" s="979" t="s">
        <v>245</v>
      </c>
      <c r="R298" s="979"/>
      <c r="S298" s="979" t="s">
        <v>246</v>
      </c>
      <c r="T298" s="979"/>
      <c r="U298" s="70"/>
      <c r="V298" s="979" t="s">
        <v>247</v>
      </c>
      <c r="W298" s="979"/>
      <c r="X298" s="979" t="s">
        <v>413</v>
      </c>
      <c r="Y298" s="979"/>
      <c r="Z298" s="979" t="s">
        <v>414</v>
      </c>
      <c r="AA298" s="976"/>
      <c r="AB298" s="975" t="s">
        <v>248</v>
      </c>
      <c r="AC298" s="976"/>
    </row>
    <row r="299" spans="1:29" x14ac:dyDescent="0.2">
      <c r="L299" s="71" t="s">
        <v>64</v>
      </c>
      <c r="M299" s="3" t="s">
        <v>65</v>
      </c>
      <c r="N299" s="3"/>
      <c r="O299" s="3" t="s">
        <v>64</v>
      </c>
      <c r="P299" s="3" t="s">
        <v>65</v>
      </c>
      <c r="Q299" s="3" t="s">
        <v>64</v>
      </c>
      <c r="R299" s="3" t="s">
        <v>65</v>
      </c>
      <c r="S299" s="3" t="s">
        <v>64</v>
      </c>
      <c r="T299" s="3" t="s">
        <v>65</v>
      </c>
      <c r="U299" s="3"/>
      <c r="V299" s="3" t="s">
        <v>327</v>
      </c>
      <c r="W299" s="3" t="s">
        <v>65</v>
      </c>
      <c r="X299" s="3" t="s">
        <v>327</v>
      </c>
      <c r="Y299" s="3" t="s">
        <v>65</v>
      </c>
      <c r="Z299" s="3" t="s">
        <v>327</v>
      </c>
      <c r="AA299" s="3" t="s">
        <v>65</v>
      </c>
      <c r="AB299" s="71" t="s">
        <v>64</v>
      </c>
      <c r="AC299" s="72" t="s">
        <v>65</v>
      </c>
    </row>
    <row r="300" spans="1:29" x14ac:dyDescent="0.2">
      <c r="A300" t="s">
        <v>439</v>
      </c>
      <c r="C300" t="s">
        <v>177</v>
      </c>
      <c r="L300" s="47">
        <f>M35+M38</f>
        <v>0</v>
      </c>
      <c r="M300" s="47"/>
      <c r="O300" s="47">
        <f>M53+M56</f>
        <v>0</v>
      </c>
      <c r="P300" s="47"/>
      <c r="Q300" s="5">
        <f>M76+M79</f>
        <v>0</v>
      </c>
      <c r="S300" s="47">
        <f>M93+M95</f>
        <v>0</v>
      </c>
      <c r="T300" s="47"/>
      <c r="V300" s="47"/>
      <c r="W300" s="47"/>
      <c r="X300" s="47"/>
      <c r="Y300" s="47"/>
      <c r="Z300" s="47"/>
      <c r="AA300" s="47"/>
      <c r="AB300" s="9">
        <f>L300+O300+Q300+S300+V300+X300</f>
        <v>0</v>
      </c>
      <c r="AC300" s="5">
        <f>M300+P300+R300+T300+W300+Y300</f>
        <v>0</v>
      </c>
    </row>
    <row r="301" spans="1:29" x14ac:dyDescent="0.2">
      <c r="C301" t="s">
        <v>178</v>
      </c>
      <c r="L301" s="47">
        <f>O35+O38</f>
        <v>0</v>
      </c>
      <c r="M301" s="47"/>
      <c r="O301" s="47">
        <f>O53+O56</f>
        <v>0</v>
      </c>
      <c r="P301" s="47"/>
      <c r="Q301" s="5">
        <f>O76+O79</f>
        <v>0</v>
      </c>
      <c r="S301" s="47">
        <f>O93+O95</f>
        <v>0</v>
      </c>
      <c r="T301" s="47"/>
      <c r="V301" s="47"/>
      <c r="W301" s="47"/>
      <c r="X301" s="47"/>
      <c r="Y301" s="47"/>
      <c r="Z301" s="47"/>
      <c r="AA301" s="47"/>
      <c r="AB301" s="9">
        <f t="shared" ref="AB301:AB344" si="17">L301+O301+Q301+S301+V301+X301</f>
        <v>0</v>
      </c>
      <c r="AC301" s="5">
        <f t="shared" ref="AC301:AC344" si="18">M301+P301+R301+T301+W301+Y301</f>
        <v>0</v>
      </c>
    </row>
    <row r="302" spans="1:29" x14ac:dyDescent="0.2">
      <c r="C302" t="s">
        <v>179</v>
      </c>
      <c r="L302" s="47">
        <f t="shared" ref="L302:L305" si="19">O36+O39</f>
        <v>0</v>
      </c>
      <c r="M302" s="47"/>
      <c r="O302" s="47">
        <f>P53+P56</f>
        <v>0</v>
      </c>
      <c r="P302" s="47"/>
      <c r="Q302" s="5">
        <f>P76+P79</f>
        <v>0</v>
      </c>
      <c r="S302" s="47">
        <f>P93+P95</f>
        <v>0</v>
      </c>
      <c r="T302" s="47"/>
      <c r="V302" s="47"/>
      <c r="W302" s="47"/>
      <c r="X302" s="47"/>
      <c r="Y302" s="47"/>
      <c r="Z302" s="47"/>
      <c r="AA302" s="47"/>
      <c r="AB302" s="9">
        <f t="shared" si="17"/>
        <v>0</v>
      </c>
      <c r="AC302" s="5">
        <f t="shared" si="18"/>
        <v>0</v>
      </c>
    </row>
    <row r="303" spans="1:29" x14ac:dyDescent="0.2">
      <c r="C303" t="s">
        <v>180</v>
      </c>
      <c r="L303" s="47">
        <f t="shared" si="19"/>
        <v>0</v>
      </c>
      <c r="M303" s="47"/>
      <c r="O303" s="47">
        <f>Q53+Q56</f>
        <v>0</v>
      </c>
      <c r="P303" s="47"/>
      <c r="Q303" s="5">
        <f>Q76+Q79</f>
        <v>0</v>
      </c>
      <c r="S303" s="47">
        <f>Q93+Q95</f>
        <v>0</v>
      </c>
      <c r="T303" s="47"/>
      <c r="V303" s="47"/>
      <c r="W303" s="47"/>
      <c r="X303" s="47"/>
      <c r="Y303" s="47"/>
      <c r="Z303" s="47"/>
      <c r="AA303" s="47"/>
      <c r="AB303" s="9">
        <f t="shared" si="17"/>
        <v>0</v>
      </c>
      <c r="AC303" s="5">
        <f t="shared" si="18"/>
        <v>0</v>
      </c>
    </row>
    <row r="304" spans="1:29" x14ac:dyDescent="0.2">
      <c r="C304" s="571" t="s">
        <v>4913</v>
      </c>
      <c r="L304" s="47">
        <f t="shared" si="19"/>
        <v>0</v>
      </c>
      <c r="M304" s="47"/>
      <c r="O304" s="47">
        <f t="shared" ref="O304:O305" si="20">Q54+Q57</f>
        <v>0</v>
      </c>
      <c r="P304" s="47"/>
      <c r="Q304" s="5">
        <f t="shared" ref="Q304:Q305" si="21">Q77+Q80</f>
        <v>0</v>
      </c>
      <c r="S304" s="47">
        <f t="shared" ref="S304:S305" si="22">Q94+Q96</f>
        <v>0</v>
      </c>
      <c r="T304" s="47"/>
      <c r="V304" s="47"/>
      <c r="W304" s="47"/>
      <c r="X304" s="47"/>
      <c r="Y304" s="47"/>
      <c r="Z304" s="47"/>
      <c r="AA304" s="47"/>
      <c r="AB304" s="9">
        <f t="shared" ref="AB304:AB305" si="23">L304+O304+Q304+S304+V304+X304</f>
        <v>0</v>
      </c>
      <c r="AC304" s="5">
        <f t="shared" ref="AC304:AC305" si="24">M304+P304+R304+T304+W304+Y304</f>
        <v>0</v>
      </c>
    </row>
    <row r="305" spans="3:29" x14ac:dyDescent="0.2">
      <c r="C305" s="571" t="s">
        <v>4914</v>
      </c>
      <c r="L305" s="47">
        <f t="shared" si="19"/>
        <v>0</v>
      </c>
      <c r="M305" s="47"/>
      <c r="O305" s="47">
        <f t="shared" si="20"/>
        <v>0</v>
      </c>
      <c r="P305" s="47"/>
      <c r="Q305" s="5">
        <f t="shared" si="21"/>
        <v>0</v>
      </c>
      <c r="S305" s="47">
        <f t="shared" si="22"/>
        <v>0</v>
      </c>
      <c r="T305" s="47"/>
      <c r="V305" s="47"/>
      <c r="W305" s="47"/>
      <c r="X305" s="47"/>
      <c r="Y305" s="47"/>
      <c r="Z305" s="47"/>
      <c r="AA305" s="47"/>
      <c r="AB305" s="9">
        <f t="shared" si="23"/>
        <v>0</v>
      </c>
      <c r="AC305" s="5">
        <f t="shared" si="24"/>
        <v>0</v>
      </c>
    </row>
    <row r="306" spans="3:29" x14ac:dyDescent="0.2">
      <c r="C306" t="s">
        <v>321</v>
      </c>
      <c r="L306" s="47">
        <f>R35+R38</f>
        <v>0</v>
      </c>
      <c r="M306" s="47"/>
      <c r="O306" s="47">
        <f>R53+R56</f>
        <v>0</v>
      </c>
      <c r="P306" s="47"/>
      <c r="Q306">
        <f>R76+R79</f>
        <v>0</v>
      </c>
      <c r="S306" s="47">
        <f>R93+R95</f>
        <v>0</v>
      </c>
      <c r="T306" s="47"/>
      <c r="V306" s="47"/>
      <c r="W306" s="47"/>
      <c r="X306" s="47"/>
      <c r="Y306" s="47"/>
      <c r="Z306" s="47"/>
      <c r="AA306" s="47"/>
      <c r="AB306" s="9">
        <f t="shared" si="17"/>
        <v>0</v>
      </c>
      <c r="AC306" s="5">
        <f t="shared" si="18"/>
        <v>0</v>
      </c>
    </row>
    <row r="307" spans="3:29" x14ac:dyDescent="0.2">
      <c r="C307" t="s">
        <v>322</v>
      </c>
      <c r="L307" s="47">
        <f>S35+S38</f>
        <v>0</v>
      </c>
      <c r="M307" s="47"/>
      <c r="O307" s="47">
        <f>S53+S56</f>
        <v>0</v>
      </c>
      <c r="P307" s="47"/>
      <c r="Q307">
        <f>S76+S79</f>
        <v>0</v>
      </c>
      <c r="S307" s="47">
        <f>S93+S95</f>
        <v>0</v>
      </c>
      <c r="T307" s="47"/>
      <c r="V307" s="47"/>
      <c r="W307" s="47"/>
      <c r="X307" s="47"/>
      <c r="Y307" s="47"/>
      <c r="Z307" s="47"/>
      <c r="AA307" s="47"/>
      <c r="AB307" s="9">
        <f t="shared" si="17"/>
        <v>0</v>
      </c>
      <c r="AC307" s="5">
        <f t="shared" si="18"/>
        <v>0</v>
      </c>
    </row>
    <row r="308" spans="3:29" x14ac:dyDescent="0.2">
      <c r="C308" t="s">
        <v>181</v>
      </c>
      <c r="L308" s="47"/>
      <c r="M308" s="47"/>
      <c r="O308" s="47"/>
      <c r="P308" s="47"/>
      <c r="S308" s="47">
        <f>T93+T95</f>
        <v>0</v>
      </c>
      <c r="T308" s="47"/>
      <c r="V308" s="47"/>
      <c r="W308" s="47"/>
      <c r="X308" s="47"/>
      <c r="Y308" s="47"/>
      <c r="Z308" s="47"/>
      <c r="AA308" s="47"/>
      <c r="AB308" s="9">
        <f t="shared" si="17"/>
        <v>0</v>
      </c>
      <c r="AC308" s="5">
        <f t="shared" si="18"/>
        <v>0</v>
      </c>
    </row>
    <row r="309" spans="3:29" x14ac:dyDescent="0.2">
      <c r="C309" t="s">
        <v>239</v>
      </c>
      <c r="L309" s="47">
        <f>L43+M43+O43+P43+Q43+R43+S43</f>
        <v>0</v>
      </c>
      <c r="M309" s="47"/>
      <c r="O309" s="47">
        <f>L63+M63+O63+P63+Q63+R63+S63</f>
        <v>0</v>
      </c>
      <c r="P309" s="47"/>
      <c r="S309" s="47"/>
      <c r="T309" s="47"/>
      <c r="V309" s="47"/>
      <c r="W309" s="47"/>
      <c r="X309" s="47"/>
      <c r="Y309" s="47"/>
      <c r="Z309" s="47"/>
      <c r="AA309" s="47"/>
      <c r="AB309" s="9">
        <f t="shared" si="17"/>
        <v>0</v>
      </c>
      <c r="AC309" s="5">
        <f t="shared" si="18"/>
        <v>0</v>
      </c>
    </row>
    <row r="310" spans="3:29" x14ac:dyDescent="0.2">
      <c r="C310" t="s">
        <v>328</v>
      </c>
      <c r="L310" s="47"/>
      <c r="M310" s="47"/>
      <c r="O310" s="47">
        <f>L62+M62+O62+P62+Q62+S62</f>
        <v>0</v>
      </c>
      <c r="P310" s="47"/>
      <c r="S310" s="47"/>
      <c r="T310" s="47"/>
      <c r="V310" s="47"/>
      <c r="W310" s="47"/>
      <c r="X310" s="47"/>
      <c r="Y310" s="47"/>
      <c r="Z310" s="47"/>
      <c r="AA310" s="47"/>
      <c r="AB310" s="9">
        <f t="shared" si="17"/>
        <v>0</v>
      </c>
      <c r="AC310" s="5">
        <f t="shared" si="18"/>
        <v>0</v>
      </c>
    </row>
    <row r="311" spans="3:29" x14ac:dyDescent="0.2">
      <c r="C311" t="s">
        <v>316</v>
      </c>
      <c r="L311" s="47"/>
      <c r="M311" s="47"/>
      <c r="O311" s="47"/>
      <c r="P311" s="47"/>
      <c r="S311" s="47">
        <f>((L98+M98+O98+P98+Q98+R98+S98+T98)-O100)</f>
        <v>0</v>
      </c>
      <c r="T311" s="47"/>
      <c r="V311" s="47"/>
      <c r="W311" s="47"/>
      <c r="X311" s="47"/>
      <c r="Y311" s="47"/>
      <c r="Z311" s="47"/>
      <c r="AA311" s="47"/>
      <c r="AB311" s="9">
        <f t="shared" si="17"/>
        <v>0</v>
      </c>
      <c r="AC311" s="5">
        <f t="shared" si="18"/>
        <v>0</v>
      </c>
    </row>
    <row r="312" spans="3:29" x14ac:dyDescent="0.2">
      <c r="C312" t="s">
        <v>965</v>
      </c>
      <c r="L312" s="47"/>
      <c r="M312" s="47"/>
      <c r="O312" s="47"/>
      <c r="P312" s="47"/>
      <c r="S312" s="47">
        <f>O100</f>
        <v>0</v>
      </c>
      <c r="T312" s="47"/>
      <c r="V312" s="47"/>
      <c r="W312" s="47"/>
      <c r="X312" s="47"/>
      <c r="Y312" s="47"/>
      <c r="Z312" s="47"/>
      <c r="AA312" s="47"/>
      <c r="AB312" s="9">
        <f t="shared" si="17"/>
        <v>0</v>
      </c>
      <c r="AC312" s="5">
        <f t="shared" si="18"/>
        <v>0</v>
      </c>
    </row>
    <row r="313" spans="3:29" x14ac:dyDescent="0.2">
      <c r="C313" t="s">
        <v>469</v>
      </c>
      <c r="L313" s="47"/>
      <c r="M313" s="47">
        <f>L32</f>
        <v>0</v>
      </c>
      <c r="O313" s="47"/>
      <c r="P313" s="47">
        <f>L50</f>
        <v>0</v>
      </c>
      <c r="R313" s="5">
        <f>L73</f>
        <v>0</v>
      </c>
      <c r="S313" s="47"/>
      <c r="T313" s="47">
        <f>L91</f>
        <v>0</v>
      </c>
      <c r="V313" s="47"/>
      <c r="W313" s="47"/>
      <c r="X313" s="47"/>
      <c r="Y313" s="47"/>
      <c r="Z313" s="47"/>
      <c r="AA313" s="47"/>
      <c r="AB313" s="9">
        <f t="shared" si="17"/>
        <v>0</v>
      </c>
      <c r="AC313" s="5">
        <f t="shared" si="18"/>
        <v>0</v>
      </c>
    </row>
    <row r="314" spans="3:29" x14ac:dyDescent="0.2">
      <c r="C314" t="s">
        <v>470</v>
      </c>
      <c r="L314" s="47"/>
      <c r="M314" s="47">
        <f>M32</f>
        <v>0</v>
      </c>
      <c r="O314" s="47"/>
      <c r="P314" s="47">
        <f>M50</f>
        <v>0</v>
      </c>
      <c r="Q314" s="5">
        <f>M84</f>
        <v>0</v>
      </c>
      <c r="R314" s="5">
        <f>M73</f>
        <v>0</v>
      </c>
      <c r="S314" s="47"/>
      <c r="T314" s="47">
        <f>M91</f>
        <v>0</v>
      </c>
      <c r="V314" s="47"/>
      <c r="W314" s="47"/>
      <c r="X314" s="47"/>
      <c r="Y314" s="47"/>
      <c r="Z314" s="47"/>
      <c r="AA314" s="47"/>
      <c r="AB314" s="9">
        <f t="shared" si="17"/>
        <v>0</v>
      </c>
      <c r="AC314" s="5">
        <f t="shared" si="18"/>
        <v>0</v>
      </c>
    </row>
    <row r="315" spans="3:29" x14ac:dyDescent="0.2">
      <c r="C315" t="s">
        <v>175</v>
      </c>
      <c r="L315" s="47"/>
      <c r="M315" s="47">
        <f>O32</f>
        <v>0</v>
      </c>
      <c r="O315" s="47"/>
      <c r="P315" s="47">
        <f>O50</f>
        <v>0</v>
      </c>
      <c r="Q315" s="5">
        <f>O84</f>
        <v>0</v>
      </c>
      <c r="R315" s="5">
        <f>O73</f>
        <v>0</v>
      </c>
      <c r="S315" s="47"/>
      <c r="T315" s="47">
        <f>O91</f>
        <v>0</v>
      </c>
      <c r="V315" s="47"/>
      <c r="W315" s="47"/>
      <c r="X315" s="47"/>
      <c r="Y315" s="47"/>
      <c r="Z315" s="47"/>
      <c r="AA315" s="47"/>
      <c r="AB315" s="9">
        <f t="shared" si="17"/>
        <v>0</v>
      </c>
      <c r="AC315" s="5">
        <f t="shared" si="18"/>
        <v>0</v>
      </c>
    </row>
    <row r="316" spans="3:29" x14ac:dyDescent="0.2">
      <c r="C316" t="s">
        <v>467</v>
      </c>
      <c r="L316" s="47"/>
      <c r="M316" s="47"/>
      <c r="O316" s="47"/>
      <c r="P316" s="47">
        <f>P50</f>
        <v>0</v>
      </c>
      <c r="Q316" s="5">
        <f>P84</f>
        <v>0</v>
      </c>
      <c r="R316" s="5">
        <f>P73</f>
        <v>0</v>
      </c>
      <c r="S316" s="47"/>
      <c r="T316" s="47">
        <f>P91</f>
        <v>0</v>
      </c>
      <c r="V316" s="47"/>
      <c r="W316" s="47"/>
      <c r="X316" s="47"/>
      <c r="Y316" s="47"/>
      <c r="Z316" s="47"/>
      <c r="AA316" s="47"/>
      <c r="AB316" s="9">
        <f t="shared" si="17"/>
        <v>0</v>
      </c>
      <c r="AC316" s="5">
        <f t="shared" si="18"/>
        <v>0</v>
      </c>
    </row>
    <row r="317" spans="3:29" x14ac:dyDescent="0.2">
      <c r="C317" t="s">
        <v>176</v>
      </c>
      <c r="L317" s="47"/>
      <c r="M317" s="47"/>
      <c r="O317" s="47"/>
      <c r="P317" s="47">
        <f>Q50</f>
        <v>0</v>
      </c>
      <c r="Q317" s="5">
        <f>Q84</f>
        <v>0</v>
      </c>
      <c r="R317" s="5">
        <f>Q73</f>
        <v>0</v>
      </c>
      <c r="S317" s="47"/>
      <c r="T317" s="47">
        <f>Q91</f>
        <v>0</v>
      </c>
      <c r="V317" s="47"/>
      <c r="W317" s="47"/>
      <c r="X317" s="47"/>
      <c r="Y317" s="47"/>
      <c r="Z317" s="47"/>
      <c r="AA317" s="47"/>
      <c r="AB317" s="9">
        <f t="shared" si="17"/>
        <v>0</v>
      </c>
      <c r="AC317" s="5">
        <f t="shared" si="18"/>
        <v>0</v>
      </c>
    </row>
    <row r="318" spans="3:29" x14ac:dyDescent="0.2">
      <c r="C318" t="s">
        <v>468</v>
      </c>
      <c r="L318" s="47"/>
      <c r="M318" s="47"/>
      <c r="O318" s="47"/>
      <c r="P318" s="47"/>
      <c r="S318" s="47"/>
      <c r="T318" s="47">
        <f>T91</f>
        <v>0</v>
      </c>
      <c r="V318" s="47"/>
      <c r="W318" s="47"/>
      <c r="X318" s="47"/>
      <c r="Y318" s="47"/>
      <c r="Z318" s="47"/>
      <c r="AA318" s="47"/>
      <c r="AB318" s="9">
        <f t="shared" si="17"/>
        <v>0</v>
      </c>
      <c r="AC318" s="5">
        <f t="shared" si="18"/>
        <v>0</v>
      </c>
    </row>
    <row r="319" spans="3:29" x14ac:dyDescent="0.2">
      <c r="C319" t="s">
        <v>242</v>
      </c>
      <c r="L319" s="47"/>
      <c r="M319" s="47">
        <f>R32</f>
        <v>0</v>
      </c>
      <c r="O319" s="47"/>
      <c r="P319" s="47">
        <f>R50</f>
        <v>0</v>
      </c>
      <c r="Q319">
        <f>R84</f>
        <v>0</v>
      </c>
      <c r="R319">
        <f>R73</f>
        <v>0</v>
      </c>
      <c r="S319" s="47"/>
      <c r="T319" s="47">
        <f>R91</f>
        <v>0</v>
      </c>
      <c r="V319" s="47"/>
      <c r="W319" s="47"/>
      <c r="X319" s="47"/>
      <c r="Y319" s="47"/>
      <c r="Z319" s="47"/>
      <c r="AA319" s="47"/>
      <c r="AB319" s="9">
        <f t="shared" si="17"/>
        <v>0</v>
      </c>
      <c r="AC319" s="5">
        <f t="shared" si="18"/>
        <v>0</v>
      </c>
    </row>
    <row r="320" spans="3:29" x14ac:dyDescent="0.2">
      <c r="C320" t="s">
        <v>243</v>
      </c>
      <c r="L320" s="47"/>
      <c r="M320" s="47">
        <f>S32</f>
        <v>0</v>
      </c>
      <c r="O320" s="47"/>
      <c r="P320" s="47">
        <f>S50</f>
        <v>0</v>
      </c>
      <c r="Q320">
        <f>S84</f>
        <v>0</v>
      </c>
      <c r="R320">
        <f>S73</f>
        <v>0</v>
      </c>
      <c r="S320" s="47"/>
      <c r="T320" s="47">
        <f>S91</f>
        <v>0</v>
      </c>
      <c r="V320" s="47"/>
      <c r="W320" s="47"/>
      <c r="X320" s="47"/>
      <c r="Y320" s="47"/>
      <c r="Z320" s="47"/>
      <c r="AA320" s="47"/>
      <c r="AB320" s="9">
        <f t="shared" si="17"/>
        <v>0</v>
      </c>
      <c r="AC320" s="5">
        <f t="shared" si="18"/>
        <v>0</v>
      </c>
    </row>
    <row r="321" spans="1:29" x14ac:dyDescent="0.2">
      <c r="C321" t="s">
        <v>524</v>
      </c>
      <c r="L321" s="47"/>
      <c r="M321" s="47"/>
      <c r="O321" s="47" t="str">
        <f>IF((L65+M65+O65+P65+Q65+R65+S65)&lt;0,-(L65+M65+O65+P65+Q65+R65+S65),"0")</f>
        <v>0</v>
      </c>
      <c r="P321" s="47">
        <f>IF((L65+M65+O65+P65+Q65+R65+S65)&gt;=0, (L65+M65+O65+P65+Q65+R65+S65),"0")</f>
        <v>0</v>
      </c>
      <c r="S321" s="47"/>
      <c r="T321" s="47"/>
      <c r="V321" s="47"/>
      <c r="W321" s="47"/>
      <c r="X321" s="47"/>
      <c r="Y321" s="47"/>
      <c r="Z321" s="47"/>
      <c r="AA321" s="47"/>
      <c r="AB321" s="9">
        <f t="shared" si="17"/>
        <v>0</v>
      </c>
      <c r="AC321" s="5">
        <f t="shared" si="18"/>
        <v>0</v>
      </c>
    </row>
    <row r="322" spans="1:29" x14ac:dyDescent="0.2">
      <c r="C322" t="s">
        <v>182</v>
      </c>
      <c r="L322" s="47" t="str">
        <f>IF((L45+M45+O45+P45+Q45+R45+S45)&lt;0,-(L45+M45+O45+P45+Q45+R45+S45),"0")</f>
        <v>0</v>
      </c>
      <c r="M322" s="47">
        <f>IF((L45+M45+O45+P45+Q45+R45+S45)&gt;=0,(L45+M45+O45+P45+Q45+R45+S45),"0")</f>
        <v>0</v>
      </c>
      <c r="O322" s="47"/>
      <c r="P322" s="47"/>
      <c r="S322" s="47"/>
      <c r="T322" s="47"/>
      <c r="V322" s="47"/>
      <c r="W322" s="47"/>
      <c r="X322" s="47"/>
      <c r="Y322" s="47"/>
      <c r="Z322" s="47"/>
      <c r="AA322" s="47"/>
      <c r="AB322" s="9">
        <f t="shared" si="17"/>
        <v>0</v>
      </c>
      <c r="AC322" s="5">
        <f t="shared" si="18"/>
        <v>0</v>
      </c>
    </row>
    <row r="323" spans="1:29" ht="4.5" customHeight="1" x14ac:dyDescent="0.2">
      <c r="L323" s="47"/>
      <c r="M323" s="47"/>
      <c r="O323" s="47"/>
      <c r="P323" s="47"/>
      <c r="S323" s="47"/>
      <c r="T323" s="47"/>
      <c r="V323" s="47"/>
      <c r="W323" s="47"/>
      <c r="X323" s="47"/>
      <c r="Y323" s="47"/>
      <c r="Z323" s="47"/>
      <c r="AA323" s="47"/>
      <c r="AB323" s="9"/>
      <c r="AC323" s="5"/>
    </row>
    <row r="324" spans="1:29" x14ac:dyDescent="0.2">
      <c r="A324" t="s">
        <v>438</v>
      </c>
      <c r="C324" t="s">
        <v>469</v>
      </c>
      <c r="V324" s="47">
        <f>L109</f>
        <v>0</v>
      </c>
      <c r="W324" s="47"/>
      <c r="X324" s="47"/>
      <c r="Y324" s="47"/>
      <c r="Z324" s="47"/>
      <c r="AA324" s="47"/>
      <c r="AB324" s="9">
        <f t="shared" si="17"/>
        <v>0</v>
      </c>
      <c r="AC324" s="5">
        <f t="shared" si="18"/>
        <v>0</v>
      </c>
    </row>
    <row r="325" spans="1:29" x14ac:dyDescent="0.2">
      <c r="C325" t="s">
        <v>470</v>
      </c>
      <c r="V325" s="47">
        <f>+M109</f>
        <v>0</v>
      </c>
      <c r="W325" s="47"/>
      <c r="X325" s="47"/>
      <c r="Y325" s="47"/>
      <c r="Z325" s="47"/>
      <c r="AA325" s="47"/>
      <c r="AB325" s="9">
        <f t="shared" si="17"/>
        <v>0</v>
      </c>
      <c r="AC325" s="5">
        <f t="shared" si="18"/>
        <v>0</v>
      </c>
    </row>
    <row r="326" spans="1:29" x14ac:dyDescent="0.2">
      <c r="C326" t="s">
        <v>175</v>
      </c>
      <c r="V326" s="47">
        <f>O109</f>
        <v>0</v>
      </c>
      <c r="W326" s="47"/>
      <c r="X326" s="47"/>
      <c r="Y326" s="47"/>
      <c r="Z326" s="47"/>
      <c r="AA326" s="47"/>
      <c r="AB326" s="9">
        <f t="shared" si="17"/>
        <v>0</v>
      </c>
      <c r="AC326" s="5">
        <f t="shared" si="18"/>
        <v>0</v>
      </c>
    </row>
    <row r="327" spans="1:29" x14ac:dyDescent="0.2">
      <c r="C327" t="s">
        <v>467</v>
      </c>
      <c r="V327" s="47">
        <f>P109</f>
        <v>0</v>
      </c>
      <c r="W327" s="47"/>
      <c r="X327" s="47"/>
      <c r="Y327" s="47"/>
      <c r="Z327" s="47"/>
      <c r="AA327" s="47"/>
      <c r="AB327" s="9">
        <f t="shared" si="17"/>
        <v>0</v>
      </c>
      <c r="AC327" s="5">
        <f t="shared" si="18"/>
        <v>0</v>
      </c>
    </row>
    <row r="328" spans="1:29" x14ac:dyDescent="0.2">
      <c r="C328" t="s">
        <v>176</v>
      </c>
      <c r="V328" s="47">
        <f>Q109</f>
        <v>0</v>
      </c>
      <c r="W328" s="47"/>
      <c r="X328" s="47"/>
      <c r="Y328" s="47"/>
      <c r="Z328" s="47"/>
      <c r="AA328" s="47"/>
      <c r="AB328" s="9">
        <f t="shared" si="17"/>
        <v>0</v>
      </c>
      <c r="AC328" s="5">
        <f t="shared" si="18"/>
        <v>0</v>
      </c>
    </row>
    <row r="329" spans="1:29" x14ac:dyDescent="0.2">
      <c r="C329" t="s">
        <v>468</v>
      </c>
      <c r="V329" s="47">
        <f>T109</f>
        <v>0</v>
      </c>
      <c r="W329" s="47"/>
      <c r="X329" s="47"/>
      <c r="Y329" s="47"/>
      <c r="Z329" s="47"/>
      <c r="AA329" s="47"/>
      <c r="AB329" s="9">
        <f t="shared" si="17"/>
        <v>0</v>
      </c>
      <c r="AC329" s="5">
        <f t="shared" si="18"/>
        <v>0</v>
      </c>
    </row>
    <row r="330" spans="1:29" x14ac:dyDescent="0.2">
      <c r="C330" t="s">
        <v>242</v>
      </c>
      <c r="V330" s="47">
        <f>R109</f>
        <v>0</v>
      </c>
      <c r="W330" s="47"/>
      <c r="X330" s="47"/>
      <c r="Y330" s="47"/>
      <c r="Z330" s="47"/>
      <c r="AA330" s="47"/>
      <c r="AB330" s="9">
        <f t="shared" si="17"/>
        <v>0</v>
      </c>
      <c r="AC330" s="5">
        <f t="shared" si="18"/>
        <v>0</v>
      </c>
    </row>
    <row r="331" spans="1:29" x14ac:dyDescent="0.2">
      <c r="C331" t="s">
        <v>243</v>
      </c>
      <c r="V331" s="47">
        <f>S109</f>
        <v>0</v>
      </c>
      <c r="W331" s="47"/>
      <c r="X331" s="47"/>
      <c r="Y331" s="47"/>
      <c r="Z331" s="47"/>
      <c r="AA331" s="47"/>
      <c r="AB331" s="9">
        <f t="shared" si="17"/>
        <v>0</v>
      </c>
      <c r="AC331" s="5">
        <f t="shared" si="18"/>
        <v>0</v>
      </c>
    </row>
    <row r="332" spans="1:29" x14ac:dyDescent="0.2">
      <c r="C332" t="s">
        <v>436</v>
      </c>
      <c r="V332" s="47"/>
      <c r="W332" s="47">
        <f>((L109+M109+O109+P109+Q109+R109+S109+T109)-(O112+O114))</f>
        <v>0</v>
      </c>
      <c r="X332" s="47"/>
      <c r="Y332" s="47"/>
      <c r="Z332" s="47"/>
      <c r="AA332" s="47"/>
      <c r="AB332" s="9">
        <f t="shared" si="17"/>
        <v>0</v>
      </c>
      <c r="AC332" s="5">
        <f t="shared" si="18"/>
        <v>0</v>
      </c>
    </row>
    <row r="333" spans="1:29" x14ac:dyDescent="0.2">
      <c r="C333" t="s">
        <v>714</v>
      </c>
      <c r="V333" s="47"/>
      <c r="W333" s="47">
        <f>O112</f>
        <v>0</v>
      </c>
      <c r="X333" s="47"/>
      <c r="Y333" s="47"/>
      <c r="Z333" s="47"/>
      <c r="AA333" s="47"/>
      <c r="AB333" s="9">
        <f t="shared" si="17"/>
        <v>0</v>
      </c>
      <c r="AC333" s="5">
        <f t="shared" si="18"/>
        <v>0</v>
      </c>
    </row>
    <row r="334" spans="1:29" x14ac:dyDescent="0.2">
      <c r="C334" t="s">
        <v>964</v>
      </c>
      <c r="V334" s="47"/>
      <c r="W334" s="47">
        <f>O114</f>
        <v>0</v>
      </c>
      <c r="X334" s="47"/>
      <c r="Y334" s="47"/>
      <c r="Z334" s="47"/>
      <c r="AA334" s="47"/>
      <c r="AB334" s="9">
        <f t="shared" si="17"/>
        <v>0</v>
      </c>
      <c r="AC334" s="5">
        <f t="shared" si="18"/>
        <v>0</v>
      </c>
    </row>
    <row r="335" spans="1:29" ht="4.5" customHeight="1" x14ac:dyDescent="0.2">
      <c r="V335" s="47"/>
      <c r="W335" s="47"/>
      <c r="X335" s="47"/>
      <c r="Y335" s="47"/>
      <c r="Z335" s="47"/>
      <c r="AA335" s="47"/>
      <c r="AB335" s="9">
        <f t="shared" si="17"/>
        <v>0</v>
      </c>
      <c r="AC335" s="5">
        <f t="shared" si="18"/>
        <v>0</v>
      </c>
    </row>
    <row r="336" spans="1:29" x14ac:dyDescent="0.2">
      <c r="A336" t="s">
        <v>366</v>
      </c>
      <c r="C336" t="s">
        <v>879</v>
      </c>
      <c r="V336" s="47"/>
      <c r="W336" s="47"/>
      <c r="X336" s="47">
        <f t="shared" ref="X336:X342" si="25">M123</f>
        <v>0</v>
      </c>
      <c r="Y336" s="47"/>
      <c r="Z336" s="47"/>
      <c r="AA336" s="47"/>
      <c r="AB336" s="9">
        <f t="shared" si="17"/>
        <v>0</v>
      </c>
      <c r="AC336" s="5">
        <f t="shared" si="18"/>
        <v>0</v>
      </c>
    </row>
    <row r="337" spans="1:29" x14ac:dyDescent="0.2">
      <c r="C337" t="s">
        <v>880</v>
      </c>
      <c r="V337" s="47"/>
      <c r="W337" s="47"/>
      <c r="X337" s="47">
        <f t="shared" si="25"/>
        <v>0</v>
      </c>
      <c r="Y337" s="47"/>
      <c r="Z337" s="47"/>
      <c r="AA337" s="47"/>
      <c r="AB337" s="9">
        <f t="shared" si="17"/>
        <v>0</v>
      </c>
      <c r="AC337" s="5">
        <f t="shared" si="18"/>
        <v>0</v>
      </c>
    </row>
    <row r="338" spans="1:29" x14ac:dyDescent="0.2">
      <c r="C338" t="s">
        <v>474</v>
      </c>
      <c r="V338" s="47"/>
      <c r="W338" s="47"/>
      <c r="X338" s="47">
        <f t="shared" si="25"/>
        <v>0</v>
      </c>
      <c r="Y338" s="47"/>
      <c r="Z338" s="47"/>
      <c r="AA338" s="47"/>
      <c r="AB338" s="9">
        <f t="shared" si="17"/>
        <v>0</v>
      </c>
      <c r="AC338" s="5">
        <f t="shared" si="18"/>
        <v>0</v>
      </c>
    </row>
    <row r="339" spans="1:29" x14ac:dyDescent="0.2">
      <c r="C339" t="s">
        <v>463</v>
      </c>
      <c r="V339" s="47"/>
      <c r="W339" s="47"/>
      <c r="X339" s="47">
        <f t="shared" si="25"/>
        <v>0</v>
      </c>
      <c r="Y339" s="47"/>
      <c r="Z339" s="47"/>
      <c r="AA339" s="47"/>
      <c r="AB339" s="9">
        <f t="shared" si="17"/>
        <v>0</v>
      </c>
      <c r="AC339" s="5">
        <f t="shared" si="18"/>
        <v>0</v>
      </c>
    </row>
    <row r="340" spans="1:29" x14ac:dyDescent="0.2">
      <c r="C340" t="s">
        <v>100</v>
      </c>
      <c r="V340" s="47"/>
      <c r="W340" s="47"/>
      <c r="X340" s="47">
        <f t="shared" si="25"/>
        <v>0</v>
      </c>
      <c r="Y340" s="47"/>
      <c r="Z340" s="47"/>
      <c r="AA340" s="47"/>
      <c r="AB340" s="9">
        <f t="shared" si="17"/>
        <v>0</v>
      </c>
      <c r="AC340" s="5">
        <f t="shared" si="18"/>
        <v>0</v>
      </c>
    </row>
    <row r="341" spans="1:29" x14ac:dyDescent="0.2">
      <c r="C341" t="s">
        <v>1012</v>
      </c>
      <c r="V341" s="47"/>
      <c r="W341" s="47"/>
      <c r="X341" s="47">
        <f t="shared" si="25"/>
        <v>0</v>
      </c>
      <c r="Y341" s="47"/>
      <c r="Z341" s="47"/>
      <c r="AA341" s="47"/>
      <c r="AB341" s="9">
        <f t="shared" si="17"/>
        <v>0</v>
      </c>
      <c r="AC341" s="5">
        <f t="shared" si="18"/>
        <v>0</v>
      </c>
    </row>
    <row r="342" spans="1:29" x14ac:dyDescent="0.2">
      <c r="C342" t="s">
        <v>910</v>
      </c>
      <c r="V342" s="47"/>
      <c r="W342" s="47"/>
      <c r="X342" s="47">
        <f t="shared" si="25"/>
        <v>0</v>
      </c>
      <c r="Y342" s="47"/>
      <c r="Z342" s="47"/>
      <c r="AA342" s="47"/>
      <c r="AB342" s="9">
        <f t="shared" si="17"/>
        <v>0</v>
      </c>
      <c r="AC342" s="5">
        <f t="shared" si="18"/>
        <v>0</v>
      </c>
    </row>
    <row r="343" spans="1:29" x14ac:dyDescent="0.2">
      <c r="D343" t="s">
        <v>367</v>
      </c>
      <c r="V343" s="47"/>
      <c r="W343" s="47"/>
      <c r="X343" s="47"/>
      <c r="Y343" s="47">
        <f>M119</f>
        <v>0</v>
      </c>
      <c r="Z343" s="47"/>
      <c r="AA343" s="47"/>
      <c r="AB343" s="9">
        <f t="shared" si="17"/>
        <v>0</v>
      </c>
      <c r="AC343" s="5">
        <f t="shared" si="18"/>
        <v>0</v>
      </c>
    </row>
    <row r="344" spans="1:29" ht="4.5" customHeight="1" x14ac:dyDescent="0.2">
      <c r="V344" s="47"/>
      <c r="W344" s="47"/>
      <c r="X344" s="47"/>
      <c r="Y344" s="47"/>
      <c r="Z344" s="47"/>
      <c r="AA344" s="47"/>
      <c r="AB344" s="9">
        <f t="shared" si="17"/>
        <v>0</v>
      </c>
      <c r="AC344" s="5">
        <f t="shared" si="18"/>
        <v>0</v>
      </c>
    </row>
    <row r="345" spans="1:29" x14ac:dyDescent="0.2">
      <c r="A345" t="s">
        <v>951</v>
      </c>
      <c r="C345" t="s">
        <v>503</v>
      </c>
      <c r="V345" s="47"/>
      <c r="W345" s="47"/>
      <c r="X345" s="47"/>
      <c r="Y345" s="47"/>
      <c r="Z345" s="47">
        <f>M181</f>
        <v>0</v>
      </c>
      <c r="AA345" s="47"/>
      <c r="AB345" s="9">
        <f>L345+O345+Q345+S345+V345+X345+Z345</f>
        <v>0</v>
      </c>
      <c r="AC345" s="5">
        <f>M345+P345+R345+T345+W345+Y345+AA345</f>
        <v>0</v>
      </c>
    </row>
    <row r="346" spans="1:29" x14ac:dyDescent="0.2">
      <c r="A346" s="1007" t="s">
        <v>609</v>
      </c>
      <c r="D346" t="s">
        <v>469</v>
      </c>
      <c r="V346" s="47"/>
      <c r="W346" s="47"/>
      <c r="X346" s="47"/>
      <c r="Y346" s="47"/>
      <c r="Z346" s="47"/>
      <c r="AA346" s="47">
        <f t="shared" ref="AA346:AA353" si="26">H171</f>
        <v>0</v>
      </c>
      <c r="AB346" s="9">
        <f t="shared" ref="AB346:AB363" si="27">L346+O346+Q346+S346+V346+X346+Z346</f>
        <v>0</v>
      </c>
      <c r="AC346" s="5">
        <f t="shared" ref="AC346:AC363" si="28">M346+P346+R346+T346+W346+Y346+AA346</f>
        <v>0</v>
      </c>
    </row>
    <row r="347" spans="1:29" x14ac:dyDescent="0.2">
      <c r="A347" s="1008"/>
      <c r="D347" t="s">
        <v>470</v>
      </c>
      <c r="V347" s="47"/>
      <c r="W347" s="47"/>
      <c r="X347" s="47"/>
      <c r="Y347" s="47"/>
      <c r="Z347" s="47"/>
      <c r="AA347" s="47">
        <f t="shared" si="26"/>
        <v>0</v>
      </c>
      <c r="AB347" s="9">
        <f t="shared" si="27"/>
        <v>0</v>
      </c>
      <c r="AC347" s="5">
        <f t="shared" si="28"/>
        <v>0</v>
      </c>
    </row>
    <row r="348" spans="1:29" x14ac:dyDescent="0.2">
      <c r="A348" s="1008"/>
      <c r="D348" t="s">
        <v>175</v>
      </c>
      <c r="V348" s="47"/>
      <c r="W348" s="47"/>
      <c r="X348" s="47"/>
      <c r="Y348" s="47"/>
      <c r="Z348" s="47"/>
      <c r="AA348" s="47">
        <f t="shared" si="26"/>
        <v>0</v>
      </c>
      <c r="AB348" s="9">
        <f t="shared" si="27"/>
        <v>0</v>
      </c>
      <c r="AC348" s="5">
        <f t="shared" si="28"/>
        <v>0</v>
      </c>
    </row>
    <row r="349" spans="1:29" x14ac:dyDescent="0.2">
      <c r="A349" s="1008"/>
      <c r="D349" t="s">
        <v>467</v>
      </c>
      <c r="V349" s="47"/>
      <c r="W349" s="47"/>
      <c r="X349" s="47"/>
      <c r="Y349" s="47"/>
      <c r="Z349" s="47"/>
      <c r="AA349" s="47">
        <f t="shared" si="26"/>
        <v>0</v>
      </c>
      <c r="AB349" s="9">
        <f t="shared" si="27"/>
        <v>0</v>
      </c>
      <c r="AC349" s="5">
        <f t="shared" si="28"/>
        <v>0</v>
      </c>
    </row>
    <row r="350" spans="1:29" x14ac:dyDescent="0.2">
      <c r="A350" s="1008"/>
      <c r="D350" t="s">
        <v>176</v>
      </c>
      <c r="V350" s="47"/>
      <c r="W350" s="47"/>
      <c r="X350" s="47"/>
      <c r="Y350" s="47"/>
      <c r="Z350" s="47"/>
      <c r="AA350" s="47">
        <f t="shared" si="26"/>
        <v>0</v>
      </c>
      <c r="AB350" s="9">
        <f t="shared" si="27"/>
        <v>0</v>
      </c>
      <c r="AC350" s="5">
        <f t="shared" si="28"/>
        <v>0</v>
      </c>
    </row>
    <row r="351" spans="1:29" x14ac:dyDescent="0.2">
      <c r="A351" s="1008"/>
      <c r="D351" t="s">
        <v>468</v>
      </c>
      <c r="V351" s="47"/>
      <c r="W351" s="47"/>
      <c r="X351" s="47"/>
      <c r="Y351" s="47"/>
      <c r="Z351" s="47"/>
      <c r="AA351" s="47">
        <f t="shared" si="26"/>
        <v>0</v>
      </c>
      <c r="AB351" s="9">
        <f t="shared" si="27"/>
        <v>0</v>
      </c>
      <c r="AC351" s="5">
        <f t="shared" si="28"/>
        <v>0</v>
      </c>
    </row>
    <row r="352" spans="1:29" x14ac:dyDescent="0.2">
      <c r="A352" s="1008"/>
      <c r="D352" s="415" t="s">
        <v>242</v>
      </c>
      <c r="V352" s="47"/>
      <c r="W352" s="47"/>
      <c r="X352" s="47"/>
      <c r="Y352" s="47"/>
      <c r="Z352" s="47"/>
      <c r="AA352" s="47">
        <f t="shared" si="26"/>
        <v>0</v>
      </c>
      <c r="AB352" s="9">
        <f t="shared" si="27"/>
        <v>0</v>
      </c>
      <c r="AC352" s="5">
        <f t="shared" si="28"/>
        <v>0</v>
      </c>
    </row>
    <row r="353" spans="1:29" x14ac:dyDescent="0.2">
      <c r="A353" s="1008"/>
      <c r="D353" s="415" t="s">
        <v>243</v>
      </c>
      <c r="V353" s="47"/>
      <c r="W353" s="47"/>
      <c r="X353" s="47"/>
      <c r="Y353" s="47"/>
      <c r="Z353" s="47"/>
      <c r="AA353" s="47">
        <f t="shared" si="26"/>
        <v>0</v>
      </c>
      <c r="AB353" s="9">
        <f t="shared" si="27"/>
        <v>0</v>
      </c>
      <c r="AC353" s="5">
        <f t="shared" si="28"/>
        <v>0</v>
      </c>
    </row>
    <row r="354" spans="1:29" x14ac:dyDescent="0.2">
      <c r="A354" s="1008"/>
      <c r="D354" s="415" t="s">
        <v>436</v>
      </c>
      <c r="V354" s="47"/>
      <c r="W354" s="47"/>
      <c r="X354" s="47"/>
      <c r="Y354" s="47"/>
      <c r="Z354" s="47"/>
      <c r="AA354" s="47">
        <f>I193</f>
        <v>0</v>
      </c>
      <c r="AB354" s="9">
        <f t="shared" si="27"/>
        <v>0</v>
      </c>
      <c r="AC354" s="5">
        <f t="shared" si="28"/>
        <v>0</v>
      </c>
    </row>
    <row r="355" spans="1:29" x14ac:dyDescent="0.2">
      <c r="A355" s="1008"/>
      <c r="D355" s="415" t="s">
        <v>4917</v>
      </c>
      <c r="V355" s="47"/>
      <c r="W355" s="47"/>
      <c r="X355" s="47"/>
      <c r="Y355" s="47"/>
      <c r="Z355" s="47">
        <f t="shared" ref="Z355:Z363" si="29">I198*-1</f>
        <v>0</v>
      </c>
      <c r="AA355" s="47">
        <f>I192</f>
        <v>0</v>
      </c>
      <c r="AB355" s="9">
        <f t="shared" si="27"/>
        <v>0</v>
      </c>
      <c r="AC355" s="5">
        <f t="shared" si="28"/>
        <v>0</v>
      </c>
    </row>
    <row r="356" spans="1:29" x14ac:dyDescent="0.2">
      <c r="A356" s="1008"/>
      <c r="C356" t="s">
        <v>490</v>
      </c>
      <c r="V356" s="47"/>
      <c r="W356" s="47"/>
      <c r="X356" s="47"/>
      <c r="Y356" s="47"/>
      <c r="Z356" s="47">
        <f t="shared" si="29"/>
        <v>0</v>
      </c>
      <c r="AA356" s="47"/>
      <c r="AB356" s="9">
        <f t="shared" si="27"/>
        <v>0</v>
      </c>
      <c r="AC356" s="5">
        <f t="shared" si="28"/>
        <v>0</v>
      </c>
    </row>
    <row r="357" spans="1:29" x14ac:dyDescent="0.2">
      <c r="A357" s="1008"/>
      <c r="C357" t="s">
        <v>879</v>
      </c>
      <c r="V357" s="47"/>
      <c r="W357" s="47"/>
      <c r="X357" s="47"/>
      <c r="Y357" s="47"/>
      <c r="Z357" s="47">
        <f t="shared" si="29"/>
        <v>0</v>
      </c>
      <c r="AA357" s="47"/>
      <c r="AB357" s="9">
        <f t="shared" si="27"/>
        <v>0</v>
      </c>
      <c r="AC357" s="5">
        <f t="shared" si="28"/>
        <v>0</v>
      </c>
    </row>
    <row r="358" spans="1:29" x14ac:dyDescent="0.2">
      <c r="A358" s="1008"/>
      <c r="C358" t="s">
        <v>880</v>
      </c>
      <c r="V358" s="47"/>
      <c r="W358" s="47"/>
      <c r="X358" s="47"/>
      <c r="Y358" s="47"/>
      <c r="Z358" s="47">
        <f t="shared" si="29"/>
        <v>0</v>
      </c>
      <c r="AA358" s="47"/>
      <c r="AB358" s="9">
        <f t="shared" si="27"/>
        <v>0</v>
      </c>
      <c r="AC358" s="5">
        <f t="shared" si="28"/>
        <v>0</v>
      </c>
    </row>
    <row r="359" spans="1:29" x14ac:dyDescent="0.2">
      <c r="A359" s="1008"/>
      <c r="C359" t="s">
        <v>474</v>
      </c>
      <c r="V359" s="47"/>
      <c r="W359" s="47"/>
      <c r="X359" s="47"/>
      <c r="Y359" s="47"/>
      <c r="Z359" s="47">
        <f t="shared" si="29"/>
        <v>0</v>
      </c>
      <c r="AA359" s="47"/>
      <c r="AB359" s="9">
        <f t="shared" si="27"/>
        <v>0</v>
      </c>
      <c r="AC359" s="5">
        <f t="shared" si="28"/>
        <v>0</v>
      </c>
    </row>
    <row r="360" spans="1:29" x14ac:dyDescent="0.2">
      <c r="A360" s="1008"/>
      <c r="C360" t="s">
        <v>463</v>
      </c>
      <c r="V360" s="47"/>
      <c r="W360" s="47"/>
      <c r="X360" s="47"/>
      <c r="Y360" s="47"/>
      <c r="Z360" s="47">
        <f t="shared" si="29"/>
        <v>0</v>
      </c>
      <c r="AA360" s="47"/>
      <c r="AB360" s="9">
        <f t="shared" si="27"/>
        <v>0</v>
      </c>
      <c r="AC360" s="5">
        <f t="shared" si="28"/>
        <v>0</v>
      </c>
    </row>
    <row r="361" spans="1:29" x14ac:dyDescent="0.2">
      <c r="A361" s="1008"/>
      <c r="C361" t="s">
        <v>397</v>
      </c>
      <c r="V361" s="47"/>
      <c r="W361" s="47"/>
      <c r="X361" s="47"/>
      <c r="Y361" s="47"/>
      <c r="Z361" s="47">
        <f t="shared" si="29"/>
        <v>0</v>
      </c>
      <c r="AA361" s="47"/>
      <c r="AB361" s="9">
        <f t="shared" si="27"/>
        <v>0</v>
      </c>
      <c r="AC361" s="5">
        <f t="shared" si="28"/>
        <v>0</v>
      </c>
    </row>
    <row r="362" spans="1:29" x14ac:dyDescent="0.2">
      <c r="A362" s="1008"/>
      <c r="C362" t="s">
        <v>910</v>
      </c>
      <c r="V362" s="47"/>
      <c r="W362" s="47"/>
      <c r="X362" s="47"/>
      <c r="Y362" s="47"/>
      <c r="Z362" s="47">
        <f t="shared" si="29"/>
        <v>0</v>
      </c>
      <c r="AA362" s="47"/>
      <c r="AB362" s="9">
        <f t="shared" si="27"/>
        <v>0</v>
      </c>
      <c r="AC362" s="5">
        <f t="shared" si="28"/>
        <v>0</v>
      </c>
    </row>
    <row r="363" spans="1:29" x14ac:dyDescent="0.2">
      <c r="A363" s="1008"/>
      <c r="C363" t="s">
        <v>201</v>
      </c>
      <c r="V363" s="47"/>
      <c r="W363" s="47"/>
      <c r="X363" s="47"/>
      <c r="Y363" s="47"/>
      <c r="Z363" s="47">
        <f t="shared" si="29"/>
        <v>0</v>
      </c>
      <c r="AA363" s="47"/>
      <c r="AB363" s="9">
        <f t="shared" si="27"/>
        <v>0</v>
      </c>
      <c r="AC363" s="5">
        <f t="shared" si="28"/>
        <v>0</v>
      </c>
    </row>
    <row r="364" spans="1:29" ht="13.5" thickBot="1" x14ac:dyDescent="0.25">
      <c r="L364" s="32">
        <f>SUM(L300:L332)</f>
        <v>0</v>
      </c>
      <c r="M364" s="32">
        <f>SUM(M300:M332)</f>
        <v>0</v>
      </c>
      <c r="N364" s="5"/>
      <c r="O364" s="32">
        <f t="shared" ref="O364:T364" si="30">SUM(O300:O332)</f>
        <v>0</v>
      </c>
      <c r="P364" s="32">
        <f t="shared" si="30"/>
        <v>0</v>
      </c>
      <c r="Q364" s="32">
        <f t="shared" si="30"/>
        <v>0</v>
      </c>
      <c r="R364" s="32">
        <f t="shared" si="30"/>
        <v>0</v>
      </c>
      <c r="S364" s="32">
        <f t="shared" si="30"/>
        <v>0</v>
      </c>
      <c r="T364" s="32">
        <f t="shared" si="30"/>
        <v>0</v>
      </c>
      <c r="U364" s="5"/>
      <c r="V364" s="32">
        <f>SUM(V300:V332)</f>
        <v>0</v>
      </c>
      <c r="W364" s="32">
        <f>SUM(W300:W332)</f>
        <v>0</v>
      </c>
      <c r="X364" s="32">
        <f>SUM(X300:X343)</f>
        <v>0</v>
      </c>
      <c r="Y364" s="32">
        <f>SUM(Y300:Y343)</f>
        <v>0</v>
      </c>
      <c r="Z364" s="32">
        <f>SUM(Z300:Z363)</f>
        <v>0</v>
      </c>
      <c r="AA364" s="32">
        <f>SUM(AA300:AA363)</f>
        <v>0</v>
      </c>
      <c r="AB364" s="113">
        <f>SUM(AB300:AB363)</f>
        <v>0</v>
      </c>
      <c r="AC364" s="32">
        <f>SUM(AC300:AC363)</f>
        <v>0</v>
      </c>
    </row>
    <row r="365" spans="1:29" ht="13.5" thickTop="1" x14ac:dyDescent="0.2">
      <c r="X365" s="515"/>
    </row>
  </sheetData>
  <sheetProtection algorithmName="SHA-512" hashValue="ZlJqNo25fbdVWj5BHiafqaV9YbOEOs1uEHpU5SkKKpk0pQOxPEw12TLQci7KNkjj/REYFyca8m5G3pdh4qwJ2w==" saltValue="go6OGAxDZyn9GULMcQJ3Cw==" spinCount="100000" sheet="1" objects="1" scenarios="1"/>
  <mergeCells count="186">
    <mergeCell ref="U84:W84"/>
    <mergeCell ref="D76:I77"/>
    <mergeCell ref="D93:I93"/>
    <mergeCell ref="B187:T187"/>
    <mergeCell ref="R79:R80"/>
    <mergeCell ref="P79:P80"/>
    <mergeCell ref="P76:P77"/>
    <mergeCell ref="A346:A363"/>
    <mergeCell ref="AB298:AC298"/>
    <mergeCell ref="F88:H88"/>
    <mergeCell ref="C297:Y297"/>
    <mergeCell ref="F287:T288"/>
    <mergeCell ref="L109:L110"/>
    <mergeCell ref="B210:T210"/>
    <mergeCell ref="D100:K101"/>
    <mergeCell ref="O100:O101"/>
    <mergeCell ref="D114:K115"/>
    <mergeCell ref="Q79:Q80"/>
    <mergeCell ref="S109:S110"/>
    <mergeCell ref="O95:O96"/>
    <mergeCell ref="P95:P96"/>
    <mergeCell ref="Q84:Q85"/>
    <mergeCell ref="S79:S80"/>
    <mergeCell ref="Q76:Q77"/>
    <mergeCell ref="A2:T2"/>
    <mergeCell ref="L298:M298"/>
    <mergeCell ref="O298:P298"/>
    <mergeCell ref="Q298:R298"/>
    <mergeCell ref="S298:T298"/>
    <mergeCell ref="B69:T69"/>
    <mergeCell ref="D61:I61"/>
    <mergeCell ref="B3:N3"/>
    <mergeCell ref="B27:T27"/>
    <mergeCell ref="B134:T138"/>
    <mergeCell ref="B105:T105"/>
    <mergeCell ref="D91:I91"/>
    <mergeCell ref="B4:T4"/>
    <mergeCell ref="C6:T7"/>
    <mergeCell ref="S35:S36"/>
    <mergeCell ref="O32:O33"/>
    <mergeCell ref="C9:T9"/>
    <mergeCell ref="R35:R36"/>
    <mergeCell ref="C24:T25"/>
    <mergeCell ref="D32:I33"/>
    <mergeCell ref="R32:R33"/>
    <mergeCell ref="C11:T12"/>
    <mergeCell ref="L32:L33"/>
    <mergeCell ref="M32:M33"/>
    <mergeCell ref="D35:I36"/>
    <mergeCell ref="M35:M36"/>
    <mergeCell ref="D38:I39"/>
    <mergeCell ref="M38:M39"/>
    <mergeCell ref="C47:T47"/>
    <mergeCell ref="D50:I51"/>
    <mergeCell ref="L50:L51"/>
    <mergeCell ref="M50:M51"/>
    <mergeCell ref="C14:T14"/>
    <mergeCell ref="D43:H43"/>
    <mergeCell ref="S32:S33"/>
    <mergeCell ref="O38:O39"/>
    <mergeCell ref="R38:R39"/>
    <mergeCell ref="O35:O36"/>
    <mergeCell ref="S38:S39"/>
    <mergeCell ref="E41:I41"/>
    <mergeCell ref="C16:T18"/>
    <mergeCell ref="C20:T22"/>
    <mergeCell ref="O50:O51"/>
    <mergeCell ref="S50:S51"/>
    <mergeCell ref="S53:S54"/>
    <mergeCell ref="Q56:Q57"/>
    <mergeCell ref="R56:R57"/>
    <mergeCell ref="S56:S57"/>
    <mergeCell ref="F70:H70"/>
    <mergeCell ref="P73:P74"/>
    <mergeCell ref="Q73:Q74"/>
    <mergeCell ref="P50:P51"/>
    <mergeCell ref="Q50:Q51"/>
    <mergeCell ref="R50:R51"/>
    <mergeCell ref="D67:T67"/>
    <mergeCell ref="O56:O57"/>
    <mergeCell ref="P56:P57"/>
    <mergeCell ref="D53:I54"/>
    <mergeCell ref="M53:M54"/>
    <mergeCell ref="O53:O54"/>
    <mergeCell ref="P53:P54"/>
    <mergeCell ref="D56:I57"/>
    <mergeCell ref="M56:M57"/>
    <mergeCell ref="D73:I74"/>
    <mergeCell ref="Q53:Q54"/>
    <mergeCell ref="R53:R54"/>
    <mergeCell ref="R73:R74"/>
    <mergeCell ref="P84:P85"/>
    <mergeCell ref="B87:T87"/>
    <mergeCell ref="M73:M74"/>
    <mergeCell ref="O73:O74"/>
    <mergeCell ref="M79:M80"/>
    <mergeCell ref="O79:O80"/>
    <mergeCell ref="M76:M77"/>
    <mergeCell ref="O76:O77"/>
    <mergeCell ref="D79:I80"/>
    <mergeCell ref="T73:T74"/>
    <mergeCell ref="R76:R77"/>
    <mergeCell ref="S76:S77"/>
    <mergeCell ref="T76:T77"/>
    <mergeCell ref="S73:S74"/>
    <mergeCell ref="T109:T110"/>
    <mergeCell ref="T84:T85"/>
    <mergeCell ref="R84:R85"/>
    <mergeCell ref="S84:S85"/>
    <mergeCell ref="T79:T80"/>
    <mergeCell ref="D84:I85"/>
    <mergeCell ref="M84:M85"/>
    <mergeCell ref="O84:O85"/>
    <mergeCell ref="Q145:Q146"/>
    <mergeCell ref="R145:R146"/>
    <mergeCell ref="S145:S146"/>
    <mergeCell ref="O114:O115"/>
    <mergeCell ref="Q109:Q110"/>
    <mergeCell ref="R109:R110"/>
    <mergeCell ref="P109:P110"/>
    <mergeCell ref="Q95:Q96"/>
    <mergeCell ref="R95:R96"/>
    <mergeCell ref="S95:S96"/>
    <mergeCell ref="T95:T96"/>
    <mergeCell ref="M109:M110"/>
    <mergeCell ref="B117:T117"/>
    <mergeCell ref="P100:S101"/>
    <mergeCell ref="D112:K112"/>
    <mergeCell ref="M95:M96"/>
    <mergeCell ref="D95:I96"/>
    <mergeCell ref="S148:S149"/>
    <mergeCell ref="P151:P152"/>
    <mergeCell ref="P114:S115"/>
    <mergeCell ref="T148:T149"/>
    <mergeCell ref="T151:T152"/>
    <mergeCell ref="O145:O146"/>
    <mergeCell ref="O148:O149"/>
    <mergeCell ref="O109:O110"/>
    <mergeCell ref="D109:I110"/>
    <mergeCell ref="P145:P146"/>
    <mergeCell ref="R151:R152"/>
    <mergeCell ref="S151:S152"/>
    <mergeCell ref="B132:T132"/>
    <mergeCell ref="D145:J146"/>
    <mergeCell ref="D151:J152"/>
    <mergeCell ref="M151:M152"/>
    <mergeCell ref="O128:O130"/>
    <mergeCell ref="C119:K120"/>
    <mergeCell ref="M119:M120"/>
    <mergeCell ref="C143:J144"/>
    <mergeCell ref="L145:L146"/>
    <mergeCell ref="M145:M146"/>
    <mergeCell ref="B140:T141"/>
    <mergeCell ref="T145:T146"/>
    <mergeCell ref="P148:P149"/>
    <mergeCell ref="Q148:Q149"/>
    <mergeCell ref="R148:R149"/>
    <mergeCell ref="M161:M162"/>
    <mergeCell ref="D148:J149"/>
    <mergeCell ref="L161:L162"/>
    <mergeCell ref="O151:O152"/>
    <mergeCell ref="L164:L165"/>
    <mergeCell ref="M148:M149"/>
    <mergeCell ref="Q151:Q152"/>
    <mergeCell ref="M164:M165"/>
    <mergeCell ref="D161:I162"/>
    <mergeCell ref="Q164:Q165"/>
    <mergeCell ref="J207:L208"/>
    <mergeCell ref="Z298:AA298"/>
    <mergeCell ref="L156:L157"/>
    <mergeCell ref="C159:J160"/>
    <mergeCell ref="C156:J157"/>
    <mergeCell ref="V177:W177"/>
    <mergeCell ref="I179:K179"/>
    <mergeCell ref="X298:Y298"/>
    <mergeCell ref="D169:I170"/>
    <mergeCell ref="E184:I184"/>
    <mergeCell ref="D190:J191"/>
    <mergeCell ref="C188:J189"/>
    <mergeCell ref="D195:J197"/>
    <mergeCell ref="C181:I181"/>
    <mergeCell ref="M181:M182"/>
    <mergeCell ref="K167:L167"/>
    <mergeCell ref="D164:I165"/>
    <mergeCell ref="O167:P167"/>
    <mergeCell ref="V298:W298"/>
  </mergeCells>
  <phoneticPr fontId="15" type="noConversion"/>
  <printOptions horizontalCentered="1"/>
  <pageMargins left="0.5" right="0.45" top="0.67" bottom="0.63" header="0.5" footer="0.5"/>
  <pageSetup scale="65" orientation="landscape" r:id="rId1"/>
  <headerFooter alignWithMargins="0">
    <oddHeader>&amp;R&amp;"Arial,Bold"&amp;12Entry F</oddHeader>
    <oddFooter>&amp;L&amp;8&amp;D - City model&amp;R  &amp;P</oddFooter>
  </headerFooter>
  <rowBreaks count="5" manualBreakCount="5">
    <brk id="67" max="19" man="1"/>
    <brk id="130" max="19" man="1"/>
    <brk id="185" max="19" man="1"/>
    <brk id="238" max="19" man="1"/>
    <brk id="294" max="24"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P60"/>
  <sheetViews>
    <sheetView workbookViewId="0"/>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9" max="9" width="6.28515625" customWidth="1"/>
    <col min="10" max="10" width="10.42578125" hidden="1" customWidth="1"/>
    <col min="11" max="11" width="9.140625" hidden="1" customWidth="1"/>
    <col min="12" max="12" width="11.42578125" bestFit="1" customWidth="1"/>
    <col min="13" max="13" width="1.7109375" customWidth="1"/>
    <col min="14" max="14" width="10.42578125" bestFit="1" customWidth="1"/>
    <col min="15" max="15" width="10.7109375" customWidth="1"/>
    <col min="16" max="16" width="1.7109375" customWidth="1"/>
    <col min="17" max="17" width="2.28515625" customWidth="1"/>
  </cols>
  <sheetData>
    <row r="1" spans="1:16" ht="7.5" customHeight="1" x14ac:dyDescent="0.2"/>
    <row r="2" spans="1:16" ht="33.75" customHeight="1" x14ac:dyDescent="0.25">
      <c r="A2" s="956" t="s">
        <v>564</v>
      </c>
      <c r="B2" s="957"/>
      <c r="C2" s="957"/>
      <c r="D2" s="957"/>
      <c r="E2" s="957"/>
      <c r="F2" s="957"/>
      <c r="G2" s="957"/>
      <c r="H2" s="957"/>
      <c r="I2" s="957"/>
      <c r="J2" s="957"/>
      <c r="K2" s="957"/>
      <c r="L2" s="957"/>
      <c r="M2" s="957"/>
      <c r="N2" s="957"/>
      <c r="O2" s="957"/>
      <c r="P2" s="958"/>
    </row>
    <row r="3" spans="1:16" ht="11.25" customHeight="1" x14ac:dyDescent="0.2"/>
    <row r="4" spans="1:16" ht="93" customHeight="1" x14ac:dyDescent="0.2">
      <c r="B4" s="883" t="s">
        <v>80</v>
      </c>
      <c r="C4" s="883"/>
      <c r="D4" s="883"/>
      <c r="E4" s="883"/>
      <c r="F4" s="883"/>
      <c r="G4" s="883"/>
      <c r="H4" s="883"/>
      <c r="I4" s="883"/>
      <c r="J4" s="883"/>
      <c r="K4" s="883"/>
      <c r="L4" s="883"/>
      <c r="M4" s="883"/>
      <c r="N4" s="883"/>
      <c r="O4" s="883"/>
      <c r="P4" s="883"/>
    </row>
    <row r="5" spans="1:16" ht="9" customHeight="1" x14ac:dyDescent="0.2"/>
    <row r="6" spans="1:16" ht="11.25" customHeight="1" x14ac:dyDescent="0.2">
      <c r="B6" s="50" t="s">
        <v>930</v>
      </c>
      <c r="C6" s="883" t="s">
        <v>294</v>
      </c>
      <c r="D6" s="883"/>
      <c r="E6" s="883"/>
      <c r="F6" s="883"/>
      <c r="G6" s="883"/>
      <c r="H6" s="883"/>
      <c r="I6" s="883"/>
      <c r="J6" s="883"/>
      <c r="K6" s="883"/>
      <c r="L6" s="883"/>
      <c r="M6" s="883"/>
      <c r="N6" s="883"/>
      <c r="O6" s="883"/>
      <c r="P6" s="883"/>
    </row>
    <row r="7" spans="1:16" ht="14.25" customHeight="1" x14ac:dyDescent="0.2">
      <c r="B7" s="50"/>
      <c r="C7" s="883"/>
      <c r="D7" s="883"/>
      <c r="E7" s="883"/>
      <c r="F7" s="883"/>
      <c r="G7" s="883"/>
      <c r="H7" s="883"/>
      <c r="I7" s="883"/>
      <c r="J7" s="883"/>
      <c r="K7" s="883"/>
      <c r="L7" s="883"/>
      <c r="M7" s="883"/>
      <c r="N7" s="883"/>
      <c r="O7" s="883"/>
      <c r="P7" s="883"/>
    </row>
    <row r="8" spans="1:16" ht="5.25" customHeight="1" x14ac:dyDescent="0.2">
      <c r="B8" s="50"/>
      <c r="C8" s="46"/>
      <c r="D8" s="46"/>
      <c r="E8" s="46"/>
      <c r="F8" s="46"/>
      <c r="G8" s="46"/>
      <c r="H8" s="46"/>
      <c r="I8" s="46"/>
      <c r="J8" s="46"/>
      <c r="K8" s="46"/>
      <c r="L8" s="46"/>
      <c r="M8" s="46"/>
      <c r="N8" s="46"/>
      <c r="O8" s="46"/>
      <c r="P8" s="46"/>
    </row>
    <row r="9" spans="1:16" ht="12" customHeight="1" x14ac:dyDescent="0.2">
      <c r="B9" s="50" t="s">
        <v>931</v>
      </c>
      <c r="C9" s="883" t="s">
        <v>586</v>
      </c>
      <c r="D9" s="883"/>
      <c r="E9" s="883"/>
      <c r="F9" s="883"/>
      <c r="G9" s="883"/>
      <c r="H9" s="883"/>
      <c r="I9" s="883"/>
      <c r="J9" s="883"/>
      <c r="K9" s="883"/>
      <c r="L9" s="883"/>
      <c r="M9" s="883"/>
      <c r="N9" s="883"/>
      <c r="O9" s="883"/>
      <c r="P9" s="883"/>
    </row>
    <row r="10" spans="1:16" ht="13.5" customHeight="1" x14ac:dyDescent="0.2">
      <c r="B10" s="50"/>
      <c r="C10" s="883"/>
      <c r="D10" s="883"/>
      <c r="E10" s="883"/>
      <c r="F10" s="883"/>
      <c r="G10" s="883"/>
      <c r="H10" s="883"/>
      <c r="I10" s="883"/>
      <c r="J10" s="883"/>
      <c r="K10" s="883"/>
      <c r="L10" s="883"/>
      <c r="M10" s="883"/>
      <c r="N10" s="883"/>
      <c r="O10" s="883"/>
      <c r="P10" s="883"/>
    </row>
    <row r="11" spans="1:16" ht="5.25" customHeight="1" x14ac:dyDescent="0.2">
      <c r="B11" s="50"/>
    </row>
    <row r="12" spans="1:16" ht="12.75" customHeight="1" x14ac:dyDescent="0.2">
      <c r="B12" s="50" t="s">
        <v>464</v>
      </c>
      <c r="C12" s="883" t="s">
        <v>492</v>
      </c>
      <c r="D12" s="883"/>
      <c r="E12" s="883"/>
      <c r="F12" s="883"/>
      <c r="G12" s="883"/>
      <c r="H12" s="883"/>
      <c r="I12" s="883"/>
      <c r="J12" s="883"/>
      <c r="K12" s="883"/>
      <c r="L12" s="883"/>
      <c r="M12" s="883"/>
      <c r="N12" s="883"/>
      <c r="O12" s="883"/>
    </row>
    <row r="13" spans="1:16" ht="14.25" customHeight="1" x14ac:dyDescent="0.2">
      <c r="B13" s="50"/>
      <c r="C13" s="883"/>
      <c r="D13" s="883"/>
      <c r="E13" s="883"/>
      <c r="F13" s="883"/>
      <c r="G13" s="883"/>
      <c r="H13" s="883"/>
      <c r="I13" s="883"/>
      <c r="J13" s="883"/>
      <c r="K13" s="883"/>
      <c r="L13" s="883"/>
      <c r="M13" s="883"/>
      <c r="N13" s="883"/>
      <c r="O13" s="883"/>
    </row>
    <row r="14" spans="1:16" ht="6" customHeight="1" x14ac:dyDescent="0.2"/>
    <row r="16" spans="1:16" ht="25.5" customHeight="1" x14ac:dyDescent="0.2">
      <c r="A16" s="4" t="s">
        <v>860</v>
      </c>
      <c r="B16" s="962" t="s">
        <v>363</v>
      </c>
      <c r="C16" s="963"/>
      <c r="D16" s="963"/>
      <c r="E16" s="963"/>
      <c r="F16" s="963"/>
      <c r="G16" s="963"/>
      <c r="H16" s="963"/>
      <c r="I16" s="963"/>
      <c r="J16" s="963"/>
      <c r="K16" s="963"/>
      <c r="L16" s="963"/>
      <c r="M16" s="963"/>
      <c r="N16" s="963"/>
      <c r="O16" s="964"/>
      <c r="P16" s="4"/>
    </row>
    <row r="17" spans="1:16" x14ac:dyDescent="0.2">
      <c r="B17" s="4"/>
      <c r="H17" s="45"/>
    </row>
    <row r="18" spans="1:16" x14ac:dyDescent="0.2">
      <c r="H18"/>
      <c r="L18" s="3" t="s">
        <v>61</v>
      </c>
    </row>
    <row r="19" spans="1:16" ht="6" customHeight="1" x14ac:dyDescent="0.2">
      <c r="H19"/>
    </row>
    <row r="20" spans="1:16" ht="12.75" customHeight="1" x14ac:dyDescent="0.2">
      <c r="B20" s="50" t="s">
        <v>930</v>
      </c>
      <c r="C20" s="883" t="s">
        <v>295</v>
      </c>
      <c r="D20" s="883"/>
      <c r="E20" s="883"/>
      <c r="F20" s="883"/>
      <c r="G20" s="883"/>
      <c r="H20" s="883"/>
      <c r="L20" s="95"/>
    </row>
    <row r="21" spans="1:16" ht="12.75" customHeight="1" x14ac:dyDescent="0.2">
      <c r="B21" s="50"/>
      <c r="C21" s="883"/>
      <c r="D21" s="883"/>
      <c r="E21" s="883"/>
      <c r="F21" s="883"/>
      <c r="G21" s="883"/>
      <c r="H21" s="883"/>
      <c r="L21" s="95"/>
    </row>
    <row r="22" spans="1:16" x14ac:dyDescent="0.2">
      <c r="D22" t="s">
        <v>742</v>
      </c>
      <c r="H22"/>
      <c r="L22" s="441"/>
    </row>
    <row r="23" spans="1:16" x14ac:dyDescent="0.2">
      <c r="D23" t="s">
        <v>486</v>
      </c>
      <c r="H23"/>
      <c r="L23" s="441"/>
    </row>
    <row r="24" spans="1:16" x14ac:dyDescent="0.2">
      <c r="D24" t="s">
        <v>721</v>
      </c>
      <c r="H24"/>
      <c r="L24" s="441"/>
    </row>
    <row r="25" spans="1:16" x14ac:dyDescent="0.2">
      <c r="D25" s="571" t="s">
        <v>4864</v>
      </c>
      <c r="H25"/>
      <c r="L25" s="441"/>
    </row>
    <row r="26" spans="1:16" x14ac:dyDescent="0.2">
      <c r="D26" s="571" t="s">
        <v>4899</v>
      </c>
      <c r="L26" s="441"/>
    </row>
    <row r="27" spans="1:16" x14ac:dyDescent="0.2">
      <c r="A27"/>
      <c r="H27"/>
    </row>
    <row r="28" spans="1:16" ht="7.5" customHeight="1" x14ac:dyDescent="0.2">
      <c r="H28"/>
      <c r="L28" s="45"/>
    </row>
    <row r="29" spans="1:16" ht="13.5" thickBot="1" x14ac:dyDescent="0.25">
      <c r="D29" t="s">
        <v>49</v>
      </c>
      <c r="H29"/>
      <c r="L29" s="93">
        <f>SUM(L22:L27)</f>
        <v>0</v>
      </c>
    </row>
    <row r="30" spans="1:16" ht="13.5" thickTop="1" x14ac:dyDescent="0.2">
      <c r="H30"/>
    </row>
    <row r="31" spans="1:16" x14ac:dyDescent="0.2">
      <c r="H31"/>
    </row>
    <row r="32" spans="1:16" ht="25.5" customHeight="1" x14ac:dyDescent="0.2">
      <c r="A32" s="4" t="s">
        <v>861</v>
      </c>
      <c r="B32" s="962" t="s">
        <v>1010</v>
      </c>
      <c r="C32" s="963"/>
      <c r="D32" s="963"/>
      <c r="E32" s="963"/>
      <c r="F32" s="963"/>
      <c r="G32" s="963"/>
      <c r="H32" s="963"/>
      <c r="I32" s="963"/>
      <c r="J32" s="963"/>
      <c r="K32" s="963"/>
      <c r="L32" s="963"/>
      <c r="M32" s="963"/>
      <c r="N32" s="963"/>
      <c r="O32" s="964"/>
      <c r="P32" s="4"/>
    </row>
    <row r="33" spans="1:16" x14ac:dyDescent="0.2">
      <c r="H33" s="10"/>
      <c r="I33" s="10"/>
      <c r="J33" s="10"/>
      <c r="K33" s="10"/>
      <c r="L33" s="10"/>
      <c r="N33" s="10"/>
    </row>
    <row r="34" spans="1:16" x14ac:dyDescent="0.2">
      <c r="H34" s="10"/>
      <c r="I34" s="10"/>
      <c r="K34" s="10"/>
      <c r="L34" s="3" t="s">
        <v>61</v>
      </c>
      <c r="N34" s="10"/>
    </row>
    <row r="35" spans="1:16" x14ac:dyDescent="0.2">
      <c r="H35"/>
      <c r="K35" s="10"/>
    </row>
    <row r="36" spans="1:16" ht="24.75" customHeight="1" x14ac:dyDescent="0.2">
      <c r="B36" s="50" t="s">
        <v>930</v>
      </c>
      <c r="C36" s="883" t="s">
        <v>342</v>
      </c>
      <c r="D36" s="883"/>
      <c r="E36" s="883"/>
      <c r="F36" s="883"/>
      <c r="G36" s="883"/>
      <c r="H36" s="883"/>
      <c r="I36" s="883"/>
      <c r="K36" s="10"/>
      <c r="L36" s="437"/>
    </row>
    <row r="37" spans="1:16" x14ac:dyDescent="0.2">
      <c r="H37"/>
      <c r="K37" s="10"/>
    </row>
    <row r="38" spans="1:16" ht="27" customHeight="1" x14ac:dyDescent="0.2">
      <c r="B38" s="50" t="s">
        <v>931</v>
      </c>
      <c r="C38" s="883" t="s">
        <v>493</v>
      </c>
      <c r="D38" s="883"/>
      <c r="E38" s="883"/>
      <c r="F38" s="883"/>
      <c r="G38" s="883"/>
      <c r="H38" s="883"/>
      <c r="I38" s="883"/>
      <c r="K38" s="10"/>
      <c r="L38" s="437"/>
    </row>
    <row r="39" spans="1:16" ht="5.25" customHeight="1" x14ac:dyDescent="0.2">
      <c r="H39"/>
      <c r="K39" s="10"/>
    </row>
    <row r="40" spans="1:16" x14ac:dyDescent="0.2">
      <c r="H40"/>
      <c r="K40" s="10"/>
      <c r="L40" s="10"/>
      <c r="N40" s="10"/>
    </row>
    <row r="41" spans="1:16" x14ac:dyDescent="0.2">
      <c r="G41" s="5"/>
      <c r="H41" s="10"/>
      <c r="I41" s="10"/>
      <c r="J41" s="10"/>
      <c r="K41" s="10"/>
      <c r="L41" s="10"/>
      <c r="N41" s="10"/>
    </row>
    <row r="42" spans="1:16" x14ac:dyDescent="0.2">
      <c r="G42" s="5"/>
      <c r="H42" s="10"/>
      <c r="I42" s="10"/>
      <c r="J42" s="10"/>
      <c r="K42" s="10"/>
      <c r="L42" s="10"/>
      <c r="N42" s="10"/>
    </row>
    <row r="43" spans="1:16" ht="25.5" customHeight="1" x14ac:dyDescent="0.2">
      <c r="A43" s="4" t="s">
        <v>459</v>
      </c>
      <c r="B43" s="965" t="s">
        <v>443</v>
      </c>
      <c r="C43" s="967"/>
      <c r="D43" s="967"/>
      <c r="E43" s="967"/>
      <c r="F43" s="967"/>
      <c r="G43" s="967"/>
      <c r="H43" s="967"/>
      <c r="I43" s="967"/>
      <c r="J43" s="967"/>
      <c r="K43" s="967"/>
      <c r="L43" s="967"/>
      <c r="M43" s="967"/>
      <c r="N43" s="967"/>
      <c r="O43" s="968"/>
      <c r="P43" s="4"/>
    </row>
    <row r="44" spans="1:16" ht="12.75" customHeight="1" x14ac:dyDescent="0.2"/>
    <row r="45" spans="1:16" x14ac:dyDescent="0.2">
      <c r="L45" s="58" t="s">
        <v>64</v>
      </c>
      <c r="M45" s="55"/>
      <c r="N45" s="58" t="s">
        <v>65</v>
      </c>
    </row>
    <row r="46" spans="1:16" ht="6.75" customHeight="1" x14ac:dyDescent="0.2"/>
    <row r="47" spans="1:16" ht="12.75" customHeight="1" x14ac:dyDescent="0.2">
      <c r="D47" t="s">
        <v>440</v>
      </c>
      <c r="E47" t="s">
        <v>329</v>
      </c>
      <c r="L47" s="84">
        <f>IF(L22&gt;=0,L22,"0")</f>
        <v>0</v>
      </c>
      <c r="N47" s="84">
        <f>IF(L22&lt;0,L22,0)</f>
        <v>0</v>
      </c>
    </row>
    <row r="48" spans="1:16" x14ac:dyDescent="0.2">
      <c r="E48" t="s">
        <v>330</v>
      </c>
      <c r="L48" s="84">
        <f>IF(L23&gt;=0,L23,"0")</f>
        <v>0</v>
      </c>
      <c r="N48" s="84">
        <f>IF(L23&lt;0,L23,0)</f>
        <v>0</v>
      </c>
    </row>
    <row r="49" spans="4:14" x14ac:dyDescent="0.2">
      <c r="E49" t="s">
        <v>331</v>
      </c>
      <c r="L49" s="84">
        <f>IF(L24&gt;=0,L24,"0")</f>
        <v>0</v>
      </c>
      <c r="N49" s="84">
        <f>IF(L24&lt;0,L24,0)</f>
        <v>0</v>
      </c>
    </row>
    <row r="50" spans="4:14" x14ac:dyDescent="0.2">
      <c r="E50" s="571" t="s">
        <v>4864</v>
      </c>
      <c r="L50" s="84">
        <f>IF(L25&gt;=0,L25,"0")</f>
        <v>0</v>
      </c>
      <c r="N50" s="84">
        <f>IF(L25&lt;0,L25,0)</f>
        <v>0</v>
      </c>
    </row>
    <row r="51" spans="4:14" x14ac:dyDescent="0.2">
      <c r="E51" s="571" t="s">
        <v>4899</v>
      </c>
      <c r="L51" s="84">
        <f>IF(L26&gt;=0,L26,"0")</f>
        <v>0</v>
      </c>
      <c r="N51" s="84">
        <f>IF(L26&lt;0,L26,0)</f>
        <v>0</v>
      </c>
    </row>
    <row r="52" spans="4:14" x14ac:dyDescent="0.2">
      <c r="F52" t="s">
        <v>720</v>
      </c>
      <c r="L52" s="84">
        <f>IF(L29&lt;0,L29,0)</f>
        <v>0</v>
      </c>
      <c r="N52" s="84">
        <f>IF(L29&gt;=0,L29,"0")</f>
        <v>0</v>
      </c>
    </row>
    <row r="53" spans="4:14" ht="5.25" customHeight="1" x14ac:dyDescent="0.2">
      <c r="L53" s="95"/>
      <c r="N53" s="95"/>
    </row>
    <row r="54" spans="4:14" x14ac:dyDescent="0.2">
      <c r="D54" t="s">
        <v>441</v>
      </c>
      <c r="E54" t="s">
        <v>1008</v>
      </c>
      <c r="L54" s="84">
        <f>IF(L36&gt;=0,L36,"0")</f>
        <v>0</v>
      </c>
      <c r="N54" s="84"/>
    </row>
    <row r="55" spans="4:14" x14ac:dyDescent="0.2">
      <c r="F55" t="s">
        <v>1007</v>
      </c>
      <c r="L55" s="84"/>
      <c r="N55" s="84">
        <f>L36</f>
        <v>0</v>
      </c>
    </row>
    <row r="56" spans="4:14" ht="4.5" customHeight="1" x14ac:dyDescent="0.2">
      <c r="L56" s="95"/>
      <c r="N56" s="95"/>
    </row>
    <row r="57" spans="4:14" x14ac:dyDescent="0.2">
      <c r="D57" t="s">
        <v>442</v>
      </c>
      <c r="E57" t="s">
        <v>1007</v>
      </c>
      <c r="L57" s="84">
        <f>IF(L38-L36&gt;0,0,(L38-L36)*-1)</f>
        <v>0</v>
      </c>
      <c r="N57" s="84">
        <f>IF(L38-L36&lt;0,0,L38-L36)</f>
        <v>0</v>
      </c>
    </row>
    <row r="58" spans="4:14" x14ac:dyDescent="0.2">
      <c r="F58" t="s">
        <v>1009</v>
      </c>
      <c r="L58" s="84">
        <f>IF(L38-L36&lt;0,0,L38-L36)</f>
        <v>0</v>
      </c>
      <c r="N58" s="84">
        <f>IF(L38-L36&lt;0,(L38-L36)*-1,0)</f>
        <v>0</v>
      </c>
    </row>
    <row r="59" spans="4:14" ht="13.5" thickBot="1" x14ac:dyDescent="0.25">
      <c r="L59" s="94">
        <f>SUM(L47:L58)</f>
        <v>0</v>
      </c>
      <c r="M59" s="45">
        <f>SUM(M47:M58)</f>
        <v>0</v>
      </c>
      <c r="N59" s="94">
        <f>SUM(N47:N58)</f>
        <v>0</v>
      </c>
    </row>
    <row r="60" spans="4:14" ht="13.5" thickTop="1" x14ac:dyDescent="0.2"/>
  </sheetData>
  <sheetProtection algorithmName="SHA-512" hashValue="BeN0GCwlS+5YLFoTOQdeAfoYksktPtGRDm+GXWzxzwQeJ/s9EJ6vIXou5UUF8Pz3o370A5bUbuUY92/9LvWE1Q==" saltValue="I2qkJ5PSdc1qvvawb4R+Xg==" spinCount="100000" sheet="1" objects="1" scenarios="1"/>
  <mergeCells count="11">
    <mergeCell ref="A2:P2"/>
    <mergeCell ref="B4:P4"/>
    <mergeCell ref="B16:O16"/>
    <mergeCell ref="C6:P7"/>
    <mergeCell ref="C9:P10"/>
    <mergeCell ref="C12:O13"/>
    <mergeCell ref="C36:I36"/>
    <mergeCell ref="C38:I38"/>
    <mergeCell ref="B32:O32"/>
    <mergeCell ref="B43:O43"/>
    <mergeCell ref="C20:H21"/>
  </mergeCells>
  <phoneticPr fontId="15" type="noConversion"/>
  <printOptions horizontalCentered="1"/>
  <pageMargins left="0.36" right="0.37" top="0.71" bottom="0.5" header="0.5" footer="0.5"/>
  <pageSetup scale="80" orientation="portrait" r:id="rId1"/>
  <headerFooter alignWithMargins="0">
    <oddHeader>&amp;R&amp;"Arial,Bold"&amp;12Entry G</oddHeader>
    <oddFooter>&amp;L&amp;8&amp;D - City model&amp;R&amp;P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Publication_x0020_Date xmlns="b0d8bf0e-b15b-456f-8ae4-2bdf59acac1f">08/14/2018</Publication_x0020_Date>
    <Category xmlns="b0d8bf0e-b15b-456f-8ae4-2bdf59acac1f">Tools</Category>
    <Description0 xmlns="b0d8bf0e-b15b-456f-8ae4-2bdf59acac1f">City of Dogwood Governmental Activities Conversion Worksheet</Description0>
    <Sort_x0020_Order xmlns="b0d8bf0e-b15b-456f-8ae4-2bdf59acac1f">1</Sort_x0020_Order>
    <Resource_x0020_Category xmlns="b0d8bf0e-b15b-456f-8ae4-2bdf59acac1f">Preparation Aid</Resource_x0020_Category>
    <Resource_x0020_Group xmlns="b0d8bf0e-b15b-456f-8ae4-2bdf59acac1f">Municipal Specific Worksheets</Resource_x0020_Group>
    <_dlc_DocId xmlns="d4ea4015-5b02-447c-9074-d5807a41497e" xsi:nil="true"/>
  </documentManagement>
</p:properties>
</file>

<file path=customXml/itemProps1.xml><?xml version="1.0" encoding="utf-8"?>
<ds:datastoreItem xmlns:ds="http://schemas.openxmlformats.org/officeDocument/2006/customXml" ds:itemID="{3E81FD93-AEF9-4329-8E92-BA56D5B748F5}">
  <ds:schemaRefs>
    <ds:schemaRef ds:uri="http://schemas.microsoft.com/sharepoint/events"/>
  </ds:schemaRefs>
</ds:datastoreItem>
</file>

<file path=customXml/itemProps2.xml><?xml version="1.0" encoding="utf-8"?>
<ds:datastoreItem xmlns:ds="http://schemas.openxmlformats.org/officeDocument/2006/customXml" ds:itemID="{B5BC0FD3-5C05-49D8-8B2F-0225E40754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E5CD51-724D-428F-AB34-7E49BE059B69}">
  <ds:schemaRefs>
    <ds:schemaRef ds:uri="http://schemas.microsoft.com/office/2006/metadata/longProperties"/>
  </ds:schemaRefs>
</ds:datastoreItem>
</file>

<file path=customXml/itemProps4.xml><?xml version="1.0" encoding="utf-8"?>
<ds:datastoreItem xmlns:ds="http://schemas.openxmlformats.org/officeDocument/2006/customXml" ds:itemID="{506BDEC4-4D12-4430-839E-238576D44B0A}">
  <ds:schemaRefs>
    <ds:schemaRef ds:uri="http://schemas.microsoft.com/sharepoint/v3/contenttype/forms"/>
  </ds:schemaRefs>
</ds:datastoreItem>
</file>

<file path=customXml/itemProps5.xml><?xml version="1.0" encoding="utf-8"?>
<ds:datastoreItem xmlns:ds="http://schemas.openxmlformats.org/officeDocument/2006/customXml" ds:itemID="{F840E4C9-EA61-4D12-B19F-6D2D233688A8}">
  <ds:schemaRefs>
    <ds:schemaRef ds:uri="http://schemas.openxmlformats.org/package/2006/metadata/core-properties"/>
    <ds:schemaRef ds:uri="http://schemas.microsoft.com/office/2006/metadata/properties"/>
    <ds:schemaRef ds:uri="http://schemas.microsoft.com/office/2006/documentManagement/types"/>
    <ds:schemaRef ds:uri="http://purl.org/dc/terms/"/>
    <ds:schemaRef ds:uri="b0d8bf0e-b15b-456f-8ae4-2bdf59acac1f"/>
    <ds:schemaRef ds:uri="http://purl.org/dc/dcmitype/"/>
    <ds:schemaRef ds:uri="d4ea4015-5b02-447c-9074-d5807a41497e"/>
    <ds:schemaRef ds:uri="http://www.w3.org/XML/1998/namespace"/>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36</vt:i4>
      </vt:variant>
    </vt:vector>
  </HeadingPairs>
  <TitlesOfParts>
    <vt:vector size="68" baseType="lpstr">
      <vt:lpstr>General Instructions</vt:lpstr>
      <vt:lpstr>Conversion Worksheet</vt:lpstr>
      <vt:lpstr>A. Revenue by function</vt:lpstr>
      <vt:lpstr>B.  Property Taxes</vt:lpstr>
      <vt:lpstr>C. Other Revenues</vt:lpstr>
      <vt:lpstr>D. Depreciation</vt:lpstr>
      <vt:lpstr>E. Capital Outlay</vt:lpstr>
      <vt:lpstr>F.  Other Cap Asset Entries</vt:lpstr>
      <vt:lpstr>G. Debt Service</vt:lpstr>
      <vt:lpstr>H. Debt Issues</vt:lpstr>
      <vt:lpstr>I.  Other Asset Entries</vt:lpstr>
      <vt:lpstr>J. Other Liability &amp; Expenses</vt:lpstr>
      <vt:lpstr>K.1  Int. Service Fd Allocation</vt:lpstr>
      <vt:lpstr>K.2  Int. Service Fd Alloca</vt:lpstr>
      <vt:lpstr>K.3 Int. Service Fd Alloca</vt:lpstr>
      <vt:lpstr>L. Eliminations-Consolidations</vt:lpstr>
      <vt:lpstr>M. Net Position Calculation</vt:lpstr>
      <vt:lpstr>N.1a LGERS Data CY</vt:lpstr>
      <vt:lpstr>N.1b LGERS Data PY</vt:lpstr>
      <vt:lpstr>N.1a 2019 summary</vt:lpstr>
      <vt:lpstr>N.1a 2018 summary</vt:lpstr>
      <vt:lpstr>N.1 GASB 68 LGERS</vt:lpstr>
      <vt:lpstr>N.1b 2017 summary</vt:lpstr>
      <vt:lpstr>N.1c LGERS Contributions FY2018</vt:lpstr>
      <vt:lpstr>N.1c LGERS Contributions FY2017</vt:lpstr>
      <vt:lpstr>N.2 GASB 68 FRSWPF</vt:lpstr>
      <vt:lpstr>O. GASB 73 LEO Entries</vt:lpstr>
      <vt:lpstr>P. GASB 75 OPEB 1 Entries</vt:lpstr>
      <vt:lpstr>P. GASB 75 OPEB 2 Entries </vt:lpstr>
      <vt:lpstr>P. GASB 75 3 OPEB Entries </vt:lpstr>
      <vt:lpstr>Q. GASB 87 Lease Entries</vt:lpstr>
      <vt:lpstr>R. GASB 96 Subscription Entries</vt:lpstr>
      <vt:lpstr>aa0</vt:lpstr>
      <vt:lpstr>i9i09</vt:lpstr>
      <vt:lpstr>'A. Revenue by function'!Print_Area</vt:lpstr>
      <vt:lpstr>'B.  Property Taxes'!Print_Area</vt:lpstr>
      <vt:lpstr>'C. Other Revenues'!Print_Area</vt:lpstr>
      <vt:lpstr>'Conversion Worksheet'!Print_Area</vt:lpstr>
      <vt:lpstr>'D. Depreciation'!Print_Area</vt:lpstr>
      <vt:lpstr>'E. Capital Outlay'!Print_Area</vt:lpstr>
      <vt:lpstr>'F.  Other Cap Asset Entries'!Print_Area</vt:lpstr>
      <vt:lpstr>'G. Debt Service'!Print_Area</vt:lpstr>
      <vt:lpstr>'General Instructions'!Print_Area</vt:lpstr>
      <vt:lpstr>'H. Debt Issues'!Print_Area</vt:lpstr>
      <vt:lpstr>'I.  Other Asset Entries'!Print_Area</vt:lpstr>
      <vt:lpstr>'J. Other Liability &amp; Expenses'!Print_Area</vt:lpstr>
      <vt:lpstr>'K.1  Int. Service Fd Allocation'!Print_Area</vt:lpstr>
      <vt:lpstr>'K.2  Int. Service Fd Alloca'!Print_Area</vt:lpstr>
      <vt:lpstr>'K.3 Int. Service Fd Alloca'!Print_Area</vt:lpstr>
      <vt:lpstr>'L. Eliminations-Consolidations'!Print_Area</vt:lpstr>
      <vt:lpstr>'M. Net Position Calculation'!Print_Area</vt:lpstr>
      <vt:lpstr>'N.1b LGERS Data PY'!Print_Area</vt:lpstr>
      <vt:lpstr>'P. GASB 75 3 OPEB Entries '!Print_Area</vt:lpstr>
      <vt:lpstr>'P. GASB 75 OPEB 1 Entries'!Print_Area</vt:lpstr>
      <vt:lpstr>'P. GASB 75 OPEB 2 Entries '!Print_Area</vt:lpstr>
      <vt:lpstr>'A. Revenue by function'!Print_Titles</vt:lpstr>
      <vt:lpstr>'C. Other Revenues'!Print_Titles</vt:lpstr>
      <vt:lpstr>'Conversion Worksheet'!Print_Titles</vt:lpstr>
      <vt:lpstr>'E. Capital Outlay'!Print_Titles</vt:lpstr>
      <vt:lpstr>'F.  Other Cap Asset Entries'!Print_Titles</vt:lpstr>
      <vt:lpstr>'G. Debt Service'!Print_Titles</vt:lpstr>
      <vt:lpstr>'H. Debt Issues'!Print_Titles</vt:lpstr>
      <vt:lpstr>'I.  Other Asset Entries'!Print_Titles</vt:lpstr>
      <vt:lpstr>'J. Other Liability &amp; Expenses'!Print_Titles</vt:lpstr>
      <vt:lpstr>'M. Net Position Calculation'!Print_Titles</vt:lpstr>
      <vt:lpstr>'N.1a LGERS Data CY'!Print_Titles</vt:lpstr>
      <vt:lpstr>'N.1b 2017 summary'!Print_Titles</vt:lpstr>
      <vt:lpstr>'N.1b LGERS Data PY'!Print_Titles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City of Dogwood Governmental Activities Conversion Worksheet</dc:title>
  <dc:creator>LGC0206</dc:creator>
  <cp:keywords>Municipal Specific Worksheets</cp:keywords>
  <cp:lastModifiedBy>David Clawson</cp:lastModifiedBy>
  <cp:lastPrinted>2018-08-01T15:06:02Z</cp:lastPrinted>
  <dcterms:created xsi:type="dcterms:W3CDTF">2002-04-03T20:24:03Z</dcterms:created>
  <dcterms:modified xsi:type="dcterms:W3CDTF">2025-12-03T14:51:54Z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5400.00000000000</vt:lpwstr>
  </property>
  <property fmtid="{D5CDD505-2E9C-101B-9397-08002B2CF9AE}" pid="3" name="ContentTypeId">
    <vt:lpwstr>0x01010063E6D748AC7C9C43A96C5224165110D7</vt:lpwstr>
  </property>
</Properties>
</file>